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C5046235-8E49-4A7B-87C6-032269E40C98}" xr6:coauthVersionLast="47" xr6:coauthVersionMax="47" xr10:uidLastSave="{00000000-0000-0000-0000-000000000000}"/>
  <bookViews>
    <workbookView xWindow="-120" yWindow="-120" windowWidth="29040" windowHeight="15720" tabRatio="823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90" i="3" l="1"/>
  <c r="I56" i="17"/>
  <c r="H56" i="17"/>
  <c r="E188" i="3"/>
  <c r="BI204" i="1" s="1"/>
  <c r="BL204" i="1" s="1"/>
  <c r="I13" i="17"/>
  <c r="AU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9" i="1"/>
  <c r="AU200" i="1"/>
  <c r="AU201" i="1"/>
  <c r="AU202" i="1"/>
  <c r="AU203" i="1"/>
  <c r="AU204" i="1"/>
  <c r="AU205" i="1"/>
  <c r="AU206" i="1"/>
  <c r="AU207" i="1"/>
  <c r="AU198" i="1"/>
  <c r="AT197" i="1"/>
  <c r="AT196" i="1"/>
  <c r="AT195" i="1"/>
  <c r="AT194" i="1"/>
  <c r="AT193" i="1"/>
  <c r="AT192" i="1"/>
  <c r="AT191" i="1"/>
  <c r="AT190" i="1"/>
  <c r="AT189" i="1"/>
  <c r="AT188" i="1"/>
  <c r="AT187" i="1"/>
  <c r="AT186" i="1"/>
  <c r="AT185" i="1"/>
  <c r="AT184" i="1"/>
  <c r="AT183" i="1"/>
  <c r="AT182" i="1"/>
  <c r="AT181" i="1"/>
  <c r="AT180" i="1"/>
  <c r="AT179" i="1"/>
  <c r="AT178" i="1"/>
  <c r="AT177" i="1"/>
  <c r="AT176" i="1"/>
  <c r="AT175" i="1"/>
  <c r="AT174" i="1"/>
  <c r="AT173" i="1"/>
  <c r="AT172" i="1"/>
  <c r="AT171" i="1"/>
  <c r="AT170" i="1"/>
  <c r="AT169" i="1"/>
  <c r="AT168" i="1"/>
  <c r="AT167" i="1"/>
  <c r="AT166" i="1"/>
  <c r="AT165" i="1"/>
  <c r="AT164" i="1"/>
  <c r="AT163" i="1"/>
  <c r="AT162" i="1"/>
  <c r="AT161" i="1"/>
  <c r="AT160" i="1"/>
  <c r="AT159" i="1"/>
  <c r="AT158" i="1"/>
  <c r="AT157" i="1"/>
  <c r="AT156" i="1"/>
  <c r="AT155" i="1"/>
  <c r="AT154" i="1"/>
  <c r="AT153" i="1"/>
  <c r="AT152" i="1"/>
  <c r="AT151" i="1"/>
  <c r="AT150" i="1"/>
  <c r="AT149" i="1"/>
  <c r="AT148" i="1"/>
  <c r="AT147" i="1"/>
  <c r="AT146" i="1"/>
  <c r="AT145" i="1"/>
  <c r="AT144" i="1"/>
  <c r="AT143" i="1"/>
  <c r="AT142" i="1"/>
  <c r="AT141" i="1"/>
  <c r="AT140" i="1"/>
  <c r="AT139" i="1"/>
  <c r="AT138" i="1"/>
  <c r="AT137" i="1"/>
  <c r="AT136" i="1"/>
  <c r="AT135" i="1"/>
  <c r="AT134" i="1"/>
  <c r="AT133" i="1"/>
  <c r="AT132" i="1"/>
  <c r="AT131" i="1"/>
  <c r="AT130" i="1"/>
  <c r="AT129" i="1"/>
  <c r="AT128" i="1"/>
  <c r="AT127" i="1"/>
  <c r="AT126" i="1"/>
  <c r="AT125" i="1"/>
  <c r="AT124" i="1"/>
  <c r="AT123" i="1"/>
  <c r="AT122" i="1"/>
  <c r="AT121" i="1"/>
  <c r="AT120" i="1"/>
  <c r="AT119" i="1"/>
  <c r="AT118" i="1"/>
  <c r="AT117" i="1"/>
  <c r="AT116" i="1"/>
  <c r="AT115" i="1"/>
  <c r="AT114" i="1"/>
  <c r="AT113" i="1"/>
  <c r="AT112" i="1"/>
  <c r="AT111" i="1"/>
  <c r="AT110" i="1"/>
  <c r="AT109" i="1"/>
  <c r="AT108" i="1"/>
  <c r="AT107" i="1"/>
  <c r="AT106" i="1"/>
  <c r="AT105" i="1"/>
  <c r="AT104" i="1"/>
  <c r="AT103" i="1"/>
  <c r="AT102" i="1"/>
  <c r="AT101" i="1"/>
  <c r="AT100" i="1"/>
  <c r="AT99" i="1"/>
  <c r="AT98" i="1"/>
  <c r="AT97" i="1"/>
  <c r="AT96" i="1"/>
  <c r="AT95" i="1"/>
  <c r="AT94" i="1"/>
  <c r="AT93" i="1"/>
  <c r="AT92" i="1"/>
  <c r="AT91" i="1"/>
  <c r="AT90" i="1"/>
  <c r="AT89" i="1"/>
  <c r="AT88" i="1"/>
  <c r="AT87" i="1"/>
  <c r="AT86" i="1"/>
  <c r="AT85" i="1"/>
  <c r="AT84" i="1"/>
  <c r="AT83" i="1"/>
  <c r="AT82" i="1"/>
  <c r="AT81" i="1"/>
  <c r="AT80" i="1"/>
  <c r="AT79" i="1"/>
  <c r="AT78" i="1"/>
  <c r="AT77" i="1"/>
  <c r="AT76" i="1"/>
  <c r="AT75" i="1"/>
  <c r="AT74" i="1"/>
  <c r="AT73" i="1"/>
  <c r="AT72" i="1"/>
  <c r="AT71" i="1"/>
  <c r="AT70" i="1"/>
  <c r="AT69" i="1"/>
  <c r="AT68" i="1"/>
  <c r="AT67" i="1"/>
  <c r="AT66" i="1"/>
  <c r="AT65" i="1"/>
  <c r="AT64" i="1"/>
  <c r="AT63" i="1"/>
  <c r="AT62" i="1"/>
  <c r="AT61" i="1"/>
  <c r="AT60" i="1"/>
  <c r="AT59" i="1"/>
  <c r="AT58" i="1"/>
  <c r="AT57" i="1"/>
  <c r="AT56" i="1"/>
  <c r="AT55" i="1"/>
  <c r="AT54" i="1"/>
  <c r="AT53" i="1"/>
  <c r="AT52" i="1"/>
  <c r="AT51" i="1"/>
  <c r="AT50" i="1"/>
  <c r="AT49" i="1"/>
  <c r="AT48" i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T5" i="1"/>
  <c r="AT4" i="1"/>
  <c r="AT3" i="1"/>
  <c r="AT2" i="1"/>
  <c r="AT198" i="1"/>
  <c r="AT199" i="1"/>
  <c r="AT200" i="1"/>
  <c r="AT201" i="1"/>
  <c r="AT202" i="1"/>
  <c r="AT203" i="1"/>
  <c r="AT204" i="1"/>
  <c r="AT205" i="1"/>
  <c r="AT207" i="1"/>
  <c r="AT206" i="1"/>
  <c r="AF124" i="3"/>
  <c r="AF130" i="3"/>
  <c r="AF172" i="3"/>
  <c r="BA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" i="1"/>
  <c r="AF179" i="3"/>
  <c r="AF176" i="3"/>
  <c r="AF111" i="3"/>
  <c r="AF175" i="3"/>
  <c r="AF174" i="3"/>
  <c r="AF173" i="3"/>
  <c r="AF166" i="3"/>
  <c r="AF165" i="3"/>
  <c r="AF164" i="3"/>
  <c r="AF163" i="3"/>
  <c r="AF159" i="3"/>
  <c r="AF158" i="3"/>
  <c r="AF157" i="3"/>
  <c r="AF156" i="3"/>
  <c r="AF155" i="3"/>
  <c r="AF154" i="3"/>
  <c r="AF153" i="3"/>
  <c r="AF152" i="3"/>
  <c r="AF151" i="3"/>
  <c r="AF150" i="3"/>
  <c r="AF146" i="3"/>
  <c r="AF149" i="3"/>
  <c r="AF148" i="3"/>
  <c r="AF147" i="3"/>
  <c r="AF145" i="3"/>
  <c r="AF144" i="3"/>
  <c r="AF143" i="3"/>
  <c r="AF142" i="3"/>
  <c r="AF141" i="3"/>
  <c r="AF140" i="3"/>
  <c r="AF139" i="3"/>
  <c r="AF137" i="3"/>
  <c r="AF136" i="3"/>
  <c r="AF135" i="3"/>
  <c r="AF134" i="3"/>
  <c r="AF133" i="3"/>
  <c r="AF129" i="3"/>
  <c r="AF127" i="3"/>
  <c r="AF126" i="3"/>
  <c r="AF125" i="3"/>
  <c r="AF122" i="3"/>
  <c r="AF120" i="3"/>
  <c r="AF119" i="3"/>
  <c r="AF112" i="3"/>
  <c r="AF109" i="3"/>
  <c r="AF108" i="3"/>
  <c r="AF107" i="3"/>
  <c r="AF106" i="3"/>
  <c r="AF104" i="3"/>
  <c r="AF103" i="3"/>
  <c r="AF102" i="3"/>
  <c r="AF100" i="3"/>
  <c r="AF99" i="3"/>
  <c r="AF97" i="3"/>
  <c r="AF96" i="3"/>
  <c r="AF93" i="3"/>
  <c r="AF92" i="3"/>
  <c r="AF90" i="3"/>
  <c r="AF89" i="3"/>
  <c r="AF88" i="3"/>
  <c r="AF86" i="3"/>
  <c r="AF80" i="3"/>
  <c r="AF79" i="3"/>
  <c r="AF76" i="3"/>
  <c r="AF73" i="3"/>
  <c r="AF72" i="3"/>
  <c r="AF71" i="3"/>
  <c r="AF70" i="3"/>
  <c r="AF69" i="3"/>
  <c r="AF68" i="3"/>
  <c r="AF66" i="3"/>
  <c r="AF65" i="3"/>
  <c r="AF64" i="3"/>
  <c r="AF63" i="3"/>
  <c r="AF62" i="3"/>
  <c r="AF59" i="3"/>
  <c r="AF58" i="3"/>
  <c r="AF57" i="3"/>
  <c r="AF47" i="3"/>
  <c r="AF46" i="3"/>
  <c r="AF49" i="3"/>
  <c r="AF50" i="3"/>
  <c r="AF41" i="3"/>
  <c r="AF38" i="3"/>
  <c r="AF37" i="3"/>
  <c r="AF36" i="3"/>
  <c r="AF29" i="3"/>
  <c r="AF24" i="3"/>
  <c r="AF16" i="3"/>
  <c r="AF15" i="3"/>
  <c r="AF7" i="3"/>
  <c r="AF5" i="3"/>
  <c r="AF2" i="3"/>
  <c r="I40" i="9"/>
  <c r="H40" i="9" s="1"/>
  <c r="D40" i="9" s="1"/>
  <c r="G40" i="9"/>
  <c r="C40" i="9" s="1"/>
  <c r="E40" i="9"/>
  <c r="I39" i="9"/>
  <c r="E39" i="9" s="1"/>
  <c r="C39" i="9"/>
  <c r="R20" i="16"/>
  <c r="R21" i="16"/>
  <c r="R22" i="16"/>
  <c r="R23" i="16"/>
  <c r="R24" i="16"/>
  <c r="R25" i="16"/>
  <c r="R26" i="16"/>
  <c r="R27" i="16"/>
  <c r="R28" i="16"/>
  <c r="R29" i="16"/>
  <c r="R19" i="16"/>
  <c r="I60" i="16"/>
  <c r="H50" i="16"/>
  <c r="G42" i="16"/>
  <c r="I59" i="16"/>
  <c r="H49" i="16"/>
  <c r="G41" i="16"/>
  <c r="Q45" i="16"/>
  <c r="P48" i="16"/>
  <c r="O40" i="16"/>
  <c r="I58" i="16"/>
  <c r="H48" i="16"/>
  <c r="G40" i="16"/>
  <c r="E36" i="16"/>
  <c r="E35" i="16"/>
  <c r="Q44" i="16"/>
  <c r="P47" i="16"/>
  <c r="O39" i="16"/>
  <c r="N18" i="16"/>
  <c r="M37" i="16"/>
  <c r="L44" i="16"/>
  <c r="K48" i="16"/>
  <c r="J50" i="16"/>
  <c r="M36" i="16"/>
  <c r="L43" i="16"/>
  <c r="K47" i="16"/>
  <c r="O38" i="16"/>
  <c r="P46" i="16"/>
  <c r="I57" i="16"/>
  <c r="H47" i="16"/>
  <c r="G39" i="16"/>
  <c r="F33" i="16"/>
  <c r="D22" i="16"/>
  <c r="D21" i="16"/>
  <c r="I56" i="16"/>
  <c r="H46" i="16"/>
  <c r="G38" i="16"/>
  <c r="F32" i="16"/>
  <c r="Q43" i="16"/>
  <c r="P45" i="16"/>
  <c r="I55" i="16"/>
  <c r="J48" i="16"/>
  <c r="K46" i="16"/>
  <c r="L42" i="16"/>
  <c r="M35" i="16"/>
  <c r="N17" i="16"/>
  <c r="Q42" i="16"/>
  <c r="O37" i="16"/>
  <c r="P44" i="16"/>
  <c r="Q41" i="16"/>
  <c r="P43" i="16"/>
  <c r="O36" i="16"/>
  <c r="N16" i="16"/>
  <c r="M34" i="16"/>
  <c r="L41" i="16"/>
  <c r="K45" i="16"/>
  <c r="J47" i="16"/>
  <c r="I54" i="16"/>
  <c r="H45" i="16"/>
  <c r="G37" i="16"/>
  <c r="F31" i="16"/>
  <c r="D20" i="16"/>
  <c r="C10" i="16"/>
  <c r="B10" i="16"/>
  <c r="E32" i="16"/>
  <c r="E33" i="16"/>
  <c r="E34" i="16"/>
  <c r="J49" i="16"/>
  <c r="F34" i="16"/>
  <c r="F35" i="16"/>
  <c r="F36" i="16"/>
  <c r="E191" i="3"/>
  <c r="AI207" i="1" s="1"/>
  <c r="AL207" i="1" s="1"/>
  <c r="I52" i="17"/>
  <c r="H52" i="17"/>
  <c r="E181" i="3"/>
  <c r="E187" i="3"/>
  <c r="BN187" i="3" s="1" a="1"/>
  <c r="BN187" i="3" s="1"/>
  <c r="K21" i="17"/>
  <c r="I21" i="17"/>
  <c r="H21" i="17"/>
  <c r="L190" i="3"/>
  <c r="I206" i="1"/>
  <c r="BM206" i="1" s="1"/>
  <c r="F190" i="3"/>
  <c r="CF206" i="1"/>
  <c r="BB191" i="3"/>
  <c r="AY191" i="3"/>
  <c r="AX191" i="3"/>
  <c r="AW191" i="3"/>
  <c r="AP191" i="3"/>
  <c r="AM191" i="3"/>
  <c r="T191" i="3"/>
  <c r="S191" i="3"/>
  <c r="L191" i="3"/>
  <c r="I207" i="1" s="1"/>
  <c r="BM207" i="1" s="1"/>
  <c r="F191" i="3"/>
  <c r="BB190" i="3"/>
  <c r="AY190" i="3"/>
  <c r="AX190" i="3"/>
  <c r="AW190" i="3"/>
  <c r="AP190" i="3"/>
  <c r="AM190" i="3"/>
  <c r="T190" i="3"/>
  <c r="S190" i="3"/>
  <c r="G190" i="3"/>
  <c r="E105" i="3"/>
  <c r="BB188" i="3"/>
  <c r="AY188" i="3"/>
  <c r="AX188" i="3"/>
  <c r="AW188" i="3"/>
  <c r="AP188" i="3"/>
  <c r="AM188" i="3"/>
  <c r="T188" i="3"/>
  <c r="S188" i="3"/>
  <c r="J188" i="3"/>
  <c r="F188" i="3"/>
  <c r="E189" i="3"/>
  <c r="BN189" i="3" s="1" a="1"/>
  <c r="BN189" i="3" s="1"/>
  <c r="BR189" i="3" s="1"/>
  <c r="BB189" i="3"/>
  <c r="AY189" i="3"/>
  <c r="AW189" i="3"/>
  <c r="AP189" i="3"/>
  <c r="AM189" i="3"/>
  <c r="W189" i="3"/>
  <c r="V189" i="3"/>
  <c r="T189" i="3"/>
  <c r="S189" i="3"/>
  <c r="L189" i="3"/>
  <c r="I205" i="1" s="1"/>
  <c r="BM205" i="1" s="1"/>
  <c r="G189" i="3"/>
  <c r="E186" i="3"/>
  <c r="CH202" i="1" s="1"/>
  <c r="BS186" i="3"/>
  <c r="BO186" i="3"/>
  <c r="BK186" i="3"/>
  <c r="BG186" i="3"/>
  <c r="BB186" i="3"/>
  <c r="BA186" i="3"/>
  <c r="AY186" i="3"/>
  <c r="AX186" i="3"/>
  <c r="AW186" i="3"/>
  <c r="AP186" i="3"/>
  <c r="AM186" i="3"/>
  <c r="T186" i="3"/>
  <c r="S186" i="3"/>
  <c r="L186" i="3"/>
  <c r="I202" i="1" s="1"/>
  <c r="J186" i="3"/>
  <c r="G186" i="3"/>
  <c r="F186" i="3"/>
  <c r="AS202" i="1" s="1"/>
  <c r="BS187" i="3"/>
  <c r="BO187" i="3"/>
  <c r="BK187" i="3"/>
  <c r="BG187" i="3"/>
  <c r="BB187" i="3"/>
  <c r="BA187" i="3"/>
  <c r="AY187" i="3"/>
  <c r="AX187" i="3"/>
  <c r="AP187" i="3"/>
  <c r="AM187" i="3"/>
  <c r="U187" i="3"/>
  <c r="AW187" i="3" s="1"/>
  <c r="T187" i="3"/>
  <c r="S187" i="3"/>
  <c r="AR187" i="3" s="1"/>
  <c r="G187" i="3"/>
  <c r="BD187" i="3"/>
  <c r="CJ207" i="1"/>
  <c r="CH207" i="1"/>
  <c r="CF207" i="1"/>
  <c r="CE207" i="1"/>
  <c r="CB207" i="1"/>
  <c r="BY207" i="1"/>
  <c r="BV207" i="1"/>
  <c r="BT207" i="1"/>
  <c r="AW207" i="1" s="1"/>
  <c r="BO207" i="1"/>
  <c r="BJ207" i="1"/>
  <c r="BK207" i="1" s="1"/>
  <c r="BC207" i="1"/>
  <c r="BB207" i="1"/>
  <c r="AY207" i="1"/>
  <c r="AX207" i="1"/>
  <c r="AV207" i="1"/>
  <c r="AS207" i="1"/>
  <c r="AR207" i="1"/>
  <c r="AO207" i="1"/>
  <c r="AC207" i="1"/>
  <c r="P207" i="1"/>
  <c r="N207" i="1"/>
  <c r="A207" i="1"/>
  <c r="A207" i="5" s="1"/>
  <c r="CJ205" i="1"/>
  <c r="BY205" i="1"/>
  <c r="BV205" i="1"/>
  <c r="BT205" i="1"/>
  <c r="AW205" i="1" s="1"/>
  <c r="BO205" i="1"/>
  <c r="BC205" i="1"/>
  <c r="BB205" i="1"/>
  <c r="AY205" i="1"/>
  <c r="AV205" i="1"/>
  <c r="AS205" i="1"/>
  <c r="AR205" i="1"/>
  <c r="AO205" i="1"/>
  <c r="BC189" i="3" s="1"/>
  <c r="AI205" i="1"/>
  <c r="AM205" i="1" s="1"/>
  <c r="AC205" i="1"/>
  <c r="S205" i="1"/>
  <c r="W205" i="1" s="1"/>
  <c r="P205" i="1"/>
  <c r="N205" i="1"/>
  <c r="A205" i="1"/>
  <c r="A205" i="5" s="1"/>
  <c r="CJ206" i="1"/>
  <c r="CI206" i="1"/>
  <c r="CH206" i="1"/>
  <c r="CE206" i="1"/>
  <c r="CC206" i="1"/>
  <c r="CB206" i="1"/>
  <c r="BY206" i="1"/>
  <c r="BV206" i="1"/>
  <c r="BT206" i="1"/>
  <c r="AW206" i="1" s="1"/>
  <c r="BO206" i="1"/>
  <c r="BJ206" i="1"/>
  <c r="BK206" i="1" s="1"/>
  <c r="BI206" i="1"/>
  <c r="BL206" i="1" s="1"/>
  <c r="BC206" i="1"/>
  <c r="BB206" i="1"/>
  <c r="AY206" i="1"/>
  <c r="AX206" i="1"/>
  <c r="AV206" i="1"/>
  <c r="AS206" i="1"/>
  <c r="AR206" i="1"/>
  <c r="AO206" i="1"/>
  <c r="AI206" i="1"/>
  <c r="AM206" i="1" s="1"/>
  <c r="AC206" i="1"/>
  <c r="P206" i="1"/>
  <c r="O206" i="1"/>
  <c r="N206" i="1"/>
  <c r="A206" i="1"/>
  <c r="A206" i="5" s="1"/>
  <c r="CI204" i="1"/>
  <c r="CH204" i="1"/>
  <c r="CE204" i="1"/>
  <c r="CB204" i="1"/>
  <c r="BY204" i="1"/>
  <c r="BV204" i="1"/>
  <c r="BT204" i="1"/>
  <c r="AW204" i="1" s="1"/>
  <c r="BO204" i="1"/>
  <c r="BC204" i="1"/>
  <c r="BB204" i="1"/>
  <c r="AY204" i="1"/>
  <c r="AX204" i="1"/>
  <c r="AV204" i="1"/>
  <c r="AS204" i="1"/>
  <c r="AR204" i="1"/>
  <c r="AO204" i="1"/>
  <c r="AC204" i="1"/>
  <c r="S204" i="1"/>
  <c r="V204" i="1" s="1"/>
  <c r="P204" i="1"/>
  <c r="I204" i="1"/>
  <c r="BM204" i="1" s="1"/>
  <c r="A204" i="1"/>
  <c r="A204" i="5" s="1"/>
  <c r="CJ203" i="1"/>
  <c r="CI203" i="1"/>
  <c r="CH203" i="1"/>
  <c r="CG203" i="1"/>
  <c r="CF203" i="1"/>
  <c r="CE203" i="1"/>
  <c r="CC203" i="1"/>
  <c r="CB203" i="1"/>
  <c r="BY203" i="1"/>
  <c r="BV203" i="1"/>
  <c r="BT203" i="1"/>
  <c r="AW203" i="1" s="1"/>
  <c r="BO203" i="1"/>
  <c r="BM203" i="1"/>
  <c r="BJ203" i="1"/>
  <c r="BI203" i="1"/>
  <c r="BL203" i="1" s="1"/>
  <c r="BC203" i="1"/>
  <c r="BB203" i="1"/>
  <c r="AZ203" i="1"/>
  <c r="AY203" i="1"/>
  <c r="AX203" i="1"/>
  <c r="AV203" i="1"/>
  <c r="AS203" i="1"/>
  <c r="AR203" i="1"/>
  <c r="AO203" i="1"/>
  <c r="AC203" i="1"/>
  <c r="S203" i="1"/>
  <c r="V203" i="1" s="1"/>
  <c r="P203" i="1"/>
  <c r="O203" i="1"/>
  <c r="N203" i="1"/>
  <c r="I203" i="1"/>
  <c r="A203" i="1"/>
  <c r="A203" i="5" s="1"/>
  <c r="BY202" i="1"/>
  <c r="BV202" i="1"/>
  <c r="BT202" i="1"/>
  <c r="AW202" i="1" s="1"/>
  <c r="BM202" i="1"/>
  <c r="BB202" i="1"/>
  <c r="AV202" i="1"/>
  <c r="AR202" i="1"/>
  <c r="AO202" i="1"/>
  <c r="X202" i="1" s="1"/>
  <c r="AA202" i="1" s="1"/>
  <c r="AC202" i="1"/>
  <c r="P202" i="1"/>
  <c r="A202" i="1"/>
  <c r="A202" i="5" s="1"/>
  <c r="I201" i="1"/>
  <c r="P201" i="1"/>
  <c r="X201" i="1"/>
  <c r="Y201" i="1" s="1"/>
  <c r="AC201" i="1"/>
  <c r="AO201" i="1"/>
  <c r="AR201" i="1"/>
  <c r="AS201" i="1"/>
  <c r="AV201" i="1"/>
  <c r="BB201" i="1"/>
  <c r="BM201" i="1"/>
  <c r="BT201" i="1"/>
  <c r="AW201" i="1" s="1"/>
  <c r="BV201" i="1"/>
  <c r="BY201" i="1"/>
  <c r="BZ201" i="1"/>
  <c r="E185" i="3"/>
  <c r="O201" i="1" s="1"/>
  <c r="K66" i="17"/>
  <c r="I66" i="17"/>
  <c r="H66" i="17"/>
  <c r="BS185" i="3"/>
  <c r="BO185" i="3"/>
  <c r="BK185" i="3"/>
  <c r="BG185" i="3"/>
  <c r="BB185" i="3"/>
  <c r="BA185" i="3"/>
  <c r="AX185" i="3"/>
  <c r="AP185" i="3"/>
  <c r="AW185" i="3"/>
  <c r="T185" i="3"/>
  <c r="S185" i="3"/>
  <c r="A201" i="1"/>
  <c r="A201" i="5" s="1"/>
  <c r="B200" i="5"/>
  <c r="C200" i="5"/>
  <c r="B201" i="5"/>
  <c r="C201" i="5"/>
  <c r="B202" i="5"/>
  <c r="C202" i="5"/>
  <c r="B203" i="5"/>
  <c r="C203" i="5"/>
  <c r="B204" i="5"/>
  <c r="C204" i="5"/>
  <c r="B205" i="5"/>
  <c r="C205" i="5"/>
  <c r="B206" i="5"/>
  <c r="C206" i="5"/>
  <c r="B207" i="5"/>
  <c r="C207" i="5"/>
  <c r="AC207" i="5"/>
  <c r="G184" i="3"/>
  <c r="E184" i="3"/>
  <c r="BS184" i="3"/>
  <c r="BO184" i="3"/>
  <c r="BK184" i="3"/>
  <c r="BG184" i="3"/>
  <c r="BB184" i="3"/>
  <c r="BA184" i="3"/>
  <c r="AY184" i="3"/>
  <c r="AX184" i="3"/>
  <c r="AW184" i="3"/>
  <c r="AP184" i="3"/>
  <c r="AM184" i="3"/>
  <c r="T184" i="3"/>
  <c r="S184" i="3"/>
  <c r="L184" i="3"/>
  <c r="I200" i="1" s="1"/>
  <c r="BY200" i="1"/>
  <c r="BV200" i="1"/>
  <c r="BT200" i="1"/>
  <c r="AW200" i="1" s="1"/>
  <c r="BM200" i="1"/>
  <c r="BB200" i="1"/>
  <c r="AV200" i="1"/>
  <c r="AS200" i="1"/>
  <c r="AR200" i="1"/>
  <c r="AO200" i="1"/>
  <c r="AC200" i="1"/>
  <c r="X200" i="1"/>
  <c r="AA200" i="1" s="1"/>
  <c r="P200" i="1"/>
  <c r="A200" i="1"/>
  <c r="A200" i="5" s="1"/>
  <c r="B199" i="5"/>
  <c r="C199" i="5"/>
  <c r="E183" i="3"/>
  <c r="I17" i="17"/>
  <c r="H17" i="17"/>
  <c r="BS183" i="3"/>
  <c r="BO183" i="3"/>
  <c r="BK183" i="3"/>
  <c r="BG183" i="3"/>
  <c r="BB183" i="3"/>
  <c r="BA183" i="3"/>
  <c r="AX183" i="3"/>
  <c r="AW183" i="3"/>
  <c r="AP183" i="3"/>
  <c r="T183" i="3"/>
  <c r="S183" i="3"/>
  <c r="J183" i="3"/>
  <c r="AV199" i="1" s="1"/>
  <c r="F183" i="3"/>
  <c r="AS199" i="1" s="1"/>
  <c r="BY199" i="1"/>
  <c r="BV199" i="1"/>
  <c r="BT199" i="1"/>
  <c r="AW199" i="1" s="1"/>
  <c r="BB199" i="1"/>
  <c r="AR199" i="1"/>
  <c r="AO199" i="1"/>
  <c r="AC199" i="1"/>
  <c r="P199" i="1"/>
  <c r="I199" i="1"/>
  <c r="BM199" i="1" s="1"/>
  <c r="A199" i="1"/>
  <c r="A199" i="5" s="1"/>
  <c r="BJ79" i="1"/>
  <c r="BJ81" i="1"/>
  <c r="BJ91" i="1"/>
  <c r="BJ92" i="1"/>
  <c r="BJ93" i="1"/>
  <c r="BJ94" i="1"/>
  <c r="BJ98" i="1"/>
  <c r="BJ99" i="1"/>
  <c r="BJ100" i="1"/>
  <c r="BJ101" i="1"/>
  <c r="BJ102" i="1"/>
  <c r="BJ109" i="1"/>
  <c r="BJ110" i="1"/>
  <c r="BJ113" i="1"/>
  <c r="BJ114" i="1"/>
  <c r="BJ115" i="1"/>
  <c r="BJ116" i="1"/>
  <c r="BJ117" i="1"/>
  <c r="BJ118" i="1"/>
  <c r="BJ119" i="1"/>
  <c r="BJ120" i="1"/>
  <c r="BJ122" i="1"/>
  <c r="BJ123" i="1"/>
  <c r="BJ128" i="1"/>
  <c r="BJ130" i="1"/>
  <c r="BJ131" i="1"/>
  <c r="BJ133" i="1"/>
  <c r="BJ134" i="1"/>
  <c r="BJ136" i="1"/>
  <c r="BJ137" i="1"/>
  <c r="BJ139" i="1"/>
  <c r="BJ140" i="1"/>
  <c r="BJ141" i="1"/>
  <c r="BJ142" i="1"/>
  <c r="BJ143" i="1"/>
  <c r="BJ144" i="1"/>
  <c r="BJ145" i="1"/>
  <c r="BJ146" i="1"/>
  <c r="BJ147" i="1"/>
  <c r="BJ148" i="1"/>
  <c r="BJ149" i="1"/>
  <c r="BJ150" i="1"/>
  <c r="BJ151" i="1"/>
  <c r="BJ152" i="1"/>
  <c r="BJ153" i="1"/>
  <c r="BJ154" i="1"/>
  <c r="BJ155" i="1"/>
  <c r="BJ156" i="1"/>
  <c r="BJ157" i="1"/>
  <c r="BJ158" i="1"/>
  <c r="BJ159" i="1"/>
  <c r="BJ163" i="1"/>
  <c r="BJ186" i="1"/>
  <c r="BJ196" i="1"/>
  <c r="AN196" i="1" s="1"/>
  <c r="I198" i="1"/>
  <c r="W197" i="5"/>
  <c r="B197" i="5"/>
  <c r="C197" i="5"/>
  <c r="B198" i="5"/>
  <c r="C198" i="5"/>
  <c r="I197" i="1"/>
  <c r="P197" i="1"/>
  <c r="X197" i="1"/>
  <c r="Y197" i="1" s="1"/>
  <c r="AC197" i="1"/>
  <c r="AO197" i="1"/>
  <c r="AR197" i="1"/>
  <c r="AV197" i="1"/>
  <c r="BB197" i="1"/>
  <c r="BM197" i="1"/>
  <c r="BT197" i="1"/>
  <c r="AW197" i="1" s="1"/>
  <c r="BV197" i="1"/>
  <c r="BY197" i="1"/>
  <c r="BZ197" i="1"/>
  <c r="P198" i="1"/>
  <c r="X198" i="1"/>
  <c r="Y198" i="1" s="1"/>
  <c r="AC198" i="1"/>
  <c r="AO198" i="1"/>
  <c r="AR198" i="1"/>
  <c r="AS198" i="1"/>
  <c r="AV198" i="1"/>
  <c r="BB198" i="1"/>
  <c r="BM198" i="1"/>
  <c r="BT198" i="1"/>
  <c r="AW198" i="1" s="1"/>
  <c r="BV198" i="1"/>
  <c r="BY198" i="1"/>
  <c r="BZ198" i="1"/>
  <c r="AM182" i="3"/>
  <c r="AP182" i="3"/>
  <c r="AW182" i="3"/>
  <c r="AX182" i="3"/>
  <c r="AY182" i="3"/>
  <c r="BA182" i="3"/>
  <c r="BB182" i="3"/>
  <c r="BG182" i="3"/>
  <c r="BK182" i="3"/>
  <c r="BO182" i="3"/>
  <c r="BS182" i="3"/>
  <c r="T182" i="3"/>
  <c r="S182" i="3"/>
  <c r="E182" i="3"/>
  <c r="CH198" i="1" s="1"/>
  <c r="I72" i="17"/>
  <c r="A189" i="1"/>
  <c r="A189" i="5" s="1"/>
  <c r="A190" i="1"/>
  <c r="A190" i="5" s="1"/>
  <c r="A191" i="1"/>
  <c r="A191" i="5" s="1"/>
  <c r="A192" i="1"/>
  <c r="A192" i="5" s="1"/>
  <c r="A193" i="1"/>
  <c r="A193" i="5" s="1"/>
  <c r="A194" i="1"/>
  <c r="A194" i="5" s="1"/>
  <c r="A195" i="1"/>
  <c r="A195" i="5" s="1"/>
  <c r="A196" i="1"/>
  <c r="A196" i="5" s="1"/>
  <c r="A197" i="1"/>
  <c r="A198" i="1"/>
  <c r="BS181" i="3"/>
  <c r="BO181" i="3"/>
  <c r="BK181" i="3"/>
  <c r="BG181" i="3"/>
  <c r="BB181" i="3"/>
  <c r="BA181" i="3"/>
  <c r="AY181" i="3"/>
  <c r="AX181" i="3"/>
  <c r="AW181" i="3"/>
  <c r="AP181" i="3"/>
  <c r="AM181" i="3"/>
  <c r="V181" i="3"/>
  <c r="T181" i="3"/>
  <c r="S181" i="3"/>
  <c r="J181" i="3"/>
  <c r="F181" i="3"/>
  <c r="AS197" i="1" s="1"/>
  <c r="B181" i="5"/>
  <c r="C181" i="5"/>
  <c r="B182" i="5"/>
  <c r="C182" i="5"/>
  <c r="B183" i="5"/>
  <c r="C183" i="5"/>
  <c r="B184" i="5"/>
  <c r="C184" i="5"/>
  <c r="B185" i="5"/>
  <c r="C185" i="5"/>
  <c r="B186" i="5"/>
  <c r="C186" i="5"/>
  <c r="B187" i="5"/>
  <c r="C187" i="5"/>
  <c r="B188" i="5"/>
  <c r="C188" i="5"/>
  <c r="B189" i="5"/>
  <c r="C189" i="5"/>
  <c r="B190" i="5"/>
  <c r="C190" i="5"/>
  <c r="B191" i="5"/>
  <c r="C191" i="5"/>
  <c r="B192" i="5"/>
  <c r="C192" i="5"/>
  <c r="B193" i="5"/>
  <c r="C193" i="5"/>
  <c r="B194" i="5"/>
  <c r="C194" i="5"/>
  <c r="B195" i="5"/>
  <c r="C195" i="5"/>
  <c r="B196" i="5"/>
  <c r="X196" i="5" s="1"/>
  <c r="C196" i="5"/>
  <c r="E77" i="3"/>
  <c r="CG77" i="1" s="1"/>
  <c r="E76" i="3"/>
  <c r="BJ76" i="1" s="1"/>
  <c r="CJ196" i="1"/>
  <c r="CI196" i="1"/>
  <c r="CH196" i="1"/>
  <c r="CG196" i="1"/>
  <c r="CF196" i="1"/>
  <c r="CE196" i="1"/>
  <c r="CC196" i="1"/>
  <c r="CB196" i="1"/>
  <c r="BY196" i="1"/>
  <c r="BV196" i="1"/>
  <c r="BT196" i="1"/>
  <c r="AW196" i="1" s="1"/>
  <c r="BO196" i="1"/>
  <c r="BM196" i="1"/>
  <c r="BI196" i="1"/>
  <c r="BL196" i="1" s="1"/>
  <c r="BC196" i="1"/>
  <c r="BB196" i="1"/>
  <c r="AZ196" i="1"/>
  <c r="AY196" i="1"/>
  <c r="AX196" i="1"/>
  <c r="AV196" i="1"/>
  <c r="AS196" i="1"/>
  <c r="AR196" i="1"/>
  <c r="AO196" i="1"/>
  <c r="J196" i="1" s="1"/>
  <c r="AI196" i="1"/>
  <c r="AK196" i="1" s="1"/>
  <c r="AC196" i="1"/>
  <c r="X196" i="1"/>
  <c r="Y196" i="1" s="1"/>
  <c r="S196" i="1"/>
  <c r="W196" i="1" s="1"/>
  <c r="P196" i="1"/>
  <c r="CA196" i="1" s="1"/>
  <c r="O196" i="1"/>
  <c r="N196" i="1"/>
  <c r="BM187" i="1"/>
  <c r="BM188" i="1"/>
  <c r="BM189" i="1"/>
  <c r="BM190" i="1"/>
  <c r="BM192" i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9" i="1"/>
  <c r="BM90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4" i="1"/>
  <c r="BM115" i="1"/>
  <c r="BM116" i="1"/>
  <c r="BM117" i="1"/>
  <c r="BM119" i="1"/>
  <c r="BM120" i="1"/>
  <c r="BM121" i="1"/>
  <c r="BM122" i="1"/>
  <c r="BM123" i="1"/>
  <c r="BM124" i="1"/>
  <c r="BM125" i="1"/>
  <c r="BM126" i="1"/>
  <c r="BM127" i="1"/>
  <c r="BM128" i="1"/>
  <c r="BM129" i="1"/>
  <c r="BM131" i="1"/>
  <c r="BM132" i="1"/>
  <c r="BM133" i="1"/>
  <c r="BM134" i="1"/>
  <c r="BM135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7" i="1"/>
  <c r="BM178" i="1"/>
  <c r="BM179" i="1"/>
  <c r="BM180" i="1"/>
  <c r="BM181" i="1"/>
  <c r="BM182" i="1"/>
  <c r="BM183" i="1"/>
  <c r="BM184" i="1"/>
  <c r="BM185" i="1"/>
  <c r="BY195" i="1"/>
  <c r="BV195" i="1"/>
  <c r="BT195" i="1"/>
  <c r="AW195" i="1" s="1"/>
  <c r="BB195" i="1"/>
  <c r="AV195" i="1"/>
  <c r="AS195" i="1"/>
  <c r="AR195" i="1"/>
  <c r="AO195" i="1"/>
  <c r="AC195" i="1"/>
  <c r="P195" i="1"/>
  <c r="CA195" i="1" s="1"/>
  <c r="I195" i="1"/>
  <c r="BM195" i="1" s="1"/>
  <c r="BY194" i="1"/>
  <c r="BV194" i="1"/>
  <c r="BT194" i="1"/>
  <c r="AW194" i="1" s="1"/>
  <c r="BB194" i="1"/>
  <c r="AV194" i="1"/>
  <c r="AS194" i="1"/>
  <c r="AR194" i="1"/>
  <c r="AO194" i="1"/>
  <c r="AC194" i="1"/>
  <c r="X194" i="1"/>
  <c r="Y194" i="1" s="1"/>
  <c r="P194" i="1"/>
  <c r="CA194" i="1" s="1"/>
  <c r="I194" i="1"/>
  <c r="BM194" i="1" s="1"/>
  <c r="BY193" i="1"/>
  <c r="BV193" i="1"/>
  <c r="BT193" i="1"/>
  <c r="AW193" i="1" s="1"/>
  <c r="BB193" i="1"/>
  <c r="AV193" i="1"/>
  <c r="AS193" i="1"/>
  <c r="AR193" i="1"/>
  <c r="AO193" i="1"/>
  <c r="AC193" i="1"/>
  <c r="X193" i="1"/>
  <c r="AA193" i="1" s="1"/>
  <c r="P193" i="1"/>
  <c r="CA193" i="1" s="1"/>
  <c r="BY192" i="1"/>
  <c r="BV192" i="1"/>
  <c r="BT192" i="1"/>
  <c r="AW192" i="1" s="1"/>
  <c r="BB192" i="1"/>
  <c r="AV192" i="1"/>
  <c r="AS192" i="1"/>
  <c r="AR192" i="1"/>
  <c r="AC192" i="1"/>
  <c r="X192" i="1"/>
  <c r="Y192" i="1" s="1"/>
  <c r="P192" i="1"/>
  <c r="CA192" i="1" s="1"/>
  <c r="I192" i="1"/>
  <c r="BY184" i="1"/>
  <c r="BV184" i="1"/>
  <c r="BT184" i="1"/>
  <c r="AW184" i="1" s="1"/>
  <c r="BB184" i="1"/>
  <c r="AR184" i="1"/>
  <c r="AO184" i="1"/>
  <c r="AC184" i="1"/>
  <c r="X184" i="1"/>
  <c r="Y184" i="1" s="1"/>
  <c r="P184" i="1"/>
  <c r="CA184" i="1" s="1"/>
  <c r="A184" i="1"/>
  <c r="A184" i="5" s="1"/>
  <c r="BY191" i="1"/>
  <c r="BV191" i="1"/>
  <c r="BT191" i="1"/>
  <c r="AW191" i="1" s="1"/>
  <c r="BB191" i="1"/>
  <c r="AR191" i="1"/>
  <c r="AO191" i="1"/>
  <c r="AC191" i="1"/>
  <c r="X191" i="1"/>
  <c r="Y191" i="1" s="1"/>
  <c r="P191" i="1"/>
  <c r="CA191" i="1" s="1"/>
  <c r="BY183" i="1"/>
  <c r="BV183" i="1"/>
  <c r="BT183" i="1"/>
  <c r="AW183" i="1" s="1"/>
  <c r="BB183" i="1"/>
  <c r="AR183" i="1"/>
  <c r="AO183" i="1"/>
  <c r="BD183" i="1" s="1"/>
  <c r="AC183" i="1"/>
  <c r="X183" i="1"/>
  <c r="AB183" i="1" s="1"/>
  <c r="P183" i="1"/>
  <c r="CA183" i="1" s="1"/>
  <c r="A183" i="1"/>
  <c r="BY182" i="1"/>
  <c r="BV182" i="1"/>
  <c r="BT182" i="1"/>
  <c r="AW182" i="1" s="1"/>
  <c r="BB182" i="1"/>
  <c r="AR182" i="1"/>
  <c r="AO182" i="1"/>
  <c r="BD182" i="1" s="1"/>
  <c r="AC182" i="1"/>
  <c r="X182" i="1"/>
  <c r="AA182" i="1" s="1"/>
  <c r="P182" i="1"/>
  <c r="CA182" i="1" s="1"/>
  <c r="A182" i="1"/>
  <c r="BY181" i="1"/>
  <c r="BV181" i="1"/>
  <c r="BT181" i="1"/>
  <c r="AW181" i="1" s="1"/>
  <c r="BB181" i="1"/>
  <c r="AV181" i="1"/>
  <c r="AS181" i="1"/>
  <c r="AR181" i="1"/>
  <c r="AO181" i="1"/>
  <c r="AC181" i="1"/>
  <c r="X181" i="1"/>
  <c r="AA181" i="1" s="1"/>
  <c r="P181" i="1"/>
  <c r="CA181" i="1" s="1"/>
  <c r="I181" i="1"/>
  <c r="A181" i="1"/>
  <c r="A181" i="5" s="1"/>
  <c r="BY190" i="1"/>
  <c r="BV190" i="1"/>
  <c r="BT190" i="1"/>
  <c r="AW190" i="1" s="1"/>
  <c r="BB190" i="1"/>
  <c r="AV190" i="1"/>
  <c r="AS190" i="1"/>
  <c r="AR190" i="1"/>
  <c r="AO190" i="1"/>
  <c r="AC190" i="1"/>
  <c r="X190" i="1"/>
  <c r="AA190" i="1" s="1"/>
  <c r="P190" i="1"/>
  <c r="CA190" i="1" s="1"/>
  <c r="I190" i="1"/>
  <c r="BY189" i="1"/>
  <c r="BV189" i="1"/>
  <c r="BT189" i="1"/>
  <c r="AW189" i="1" s="1"/>
  <c r="BB189" i="1"/>
  <c r="AV189" i="1"/>
  <c r="AS189" i="1"/>
  <c r="AR189" i="1"/>
  <c r="AO189" i="1"/>
  <c r="AC189" i="1"/>
  <c r="X189" i="1"/>
  <c r="Z189" i="1" s="1"/>
  <c r="P189" i="1"/>
  <c r="CA189" i="1" s="1"/>
  <c r="BY188" i="1"/>
  <c r="BV188" i="1"/>
  <c r="BT188" i="1"/>
  <c r="AW188" i="1" s="1"/>
  <c r="BB188" i="1"/>
  <c r="AV188" i="1"/>
  <c r="AS188" i="1"/>
  <c r="AR188" i="1"/>
  <c r="AO188" i="1"/>
  <c r="AC188" i="1"/>
  <c r="P188" i="1"/>
  <c r="CA188" i="1" s="1"/>
  <c r="A188" i="1"/>
  <c r="A188" i="5" s="1"/>
  <c r="BY187" i="1"/>
  <c r="BV187" i="1"/>
  <c r="BT187" i="1"/>
  <c r="AW187" i="1" s="1"/>
  <c r="BB187" i="1"/>
  <c r="AV187" i="1"/>
  <c r="AS187" i="1"/>
  <c r="AR187" i="1"/>
  <c r="AO187" i="1"/>
  <c r="AC187" i="1"/>
  <c r="P187" i="1"/>
  <c r="CA187" i="1" s="1"/>
  <c r="I187" i="1"/>
  <c r="A187" i="1"/>
  <c r="A187" i="5" s="1"/>
  <c r="CJ186" i="1"/>
  <c r="CI186" i="1"/>
  <c r="CH186" i="1"/>
  <c r="CG186" i="1"/>
  <c r="CF186" i="1"/>
  <c r="CE186" i="1"/>
  <c r="CC186" i="1"/>
  <c r="CB186" i="1"/>
  <c r="BY186" i="1"/>
  <c r="BV186" i="1"/>
  <c r="BT186" i="1"/>
  <c r="AW186" i="1" s="1"/>
  <c r="BO186" i="1"/>
  <c r="BI186" i="1"/>
  <c r="BL186" i="1" s="1"/>
  <c r="BC186" i="1"/>
  <c r="BB186" i="1"/>
  <c r="AZ186" i="1"/>
  <c r="AY186" i="1"/>
  <c r="AX186" i="1"/>
  <c r="AR186" i="1"/>
  <c r="AI186" i="1"/>
  <c r="AM186" i="1" s="1"/>
  <c r="AC186" i="1"/>
  <c r="X186" i="1"/>
  <c r="Y186" i="1" s="1"/>
  <c r="S186" i="1"/>
  <c r="W186" i="1" s="1"/>
  <c r="P186" i="1"/>
  <c r="CA186" i="1" s="1"/>
  <c r="I186" i="1"/>
  <c r="BM186" i="1" s="1"/>
  <c r="A186" i="1"/>
  <c r="A186" i="5" s="1"/>
  <c r="BY185" i="1"/>
  <c r="BV185" i="1"/>
  <c r="BT185" i="1"/>
  <c r="AW185" i="1" s="1"/>
  <c r="BB185" i="1"/>
  <c r="AV185" i="1"/>
  <c r="AS185" i="1"/>
  <c r="AR185" i="1"/>
  <c r="AC185" i="1"/>
  <c r="X185" i="1"/>
  <c r="Z185" i="1" s="1"/>
  <c r="P185" i="1"/>
  <c r="CA185" i="1" s="1"/>
  <c r="I185" i="1"/>
  <c r="A185" i="1"/>
  <c r="A185" i="5" s="1"/>
  <c r="Q40" i="16"/>
  <c r="P42" i="16"/>
  <c r="O35" i="16"/>
  <c r="I53" i="16"/>
  <c r="I52" i="16"/>
  <c r="H44" i="16"/>
  <c r="H43" i="16"/>
  <c r="BZ61" i="1"/>
  <c r="BZ48" i="1"/>
  <c r="E138" i="3"/>
  <c r="BJ138" i="1" s="1"/>
  <c r="BW103" i="1"/>
  <c r="BW104" i="1"/>
  <c r="BW105" i="1"/>
  <c r="BW106" i="1"/>
  <c r="BW107" i="1"/>
  <c r="BW108" i="1"/>
  <c r="BW127" i="1"/>
  <c r="B9" i="16"/>
  <c r="C9" i="16"/>
  <c r="D19" i="16"/>
  <c r="Q39" i="16"/>
  <c r="L38" i="16"/>
  <c r="L37" i="16"/>
  <c r="L36" i="16"/>
  <c r="L39" i="16"/>
  <c r="L40" i="16"/>
  <c r="K44" i="16"/>
  <c r="J46" i="16"/>
  <c r="H42" i="16"/>
  <c r="I51" i="16"/>
  <c r="K43" i="16"/>
  <c r="J45" i="16"/>
  <c r="H41" i="16"/>
  <c r="H40" i="16"/>
  <c r="I50" i="16"/>
  <c r="I49" i="16"/>
  <c r="P41" i="16"/>
  <c r="O34" i="16"/>
  <c r="M33" i="16"/>
  <c r="BS180" i="3"/>
  <c r="BO180" i="3"/>
  <c r="BK180" i="3"/>
  <c r="BG180" i="3"/>
  <c r="BB180" i="3"/>
  <c r="BA180" i="3"/>
  <c r="AY180" i="3"/>
  <c r="AX180" i="3"/>
  <c r="AW180" i="3"/>
  <c r="AP180" i="3"/>
  <c r="AM180" i="3"/>
  <c r="T180" i="3"/>
  <c r="S180" i="3"/>
  <c r="L180" i="3"/>
  <c r="G180" i="3"/>
  <c r="G179" i="3"/>
  <c r="BS179" i="3"/>
  <c r="BO179" i="3"/>
  <c r="BK179" i="3"/>
  <c r="BG179" i="3"/>
  <c r="BB179" i="3"/>
  <c r="BA179" i="3"/>
  <c r="AY179" i="3"/>
  <c r="AX179" i="3"/>
  <c r="AW179" i="3"/>
  <c r="AP179" i="3"/>
  <c r="AM179" i="3"/>
  <c r="T179" i="3"/>
  <c r="S179" i="3"/>
  <c r="BS178" i="3"/>
  <c r="BO178" i="3"/>
  <c r="BK178" i="3"/>
  <c r="BG178" i="3"/>
  <c r="BB178" i="3"/>
  <c r="BA178" i="3"/>
  <c r="AY178" i="3"/>
  <c r="AX178" i="3"/>
  <c r="AW178" i="3"/>
  <c r="AP178" i="3"/>
  <c r="AM178" i="3"/>
  <c r="T178" i="3"/>
  <c r="S178" i="3"/>
  <c r="L178" i="3"/>
  <c r="I178" i="1" s="1"/>
  <c r="G177" i="3"/>
  <c r="E177" i="3"/>
  <c r="CC177" i="1" s="1"/>
  <c r="BS177" i="3"/>
  <c r="BO177" i="3"/>
  <c r="BK177" i="3"/>
  <c r="BG177" i="3"/>
  <c r="BB177" i="3"/>
  <c r="BA177" i="3"/>
  <c r="AY177" i="3"/>
  <c r="AX177" i="3"/>
  <c r="AW177" i="3"/>
  <c r="AP177" i="3"/>
  <c r="AM177" i="3"/>
  <c r="T177" i="3"/>
  <c r="S177" i="3"/>
  <c r="L177" i="3"/>
  <c r="C37" i="9"/>
  <c r="D37" i="9"/>
  <c r="E37" i="9"/>
  <c r="C38" i="9"/>
  <c r="D38" i="9"/>
  <c r="E38" i="9"/>
  <c r="BS176" i="3"/>
  <c r="BO176" i="3"/>
  <c r="BK176" i="3"/>
  <c r="BG176" i="3"/>
  <c r="BB176" i="3"/>
  <c r="BA176" i="3"/>
  <c r="AY176" i="3"/>
  <c r="AX176" i="3"/>
  <c r="AW176" i="3"/>
  <c r="AP176" i="3"/>
  <c r="AM176" i="3"/>
  <c r="T176" i="3"/>
  <c r="S176" i="3"/>
  <c r="L176" i="3"/>
  <c r="I176" i="1" s="1"/>
  <c r="BM176" i="1" s="1"/>
  <c r="G176" i="3"/>
  <c r="F176" i="3"/>
  <c r="J176" i="3"/>
  <c r="K42" i="16"/>
  <c r="K41" i="16"/>
  <c r="J44" i="16"/>
  <c r="J43" i="16"/>
  <c r="K40" i="16"/>
  <c r="J42" i="16"/>
  <c r="K39" i="16"/>
  <c r="J41" i="16"/>
  <c r="BS175" i="3"/>
  <c r="BO175" i="3"/>
  <c r="BK175" i="3"/>
  <c r="BG175" i="3"/>
  <c r="BB175" i="3"/>
  <c r="BA175" i="3"/>
  <c r="AY175" i="3"/>
  <c r="AX175" i="3"/>
  <c r="AW175" i="3"/>
  <c r="AP175" i="3"/>
  <c r="AM175" i="3"/>
  <c r="V175" i="3"/>
  <c r="T175" i="3"/>
  <c r="S175" i="3"/>
  <c r="G175" i="3"/>
  <c r="BS174" i="3"/>
  <c r="BO174" i="3"/>
  <c r="BK174" i="3"/>
  <c r="BG174" i="3"/>
  <c r="BB174" i="3"/>
  <c r="BA174" i="3"/>
  <c r="AY174" i="3"/>
  <c r="AX174" i="3"/>
  <c r="AP174" i="3"/>
  <c r="AM174" i="3"/>
  <c r="AW174" i="3"/>
  <c r="T174" i="3"/>
  <c r="S174" i="3"/>
  <c r="G174" i="3"/>
  <c r="E174" i="3"/>
  <c r="CE174" i="1" s="1"/>
  <c r="J174" i="3"/>
  <c r="F174" i="3"/>
  <c r="BS173" i="3"/>
  <c r="BO173" i="3"/>
  <c r="BK173" i="3"/>
  <c r="BG173" i="3"/>
  <c r="BB173" i="3"/>
  <c r="BA173" i="3"/>
  <c r="AY173" i="3"/>
  <c r="AX173" i="3"/>
  <c r="AW173" i="3"/>
  <c r="AP173" i="3"/>
  <c r="AM173" i="3"/>
  <c r="T173" i="3"/>
  <c r="S173" i="3"/>
  <c r="G173" i="3"/>
  <c r="G172" i="3"/>
  <c r="E180" i="3"/>
  <c r="AZ180" i="1" s="1"/>
  <c r="E179" i="3"/>
  <c r="BD179" i="3" s="1"/>
  <c r="E178" i="3"/>
  <c r="BJ178" i="1" s="1"/>
  <c r="E176" i="3"/>
  <c r="BC176" i="1" s="1"/>
  <c r="E175" i="3"/>
  <c r="AQ175" i="3" s="1"/>
  <c r="BF175" i="3" s="1"/>
  <c r="E173" i="3"/>
  <c r="S173" i="1" s="1"/>
  <c r="W173" i="1" s="1"/>
  <c r="E89" i="3"/>
  <c r="CI190" i="1" s="1"/>
  <c r="E172" i="3"/>
  <c r="BJ172" i="1" s="1"/>
  <c r="AN172" i="1" s="1"/>
  <c r="BB172" i="3"/>
  <c r="AY172" i="3"/>
  <c r="AW172" i="3"/>
  <c r="AP172" i="3"/>
  <c r="AM172" i="3"/>
  <c r="W172" i="3"/>
  <c r="V172" i="3"/>
  <c r="T172" i="3"/>
  <c r="S172" i="3"/>
  <c r="BT172" i="1"/>
  <c r="AW172" i="1" s="1"/>
  <c r="A180" i="5"/>
  <c r="B180" i="5"/>
  <c r="C180" i="5"/>
  <c r="A172" i="5"/>
  <c r="B172" i="5"/>
  <c r="C172" i="5"/>
  <c r="A173" i="5"/>
  <c r="B173" i="5"/>
  <c r="C173" i="5"/>
  <c r="A174" i="5"/>
  <c r="B174" i="5"/>
  <c r="C174" i="5"/>
  <c r="A175" i="5"/>
  <c r="B175" i="5"/>
  <c r="C175" i="5"/>
  <c r="A176" i="5"/>
  <c r="B176" i="5"/>
  <c r="C176" i="5"/>
  <c r="A177" i="5"/>
  <c r="B177" i="5"/>
  <c r="C177" i="5"/>
  <c r="A178" i="5"/>
  <c r="B178" i="5"/>
  <c r="C178" i="5"/>
  <c r="A179" i="5"/>
  <c r="B179" i="5"/>
  <c r="C179" i="5"/>
  <c r="I172" i="1"/>
  <c r="P172" i="1"/>
  <c r="CA172" i="1" s="1"/>
  <c r="AC172" i="1"/>
  <c r="AO172" i="1"/>
  <c r="AR172" i="1"/>
  <c r="AS172" i="1"/>
  <c r="AV172" i="1"/>
  <c r="BB172" i="1"/>
  <c r="BV172" i="1"/>
  <c r="BY172" i="1"/>
  <c r="I173" i="1"/>
  <c r="P173" i="1"/>
  <c r="CA173" i="1" s="1"/>
  <c r="AC173" i="1"/>
  <c r="AO173" i="1"/>
  <c r="AR173" i="1"/>
  <c r="AS173" i="1"/>
  <c r="AV173" i="1"/>
  <c r="BB173" i="1"/>
  <c r="BT173" i="1"/>
  <c r="AW173" i="1" s="1"/>
  <c r="BV173" i="1"/>
  <c r="BY173" i="1"/>
  <c r="P174" i="1"/>
  <c r="CA174" i="1" s="1"/>
  <c r="AC174" i="1"/>
  <c r="AO174" i="1"/>
  <c r="AR174" i="1"/>
  <c r="AS174" i="1"/>
  <c r="AV174" i="1"/>
  <c r="BB174" i="1"/>
  <c r="BT174" i="1"/>
  <c r="AW174" i="1" s="1"/>
  <c r="BV174" i="1"/>
  <c r="BY174" i="1"/>
  <c r="I175" i="1"/>
  <c r="P175" i="1"/>
  <c r="CA175" i="1" s="1"/>
  <c r="AC175" i="1"/>
  <c r="AO175" i="1"/>
  <c r="AR175" i="1"/>
  <c r="AS175" i="1"/>
  <c r="AV175" i="1"/>
  <c r="BB175" i="1"/>
  <c r="BT175" i="1"/>
  <c r="AW175" i="1" s="1"/>
  <c r="BV175" i="1"/>
  <c r="BY175" i="1"/>
  <c r="P176" i="1"/>
  <c r="CA176" i="1" s="1"/>
  <c r="AC176" i="1"/>
  <c r="AO176" i="1"/>
  <c r="BE176" i="1" s="1"/>
  <c r="AR176" i="1"/>
  <c r="AS176" i="1"/>
  <c r="AV176" i="1"/>
  <c r="BB176" i="1"/>
  <c r="BT176" i="1"/>
  <c r="AW176" i="1" s="1"/>
  <c r="BV176" i="1"/>
  <c r="BY176" i="1"/>
  <c r="I177" i="1"/>
  <c r="P177" i="1"/>
  <c r="CA177" i="1" s="1"/>
  <c r="AC177" i="1"/>
  <c r="AO177" i="1"/>
  <c r="AR177" i="1"/>
  <c r="AS177" i="1"/>
  <c r="AV177" i="1"/>
  <c r="BB177" i="1"/>
  <c r="BT177" i="1"/>
  <c r="AW177" i="1" s="1"/>
  <c r="BV177" i="1"/>
  <c r="BY177" i="1"/>
  <c r="P178" i="1"/>
  <c r="CA178" i="1" s="1"/>
  <c r="AC178" i="1"/>
  <c r="AO178" i="1"/>
  <c r="AR178" i="1"/>
  <c r="AS178" i="1"/>
  <c r="AV178" i="1"/>
  <c r="BB178" i="1"/>
  <c r="BT178" i="1"/>
  <c r="AW178" i="1" s="1"/>
  <c r="BV178" i="1"/>
  <c r="BY178" i="1"/>
  <c r="I179" i="1"/>
  <c r="P179" i="1"/>
  <c r="CA179" i="1" s="1"/>
  <c r="AC179" i="1"/>
  <c r="AO179" i="1"/>
  <c r="AR179" i="1"/>
  <c r="AS179" i="1"/>
  <c r="AV179" i="1"/>
  <c r="BB179" i="1"/>
  <c r="BT179" i="1"/>
  <c r="AW179" i="1" s="1"/>
  <c r="BV179" i="1"/>
  <c r="BY179" i="1"/>
  <c r="I180" i="1"/>
  <c r="P180" i="1"/>
  <c r="CA180" i="1" s="1"/>
  <c r="AC180" i="1"/>
  <c r="AO180" i="1"/>
  <c r="AR180" i="1"/>
  <c r="AS180" i="1"/>
  <c r="AV180" i="1"/>
  <c r="BB180" i="1"/>
  <c r="BT180" i="1"/>
  <c r="AW180" i="1" s="1"/>
  <c r="BV180" i="1"/>
  <c r="BY180" i="1"/>
  <c r="B171" i="5"/>
  <c r="C171" i="5"/>
  <c r="P171" i="1"/>
  <c r="CA171" i="1" s="1"/>
  <c r="X171" i="1"/>
  <c r="Y171" i="1" s="1"/>
  <c r="AC171" i="1"/>
  <c r="AO171" i="1"/>
  <c r="AR171" i="1"/>
  <c r="AS171" i="1"/>
  <c r="AV171" i="1"/>
  <c r="BB171" i="1"/>
  <c r="BT171" i="1"/>
  <c r="AW171" i="1" s="1"/>
  <c r="BV171" i="1"/>
  <c r="BY171" i="1"/>
  <c r="A171" i="1"/>
  <c r="A171" i="5" s="1"/>
  <c r="BS171" i="3"/>
  <c r="BO171" i="3"/>
  <c r="BK171" i="3"/>
  <c r="BG171" i="3"/>
  <c r="BB171" i="3"/>
  <c r="BA171" i="3"/>
  <c r="AY171" i="3"/>
  <c r="AX171" i="3"/>
  <c r="AW171" i="3"/>
  <c r="AP171" i="3"/>
  <c r="AM171" i="3"/>
  <c r="T171" i="3"/>
  <c r="S171" i="3"/>
  <c r="L171" i="3"/>
  <c r="I171" i="1" s="1"/>
  <c r="E171" i="3"/>
  <c r="BJ171" i="1" s="1"/>
  <c r="AY79" i="1"/>
  <c r="AY81" i="1"/>
  <c r="AY91" i="1"/>
  <c r="AY92" i="1"/>
  <c r="AY93" i="1"/>
  <c r="AY94" i="1"/>
  <c r="AY98" i="1"/>
  <c r="AY99" i="1"/>
  <c r="AY100" i="1"/>
  <c r="AY101" i="1"/>
  <c r="AY102" i="1"/>
  <c r="AY109" i="1"/>
  <c r="AY110" i="1"/>
  <c r="AY113" i="1"/>
  <c r="AY114" i="1"/>
  <c r="AY115" i="1"/>
  <c r="AY116" i="1"/>
  <c r="AY117" i="1"/>
  <c r="AY118" i="1"/>
  <c r="AY119" i="1"/>
  <c r="AY120" i="1"/>
  <c r="AY122" i="1"/>
  <c r="AY123" i="1"/>
  <c r="AY128" i="1"/>
  <c r="AY130" i="1"/>
  <c r="AY131" i="1"/>
  <c r="AY133" i="1"/>
  <c r="AY134" i="1"/>
  <c r="AY136" i="1"/>
  <c r="AY137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3" i="1"/>
  <c r="A167" i="1"/>
  <c r="A168" i="1"/>
  <c r="A168" i="5" s="1"/>
  <c r="A169" i="1"/>
  <c r="A169" i="5" s="1"/>
  <c r="A170" i="1"/>
  <c r="A170" i="5" s="1"/>
  <c r="E170" i="3"/>
  <c r="CI170" i="1" s="1"/>
  <c r="B168" i="5"/>
  <c r="C168" i="5"/>
  <c r="B169" i="5"/>
  <c r="C169" i="5"/>
  <c r="B170" i="5"/>
  <c r="C170" i="5"/>
  <c r="AM168" i="3"/>
  <c r="AP168" i="3"/>
  <c r="AW168" i="3"/>
  <c r="AX168" i="3"/>
  <c r="AY168" i="3"/>
  <c r="BB168" i="3"/>
  <c r="BL168" i="3"/>
  <c r="AM169" i="3"/>
  <c r="AP169" i="3"/>
  <c r="AW169" i="3"/>
  <c r="AX169" i="3"/>
  <c r="AY169" i="3"/>
  <c r="BA169" i="3"/>
  <c r="BB169" i="3"/>
  <c r="BG169" i="3"/>
  <c r="BK169" i="3"/>
  <c r="BO169" i="3"/>
  <c r="BS169" i="3"/>
  <c r="AM170" i="3"/>
  <c r="AP170" i="3"/>
  <c r="AW170" i="3"/>
  <c r="AX170" i="3"/>
  <c r="AY170" i="3"/>
  <c r="BA170" i="3"/>
  <c r="BB170" i="3"/>
  <c r="BG170" i="3"/>
  <c r="BK170" i="3"/>
  <c r="BL170" i="3"/>
  <c r="BO170" i="3"/>
  <c r="BS170" i="3"/>
  <c r="S168" i="3"/>
  <c r="T168" i="3"/>
  <c r="S169" i="3"/>
  <c r="T169" i="3"/>
  <c r="S170" i="3"/>
  <c r="T170" i="3"/>
  <c r="J168" i="3"/>
  <c r="J169" i="3"/>
  <c r="J170" i="3"/>
  <c r="I168" i="1"/>
  <c r="P168" i="1"/>
  <c r="AC168" i="1"/>
  <c r="AO168" i="1"/>
  <c r="AR168" i="1"/>
  <c r="AS168" i="1"/>
  <c r="AV168" i="1"/>
  <c r="BB168" i="1"/>
  <c r="BT168" i="1"/>
  <c r="AW168" i="1" s="1"/>
  <c r="BV168" i="1"/>
  <c r="BY168" i="1"/>
  <c r="I169" i="1"/>
  <c r="P169" i="1"/>
  <c r="AC169" i="1"/>
  <c r="AO169" i="1"/>
  <c r="AR169" i="1"/>
  <c r="AS169" i="1"/>
  <c r="AV169" i="1"/>
  <c r="BB169" i="1"/>
  <c r="BT169" i="1"/>
  <c r="AW169" i="1" s="1"/>
  <c r="BV169" i="1"/>
  <c r="BY169" i="1"/>
  <c r="I170" i="1"/>
  <c r="P170" i="1"/>
  <c r="AC170" i="1"/>
  <c r="AO170" i="1"/>
  <c r="AR170" i="1"/>
  <c r="AS170" i="1"/>
  <c r="AV170" i="1"/>
  <c r="BB170" i="1"/>
  <c r="BT170" i="1"/>
  <c r="AW170" i="1" s="1"/>
  <c r="BV170" i="1"/>
  <c r="BY170" i="1"/>
  <c r="F168" i="3"/>
  <c r="F169" i="3"/>
  <c r="F170" i="3"/>
  <c r="E169" i="3"/>
  <c r="AX169" i="1" s="1"/>
  <c r="E168" i="3"/>
  <c r="AN168" i="3" s="1"/>
  <c r="CG79" i="1"/>
  <c r="CG81" i="1"/>
  <c r="CG91" i="1"/>
  <c r="CG92" i="1"/>
  <c r="CG93" i="1"/>
  <c r="CG94" i="1"/>
  <c r="CG98" i="1"/>
  <c r="CG99" i="1"/>
  <c r="CG100" i="1"/>
  <c r="CG101" i="1"/>
  <c r="CG102" i="1"/>
  <c r="CG109" i="1"/>
  <c r="CG110" i="1"/>
  <c r="CG113" i="1"/>
  <c r="CG114" i="1"/>
  <c r="CG115" i="1"/>
  <c r="CG116" i="1"/>
  <c r="CG117" i="1"/>
  <c r="CG118" i="1"/>
  <c r="CG119" i="1"/>
  <c r="CG120" i="1"/>
  <c r="CG122" i="1"/>
  <c r="CG123" i="1"/>
  <c r="CG128" i="1"/>
  <c r="CG130" i="1"/>
  <c r="CG131" i="1"/>
  <c r="CG133" i="1"/>
  <c r="CG134" i="1"/>
  <c r="CG136" i="1"/>
  <c r="CG137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3" i="1"/>
  <c r="CG206" i="1" l="1"/>
  <c r="O202" i="1"/>
  <c r="CC202" i="1"/>
  <c r="CC207" i="1"/>
  <c r="BE187" i="3"/>
  <c r="CG207" i="1"/>
  <c r="AV188" i="3"/>
  <c r="CJ204" i="1"/>
  <c r="O207" i="1"/>
  <c r="BI207" i="1"/>
  <c r="BL207" i="1" s="1"/>
  <c r="CI207" i="1"/>
  <c r="BC202" i="1"/>
  <c r="E203" i="5"/>
  <c r="W202" i="5"/>
  <c r="N202" i="1"/>
  <c r="BI202" i="1"/>
  <c r="BL202" i="1" s="1"/>
  <c r="CC204" i="1"/>
  <c r="CE205" i="1"/>
  <c r="CH205" i="1"/>
  <c r="CB202" i="1"/>
  <c r="BO188" i="3"/>
  <c r="AX202" i="1"/>
  <c r="CE202" i="1"/>
  <c r="AY202" i="1"/>
  <c r="CF202" i="1"/>
  <c r="AZ202" i="1"/>
  <c r="CG202" i="1"/>
  <c r="BJ205" i="1"/>
  <c r="BK205" i="1" s="1"/>
  <c r="BJ204" i="1"/>
  <c r="CG205" i="1"/>
  <c r="AN189" i="3"/>
  <c r="AO189" i="3" s="1"/>
  <c r="BE188" i="3"/>
  <c r="CI205" i="1"/>
  <c r="BE189" i="3"/>
  <c r="AQ189" i="3"/>
  <c r="BF189" i="3" s="1"/>
  <c r="O205" i="1"/>
  <c r="AT189" i="3" s="1"/>
  <c r="BI205" i="1"/>
  <c r="BL205" i="1" s="1"/>
  <c r="CF205" i="1"/>
  <c r="AC199" i="5"/>
  <c r="X200" i="5"/>
  <c r="AC178" i="5"/>
  <c r="AZ204" i="1"/>
  <c r="CF204" i="1"/>
  <c r="CG204" i="1"/>
  <c r="AN186" i="3"/>
  <c r="AO186" i="3" s="1"/>
  <c r="CB179" i="1"/>
  <c r="AO168" i="3"/>
  <c r="Q170" i="1"/>
  <c r="A39" i="9"/>
  <c r="A40" i="9"/>
  <c r="H39" i="9"/>
  <c r="D39" i="9" s="1"/>
  <c r="N201" i="1"/>
  <c r="J201" i="1"/>
  <c r="BW201" i="1" s="1"/>
  <c r="BO201" i="1"/>
  <c r="BN184" i="3" a="1"/>
  <c r="BN184" i="3" s="1"/>
  <c r="BR184" i="3" s="1"/>
  <c r="BE184" i="3"/>
  <c r="E200" i="5" s="1"/>
  <c r="BN170" i="3" a="1"/>
  <c r="BN170" i="3" s="1"/>
  <c r="BR170" i="3" s="1"/>
  <c r="BE190" i="3"/>
  <c r="AZ201" i="1"/>
  <c r="BI200" i="1"/>
  <c r="BL200" i="1" s="1"/>
  <c r="AQ184" i="3"/>
  <c r="BF184" i="3" s="1"/>
  <c r="AQ185" i="3"/>
  <c r="BF185" i="3" s="1"/>
  <c r="CI201" i="1"/>
  <c r="AY201" i="1"/>
  <c r="N178" i="1"/>
  <c r="CH201" i="1"/>
  <c r="AX201" i="1"/>
  <c r="BO200" i="1"/>
  <c r="CB201" i="1"/>
  <c r="AZ178" i="1"/>
  <c r="CG176" i="1"/>
  <c r="N200" i="1"/>
  <c r="AY178" i="1"/>
  <c r="CF176" i="1"/>
  <c r="CG76" i="1"/>
  <c r="CE199" i="1"/>
  <c r="CB205" i="1"/>
  <c r="BC184" i="3"/>
  <c r="Y205" i="5"/>
  <c r="AX205" i="1"/>
  <c r="CC205" i="1"/>
  <c r="AQ205" i="1" s="1"/>
  <c r="BS205" i="1" s="1"/>
  <c r="AV189" i="3"/>
  <c r="BE191" i="3"/>
  <c r="AX178" i="1"/>
  <c r="W175" i="5"/>
  <c r="BE201" i="1"/>
  <c r="BU201" i="1" s="1"/>
  <c r="CJ176" i="1"/>
  <c r="AI200" i="1"/>
  <c r="S200" i="5" s="1"/>
  <c r="AR185" i="3"/>
  <c r="BH185" i="3" s="1"/>
  <c r="CJ201" i="1"/>
  <c r="BE186" i="3"/>
  <c r="BQ186" i="3" s="1"/>
  <c r="D202" i="5" s="1"/>
  <c r="AZ177" i="1"/>
  <c r="CG200" i="1"/>
  <c r="CG178" i="1"/>
  <c r="CB176" i="1"/>
  <c r="CJ200" i="1"/>
  <c r="BD184" i="3"/>
  <c r="CF201" i="1"/>
  <c r="BI201" i="1"/>
  <c r="BL201" i="1" s="1"/>
  <c r="S201" i="1"/>
  <c r="T201" i="1" s="1"/>
  <c r="CI202" i="1"/>
  <c r="AV186" i="3"/>
  <c r="BO179" i="1"/>
  <c r="CF178" i="1"/>
  <c r="AZ200" i="1"/>
  <c r="CE201" i="1"/>
  <c r="BC201" i="1"/>
  <c r="BO202" i="1"/>
  <c r="BQ202" i="1" s="1"/>
  <c r="BN202" i="1" s="1"/>
  <c r="CJ202" i="1"/>
  <c r="AQ186" i="3"/>
  <c r="BF186" i="3" s="1"/>
  <c r="CH178" i="1"/>
  <c r="AY177" i="1"/>
  <c r="CE176" i="1"/>
  <c r="CI200" i="1"/>
  <c r="CG201" i="1"/>
  <c r="BJ201" i="1"/>
  <c r="AN201" i="1" s="1"/>
  <c r="S202" i="1"/>
  <c r="W202" i="1" s="1"/>
  <c r="BJ202" i="1"/>
  <c r="AN202" i="1" s="1"/>
  <c r="CI174" i="1"/>
  <c r="AR184" i="3"/>
  <c r="V184" i="3" s="1"/>
  <c r="CC201" i="1"/>
  <c r="AN170" i="3"/>
  <c r="AO170" i="3" s="1"/>
  <c r="BO175" i="1"/>
  <c r="AN173" i="3"/>
  <c r="AO173" i="3" s="1"/>
  <c r="O200" i="1"/>
  <c r="AU190" i="3"/>
  <c r="AU191" i="3"/>
  <c r="AT191" i="3"/>
  <c r="AT190" i="3"/>
  <c r="BI191" i="3"/>
  <c r="BQ191" i="3"/>
  <c r="D207" i="5" s="1"/>
  <c r="E207" i="5"/>
  <c r="AU188" i="3"/>
  <c r="AN191" i="3"/>
  <c r="AO191" i="3" s="1"/>
  <c r="BN191" i="3" a="1"/>
  <c r="BN191" i="3" s="1"/>
  <c r="BR191" i="3" s="1"/>
  <c r="AQ191" i="3"/>
  <c r="BF191" i="3" s="1"/>
  <c r="BG191" i="3" s="1"/>
  <c r="BC191" i="3"/>
  <c r="AR191" i="3"/>
  <c r="AD207" i="1" s="1"/>
  <c r="AH207" i="1" s="1"/>
  <c r="BD191" i="3"/>
  <c r="BA191" i="3" s="1"/>
  <c r="BO191" i="3"/>
  <c r="BI190" i="3"/>
  <c r="BQ190" i="3"/>
  <c r="D206" i="5" s="1"/>
  <c r="AN190" i="3"/>
  <c r="AO190" i="3" s="1"/>
  <c r="BN190" i="3" a="1"/>
  <c r="BN190" i="3" s="1"/>
  <c r="BR190" i="3" s="1"/>
  <c r="AQ190" i="3"/>
  <c r="BF190" i="3" s="1"/>
  <c r="BG190" i="3" s="1"/>
  <c r="BC190" i="3"/>
  <c r="AR190" i="3"/>
  <c r="AZ190" i="3" s="1"/>
  <c r="BD190" i="3"/>
  <c r="BA190" i="3" s="1"/>
  <c r="BO190" i="3"/>
  <c r="BI188" i="3"/>
  <c r="F204" i="5" s="1"/>
  <c r="BQ188" i="3"/>
  <c r="D204" i="5" s="1"/>
  <c r="AN188" i="3"/>
  <c r="AO188" i="3" s="1"/>
  <c r="Z204" i="5" s="1"/>
  <c r="AZ188" i="3"/>
  <c r="BN188" i="3" a="1"/>
  <c r="BN188" i="3" s="1"/>
  <c r="BR188" i="3" s="1"/>
  <c r="AQ188" i="3"/>
  <c r="BF188" i="3" s="1"/>
  <c r="BG188" i="3" s="1"/>
  <c r="BS188" i="3" s="1"/>
  <c r="BC188" i="3"/>
  <c r="AR188" i="3"/>
  <c r="BH188" i="3" s="1"/>
  <c r="BD188" i="3"/>
  <c r="BA188" i="3" s="1"/>
  <c r="BI189" i="3"/>
  <c r="F205" i="5" s="1"/>
  <c r="BQ189" i="3"/>
  <c r="D205" i="5" s="1"/>
  <c r="BJ189" i="3"/>
  <c r="Q205" i="1"/>
  <c r="R205" i="1" s="1"/>
  <c r="AX189" i="3"/>
  <c r="AR189" i="3"/>
  <c r="BD189" i="3"/>
  <c r="BM189" i="3" s="1"/>
  <c r="BO189" i="3"/>
  <c r="AU189" i="3"/>
  <c r="BC186" i="3"/>
  <c r="BJ186" i="3" s="1"/>
  <c r="E204" i="5"/>
  <c r="Q206" i="1"/>
  <c r="R206" i="1" s="1"/>
  <c r="AT186" i="3"/>
  <c r="S207" i="5"/>
  <c r="T207" i="5" s="1"/>
  <c r="AN204" i="1"/>
  <c r="BN186" i="3" a="1"/>
  <c r="BN186" i="3" s="1"/>
  <c r="BR186" i="3" s="1"/>
  <c r="AR186" i="3"/>
  <c r="AS186" i="3" s="1"/>
  <c r="BD186" i="3"/>
  <c r="AN203" i="1"/>
  <c r="G205" i="5"/>
  <c r="H205" i="5" s="1"/>
  <c r="BZ203" i="1"/>
  <c r="AT187" i="3"/>
  <c r="AM207" i="1"/>
  <c r="BI187" i="3"/>
  <c r="F203" i="5" s="1"/>
  <c r="BQ187" i="3"/>
  <c r="D203" i="5" s="1"/>
  <c r="BH187" i="3"/>
  <c r="AS187" i="3"/>
  <c r="AZ187" i="3"/>
  <c r="V187" i="3"/>
  <c r="K201" i="5"/>
  <c r="L201" i="5" s="1"/>
  <c r="W204" i="1"/>
  <c r="BQ205" i="1"/>
  <c r="BN205" i="1" s="1"/>
  <c r="BQ203" i="1"/>
  <c r="BN203" i="1" s="1"/>
  <c r="CD201" i="1"/>
  <c r="BZ204" i="1"/>
  <c r="CA204" i="1" s="1"/>
  <c r="BG201" i="1"/>
  <c r="BF201" i="1"/>
  <c r="AQ187" i="3"/>
  <c r="BF187" i="3" s="1"/>
  <c r="BC187" i="3"/>
  <c r="BQ207" i="1"/>
  <c r="BN207" i="1" s="1"/>
  <c r="T204" i="1"/>
  <c r="AQ204" i="1"/>
  <c r="BS204" i="1" s="1"/>
  <c r="U204" i="1"/>
  <c r="AJ206" i="1"/>
  <c r="BZ207" i="1"/>
  <c r="CA207" i="1" s="1"/>
  <c r="BQ204" i="1"/>
  <c r="BN204" i="1" s="1"/>
  <c r="BQ206" i="1"/>
  <c r="BN206" i="1" s="1"/>
  <c r="S205" i="5"/>
  <c r="T205" i="5" s="1"/>
  <c r="CA203" i="1"/>
  <c r="Q204" i="1"/>
  <c r="R204" i="1" s="1"/>
  <c r="BZ205" i="1"/>
  <c r="AB201" i="1"/>
  <c r="AA201" i="1"/>
  <c r="X203" i="1"/>
  <c r="K203" i="5" s="1"/>
  <c r="Z201" i="1"/>
  <c r="BQ201" i="1"/>
  <c r="BN201" i="1" s="1"/>
  <c r="X197" i="5"/>
  <c r="AJ207" i="1"/>
  <c r="AK207" i="1"/>
  <c r="AN207" i="1"/>
  <c r="AK206" i="1"/>
  <c r="AL206" i="1"/>
  <c r="AQ206" i="1"/>
  <c r="BS206" i="1" s="1"/>
  <c r="BE206" i="1"/>
  <c r="AN206" i="1"/>
  <c r="AP206" i="1"/>
  <c r="AB206" i="5" s="1"/>
  <c r="AJ205" i="1"/>
  <c r="AK205" i="1"/>
  <c r="AL205" i="1"/>
  <c r="E205" i="5"/>
  <c r="AN205" i="1"/>
  <c r="AC205" i="5"/>
  <c r="AT185" i="3"/>
  <c r="AP207" i="1"/>
  <c r="AB207" i="5" s="1"/>
  <c r="BE207" i="1"/>
  <c r="Y207" i="5"/>
  <c r="Q207" i="1"/>
  <c r="AQ207" i="1"/>
  <c r="BS207" i="1" s="1"/>
  <c r="BD207" i="1"/>
  <c r="X207" i="5"/>
  <c r="F207" i="5"/>
  <c r="J207" i="1"/>
  <c r="K207" i="1"/>
  <c r="BH207" i="1"/>
  <c r="BD205" i="1"/>
  <c r="T205" i="1"/>
  <c r="BE205" i="1"/>
  <c r="U205" i="1"/>
  <c r="J205" i="1"/>
  <c r="V205" i="1"/>
  <c r="AP205" i="1"/>
  <c r="AB205" i="5" s="1"/>
  <c r="X205" i="5"/>
  <c r="W205" i="5"/>
  <c r="K205" i="1"/>
  <c r="BH205" i="1"/>
  <c r="BZ206" i="1"/>
  <c r="CA206" i="1" s="1"/>
  <c r="BD206" i="1"/>
  <c r="J206" i="1"/>
  <c r="K206" i="1"/>
  <c r="BH206" i="1"/>
  <c r="AP204" i="1"/>
  <c r="AB204" i="5" s="1"/>
  <c r="BD204" i="1"/>
  <c r="BE204" i="1"/>
  <c r="J204" i="1"/>
  <c r="K204" i="1"/>
  <c r="AI204" i="1"/>
  <c r="S204" i="5" s="1"/>
  <c r="BH204" i="1"/>
  <c r="Y204" i="5"/>
  <c r="BK204" i="1"/>
  <c r="W204" i="5"/>
  <c r="X204" i="5"/>
  <c r="T203" i="1"/>
  <c r="AQ203" i="1"/>
  <c r="BS203" i="1" s="1"/>
  <c r="U203" i="1"/>
  <c r="W203" i="1"/>
  <c r="BD203" i="1"/>
  <c r="AP203" i="1"/>
  <c r="AB203" i="5" s="1"/>
  <c r="BE203" i="1"/>
  <c r="J203" i="1"/>
  <c r="K203" i="1"/>
  <c r="BH203" i="1"/>
  <c r="Q203" i="1"/>
  <c r="BK203" i="1"/>
  <c r="AC203" i="5"/>
  <c r="AQ202" i="1"/>
  <c r="BS202" i="1" s="1"/>
  <c r="BK202" i="1"/>
  <c r="AB202" i="1"/>
  <c r="AP202" i="1"/>
  <c r="AB202" i="5" s="1"/>
  <c r="BZ202" i="1"/>
  <c r="K202" i="5"/>
  <c r="L202" i="5" s="1"/>
  <c r="BD202" i="1"/>
  <c r="Q202" i="1"/>
  <c r="BE202" i="1"/>
  <c r="J202" i="1"/>
  <c r="K202" i="1"/>
  <c r="AI202" i="1"/>
  <c r="S202" i="5" s="1"/>
  <c r="BH202" i="1"/>
  <c r="Y202" i="1"/>
  <c r="Z202" i="1"/>
  <c r="AP201" i="1"/>
  <c r="AB201" i="5" s="1"/>
  <c r="BD201" i="1"/>
  <c r="BH201" i="1"/>
  <c r="K201" i="1"/>
  <c r="AS185" i="3"/>
  <c r="CE177" i="1"/>
  <c r="S176" i="1"/>
  <c r="T176" i="1" s="1"/>
  <c r="AY175" i="1"/>
  <c r="CC174" i="1"/>
  <c r="AQ174" i="1" s="1"/>
  <c r="BS174" i="1" s="1"/>
  <c r="AN176" i="3"/>
  <c r="AO176" i="3" s="1"/>
  <c r="Z176" i="5" s="1"/>
  <c r="AY76" i="1"/>
  <c r="CH177" i="1"/>
  <c r="CG177" i="1"/>
  <c r="AX177" i="1"/>
  <c r="W168" i="5"/>
  <c r="CF177" i="1"/>
  <c r="CG174" i="1"/>
  <c r="BC174" i="3"/>
  <c r="CJ168" i="1"/>
  <c r="BE197" i="1"/>
  <c r="CG170" i="1"/>
  <c r="CH168" i="1"/>
  <c r="CE178" i="1"/>
  <c r="CB177" i="1"/>
  <c r="Y177" i="5"/>
  <c r="BN174" i="3" a="1"/>
  <c r="BN174" i="3" s="1"/>
  <c r="CI197" i="1"/>
  <c r="BE183" i="3"/>
  <c r="E199" i="5" s="1"/>
  <c r="J170" i="1"/>
  <c r="BF170" i="1" s="1"/>
  <c r="J178" i="1"/>
  <c r="BF178" i="1" s="1"/>
  <c r="BG178" i="1" s="1"/>
  <c r="K177" i="1"/>
  <c r="O174" i="1"/>
  <c r="J172" i="1"/>
  <c r="BE178" i="3"/>
  <c r="BI178" i="3" s="1"/>
  <c r="F178" i="5" s="1"/>
  <c r="AZ199" i="1"/>
  <c r="J168" i="1"/>
  <c r="BW168" i="1" s="1"/>
  <c r="J180" i="1"/>
  <c r="AI178" i="1"/>
  <c r="AL178" i="1" s="1"/>
  <c r="BO176" i="1"/>
  <c r="BQ176" i="1" s="1"/>
  <c r="BN176" i="1" s="1"/>
  <c r="CI175" i="1"/>
  <c r="J173" i="1"/>
  <c r="AQ178" i="3"/>
  <c r="BF178" i="3" s="1"/>
  <c r="CG175" i="1"/>
  <c r="BC174" i="1"/>
  <c r="CH173" i="1"/>
  <c r="AN174" i="3"/>
  <c r="AO174" i="3" s="1"/>
  <c r="Z174" i="5" s="1"/>
  <c r="CB200" i="1"/>
  <c r="CG180" i="1"/>
  <c r="BO178" i="1"/>
  <c r="BQ178" i="1" s="1"/>
  <c r="BN178" i="1" s="1"/>
  <c r="BO177" i="1"/>
  <c r="BQ177" i="1" s="1"/>
  <c r="BN177" i="1" s="1"/>
  <c r="N177" i="1"/>
  <c r="AX176" i="1"/>
  <c r="CE175" i="1"/>
  <c r="CC173" i="1"/>
  <c r="AQ173" i="1" s="1"/>
  <c r="BS173" i="1" s="1"/>
  <c r="BN173" i="3" a="1"/>
  <c r="BN173" i="3" s="1"/>
  <c r="BE174" i="3"/>
  <c r="E174" i="5" s="1"/>
  <c r="BN175" i="3" a="1"/>
  <c r="BN175" i="3" s="1"/>
  <c r="BR175" i="3" s="1"/>
  <c r="BN177" i="3" a="1"/>
  <c r="BN177" i="3" s="1"/>
  <c r="AX200" i="1"/>
  <c r="CC200" i="1"/>
  <c r="AQ200" i="1" s="1"/>
  <c r="BS200" i="1" s="1"/>
  <c r="AZ171" i="1"/>
  <c r="CF180" i="1"/>
  <c r="AI179" i="1"/>
  <c r="AL179" i="1" s="1"/>
  <c r="O178" i="1"/>
  <c r="AT178" i="3" s="1"/>
  <c r="CB175" i="1"/>
  <c r="AI175" i="1"/>
  <c r="AL175" i="1" s="1"/>
  <c r="AY174" i="1"/>
  <c r="CB173" i="1"/>
  <c r="AQ174" i="3"/>
  <c r="BF174" i="3" s="1"/>
  <c r="AY200" i="1"/>
  <c r="CE200" i="1"/>
  <c r="W200" i="5"/>
  <c r="W199" i="5"/>
  <c r="CF199" i="1"/>
  <c r="J199" i="1"/>
  <c r="AX199" i="1"/>
  <c r="CB199" i="1"/>
  <c r="Y199" i="5"/>
  <c r="BD169" i="1"/>
  <c r="AR179" i="3"/>
  <c r="BH179" i="3" s="1"/>
  <c r="BN179" i="3" a="1"/>
  <c r="BN179" i="3" s="1"/>
  <c r="BR179" i="3" s="1"/>
  <c r="AV182" i="3"/>
  <c r="BI198" i="1"/>
  <c r="BL198" i="1" s="1"/>
  <c r="CB197" i="1"/>
  <c r="AC197" i="5"/>
  <c r="AY199" i="1"/>
  <c r="CC199" i="1"/>
  <c r="AQ199" i="1" s="1"/>
  <c r="BS199" i="1" s="1"/>
  <c r="AV183" i="3"/>
  <c r="X199" i="5"/>
  <c r="BJ200" i="1"/>
  <c r="AN200" i="1" s="1"/>
  <c r="CH200" i="1"/>
  <c r="Y200" i="5"/>
  <c r="BD185" i="3"/>
  <c r="BM185" i="3" s="1"/>
  <c r="AZ185" i="3"/>
  <c r="CJ179" i="1"/>
  <c r="BI179" i="1"/>
  <c r="BL179" i="1" s="1"/>
  <c r="V185" i="3"/>
  <c r="AV185" i="3" s="1"/>
  <c r="BN185" i="3" a="1"/>
  <c r="BN185" i="3" s="1"/>
  <c r="BR185" i="3" s="1"/>
  <c r="AQ179" i="3"/>
  <c r="BF179" i="3" s="1"/>
  <c r="BM179" i="3" s="1"/>
  <c r="CI198" i="1"/>
  <c r="S199" i="1"/>
  <c r="G199" i="5" s="1"/>
  <c r="BI199" i="1"/>
  <c r="BL199" i="1" s="1"/>
  <c r="CH199" i="1"/>
  <c r="J169" i="1"/>
  <c r="CI179" i="1"/>
  <c r="BC179" i="1"/>
  <c r="S179" i="1"/>
  <c r="T179" i="1" s="1"/>
  <c r="X179" i="5"/>
  <c r="CC198" i="1"/>
  <c r="AQ198" i="1" s="1"/>
  <c r="BS198" i="1" s="1"/>
  <c r="J198" i="1"/>
  <c r="AZ198" i="1" s="1"/>
  <c r="O197" i="1"/>
  <c r="BJ199" i="1"/>
  <c r="AN199" i="1" s="1"/>
  <c r="CI199" i="1"/>
  <c r="BE171" i="1"/>
  <c r="BC180" i="1"/>
  <c r="CH179" i="1"/>
  <c r="BE182" i="3"/>
  <c r="BQ182" i="3" s="1"/>
  <c r="D198" i="5" s="1"/>
  <c r="BO197" i="1"/>
  <c r="BQ197" i="1" s="1"/>
  <c r="BN197" i="1" s="1"/>
  <c r="BJ197" i="1"/>
  <c r="AN197" i="1" s="1"/>
  <c r="AI199" i="1"/>
  <c r="AM199" i="1" s="1"/>
  <c r="BO199" i="1"/>
  <c r="BQ199" i="1" s="1"/>
  <c r="BN199" i="1" s="1"/>
  <c r="CJ199" i="1"/>
  <c r="AC200" i="5"/>
  <c r="AN185" i="3"/>
  <c r="CJ198" i="1"/>
  <c r="BC199" i="1"/>
  <c r="CG199" i="1"/>
  <c r="BC170" i="1"/>
  <c r="CG179" i="1"/>
  <c r="AZ179" i="1"/>
  <c r="O179" i="1"/>
  <c r="J190" i="1"/>
  <c r="BD181" i="3"/>
  <c r="AC198" i="5"/>
  <c r="BD183" i="3"/>
  <c r="CE171" i="1"/>
  <c r="CF179" i="1"/>
  <c r="AY179" i="1"/>
  <c r="N179" i="1"/>
  <c r="BI177" i="1"/>
  <c r="BL177" i="1" s="1"/>
  <c r="S177" i="1"/>
  <c r="W177" i="1" s="1"/>
  <c r="AZ173" i="1"/>
  <c r="BE177" i="3"/>
  <c r="BI177" i="3" s="1"/>
  <c r="F177" i="5" s="1"/>
  <c r="S198" i="1"/>
  <c r="W198" i="1" s="1"/>
  <c r="Y198" i="5"/>
  <c r="BN183" i="3" a="1"/>
  <c r="BN183" i="3" s="1"/>
  <c r="BR183" i="3" s="1"/>
  <c r="AZ170" i="1"/>
  <c r="AY169" i="1"/>
  <c r="AQ171" i="3"/>
  <c r="BF171" i="3" s="1"/>
  <c r="CB171" i="1"/>
  <c r="CE179" i="1"/>
  <c r="AX179" i="1"/>
  <c r="CJ177" i="1"/>
  <c r="BC177" i="1"/>
  <c r="CB174" i="1"/>
  <c r="BD174" i="3"/>
  <c r="AY197" i="1"/>
  <c r="X198" i="5"/>
  <c r="CC179" i="1"/>
  <c r="AQ179" i="1" s="1"/>
  <c r="BS179" i="1" s="1"/>
  <c r="CI177" i="1"/>
  <c r="O177" i="1"/>
  <c r="BI176" i="1"/>
  <c r="BL176" i="1" s="1"/>
  <c r="CJ175" i="1"/>
  <c r="AR174" i="3"/>
  <c r="AS174" i="3" s="1"/>
  <c r="CJ197" i="1"/>
  <c r="S200" i="1"/>
  <c r="W200" i="1" s="1"/>
  <c r="BC200" i="1"/>
  <c r="CF200" i="1"/>
  <c r="BE185" i="3"/>
  <c r="BI185" i="3" s="1"/>
  <c r="F201" i="5" s="1"/>
  <c r="BP185" i="3"/>
  <c r="BT185" i="3" s="1"/>
  <c r="AM185" i="3"/>
  <c r="AY185" i="3"/>
  <c r="AI201" i="1" s="1"/>
  <c r="BC185" i="3"/>
  <c r="BJ185" i="3" s="1"/>
  <c r="BQ200" i="1"/>
  <c r="BN200" i="1" s="1"/>
  <c r="Y201" i="5"/>
  <c r="X201" i="5"/>
  <c r="V200" i="5"/>
  <c r="U200" i="5"/>
  <c r="T200" i="5"/>
  <c r="K200" i="5"/>
  <c r="N200" i="5" s="1"/>
  <c r="AC206" i="5"/>
  <c r="E206" i="5"/>
  <c r="F206" i="5"/>
  <c r="Y202" i="5"/>
  <c r="W207" i="5"/>
  <c r="G203" i="5"/>
  <c r="X202" i="5"/>
  <c r="AC201" i="5"/>
  <c r="Y206" i="5"/>
  <c r="X206" i="5"/>
  <c r="W206" i="5"/>
  <c r="Y203" i="5"/>
  <c r="W201" i="5"/>
  <c r="G204" i="5"/>
  <c r="X203" i="5"/>
  <c r="AC202" i="5"/>
  <c r="W203" i="5"/>
  <c r="S206" i="5"/>
  <c r="AC204" i="5"/>
  <c r="AA202" i="5"/>
  <c r="J174" i="1"/>
  <c r="J197" i="1"/>
  <c r="J171" i="1"/>
  <c r="BC179" i="3"/>
  <c r="J179" i="1"/>
  <c r="BI184" i="3"/>
  <c r="F200" i="5" s="1"/>
  <c r="BQ184" i="3"/>
  <c r="D200" i="5" s="1"/>
  <c r="BJ184" i="3"/>
  <c r="BE184" i="1"/>
  <c r="BC175" i="3"/>
  <c r="BJ175" i="3" s="1"/>
  <c r="J175" i="1"/>
  <c r="J177" i="1"/>
  <c r="J176" i="1"/>
  <c r="AB200" i="1"/>
  <c r="AP200" i="1"/>
  <c r="AB200" i="5" s="1"/>
  <c r="BZ200" i="1"/>
  <c r="Q200" i="1"/>
  <c r="BD200" i="1"/>
  <c r="BE200" i="1"/>
  <c r="J200" i="1"/>
  <c r="K200" i="1"/>
  <c r="BH200" i="1"/>
  <c r="Y200" i="1"/>
  <c r="Z200" i="1"/>
  <c r="S172" i="1"/>
  <c r="T172" i="1" s="1"/>
  <c r="CI171" i="1"/>
  <c r="CJ169" i="1"/>
  <c r="CG171" i="1"/>
  <c r="CH176" i="1"/>
  <c r="AY176" i="1"/>
  <c r="N176" i="1"/>
  <c r="BC175" i="1"/>
  <c r="CE173" i="1"/>
  <c r="AX170" i="1"/>
  <c r="BO169" i="1"/>
  <c r="BQ169" i="1" s="1"/>
  <c r="BN169" i="1" s="1"/>
  <c r="CC176" i="1"/>
  <c r="AQ176" i="1" s="1"/>
  <c r="BS176" i="1" s="1"/>
  <c r="K173" i="1"/>
  <c r="AQ173" i="3"/>
  <c r="BF173" i="3" s="1"/>
  <c r="BE179" i="3"/>
  <c r="BI179" i="3" s="1"/>
  <c r="F179" i="5" s="1"/>
  <c r="CG198" i="1"/>
  <c r="BC198" i="1"/>
  <c r="BJ179" i="1"/>
  <c r="BK179" i="1" s="1"/>
  <c r="CF198" i="1"/>
  <c r="BD176" i="3"/>
  <c r="CG138" i="1"/>
  <c r="BI168" i="1"/>
  <c r="BL168" i="1" s="1"/>
  <c r="BN171" i="3" a="1"/>
  <c r="BN171" i="3" s="1"/>
  <c r="BR171" i="3" s="1"/>
  <c r="BO171" i="1"/>
  <c r="BQ171" i="1" s="1"/>
  <c r="BN171" i="1" s="1"/>
  <c r="N171" i="1"/>
  <c r="BO173" i="1"/>
  <c r="BQ173" i="1" s="1"/>
  <c r="BN173" i="1" s="1"/>
  <c r="BE175" i="3"/>
  <c r="BI175" i="3" s="1"/>
  <c r="F175" i="5" s="1"/>
  <c r="AR176" i="3"/>
  <c r="AS176" i="3" s="1"/>
  <c r="CE198" i="1"/>
  <c r="AY198" i="1"/>
  <c r="BJ169" i="1"/>
  <c r="BD171" i="3"/>
  <c r="AY138" i="1"/>
  <c r="BC171" i="1"/>
  <c r="AI176" i="1"/>
  <c r="AJ176" i="1" s="1"/>
  <c r="BC173" i="1"/>
  <c r="O173" i="1"/>
  <c r="AI172" i="1"/>
  <c r="AJ172" i="1" s="1"/>
  <c r="AX168" i="1"/>
  <c r="BE171" i="3"/>
  <c r="BI171" i="3" s="1"/>
  <c r="F171" i="5" s="1"/>
  <c r="CI173" i="1"/>
  <c r="N173" i="1"/>
  <c r="BN176" i="3" a="1"/>
  <c r="BN176" i="3" s="1"/>
  <c r="BR176" i="3" s="1"/>
  <c r="CB198" i="1"/>
  <c r="BE176" i="3"/>
  <c r="BQ176" i="3" s="1"/>
  <c r="D176" i="5" s="1"/>
  <c r="BN182" i="3" a="1"/>
  <c r="BN182" i="3" s="1"/>
  <c r="BR182" i="3" s="1"/>
  <c r="AR182" i="3"/>
  <c r="AS182" i="3" s="1"/>
  <c r="AX171" i="1"/>
  <c r="CG173" i="1"/>
  <c r="AY173" i="1"/>
  <c r="CC172" i="1"/>
  <c r="BZ172" i="1" s="1"/>
  <c r="BD173" i="3"/>
  <c r="CH171" i="1"/>
  <c r="CI176" i="1"/>
  <c r="O176" i="1"/>
  <c r="BI175" i="1"/>
  <c r="BL175" i="1" s="1"/>
  <c r="O175" i="1"/>
  <c r="CF173" i="1"/>
  <c r="AX173" i="1"/>
  <c r="AR173" i="3"/>
  <c r="BH173" i="3" s="1"/>
  <c r="AV176" i="3"/>
  <c r="AQ182" i="3"/>
  <c r="BF182" i="3" s="1"/>
  <c r="AI198" i="1"/>
  <c r="AK198" i="1" s="1"/>
  <c r="AR180" i="3"/>
  <c r="AS180" i="3" s="1"/>
  <c r="BD180" i="3"/>
  <c r="CB190" i="1"/>
  <c r="BD168" i="1"/>
  <c r="AV168" i="3"/>
  <c r="CG168" i="1"/>
  <c r="BJ170" i="1"/>
  <c r="AN170" i="1" s="1"/>
  <c r="CH170" i="1"/>
  <c r="AY170" i="1"/>
  <c r="BI170" i="1"/>
  <c r="CJ170" i="1"/>
  <c r="BD170" i="3"/>
  <c r="AI170" i="1"/>
  <c r="AJ170" i="1" s="1"/>
  <c r="BE170" i="3"/>
  <c r="BQ170" i="3" s="1"/>
  <c r="D170" i="5" s="1"/>
  <c r="BO172" i="1"/>
  <c r="BQ172" i="1" s="1"/>
  <c r="BN172" i="1" s="1"/>
  <c r="AI180" i="1"/>
  <c r="AL180" i="1" s="1"/>
  <c r="CJ180" i="1"/>
  <c r="BO180" i="1"/>
  <c r="BQ180" i="1" s="1"/>
  <c r="BN180" i="1" s="1"/>
  <c r="CB180" i="1"/>
  <c r="AX180" i="1"/>
  <c r="CC180" i="1"/>
  <c r="AQ180" i="1" s="1"/>
  <c r="BS180" i="1" s="1"/>
  <c r="AY180" i="1"/>
  <c r="CE180" i="1"/>
  <c r="BJ180" i="1"/>
  <c r="BK180" i="1" s="1"/>
  <c r="CF170" i="1"/>
  <c r="CE170" i="1"/>
  <c r="AV170" i="3"/>
  <c r="AS168" i="3"/>
  <c r="X168" i="1" s="1"/>
  <c r="BI172" i="1"/>
  <c r="BL172" i="1" s="1"/>
  <c r="CI180" i="1"/>
  <c r="BD172" i="3"/>
  <c r="AN180" i="3"/>
  <c r="AO180" i="3" s="1"/>
  <c r="BN180" i="3" a="1"/>
  <c r="BN180" i="3" s="1"/>
  <c r="BR180" i="3" s="1"/>
  <c r="CF168" i="1"/>
  <c r="CC170" i="1"/>
  <c r="AQ170" i="1" s="1"/>
  <c r="BS170" i="1" s="1"/>
  <c r="AR170" i="3"/>
  <c r="BH170" i="3" s="1"/>
  <c r="BP170" i="3" s="1"/>
  <c r="BT170" i="3" s="1"/>
  <c r="CB170" i="1"/>
  <c r="AQ170" i="3"/>
  <c r="BF170" i="3" s="1"/>
  <c r="CH180" i="1"/>
  <c r="BN172" i="3" a="1"/>
  <c r="BN172" i="3" s="1"/>
  <c r="BR172" i="3" s="1"/>
  <c r="BE180" i="3"/>
  <c r="E180" i="5" s="1"/>
  <c r="AQ180" i="3"/>
  <c r="BF180" i="3" s="1"/>
  <c r="AV180" i="3"/>
  <c r="CB172" i="1"/>
  <c r="AR172" i="3"/>
  <c r="BH172" i="3" s="1"/>
  <c r="BP172" i="3" s="1"/>
  <c r="BT172" i="3" s="1"/>
  <c r="CE172" i="1"/>
  <c r="AQ172" i="3"/>
  <c r="BF172" i="3" s="1"/>
  <c r="AX172" i="1"/>
  <c r="CF172" i="1"/>
  <c r="N172" i="1"/>
  <c r="AY172" i="1"/>
  <c r="CG172" i="1"/>
  <c r="AN172" i="3"/>
  <c r="AO172" i="3" s="1"/>
  <c r="AA172" i="5" s="1"/>
  <c r="O172" i="1"/>
  <c r="CH172" i="1"/>
  <c r="BC172" i="1"/>
  <c r="CI172" i="1"/>
  <c r="AY168" i="1"/>
  <c r="BA168" i="3"/>
  <c r="BO168" i="1"/>
  <c r="BQ168" i="1" s="1"/>
  <c r="BN168" i="1" s="1"/>
  <c r="BD168" i="3"/>
  <c r="AI168" i="1"/>
  <c r="AK168" i="1" s="1"/>
  <c r="CB168" i="1"/>
  <c r="AQ168" i="3"/>
  <c r="S168" i="1" s="1"/>
  <c r="W168" i="1" s="1"/>
  <c r="BN168" i="3" a="1"/>
  <c r="BN168" i="3" s="1"/>
  <c r="CC168" i="1"/>
  <c r="AR168" i="3"/>
  <c r="BH168" i="3" s="1"/>
  <c r="BT168" i="3" s="1"/>
  <c r="BO168" i="3"/>
  <c r="CE168" i="1"/>
  <c r="BJ168" i="1"/>
  <c r="AN168" i="1" s="1"/>
  <c r="BC168" i="1"/>
  <c r="BO190" i="1"/>
  <c r="BQ190" i="1" s="1"/>
  <c r="BN190" i="1" s="1"/>
  <c r="CJ190" i="1"/>
  <c r="BI190" i="1"/>
  <c r="BL190" i="1" s="1"/>
  <c r="S190" i="1"/>
  <c r="W190" i="1" s="1"/>
  <c r="CG89" i="1"/>
  <c r="BJ89" i="1"/>
  <c r="CH190" i="1"/>
  <c r="O190" i="1"/>
  <c r="CG190" i="1"/>
  <c r="AZ190" i="1"/>
  <c r="N190" i="1"/>
  <c r="CF190" i="1"/>
  <c r="AY190" i="1"/>
  <c r="CE190" i="1"/>
  <c r="AX190" i="1"/>
  <c r="CC190" i="1"/>
  <c r="AQ190" i="1" s="1"/>
  <c r="BS190" i="1" s="1"/>
  <c r="AY89" i="1"/>
  <c r="BJ190" i="1"/>
  <c r="BK190" i="1" s="1"/>
  <c r="BO170" i="1"/>
  <c r="BQ170" i="1" s="1"/>
  <c r="BN170" i="1" s="1"/>
  <c r="AZ168" i="1"/>
  <c r="BE168" i="3"/>
  <c r="S180" i="1"/>
  <c r="T180" i="1" s="1"/>
  <c r="CJ172" i="1"/>
  <c r="BE172" i="1"/>
  <c r="AV172" i="3"/>
  <c r="BC190" i="1"/>
  <c r="BJ77" i="1"/>
  <c r="AY77" i="1"/>
  <c r="CI168" i="1"/>
  <c r="BI180" i="1"/>
  <c r="BL180" i="1" s="1"/>
  <c r="CJ171" i="1"/>
  <c r="BI171" i="1"/>
  <c r="BL171" i="1" s="1"/>
  <c r="S171" i="1"/>
  <c r="T171" i="1" s="1"/>
  <c r="CC178" i="1"/>
  <c r="AQ178" i="1" s="1"/>
  <c r="BS178" i="1" s="1"/>
  <c r="CH175" i="1"/>
  <c r="N175" i="1"/>
  <c r="AI174" i="1"/>
  <c r="AL174" i="1" s="1"/>
  <c r="BE173" i="3"/>
  <c r="BI173" i="3" s="1"/>
  <c r="F173" i="5" s="1"/>
  <c r="AV174" i="3"/>
  <c r="AR175" i="3"/>
  <c r="AS175" i="3" s="1"/>
  <c r="BD175" i="3"/>
  <c r="BM175" i="3" s="1"/>
  <c r="AQ176" i="3"/>
  <c r="BF176" i="3" s="1"/>
  <c r="BM176" i="3" s="1"/>
  <c r="AV181" i="3"/>
  <c r="AX198" i="1"/>
  <c r="CH197" i="1"/>
  <c r="AI197" i="1"/>
  <c r="AL197" i="1" s="1"/>
  <c r="BJ177" i="1"/>
  <c r="BZ177" i="1" s="1"/>
  <c r="CB178" i="1"/>
  <c r="BO174" i="1"/>
  <c r="BQ174" i="1" s="1"/>
  <c r="BN174" i="1" s="1"/>
  <c r="BN181" i="3" a="1"/>
  <c r="BN181" i="3" s="1"/>
  <c r="BR181" i="3" s="1"/>
  <c r="CG197" i="1"/>
  <c r="BI197" i="1"/>
  <c r="BL197" i="1" s="1"/>
  <c r="BJ176" i="1"/>
  <c r="BK176" i="1" s="1"/>
  <c r="O171" i="1"/>
  <c r="CF175" i="1"/>
  <c r="AX175" i="1"/>
  <c r="CJ174" i="1"/>
  <c r="BI174" i="1"/>
  <c r="BL174" i="1" s="1"/>
  <c r="W172" i="5"/>
  <c r="BE172" i="3"/>
  <c r="BI172" i="3" s="1"/>
  <c r="F172" i="5" s="1"/>
  <c r="AV175" i="3"/>
  <c r="AR177" i="3"/>
  <c r="AN181" i="3"/>
  <c r="AO181" i="3" s="1"/>
  <c r="Z197" i="5" s="1"/>
  <c r="CF197" i="1"/>
  <c r="BC197" i="1"/>
  <c r="BJ175" i="1"/>
  <c r="BK175" i="1" s="1"/>
  <c r="BD178" i="3"/>
  <c r="BE181" i="3"/>
  <c r="E197" i="5" s="1"/>
  <c r="BD182" i="3"/>
  <c r="AN182" i="3"/>
  <c r="AO182" i="3" s="1"/>
  <c r="Z198" i="5" s="1"/>
  <c r="CE197" i="1"/>
  <c r="S197" i="1"/>
  <c r="BJ174" i="1"/>
  <c r="BK174" i="1" s="1"/>
  <c r="CF171" i="1"/>
  <c r="AY171" i="1"/>
  <c r="BC178" i="3"/>
  <c r="CC175" i="1"/>
  <c r="AQ175" i="1" s="1"/>
  <c r="BS175" i="1" s="1"/>
  <c r="CH174" i="1"/>
  <c r="N174" i="1"/>
  <c r="AN175" i="3"/>
  <c r="AO175" i="3" s="1"/>
  <c r="AR178" i="3"/>
  <c r="BH178" i="3" s="1"/>
  <c r="AR181" i="3"/>
  <c r="BH181" i="3" s="1"/>
  <c r="BP181" i="3" s="1"/>
  <c r="BT181" i="3" s="1"/>
  <c r="BC182" i="3"/>
  <c r="K198" i="1"/>
  <c r="CC197" i="1"/>
  <c r="AZ197" i="1"/>
  <c r="W198" i="5"/>
  <c r="BJ198" i="1"/>
  <c r="AN198" i="1" s="1"/>
  <c r="BJ173" i="1"/>
  <c r="BK173" i="1" s="1"/>
  <c r="AR171" i="3"/>
  <c r="BH171" i="3" s="1"/>
  <c r="CC171" i="1"/>
  <c r="BZ171" i="1" s="1"/>
  <c r="Y171" i="5"/>
  <c r="BC180" i="3"/>
  <c r="CJ178" i="1"/>
  <c r="BI178" i="1"/>
  <c r="BL178" i="1" s="1"/>
  <c r="CF174" i="1"/>
  <c r="AX174" i="1"/>
  <c r="CJ173" i="1"/>
  <c r="BI173" i="1"/>
  <c r="BL173" i="1" s="1"/>
  <c r="BN178" i="3" a="1"/>
  <c r="BN178" i="3" s="1"/>
  <c r="BR178" i="3" s="1"/>
  <c r="BO198" i="1"/>
  <c r="BQ198" i="1" s="1"/>
  <c r="BN198" i="1" s="1"/>
  <c r="AX197" i="1"/>
  <c r="N197" i="1"/>
  <c r="Y197" i="5"/>
  <c r="CI178" i="1"/>
  <c r="BC178" i="1"/>
  <c r="S178" i="1"/>
  <c r="AZ182" i="3"/>
  <c r="AM183" i="3"/>
  <c r="AY183" i="3"/>
  <c r="Q199" i="1" s="1"/>
  <c r="AN183" i="3"/>
  <c r="AQ183" i="3"/>
  <c r="BF183" i="3" s="1"/>
  <c r="BC183" i="3"/>
  <c r="AR183" i="3"/>
  <c r="AB197" i="1"/>
  <c r="AU183" i="3"/>
  <c r="A198" i="5"/>
  <c r="BE198" i="1"/>
  <c r="BD197" i="1"/>
  <c r="BD198" i="1"/>
  <c r="X199" i="1"/>
  <c r="K199" i="5" s="1"/>
  <c r="M199" i="5" s="1"/>
  <c r="Z198" i="1"/>
  <c r="AA197" i="1"/>
  <c r="K197" i="5"/>
  <c r="M197" i="5" s="1"/>
  <c r="Z197" i="1"/>
  <c r="K198" i="5"/>
  <c r="L198" i="5" s="1"/>
  <c r="A197" i="5"/>
  <c r="AP199" i="1"/>
  <c r="AB199" i="5" s="1"/>
  <c r="BZ199" i="1"/>
  <c r="BD199" i="1"/>
  <c r="BE199" i="1"/>
  <c r="K199" i="1"/>
  <c r="BH199" i="1"/>
  <c r="AA198" i="1"/>
  <c r="AP197" i="1"/>
  <c r="AB197" i="5" s="1"/>
  <c r="Q197" i="1"/>
  <c r="AP198" i="1"/>
  <c r="AB198" i="5" s="1"/>
  <c r="Q198" i="1"/>
  <c r="AB198" i="1"/>
  <c r="BH197" i="1"/>
  <c r="K197" i="1"/>
  <c r="AU182" i="3"/>
  <c r="BH198" i="1"/>
  <c r="AQ181" i="3"/>
  <c r="BF181" i="3" s="1"/>
  <c r="BC181" i="3"/>
  <c r="AU181" i="3"/>
  <c r="AC196" i="5"/>
  <c r="W196" i="5"/>
  <c r="K196" i="5"/>
  <c r="L196" i="5" s="1"/>
  <c r="K184" i="5"/>
  <c r="M184" i="5" s="1"/>
  <c r="G196" i="5"/>
  <c r="H196" i="5" s="1"/>
  <c r="A183" i="5"/>
  <c r="K194" i="5"/>
  <c r="N194" i="5" s="1"/>
  <c r="K190" i="5"/>
  <c r="M190" i="5" s="1"/>
  <c r="K193" i="5"/>
  <c r="M193" i="5" s="1"/>
  <c r="K185" i="5"/>
  <c r="L185" i="5" s="1"/>
  <c r="BQ196" i="1"/>
  <c r="BN196" i="1" s="1"/>
  <c r="K191" i="5"/>
  <c r="L191" i="5" s="1"/>
  <c r="K189" i="5"/>
  <c r="L189" i="5" s="1"/>
  <c r="S186" i="5"/>
  <c r="T186" i="5" s="1"/>
  <c r="K181" i="5"/>
  <c r="M181" i="5" s="1"/>
  <c r="K186" i="5"/>
  <c r="N186" i="5" s="1"/>
  <c r="K182" i="5"/>
  <c r="M182" i="5" s="1"/>
  <c r="K192" i="5"/>
  <c r="M192" i="5" s="1"/>
  <c r="K183" i="5"/>
  <c r="N183" i="5" s="1"/>
  <c r="S196" i="5"/>
  <c r="T196" i="5" s="1"/>
  <c r="G186" i="5"/>
  <c r="A182" i="5"/>
  <c r="Y190" i="5"/>
  <c r="Y196" i="5"/>
  <c r="X190" i="5"/>
  <c r="W190" i="5"/>
  <c r="AC186" i="5"/>
  <c r="AC190" i="5"/>
  <c r="BZ196" i="1"/>
  <c r="AB192" i="1"/>
  <c r="AA194" i="1"/>
  <c r="BK196" i="1"/>
  <c r="AA192" i="1"/>
  <c r="AB194" i="1"/>
  <c r="Z193" i="1"/>
  <c r="Z196" i="1"/>
  <c r="AB193" i="1"/>
  <c r="Z194" i="1"/>
  <c r="AA196" i="1"/>
  <c r="AB196" i="1"/>
  <c r="Z192" i="1"/>
  <c r="AJ196" i="1"/>
  <c r="AL196" i="1"/>
  <c r="AM196" i="1"/>
  <c r="AP196" i="1"/>
  <c r="AB196" i="5" s="1"/>
  <c r="AQ196" i="1"/>
  <c r="BS196" i="1" s="1"/>
  <c r="BD196" i="1"/>
  <c r="T196" i="1"/>
  <c r="BE196" i="1"/>
  <c r="U196" i="1"/>
  <c r="V196" i="1"/>
  <c r="K196" i="1"/>
  <c r="BH196" i="1"/>
  <c r="BD193" i="1"/>
  <c r="BE193" i="1"/>
  <c r="Y193" i="1"/>
  <c r="W177" i="5"/>
  <c r="AB186" i="1"/>
  <c r="AB189" i="1"/>
  <c r="AB185" i="1"/>
  <c r="AL186" i="1"/>
  <c r="Z184" i="1"/>
  <c r="AB184" i="1"/>
  <c r="X172" i="5"/>
  <c r="Y181" i="1"/>
  <c r="Y179" i="5"/>
  <c r="AB182" i="1"/>
  <c r="AA186" i="1"/>
  <c r="AA189" i="1"/>
  <c r="AB190" i="1"/>
  <c r="AB181" i="1"/>
  <c r="Z168" i="5"/>
  <c r="AC172" i="5"/>
  <c r="AJ186" i="1"/>
  <c r="BE183" i="1"/>
  <c r="Y172" i="5"/>
  <c r="AK186" i="1"/>
  <c r="Z191" i="1"/>
  <c r="AA191" i="1"/>
  <c r="AA184" i="1"/>
  <c r="BE182" i="1"/>
  <c r="AB191" i="1"/>
  <c r="Y168" i="5"/>
  <c r="W171" i="5"/>
  <c r="X168" i="5"/>
  <c r="BD189" i="1"/>
  <c r="AA185" i="1"/>
  <c r="Z186" i="1"/>
  <c r="BD184" i="1"/>
  <c r="Y183" i="1"/>
  <c r="Z183" i="1"/>
  <c r="Y182" i="1"/>
  <c r="AA183" i="1"/>
  <c r="Z182" i="1"/>
  <c r="Z181" i="1"/>
  <c r="BQ186" i="1"/>
  <c r="BN186" i="1" s="1"/>
  <c r="BD190" i="1"/>
  <c r="K190" i="1"/>
  <c r="BH190" i="1"/>
  <c r="Y190" i="1"/>
  <c r="AP190" i="1"/>
  <c r="AB190" i="5" s="1"/>
  <c r="BE190" i="1"/>
  <c r="Z190" i="1"/>
  <c r="BE189" i="1"/>
  <c r="Y189" i="1"/>
  <c r="T186" i="1"/>
  <c r="U186" i="1"/>
  <c r="V186" i="1"/>
  <c r="Y185" i="1"/>
  <c r="AU180" i="3"/>
  <c r="Q180" i="1"/>
  <c r="R180" i="1" s="1"/>
  <c r="AU179" i="3"/>
  <c r="AU178" i="3"/>
  <c r="BK178" i="1"/>
  <c r="Q179" i="1"/>
  <c r="R179" i="1" s="1"/>
  <c r="Q178" i="1"/>
  <c r="R178" i="1" s="1"/>
  <c r="BK171" i="1"/>
  <c r="BK172" i="1"/>
  <c r="BC176" i="3"/>
  <c r="AQ177" i="3"/>
  <c r="BF177" i="3" s="1"/>
  <c r="BC177" i="3"/>
  <c r="BD177" i="3"/>
  <c r="AU176" i="3"/>
  <c r="AU177" i="3"/>
  <c r="AU174" i="3"/>
  <c r="S175" i="1"/>
  <c r="T175" i="1" s="1"/>
  <c r="AU175" i="3"/>
  <c r="Q175" i="1"/>
  <c r="R175" i="1" s="1"/>
  <c r="Q174" i="1"/>
  <c r="R174" i="1" s="1"/>
  <c r="AU173" i="3"/>
  <c r="BC173" i="3"/>
  <c r="AU172" i="3"/>
  <c r="BC172" i="3"/>
  <c r="AX172" i="3"/>
  <c r="BA172" i="3"/>
  <c r="BO172" i="3"/>
  <c r="AS172" i="3"/>
  <c r="BQ175" i="1"/>
  <c r="BN175" i="1" s="1"/>
  <c r="X174" i="1"/>
  <c r="Z174" i="1" s="1"/>
  <c r="AC180" i="5"/>
  <c r="Y178" i="5"/>
  <c r="X178" i="5"/>
  <c r="AC173" i="5"/>
  <c r="X175" i="1"/>
  <c r="AA175" i="1" s="1"/>
  <c r="W178" i="5"/>
  <c r="G173" i="5"/>
  <c r="H173" i="5" s="1"/>
  <c r="Y180" i="5"/>
  <c r="AC176" i="5"/>
  <c r="Y173" i="5"/>
  <c r="X180" i="5"/>
  <c r="AC177" i="5"/>
  <c r="Y175" i="5"/>
  <c r="X173" i="5"/>
  <c r="W180" i="5"/>
  <c r="W173" i="5"/>
  <c r="X177" i="1"/>
  <c r="AA177" i="1" s="1"/>
  <c r="Z171" i="1"/>
  <c r="X177" i="5"/>
  <c r="Y174" i="5"/>
  <c r="X174" i="5"/>
  <c r="Y176" i="5"/>
  <c r="W174" i="5"/>
  <c r="W179" i="5"/>
  <c r="X176" i="5"/>
  <c r="AC175" i="5"/>
  <c r="W176" i="5"/>
  <c r="AC179" i="5"/>
  <c r="X175" i="5"/>
  <c r="AC174" i="5"/>
  <c r="X179" i="1"/>
  <c r="AA179" i="1" s="1"/>
  <c r="X178" i="1"/>
  <c r="X176" i="1"/>
  <c r="Z176" i="1" s="1"/>
  <c r="X180" i="1"/>
  <c r="Z180" i="1" s="1"/>
  <c r="K180" i="1"/>
  <c r="AP180" i="1"/>
  <c r="AB180" i="5" s="1"/>
  <c r="BH180" i="1"/>
  <c r="BD179" i="1"/>
  <c r="K179" i="1"/>
  <c r="BH179" i="1"/>
  <c r="BE179" i="1"/>
  <c r="AP179" i="1"/>
  <c r="AB179" i="5" s="1"/>
  <c r="BE178" i="1"/>
  <c r="BD178" i="1"/>
  <c r="AN178" i="1"/>
  <c r="AP178" i="1"/>
  <c r="AB178" i="5" s="1"/>
  <c r="AP177" i="1"/>
  <c r="AB177" i="5" s="1"/>
  <c r="BD177" i="1"/>
  <c r="AP176" i="1"/>
  <c r="AB176" i="5" s="1"/>
  <c r="K175" i="1"/>
  <c r="BH175" i="1"/>
  <c r="BE175" i="1"/>
  <c r="BD175" i="1"/>
  <c r="AP175" i="1"/>
  <c r="AB175" i="5" s="1"/>
  <c r="BE174" i="1"/>
  <c r="BD174" i="1"/>
  <c r="BD173" i="1"/>
  <c r="U173" i="1"/>
  <c r="AP172" i="1"/>
  <c r="AB172" i="5" s="1"/>
  <c r="BQ179" i="1"/>
  <c r="BN179" i="1" s="1"/>
  <c r="BE180" i="1"/>
  <c r="BD180" i="1"/>
  <c r="BD176" i="1"/>
  <c r="V173" i="1"/>
  <c r="BD172" i="1"/>
  <c r="BH178" i="1"/>
  <c r="K178" i="1"/>
  <c r="BE177" i="1"/>
  <c r="Q176" i="1"/>
  <c r="BH174" i="1"/>
  <c r="K174" i="1"/>
  <c r="BE173" i="1"/>
  <c r="T173" i="1"/>
  <c r="Q172" i="1"/>
  <c r="AP173" i="1"/>
  <c r="AB173" i="5" s="1"/>
  <c r="Q177" i="1"/>
  <c r="Q173" i="1"/>
  <c r="AP174" i="1"/>
  <c r="AB174" i="5" s="1"/>
  <c r="BH176" i="1"/>
  <c r="K176" i="1"/>
  <c r="BH172" i="1"/>
  <c r="K172" i="1"/>
  <c r="X173" i="1"/>
  <c r="K173" i="5" s="1"/>
  <c r="AQ177" i="1"/>
  <c r="BS177" i="1" s="1"/>
  <c r="BH177" i="1"/>
  <c r="BH173" i="1"/>
  <c r="AA171" i="1"/>
  <c r="X171" i="5"/>
  <c r="K171" i="5"/>
  <c r="M171" i="5" s="1"/>
  <c r="AN171" i="1"/>
  <c r="AC171" i="5"/>
  <c r="BD171" i="1"/>
  <c r="Q171" i="1"/>
  <c r="AB171" i="1"/>
  <c r="AU171" i="3"/>
  <c r="BC171" i="3"/>
  <c r="AP171" i="1"/>
  <c r="AB171" i="5" s="1"/>
  <c r="BH171" i="1"/>
  <c r="K171" i="1"/>
  <c r="AA168" i="5"/>
  <c r="BE170" i="1"/>
  <c r="BD170" i="1"/>
  <c r="BE169" i="1"/>
  <c r="BE168" i="1"/>
  <c r="AC168" i="5"/>
  <c r="AP170" i="1"/>
  <c r="AB170" i="5" s="1"/>
  <c r="BC170" i="3"/>
  <c r="AU170" i="3"/>
  <c r="AU169" i="3"/>
  <c r="BC168" i="3"/>
  <c r="AP168" i="1"/>
  <c r="AB168" i="5" s="1"/>
  <c r="AU168" i="3"/>
  <c r="AA170" i="5"/>
  <c r="AZ170" i="3"/>
  <c r="CI169" i="1"/>
  <c r="AP169" i="1"/>
  <c r="AB169" i="5" s="1"/>
  <c r="BN169" i="3" a="1"/>
  <c r="BN169" i="3" s="1"/>
  <c r="AV169" i="3"/>
  <c r="CH169" i="1"/>
  <c r="K169" i="1"/>
  <c r="CG169" i="1"/>
  <c r="BI169" i="1"/>
  <c r="BL169" i="1" s="1"/>
  <c r="AR169" i="3"/>
  <c r="AS169" i="3" s="1"/>
  <c r="CF169" i="1"/>
  <c r="BC169" i="1"/>
  <c r="AQ169" i="3"/>
  <c r="BF169" i="3" s="1"/>
  <c r="CE169" i="1"/>
  <c r="BE169" i="3"/>
  <c r="BI169" i="3" s="1"/>
  <c r="F169" i="5" s="1"/>
  <c r="CC169" i="1"/>
  <c r="AQ169" i="1" s="1"/>
  <c r="BS169" i="1" s="1"/>
  <c r="AZ169" i="1"/>
  <c r="S169" i="1"/>
  <c r="T169" i="1" s="1"/>
  <c r="BD169" i="3"/>
  <c r="AN169" i="3"/>
  <c r="AO169" i="3" s="1"/>
  <c r="CB169" i="1"/>
  <c r="BC169" i="3"/>
  <c r="AZ169" i="3"/>
  <c r="Z170" i="5"/>
  <c r="Y170" i="5"/>
  <c r="X170" i="5"/>
  <c r="AC169" i="5"/>
  <c r="W170" i="5"/>
  <c r="Y169" i="5"/>
  <c r="X169" i="5"/>
  <c r="W169" i="5"/>
  <c r="AC170" i="5"/>
  <c r="R170" i="1"/>
  <c r="BH170" i="1"/>
  <c r="K170" i="1"/>
  <c r="Q168" i="1"/>
  <c r="X170" i="1"/>
  <c r="K170" i="5" s="1"/>
  <c r="L170" i="5" s="1"/>
  <c r="Q169" i="1"/>
  <c r="S170" i="1"/>
  <c r="G170" i="5" s="1"/>
  <c r="BH168" i="1"/>
  <c r="K168" i="1"/>
  <c r="X169" i="1"/>
  <c r="K169" i="5" s="1"/>
  <c r="BH169" i="1"/>
  <c r="AM167" i="3"/>
  <c r="BM178" i="3" l="1"/>
  <c r="AA176" i="5"/>
  <c r="E202" i="5"/>
  <c r="BI186" i="3"/>
  <c r="F202" i="5" s="1"/>
  <c r="AD201" i="1"/>
  <c r="O201" i="5" s="1"/>
  <c r="P201" i="5" s="1"/>
  <c r="AJ200" i="1"/>
  <c r="AL200" i="1"/>
  <c r="BK188" i="3"/>
  <c r="AM200" i="1"/>
  <c r="V201" i="1"/>
  <c r="G201" i="5"/>
  <c r="H201" i="5" s="1"/>
  <c r="AK200" i="1"/>
  <c r="U201" i="1"/>
  <c r="W201" i="1"/>
  <c r="BP201" i="1" a="1"/>
  <c r="BP201" i="1" s="1"/>
  <c r="E171" i="5"/>
  <c r="BH176" i="3"/>
  <c r="BK201" i="1"/>
  <c r="CA205" i="1"/>
  <c r="BM184" i="3"/>
  <c r="BM186" i="3"/>
  <c r="E178" i="5"/>
  <c r="AA174" i="5"/>
  <c r="BQ174" i="3"/>
  <c r="D174" i="5" s="1"/>
  <c r="BH174" i="3"/>
  <c r="BQ178" i="3"/>
  <c r="D178" i="5" s="1"/>
  <c r="AD170" i="1"/>
  <c r="AE170" i="1" s="1"/>
  <c r="AD174" i="1"/>
  <c r="BM170" i="3"/>
  <c r="CA201" i="1"/>
  <c r="G202" i="5"/>
  <c r="H202" i="5" s="1"/>
  <c r="AZ176" i="3"/>
  <c r="U202" i="1"/>
  <c r="BM173" i="3"/>
  <c r="V179" i="3"/>
  <c r="AV179" i="3" s="1"/>
  <c r="AD179" i="1" s="1"/>
  <c r="AF179" i="1" s="1"/>
  <c r="BR173" i="3"/>
  <c r="BM172" i="3"/>
  <c r="BI174" i="3"/>
  <c r="F174" i="5" s="1"/>
  <c r="AZ179" i="3"/>
  <c r="BL179" i="3" s="1"/>
  <c r="AZ174" i="3"/>
  <c r="AS179" i="3"/>
  <c r="V202" i="1"/>
  <c r="T202" i="1"/>
  <c r="BM180" i="3"/>
  <c r="BQ171" i="3"/>
  <c r="D171" i="5" s="1"/>
  <c r="AZ184" i="3"/>
  <c r="BJ178" i="3"/>
  <c r="AS184" i="3"/>
  <c r="AI203" i="1"/>
  <c r="S203" i="5" s="1"/>
  <c r="BH184" i="3"/>
  <c r="BP184" i="3" s="1"/>
  <c r="BT184" i="3" s="1"/>
  <c r="CA202" i="1"/>
  <c r="AD199" i="1"/>
  <c r="AG199" i="1" s="1"/>
  <c r="E177" i="5"/>
  <c r="BM174" i="3"/>
  <c r="BQ177" i="3"/>
  <c r="D177" i="5" s="1"/>
  <c r="AQ201" i="1"/>
  <c r="BS201" i="1" s="1"/>
  <c r="E173" i="5"/>
  <c r="E170" i="5"/>
  <c r="AD176" i="1"/>
  <c r="AG176" i="1" s="1"/>
  <c r="BJ179" i="3"/>
  <c r="BL185" i="3"/>
  <c r="BK191" i="3"/>
  <c r="AZ191" i="3"/>
  <c r="S207" i="1"/>
  <c r="W207" i="1" s="1"/>
  <c r="AS191" i="3"/>
  <c r="X207" i="1" s="1"/>
  <c r="K207" i="5" s="1"/>
  <c r="BS191" i="3"/>
  <c r="BK190" i="3"/>
  <c r="S206" i="1"/>
  <c r="G206" i="5" s="1"/>
  <c r="I206" i="5" s="1"/>
  <c r="AS190" i="3"/>
  <c r="X206" i="1" s="1"/>
  <c r="K206" i="5" s="1"/>
  <c r="L206" i="5" s="1"/>
  <c r="BS190" i="3"/>
  <c r="CD168" i="1"/>
  <c r="U207" i="5"/>
  <c r="V207" i="5"/>
  <c r="BH191" i="3"/>
  <c r="V191" i="3"/>
  <c r="BM191" i="3"/>
  <c r="BJ191" i="3"/>
  <c r="BH190" i="3"/>
  <c r="V190" i="3"/>
  <c r="U205" i="5"/>
  <c r="AD206" i="1"/>
  <c r="AE206" i="1" s="1"/>
  <c r="BM190" i="3"/>
  <c r="BJ190" i="3"/>
  <c r="AS188" i="3"/>
  <c r="X204" i="1" s="1"/>
  <c r="AA204" i="1" s="1"/>
  <c r="J205" i="5"/>
  <c r="N201" i="5"/>
  <c r="BP188" i="3"/>
  <c r="BT188" i="3" s="1"/>
  <c r="BL188" i="3"/>
  <c r="BM188" i="3"/>
  <c r="V204" i="5" s="1"/>
  <c r="BJ188" i="3"/>
  <c r="BK197" i="1"/>
  <c r="G179" i="5"/>
  <c r="H179" i="5" s="1"/>
  <c r="M201" i="5"/>
  <c r="I205" i="5"/>
  <c r="BU168" i="1"/>
  <c r="BH189" i="3"/>
  <c r="BG189" i="3" s="1"/>
  <c r="BS189" i="3" s="1"/>
  <c r="AZ189" i="3"/>
  <c r="BA189" i="3" s="1"/>
  <c r="AS189" i="3"/>
  <c r="X205" i="1" s="1"/>
  <c r="Y205" i="1" s="1"/>
  <c r="AD205" i="1"/>
  <c r="O205" i="5" s="1"/>
  <c r="W176" i="1"/>
  <c r="AK199" i="1"/>
  <c r="AD204" i="1"/>
  <c r="AG204" i="1" s="1"/>
  <c r="U198" i="1"/>
  <c r="V198" i="1"/>
  <c r="AE207" i="1"/>
  <c r="BH186" i="3"/>
  <c r="AZ186" i="3"/>
  <c r="CA200" i="1"/>
  <c r="W179" i="1"/>
  <c r="U179" i="1"/>
  <c r="AL199" i="1"/>
  <c r="V179" i="1"/>
  <c r="W199" i="1"/>
  <c r="BU170" i="1"/>
  <c r="AK178" i="1"/>
  <c r="V205" i="5"/>
  <c r="S178" i="5"/>
  <c r="T178" i="5" s="1"/>
  <c r="U176" i="1"/>
  <c r="V176" i="1"/>
  <c r="G176" i="5"/>
  <c r="I176" i="5" s="1"/>
  <c r="AF207" i="1"/>
  <c r="V177" i="1"/>
  <c r="AJ199" i="1"/>
  <c r="AG207" i="1"/>
  <c r="AM179" i="1"/>
  <c r="Q201" i="1"/>
  <c r="R201" i="1" s="1"/>
  <c r="AO183" i="3"/>
  <c r="Z199" i="5" s="1"/>
  <c r="BQ183" i="3"/>
  <c r="D199" i="5" s="1"/>
  <c r="BI183" i="3"/>
  <c r="F199" i="5" s="1"/>
  <c r="L203" i="5"/>
  <c r="M203" i="5"/>
  <c r="N203" i="5"/>
  <c r="Z203" i="1"/>
  <c r="Y203" i="1"/>
  <c r="O207" i="5"/>
  <c r="V199" i="1"/>
  <c r="BM187" i="3"/>
  <c r="BJ187" i="3"/>
  <c r="AV187" i="3"/>
  <c r="BL187" i="3"/>
  <c r="BP187" i="3"/>
  <c r="BT187" i="3" s="1"/>
  <c r="BR187" i="3"/>
  <c r="AA203" i="1"/>
  <c r="AB203" i="1"/>
  <c r="M202" i="5"/>
  <c r="N202" i="5"/>
  <c r="R207" i="1"/>
  <c r="BU207" i="1"/>
  <c r="CD207" i="1"/>
  <c r="BF207" i="1"/>
  <c r="BG207" i="1" s="1"/>
  <c r="BP207" i="1" s="1" a="1"/>
  <c r="BP207" i="1" s="1"/>
  <c r="AZ207" i="1"/>
  <c r="AZ205" i="1"/>
  <c r="BU205" i="1"/>
  <c r="CD205" i="1"/>
  <c r="BG205" i="1"/>
  <c r="BP205" i="1" s="1" a="1"/>
  <c r="BP205" i="1" s="1"/>
  <c r="BF205" i="1"/>
  <c r="AT177" i="3"/>
  <c r="AZ206" i="1"/>
  <c r="BU206" i="1"/>
  <c r="CD206" i="1"/>
  <c r="BF206" i="1"/>
  <c r="BG206" i="1" s="1"/>
  <c r="BP206" i="1" s="1" a="1"/>
  <c r="BP206" i="1" s="1"/>
  <c r="BU204" i="1"/>
  <c r="CD204" i="1"/>
  <c r="BF204" i="1"/>
  <c r="BG204" i="1" s="1"/>
  <c r="BP204" i="1" s="1" a="1"/>
  <c r="BP204" i="1" s="1"/>
  <c r="AM204" i="1"/>
  <c r="AL204" i="1"/>
  <c r="AK204" i="1"/>
  <c r="AJ204" i="1"/>
  <c r="AT174" i="3"/>
  <c r="BU203" i="1"/>
  <c r="CD203" i="1"/>
  <c r="BF203" i="1"/>
  <c r="BG203" i="1" s="1"/>
  <c r="BP203" i="1" s="1" a="1"/>
  <c r="BP203" i="1" s="1"/>
  <c r="R203" i="1"/>
  <c r="AT181" i="3"/>
  <c r="AT179" i="3"/>
  <c r="R202" i="1"/>
  <c r="AM202" i="1"/>
  <c r="AL202" i="1"/>
  <c r="AK202" i="1"/>
  <c r="AJ202" i="1"/>
  <c r="BU202" i="1"/>
  <c r="CD202" i="1"/>
  <c r="BF202" i="1"/>
  <c r="BG202" i="1" s="1"/>
  <c r="BP202" i="1" s="1" a="1"/>
  <c r="BP202" i="1" s="1"/>
  <c r="AJ201" i="1"/>
  <c r="AK201" i="1"/>
  <c r="AL201" i="1"/>
  <c r="AM201" i="1"/>
  <c r="S201" i="5"/>
  <c r="T201" i="5" s="1"/>
  <c r="AF201" i="1"/>
  <c r="AG201" i="1"/>
  <c r="AH201" i="1"/>
  <c r="AE201" i="1"/>
  <c r="G198" i="5"/>
  <c r="H198" i="5" s="1"/>
  <c r="S199" i="5"/>
  <c r="T199" i="5" s="1"/>
  <c r="AK175" i="1"/>
  <c r="S175" i="5"/>
  <c r="U175" i="5" s="1"/>
  <c r="T199" i="1"/>
  <c r="BK200" i="1"/>
  <c r="AJ175" i="1"/>
  <c r="S179" i="5"/>
  <c r="T179" i="5" s="1"/>
  <c r="T198" i="1"/>
  <c r="U199" i="1"/>
  <c r="BK199" i="1"/>
  <c r="AJ179" i="1"/>
  <c r="AK179" i="1"/>
  <c r="BW170" i="1"/>
  <c r="CD170" i="1"/>
  <c r="BG170" i="1"/>
  <c r="BP170" i="1" s="1" a="1"/>
  <c r="BP170" i="1" s="1"/>
  <c r="I201" i="5"/>
  <c r="E179" i="5"/>
  <c r="AI173" i="1"/>
  <c r="AK173" i="1" s="1"/>
  <c r="BR174" i="3"/>
  <c r="E175" i="5"/>
  <c r="AS181" i="3"/>
  <c r="BR169" i="3"/>
  <c r="AM175" i="1"/>
  <c r="BJ173" i="3"/>
  <c r="E201" i="5"/>
  <c r="U177" i="1"/>
  <c r="AJ178" i="1"/>
  <c r="AM178" i="1"/>
  <c r="BJ174" i="3"/>
  <c r="T177" i="1"/>
  <c r="V200" i="1"/>
  <c r="U200" i="1"/>
  <c r="G200" i="5"/>
  <c r="J200" i="5" s="1"/>
  <c r="T200" i="1"/>
  <c r="BI170" i="3"/>
  <c r="F170" i="5" s="1"/>
  <c r="CA199" i="1"/>
  <c r="AS170" i="3"/>
  <c r="S174" i="1"/>
  <c r="T174" i="1" s="1"/>
  <c r="BH180" i="3"/>
  <c r="BP180" i="3" s="1"/>
  <c r="BT180" i="3" s="1"/>
  <c r="BM182" i="3"/>
  <c r="G177" i="5"/>
  <c r="H177" i="5" s="1"/>
  <c r="BR177" i="3"/>
  <c r="AO185" i="3"/>
  <c r="AA201" i="5" s="1"/>
  <c r="BJ171" i="3"/>
  <c r="BM171" i="3"/>
  <c r="BI182" i="3"/>
  <c r="F198" i="5" s="1"/>
  <c r="BG172" i="3"/>
  <c r="BS172" i="3" s="1"/>
  <c r="AZ173" i="3"/>
  <c r="AZ180" i="3"/>
  <c r="CA197" i="1"/>
  <c r="E198" i="5"/>
  <c r="J201" i="5"/>
  <c r="V173" i="3"/>
  <c r="AV173" i="3" s="1"/>
  <c r="AD173" i="1" s="1"/>
  <c r="O173" i="5" s="1"/>
  <c r="AA198" i="5"/>
  <c r="AI171" i="1"/>
  <c r="S171" i="5" s="1"/>
  <c r="T171" i="5" s="1"/>
  <c r="AS173" i="3"/>
  <c r="BP168" i="3"/>
  <c r="Q201" i="5"/>
  <c r="AM170" i="1"/>
  <c r="S170" i="5"/>
  <c r="V170" i="5" s="1"/>
  <c r="S174" i="5"/>
  <c r="V174" i="5" s="1"/>
  <c r="AL198" i="1"/>
  <c r="R201" i="5"/>
  <c r="BQ185" i="3"/>
  <c r="D201" i="5" s="1"/>
  <c r="V172" i="1"/>
  <c r="G172" i="5"/>
  <c r="I172" i="5" s="1"/>
  <c r="S197" i="5"/>
  <c r="T197" i="5" s="1"/>
  <c r="BZ178" i="1"/>
  <c r="AL170" i="1"/>
  <c r="AN177" i="1"/>
  <c r="S198" i="5"/>
  <c r="T198" i="5" s="1"/>
  <c r="G180" i="5"/>
  <c r="J180" i="5" s="1"/>
  <c r="AK197" i="1"/>
  <c r="BQ175" i="3"/>
  <c r="D175" i="5" s="1"/>
  <c r="V178" i="3"/>
  <c r="AV178" i="3" s="1"/>
  <c r="AD178" i="1" s="1"/>
  <c r="AG178" i="1" s="1"/>
  <c r="BK177" i="1"/>
  <c r="AM198" i="1"/>
  <c r="AZ178" i="3"/>
  <c r="AS178" i="3"/>
  <c r="AZ181" i="3"/>
  <c r="BL181" i="3" s="1"/>
  <c r="E176" i="5"/>
  <c r="BI176" i="3"/>
  <c r="F176" i="5" s="1"/>
  <c r="AK170" i="1"/>
  <c r="AD172" i="1"/>
  <c r="AE172" i="1" s="1"/>
  <c r="BQ179" i="3"/>
  <c r="D179" i="5" s="1"/>
  <c r="AT171" i="3"/>
  <c r="AK172" i="1"/>
  <c r="V180" i="1"/>
  <c r="AM174" i="1"/>
  <c r="W180" i="1"/>
  <c r="BJ172" i="3"/>
  <c r="AD180" i="1"/>
  <c r="AH180" i="1" s="1"/>
  <c r="M200" i="5"/>
  <c r="L200" i="5"/>
  <c r="BJ170" i="3"/>
  <c r="S172" i="5"/>
  <c r="U172" i="5" s="1"/>
  <c r="AL172" i="1"/>
  <c r="U180" i="1"/>
  <c r="BJ182" i="3"/>
  <c r="AM172" i="1"/>
  <c r="AN180" i="1"/>
  <c r="AZ172" i="3"/>
  <c r="BL172" i="3" s="1"/>
  <c r="T202" i="5"/>
  <c r="U202" i="5"/>
  <c r="V202" i="5"/>
  <c r="T206" i="5"/>
  <c r="U206" i="5"/>
  <c r="V206" i="5"/>
  <c r="J203" i="5"/>
  <c r="H203" i="5"/>
  <c r="I203" i="5"/>
  <c r="H204" i="5"/>
  <c r="I204" i="5"/>
  <c r="J204" i="5"/>
  <c r="T204" i="5"/>
  <c r="U204" i="5"/>
  <c r="I202" i="5"/>
  <c r="AN179" i="1"/>
  <c r="L199" i="5"/>
  <c r="U172" i="1"/>
  <c r="AM168" i="1"/>
  <c r="W172" i="1"/>
  <c r="AQ197" i="1"/>
  <c r="BS197" i="1" s="1"/>
  <c r="AK180" i="1"/>
  <c r="BZ179" i="1"/>
  <c r="AQ172" i="1"/>
  <c r="BS172" i="1" s="1"/>
  <c r="AK174" i="1"/>
  <c r="AJ174" i="1"/>
  <c r="BZ180" i="1"/>
  <c r="AV184" i="3"/>
  <c r="AD200" i="1" s="1"/>
  <c r="H199" i="5"/>
  <c r="I199" i="5"/>
  <c r="J199" i="5"/>
  <c r="AT173" i="3"/>
  <c r="AL168" i="1"/>
  <c r="AN174" i="1"/>
  <c r="AJ198" i="1"/>
  <c r="N199" i="5"/>
  <c r="BK168" i="1"/>
  <c r="BU200" i="1"/>
  <c r="CD200" i="1"/>
  <c r="BF200" i="1"/>
  <c r="BG200" i="1" s="1"/>
  <c r="BP200" i="1" s="1" a="1"/>
  <c r="BP200" i="1" s="1"/>
  <c r="R200" i="1"/>
  <c r="AT176" i="3"/>
  <c r="AM180" i="1"/>
  <c r="BZ168" i="1"/>
  <c r="CA168" i="1" s="1"/>
  <c r="AT172" i="3"/>
  <c r="AT175" i="3"/>
  <c r="AZ171" i="3"/>
  <c r="BK198" i="1"/>
  <c r="W171" i="1"/>
  <c r="G171" i="5"/>
  <c r="H171" i="5" s="1"/>
  <c r="BQ181" i="3"/>
  <c r="D197" i="5" s="1"/>
  <c r="BZ174" i="1"/>
  <c r="BI181" i="3"/>
  <c r="F197" i="5" s="1"/>
  <c r="V171" i="1"/>
  <c r="BF168" i="1"/>
  <c r="BG168" i="1"/>
  <c r="BP168" i="1" s="1" a="1"/>
  <c r="BP168" i="1" s="1"/>
  <c r="V171" i="3"/>
  <c r="AV171" i="3" s="1"/>
  <c r="AD171" i="1" s="1"/>
  <c r="O171" i="5" s="1"/>
  <c r="P171" i="5" s="1"/>
  <c r="AK176" i="1"/>
  <c r="AS171" i="3"/>
  <c r="AL176" i="1"/>
  <c r="BZ176" i="1"/>
  <c r="AN176" i="1"/>
  <c r="BH175" i="3"/>
  <c r="BP175" i="3" s="1"/>
  <c r="BT175" i="3" s="1"/>
  <c r="BZ170" i="1"/>
  <c r="CA170" i="1" s="1"/>
  <c r="U171" i="1"/>
  <c r="AN173" i="1"/>
  <c r="AN175" i="1"/>
  <c r="Z172" i="5"/>
  <c r="BK170" i="1"/>
  <c r="T190" i="1"/>
  <c r="BH182" i="3"/>
  <c r="BL182" i="3" s="1"/>
  <c r="AD198" i="1"/>
  <c r="AG198" i="1" s="1"/>
  <c r="BZ175" i="1"/>
  <c r="AQ168" i="1"/>
  <c r="BS168" i="1" s="1"/>
  <c r="AM176" i="1"/>
  <c r="AZ175" i="3"/>
  <c r="V190" i="1"/>
  <c r="S168" i="5"/>
  <c r="T168" i="5" s="1"/>
  <c r="AD175" i="1"/>
  <c r="AH175" i="1" s="1"/>
  <c r="AJ168" i="1"/>
  <c r="BQ180" i="3"/>
  <c r="D180" i="5" s="1"/>
  <c r="BI180" i="3"/>
  <c r="F180" i="5" s="1"/>
  <c r="BJ180" i="3"/>
  <c r="S180" i="5"/>
  <c r="V180" i="5" s="1"/>
  <c r="BZ173" i="1"/>
  <c r="G190" i="5"/>
  <c r="H190" i="5" s="1"/>
  <c r="BF168" i="3"/>
  <c r="BR168" i="3" s="1"/>
  <c r="G168" i="5" s="1"/>
  <c r="H168" i="5" s="1"/>
  <c r="AJ180" i="1"/>
  <c r="S176" i="5"/>
  <c r="V176" i="5" s="1"/>
  <c r="AA197" i="5"/>
  <c r="BL170" i="1"/>
  <c r="BG168" i="3"/>
  <c r="K168" i="5" s="1"/>
  <c r="L168" i="5" s="1"/>
  <c r="BQ168" i="3"/>
  <c r="D168" i="5" s="1"/>
  <c r="E168" i="5"/>
  <c r="BI168" i="3"/>
  <c r="F168" i="5" s="1"/>
  <c r="BH177" i="3"/>
  <c r="BP177" i="3" s="1"/>
  <c r="BT177" i="3" s="1"/>
  <c r="AS177" i="3"/>
  <c r="V177" i="3"/>
  <c r="AV177" i="3" s="1"/>
  <c r="AD177" i="1" s="1"/>
  <c r="AE177" i="1" s="1"/>
  <c r="AZ177" i="3"/>
  <c r="T197" i="1"/>
  <c r="G197" i="5"/>
  <c r="H197" i="5" s="1"/>
  <c r="U197" i="1"/>
  <c r="W197" i="1"/>
  <c r="V197" i="1"/>
  <c r="W178" i="1"/>
  <c r="U178" i="1"/>
  <c r="T178" i="1"/>
  <c r="G178" i="5"/>
  <c r="H178" i="5" s="1"/>
  <c r="V178" i="1"/>
  <c r="AD168" i="1"/>
  <c r="AF168" i="1" s="1"/>
  <c r="BQ172" i="3"/>
  <c r="D172" i="5" s="1"/>
  <c r="BJ176" i="3"/>
  <c r="AQ171" i="1"/>
  <c r="BS171" i="1" s="1"/>
  <c r="U190" i="1"/>
  <c r="AZ168" i="3"/>
  <c r="E172" i="5"/>
  <c r="BZ190" i="1"/>
  <c r="AN190" i="1"/>
  <c r="BP178" i="1" a="1"/>
  <c r="BP178" i="1" s="1"/>
  <c r="AJ197" i="1"/>
  <c r="AM197" i="1"/>
  <c r="BQ173" i="3"/>
  <c r="D173" i="5" s="1"/>
  <c r="AD197" i="1"/>
  <c r="O197" i="5" s="1"/>
  <c r="P197" i="5" s="1"/>
  <c r="CA198" i="1"/>
  <c r="N198" i="5"/>
  <c r="L197" i="5"/>
  <c r="BM183" i="3"/>
  <c r="BJ183" i="3"/>
  <c r="N197" i="5"/>
  <c r="BH183" i="3"/>
  <c r="AS183" i="3"/>
  <c r="AZ183" i="3"/>
  <c r="BF198" i="1"/>
  <c r="BU198" i="1"/>
  <c r="N189" i="5"/>
  <c r="BG198" i="1"/>
  <c r="BP198" i="1" s="1" a="1"/>
  <c r="BP198" i="1" s="1"/>
  <c r="AA199" i="1"/>
  <c r="AB199" i="1"/>
  <c r="CD198" i="1"/>
  <c r="Z199" i="1"/>
  <c r="Y199" i="1"/>
  <c r="M198" i="5"/>
  <c r="BU199" i="1"/>
  <c r="CD199" i="1"/>
  <c r="BG199" i="1"/>
  <c r="BP199" i="1" s="1" a="1"/>
  <c r="BP199" i="1" s="1"/>
  <c r="BF199" i="1"/>
  <c r="R199" i="1"/>
  <c r="M189" i="5"/>
  <c r="R197" i="1"/>
  <c r="BF197" i="1"/>
  <c r="BG197" i="1"/>
  <c r="BP197" i="1" s="1" a="1"/>
  <c r="BP197" i="1" s="1"/>
  <c r="CD197" i="1"/>
  <c r="BU197" i="1"/>
  <c r="R198" i="1"/>
  <c r="M191" i="5"/>
  <c r="N191" i="5"/>
  <c r="N181" i="5"/>
  <c r="U196" i="5"/>
  <c r="V196" i="5"/>
  <c r="L184" i="5"/>
  <c r="BM181" i="3"/>
  <c r="BJ181" i="3"/>
  <c r="N196" i="5"/>
  <c r="L181" i="5"/>
  <c r="M196" i="5"/>
  <c r="I196" i="5"/>
  <c r="N184" i="5"/>
  <c r="J196" i="5"/>
  <c r="M185" i="5"/>
  <c r="N185" i="5"/>
  <c r="U186" i="5"/>
  <c r="L182" i="5"/>
  <c r="N182" i="5"/>
  <c r="L186" i="5"/>
  <c r="M186" i="5"/>
  <c r="N193" i="5"/>
  <c r="L192" i="5"/>
  <c r="N190" i="5"/>
  <c r="L190" i="5"/>
  <c r="V186" i="5"/>
  <c r="L193" i="5"/>
  <c r="L183" i="5"/>
  <c r="M183" i="5"/>
  <c r="N192" i="5"/>
  <c r="H186" i="5"/>
  <c r="I186" i="5"/>
  <c r="J186" i="5"/>
  <c r="M194" i="5"/>
  <c r="L194" i="5"/>
  <c r="BU196" i="1"/>
  <c r="CD196" i="1"/>
  <c r="BF196" i="1"/>
  <c r="BG196" i="1" s="1"/>
  <c r="BP196" i="1" s="1" a="1"/>
  <c r="BP196" i="1" s="1"/>
  <c r="BU190" i="1"/>
  <c r="CD190" i="1"/>
  <c r="BG190" i="1"/>
  <c r="BP190" i="1" s="1" a="1"/>
  <c r="BP190" i="1" s="1"/>
  <c r="BF190" i="1"/>
  <c r="BZ169" i="1"/>
  <c r="CA169" i="1" s="1"/>
  <c r="BF180" i="1"/>
  <c r="BG180" i="1" s="1"/>
  <c r="BP180" i="1" s="1" a="1"/>
  <c r="BP180" i="1" s="1"/>
  <c r="AZ172" i="1"/>
  <c r="AZ175" i="1"/>
  <c r="CD178" i="1"/>
  <c r="AZ174" i="1"/>
  <c r="BG169" i="1"/>
  <c r="BP169" i="1" s="1" a="1"/>
  <c r="BP169" i="1" s="1"/>
  <c r="BW169" i="1"/>
  <c r="BP179" i="3"/>
  <c r="BT179" i="3" s="1"/>
  <c r="BP178" i="3"/>
  <c r="BT178" i="3" s="1"/>
  <c r="U175" i="1"/>
  <c r="W175" i="1"/>
  <c r="G175" i="5"/>
  <c r="H175" i="5" s="1"/>
  <c r="V175" i="1"/>
  <c r="AI177" i="1"/>
  <c r="AK177" i="1" s="1"/>
  <c r="BM177" i="3"/>
  <c r="BJ177" i="3"/>
  <c r="Z177" i="1"/>
  <c r="BU178" i="1"/>
  <c r="AN169" i="1"/>
  <c r="BK169" i="1"/>
  <c r="BP176" i="3"/>
  <c r="BT176" i="3" s="1"/>
  <c r="BL176" i="3"/>
  <c r="BP174" i="3"/>
  <c r="BT174" i="3" s="1"/>
  <c r="BL174" i="3"/>
  <c r="BU180" i="1"/>
  <c r="CD180" i="1"/>
  <c r="BF174" i="1"/>
  <c r="BG174" i="1" s="1"/>
  <c r="BP174" i="1" s="1" a="1"/>
  <c r="BP174" i="1" s="1"/>
  <c r="Y174" i="1"/>
  <c r="BP173" i="3"/>
  <c r="BT173" i="3" s="1"/>
  <c r="AB177" i="1"/>
  <c r="CD174" i="1"/>
  <c r="BU174" i="1"/>
  <c r="BU176" i="1"/>
  <c r="AZ176" i="1"/>
  <c r="Y175" i="1"/>
  <c r="J173" i="5"/>
  <c r="I173" i="5"/>
  <c r="K174" i="5"/>
  <c r="L174" i="5" s="1"/>
  <c r="AB174" i="1"/>
  <c r="AB176" i="1"/>
  <c r="AB175" i="1"/>
  <c r="AA174" i="1"/>
  <c r="AB179" i="1"/>
  <c r="BU175" i="1"/>
  <c r="BK172" i="3"/>
  <c r="Y180" i="1"/>
  <c r="AA176" i="1"/>
  <c r="BU179" i="1"/>
  <c r="X172" i="1"/>
  <c r="K172" i="5" s="1"/>
  <c r="Z178" i="1"/>
  <c r="K178" i="5"/>
  <c r="Z179" i="1"/>
  <c r="K179" i="5"/>
  <c r="AB178" i="1"/>
  <c r="AA178" i="1"/>
  <c r="AA180" i="1"/>
  <c r="K180" i="5"/>
  <c r="Y176" i="1"/>
  <c r="K176" i="5"/>
  <c r="N173" i="5"/>
  <c r="L173" i="5"/>
  <c r="M173" i="5"/>
  <c r="Y177" i="1"/>
  <c r="K177" i="5"/>
  <c r="Z175" i="1"/>
  <c r="K175" i="5"/>
  <c r="Y179" i="1"/>
  <c r="Y178" i="1"/>
  <c r="BF179" i="1"/>
  <c r="BG179" i="1" s="1"/>
  <c r="BP179" i="1" s="1" a="1"/>
  <c r="BP179" i="1" s="1"/>
  <c r="CD179" i="1"/>
  <c r="N171" i="5"/>
  <c r="BF176" i="1"/>
  <c r="BG176" i="1" s="1"/>
  <c r="BP176" i="1" s="1" a="1"/>
  <c r="BP176" i="1" s="1"/>
  <c r="CD176" i="1"/>
  <c r="BF175" i="1"/>
  <c r="BG175" i="1" s="1"/>
  <c r="BP175" i="1" s="1" a="1"/>
  <c r="BP175" i="1" s="1"/>
  <c r="CD175" i="1"/>
  <c r="AB180" i="1"/>
  <c r="BF172" i="1"/>
  <c r="BG172" i="1" s="1"/>
  <c r="BP172" i="1" s="1" a="1"/>
  <c r="BP172" i="1" s="1"/>
  <c r="CD172" i="1"/>
  <c r="BU172" i="1"/>
  <c r="R172" i="1"/>
  <c r="BU177" i="1"/>
  <c r="BF177" i="1"/>
  <c r="BG177" i="1" s="1"/>
  <c r="BP177" i="1" s="1" a="1"/>
  <c r="BP177" i="1" s="1"/>
  <c r="CD177" i="1"/>
  <c r="R173" i="1"/>
  <c r="BU173" i="1"/>
  <c r="BF173" i="1"/>
  <c r="BG173" i="1" s="1"/>
  <c r="BP173" i="1" s="1" a="1"/>
  <c r="BP173" i="1" s="1"/>
  <c r="CD173" i="1"/>
  <c r="R176" i="1"/>
  <c r="Y173" i="1"/>
  <c r="Z173" i="1"/>
  <c r="AA173" i="1"/>
  <c r="AB173" i="1"/>
  <c r="R177" i="1"/>
  <c r="L171" i="5"/>
  <c r="BF171" i="1"/>
  <c r="BG171" i="1" s="1"/>
  <c r="BP171" i="1" s="1" a="1"/>
  <c r="BP171" i="1" s="1"/>
  <c r="CD171" i="1"/>
  <c r="BU171" i="1"/>
  <c r="R171" i="1"/>
  <c r="BP171" i="3"/>
  <c r="BT171" i="3" s="1"/>
  <c r="BU169" i="1"/>
  <c r="T168" i="1"/>
  <c r="U168" i="1"/>
  <c r="V168" i="1"/>
  <c r="E169" i="5"/>
  <c r="BJ169" i="3"/>
  <c r="AI169" i="1"/>
  <c r="S169" i="5" s="1"/>
  <c r="T169" i="5" s="1"/>
  <c r="BQ169" i="3"/>
  <c r="D169" i="5" s="1"/>
  <c r="AD169" i="1"/>
  <c r="AH169" i="1" s="1"/>
  <c r="BM169" i="3"/>
  <c r="CD169" i="1"/>
  <c r="N170" i="5"/>
  <c r="Z169" i="5"/>
  <c r="AA169" i="5"/>
  <c r="W169" i="1"/>
  <c r="U169" i="1"/>
  <c r="V169" i="1"/>
  <c r="G169" i="5"/>
  <c r="L169" i="5"/>
  <c r="N169" i="5"/>
  <c r="BF169" i="1"/>
  <c r="M170" i="5"/>
  <c r="M169" i="5"/>
  <c r="BH169" i="3"/>
  <c r="BL169" i="3" s="1"/>
  <c r="H170" i="5"/>
  <c r="J170" i="5"/>
  <c r="I170" i="5"/>
  <c r="Y168" i="1"/>
  <c r="Z168" i="1"/>
  <c r="AA168" i="1"/>
  <c r="AB168" i="1"/>
  <c r="AB170" i="1"/>
  <c r="Y170" i="1"/>
  <c r="Z170" i="1"/>
  <c r="AA170" i="1"/>
  <c r="R168" i="1"/>
  <c r="R169" i="1"/>
  <c r="Y169" i="1"/>
  <c r="Z169" i="1"/>
  <c r="AA169" i="1"/>
  <c r="AB169" i="1"/>
  <c r="T170" i="1"/>
  <c r="U170" i="1"/>
  <c r="V170" i="1"/>
  <c r="W170" i="1"/>
  <c r="BC101" i="3"/>
  <c r="BC102" i="3"/>
  <c r="BA167" i="3"/>
  <c r="BB167" i="3"/>
  <c r="BG167" i="3"/>
  <c r="BK167" i="3"/>
  <c r="BO167" i="3"/>
  <c r="BS167" i="3"/>
  <c r="AW167" i="3"/>
  <c r="AX167" i="3"/>
  <c r="AY167" i="3"/>
  <c r="B163" i="5"/>
  <c r="Y163" i="5" s="1"/>
  <c r="C163" i="5"/>
  <c r="W163" i="5"/>
  <c r="B164" i="5"/>
  <c r="C164" i="5"/>
  <c r="B165" i="5"/>
  <c r="C165" i="5"/>
  <c r="B166" i="5"/>
  <c r="C166" i="5"/>
  <c r="A167" i="5"/>
  <c r="B167" i="5"/>
  <c r="C167" i="5"/>
  <c r="B162" i="5"/>
  <c r="C162" i="5"/>
  <c r="I167" i="1"/>
  <c r="P167" i="1"/>
  <c r="X167" i="1"/>
  <c r="Y167" i="1" s="1"/>
  <c r="AC167" i="1"/>
  <c r="AO167" i="1"/>
  <c r="AR167" i="1"/>
  <c r="BB167" i="1"/>
  <c r="BT167" i="1"/>
  <c r="AW167" i="1" s="1"/>
  <c r="BV167" i="1"/>
  <c r="BY167" i="1"/>
  <c r="AP167" i="3"/>
  <c r="S2" i="3"/>
  <c r="T2" i="3"/>
  <c r="S3" i="3"/>
  <c r="T3" i="3"/>
  <c r="S4" i="3"/>
  <c r="T4" i="3"/>
  <c r="S5" i="3"/>
  <c r="T5" i="3"/>
  <c r="S6" i="3"/>
  <c r="T6" i="3"/>
  <c r="S7" i="3"/>
  <c r="T7" i="3"/>
  <c r="S8" i="3"/>
  <c r="T8" i="3"/>
  <c r="S9" i="3"/>
  <c r="T9" i="3"/>
  <c r="S10" i="3"/>
  <c r="T10" i="3"/>
  <c r="S11" i="3"/>
  <c r="T11" i="3"/>
  <c r="S12" i="3"/>
  <c r="T12" i="3"/>
  <c r="S13" i="3"/>
  <c r="T13" i="3"/>
  <c r="S14" i="3"/>
  <c r="T14" i="3"/>
  <c r="S15" i="3"/>
  <c r="T15" i="3"/>
  <c r="S16" i="3"/>
  <c r="T16" i="3"/>
  <c r="S17" i="3"/>
  <c r="T17" i="3"/>
  <c r="S18" i="3"/>
  <c r="T18" i="3"/>
  <c r="S19" i="3"/>
  <c r="T19" i="3"/>
  <c r="S20" i="3"/>
  <c r="T20" i="3"/>
  <c r="S21" i="3"/>
  <c r="T21" i="3"/>
  <c r="S22" i="3"/>
  <c r="T22" i="3"/>
  <c r="S23" i="3"/>
  <c r="T23" i="3"/>
  <c r="S24" i="3"/>
  <c r="T24" i="3"/>
  <c r="S25" i="3"/>
  <c r="T25" i="3"/>
  <c r="S26" i="3"/>
  <c r="T26" i="3"/>
  <c r="S27" i="3"/>
  <c r="T27" i="3"/>
  <c r="S28" i="3"/>
  <c r="T28" i="3"/>
  <c r="S29" i="3"/>
  <c r="T29" i="3"/>
  <c r="S30" i="3"/>
  <c r="T30" i="3"/>
  <c r="S31" i="3"/>
  <c r="T31" i="3"/>
  <c r="S32" i="3"/>
  <c r="T32" i="3"/>
  <c r="S33" i="3"/>
  <c r="T33" i="3"/>
  <c r="S34" i="3"/>
  <c r="T34" i="3"/>
  <c r="S35" i="3"/>
  <c r="T35" i="3"/>
  <c r="S36" i="3"/>
  <c r="T36" i="3"/>
  <c r="S37" i="3"/>
  <c r="T37" i="3"/>
  <c r="S38" i="3"/>
  <c r="T38" i="3"/>
  <c r="S39" i="3"/>
  <c r="T39" i="3"/>
  <c r="S40" i="3"/>
  <c r="T40" i="3"/>
  <c r="S41" i="3"/>
  <c r="T41" i="3"/>
  <c r="S42" i="3"/>
  <c r="T42" i="3"/>
  <c r="S43" i="3"/>
  <c r="T43" i="3"/>
  <c r="S44" i="3"/>
  <c r="T44" i="3"/>
  <c r="S45" i="3"/>
  <c r="T45" i="3"/>
  <c r="S46" i="3"/>
  <c r="T46" i="3"/>
  <c r="S47" i="3"/>
  <c r="T47" i="3"/>
  <c r="S48" i="3"/>
  <c r="T48" i="3"/>
  <c r="S49" i="3"/>
  <c r="T49" i="3"/>
  <c r="S50" i="3"/>
  <c r="T50" i="3"/>
  <c r="S51" i="3"/>
  <c r="T51" i="3"/>
  <c r="S52" i="3"/>
  <c r="T52" i="3"/>
  <c r="S53" i="3"/>
  <c r="T53" i="3"/>
  <c r="S54" i="3"/>
  <c r="T54" i="3"/>
  <c r="S55" i="3"/>
  <c r="T55" i="3"/>
  <c r="S56" i="3"/>
  <c r="T56" i="3"/>
  <c r="S57" i="3"/>
  <c r="T57" i="3"/>
  <c r="S58" i="3"/>
  <c r="T58" i="3"/>
  <c r="S59" i="3"/>
  <c r="T59" i="3"/>
  <c r="S60" i="3"/>
  <c r="T60" i="3"/>
  <c r="S61" i="3"/>
  <c r="T61" i="3"/>
  <c r="S62" i="3"/>
  <c r="T62" i="3"/>
  <c r="S63" i="3"/>
  <c r="T63" i="3"/>
  <c r="S64" i="3"/>
  <c r="T64" i="3"/>
  <c r="S65" i="3"/>
  <c r="T65" i="3"/>
  <c r="S66" i="3"/>
  <c r="T66" i="3"/>
  <c r="S67" i="3"/>
  <c r="T67" i="3"/>
  <c r="S68" i="3"/>
  <c r="T68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S80" i="3"/>
  <c r="T80" i="3"/>
  <c r="S81" i="3"/>
  <c r="T81" i="3"/>
  <c r="S82" i="3"/>
  <c r="T82" i="3"/>
  <c r="S83" i="3"/>
  <c r="T83" i="3"/>
  <c r="S84" i="3"/>
  <c r="T84" i="3"/>
  <c r="S85" i="3"/>
  <c r="T85" i="3"/>
  <c r="S86" i="3"/>
  <c r="T86" i="3"/>
  <c r="S87" i="3"/>
  <c r="T87" i="3"/>
  <c r="S88" i="3"/>
  <c r="T88" i="3"/>
  <c r="S89" i="3"/>
  <c r="T89" i="3"/>
  <c r="S90" i="3"/>
  <c r="T90" i="3"/>
  <c r="S91" i="3"/>
  <c r="T91" i="3"/>
  <c r="S92" i="3"/>
  <c r="T92" i="3"/>
  <c r="S93" i="3"/>
  <c r="T93" i="3"/>
  <c r="S94" i="3"/>
  <c r="T94" i="3"/>
  <c r="S95" i="3"/>
  <c r="T95" i="3"/>
  <c r="S96" i="3"/>
  <c r="T96" i="3"/>
  <c r="S97" i="3"/>
  <c r="T97" i="3"/>
  <c r="S98" i="3"/>
  <c r="T98" i="3"/>
  <c r="S99" i="3"/>
  <c r="T99" i="3"/>
  <c r="S100" i="3"/>
  <c r="T100" i="3"/>
  <c r="S101" i="3"/>
  <c r="T101" i="3"/>
  <c r="S102" i="3"/>
  <c r="T102" i="3"/>
  <c r="S103" i="3"/>
  <c r="T103" i="3"/>
  <c r="S104" i="3"/>
  <c r="T104" i="3"/>
  <c r="S105" i="3"/>
  <c r="T105" i="3"/>
  <c r="S106" i="3"/>
  <c r="T106" i="3"/>
  <c r="S107" i="3"/>
  <c r="T107" i="3"/>
  <c r="S108" i="3"/>
  <c r="T108" i="3"/>
  <c r="S109" i="3"/>
  <c r="T109" i="3"/>
  <c r="S110" i="3"/>
  <c r="T110" i="3"/>
  <c r="S111" i="3"/>
  <c r="T111" i="3"/>
  <c r="S112" i="3"/>
  <c r="T112" i="3"/>
  <c r="S113" i="3"/>
  <c r="T113" i="3"/>
  <c r="S114" i="3"/>
  <c r="T114" i="3"/>
  <c r="S115" i="3"/>
  <c r="T115" i="3"/>
  <c r="S116" i="3"/>
  <c r="T116" i="3"/>
  <c r="S117" i="3"/>
  <c r="T117" i="3"/>
  <c r="S118" i="3"/>
  <c r="T118" i="3"/>
  <c r="S119" i="3"/>
  <c r="T119" i="3"/>
  <c r="S120" i="3"/>
  <c r="T120" i="3"/>
  <c r="S121" i="3"/>
  <c r="T121" i="3"/>
  <c r="S122" i="3"/>
  <c r="T122" i="3"/>
  <c r="S123" i="3"/>
  <c r="T123" i="3"/>
  <c r="S124" i="3"/>
  <c r="T124" i="3"/>
  <c r="S125" i="3"/>
  <c r="T125" i="3"/>
  <c r="S126" i="3"/>
  <c r="T126" i="3"/>
  <c r="S127" i="3"/>
  <c r="T127" i="3"/>
  <c r="S128" i="3"/>
  <c r="T128" i="3"/>
  <c r="S129" i="3"/>
  <c r="T129" i="3"/>
  <c r="S130" i="3"/>
  <c r="T130" i="3"/>
  <c r="S131" i="3"/>
  <c r="T131" i="3"/>
  <c r="S132" i="3"/>
  <c r="T132" i="3"/>
  <c r="S133" i="3"/>
  <c r="T133" i="3"/>
  <c r="S134" i="3"/>
  <c r="T134" i="3"/>
  <c r="S135" i="3"/>
  <c r="T135" i="3"/>
  <c r="S136" i="3"/>
  <c r="T136" i="3"/>
  <c r="S137" i="3"/>
  <c r="T137" i="3"/>
  <c r="S138" i="3"/>
  <c r="T138" i="3"/>
  <c r="S139" i="3"/>
  <c r="T139" i="3"/>
  <c r="S140" i="3"/>
  <c r="T140" i="3"/>
  <c r="S141" i="3"/>
  <c r="T141" i="3"/>
  <c r="S142" i="3"/>
  <c r="T142" i="3"/>
  <c r="S143" i="3"/>
  <c r="T143" i="3"/>
  <c r="S144" i="3"/>
  <c r="T144" i="3"/>
  <c r="S145" i="3"/>
  <c r="T145" i="3"/>
  <c r="S146" i="3"/>
  <c r="T146" i="3"/>
  <c r="S147" i="3"/>
  <c r="T147" i="3"/>
  <c r="S148" i="3"/>
  <c r="T148" i="3"/>
  <c r="S149" i="3"/>
  <c r="T149" i="3"/>
  <c r="S150" i="3"/>
  <c r="T150" i="3"/>
  <c r="S151" i="3"/>
  <c r="T151" i="3"/>
  <c r="S152" i="3"/>
  <c r="T152" i="3"/>
  <c r="S153" i="3"/>
  <c r="T153" i="3"/>
  <c r="S154" i="3"/>
  <c r="T154" i="3"/>
  <c r="S155" i="3"/>
  <c r="T155" i="3"/>
  <c r="S156" i="3"/>
  <c r="T156" i="3"/>
  <c r="S157" i="3"/>
  <c r="T157" i="3"/>
  <c r="S158" i="3"/>
  <c r="T158" i="3"/>
  <c r="S159" i="3"/>
  <c r="T159" i="3"/>
  <c r="S160" i="3"/>
  <c r="T160" i="3"/>
  <c r="S161" i="3"/>
  <c r="T161" i="3"/>
  <c r="S162" i="3"/>
  <c r="T162" i="3"/>
  <c r="S163" i="3"/>
  <c r="T163" i="3"/>
  <c r="S164" i="3"/>
  <c r="T164" i="3"/>
  <c r="S165" i="3"/>
  <c r="T165" i="3"/>
  <c r="S166" i="3"/>
  <c r="T166" i="3"/>
  <c r="S167" i="3"/>
  <c r="T167" i="3"/>
  <c r="J167" i="3"/>
  <c r="AV167" i="1" s="1"/>
  <c r="F167" i="3"/>
  <c r="AS167" i="1" s="1"/>
  <c r="E167" i="3"/>
  <c r="J167" i="1" s="1"/>
  <c r="O174" i="5" l="1"/>
  <c r="P174" i="5" s="1"/>
  <c r="AG174" i="1"/>
  <c r="AF174" i="1"/>
  <c r="AB204" i="1"/>
  <c r="K204" i="5"/>
  <c r="N204" i="5" s="1"/>
  <c r="Z204" i="1"/>
  <c r="AE174" i="1"/>
  <c r="AH174" i="1"/>
  <c r="Y204" i="1"/>
  <c r="J202" i="5"/>
  <c r="I179" i="5"/>
  <c r="AH176" i="1"/>
  <c r="AE176" i="1"/>
  <c r="BR176" i="1" s="1"/>
  <c r="AH199" i="1"/>
  <c r="O199" i="5"/>
  <c r="P199" i="5" s="1"/>
  <c r="H176" i="5"/>
  <c r="J179" i="5"/>
  <c r="BL171" i="3"/>
  <c r="O176" i="5"/>
  <c r="Q176" i="5" s="1"/>
  <c r="AF176" i="1"/>
  <c r="I177" i="5"/>
  <c r="V203" i="5"/>
  <c r="AK203" i="1"/>
  <c r="AH170" i="1"/>
  <c r="V178" i="5"/>
  <c r="U178" i="5"/>
  <c r="AA199" i="5"/>
  <c r="AJ203" i="1"/>
  <c r="AL203" i="1"/>
  <c r="AM203" i="1"/>
  <c r="O170" i="5"/>
  <c r="Q170" i="5" s="1"/>
  <c r="T203" i="5"/>
  <c r="U203" i="5"/>
  <c r="BL186" i="3"/>
  <c r="AG170" i="1"/>
  <c r="AE199" i="1"/>
  <c r="AF170" i="1"/>
  <c r="AF199" i="1"/>
  <c r="BL184" i="3"/>
  <c r="BL173" i="3"/>
  <c r="BL178" i="3"/>
  <c r="M206" i="5"/>
  <c r="BL180" i="3"/>
  <c r="BP182" i="3"/>
  <c r="BT182" i="3" s="1"/>
  <c r="H206" i="5"/>
  <c r="T207" i="1"/>
  <c r="U207" i="1"/>
  <c r="V207" i="1"/>
  <c r="U206" i="1"/>
  <c r="G207" i="5"/>
  <c r="H207" i="5" s="1"/>
  <c r="M207" i="5"/>
  <c r="L207" i="5"/>
  <c r="AB207" i="1"/>
  <c r="Y207" i="1"/>
  <c r="Z207" i="1"/>
  <c r="V206" i="1"/>
  <c r="AA207" i="1"/>
  <c r="T206" i="1"/>
  <c r="W206" i="1"/>
  <c r="Z206" i="1"/>
  <c r="AA206" i="1"/>
  <c r="Y206" i="1"/>
  <c r="AB206" i="1"/>
  <c r="AV191" i="3"/>
  <c r="BL191" i="3"/>
  <c r="BT191" i="3"/>
  <c r="BP191" i="3"/>
  <c r="J176" i="5"/>
  <c r="O204" i="5"/>
  <c r="Q204" i="5" s="1"/>
  <c r="AH206" i="1"/>
  <c r="AF206" i="1"/>
  <c r="AV190" i="3"/>
  <c r="BL190" i="3"/>
  <c r="BT190" i="3"/>
  <c r="BP190" i="3"/>
  <c r="O206" i="5"/>
  <c r="AG206" i="1"/>
  <c r="AE205" i="1"/>
  <c r="K205" i="5"/>
  <c r="L205" i="5" s="1"/>
  <c r="AG205" i="1"/>
  <c r="AH205" i="1"/>
  <c r="Z205" i="1"/>
  <c r="AA205" i="1"/>
  <c r="BK189" i="3"/>
  <c r="AE204" i="1"/>
  <c r="AB205" i="1"/>
  <c r="BL189" i="3"/>
  <c r="R205" i="5" s="1"/>
  <c r="BP189" i="3"/>
  <c r="BT189" i="3" s="1"/>
  <c r="Q205" i="5" s="1"/>
  <c r="AF205" i="1"/>
  <c r="AF204" i="1"/>
  <c r="AH204" i="1"/>
  <c r="T172" i="5"/>
  <c r="J177" i="5"/>
  <c r="BP186" i="3"/>
  <c r="BT186" i="3" s="1"/>
  <c r="Q174" i="5"/>
  <c r="V175" i="5"/>
  <c r="T175" i="5"/>
  <c r="AD202" i="1"/>
  <c r="O202" i="5" s="1"/>
  <c r="P202" i="5" s="1"/>
  <c r="AD203" i="1"/>
  <c r="P207" i="5"/>
  <c r="R207" i="5"/>
  <c r="U174" i="5"/>
  <c r="Q207" i="5"/>
  <c r="V179" i="5"/>
  <c r="T174" i="5"/>
  <c r="V199" i="5"/>
  <c r="U199" i="5"/>
  <c r="U170" i="5"/>
  <c r="T170" i="5"/>
  <c r="U179" i="5"/>
  <c r="AG180" i="1"/>
  <c r="J198" i="5"/>
  <c r="AF175" i="1"/>
  <c r="H172" i="5"/>
  <c r="U174" i="1"/>
  <c r="I198" i="5"/>
  <c r="V201" i="5"/>
  <c r="J172" i="5"/>
  <c r="R174" i="5"/>
  <c r="BR201" i="1"/>
  <c r="U201" i="5"/>
  <c r="I200" i="5"/>
  <c r="P205" i="5"/>
  <c r="W174" i="1"/>
  <c r="S173" i="5"/>
  <c r="T173" i="5" s="1"/>
  <c r="AL173" i="1"/>
  <c r="V174" i="1"/>
  <c r="AM173" i="1"/>
  <c r="G174" i="5"/>
  <c r="H174" i="5" s="1"/>
  <c r="AJ173" i="1"/>
  <c r="H200" i="5"/>
  <c r="AM171" i="1"/>
  <c r="U171" i="5"/>
  <c r="AH168" i="1"/>
  <c r="BJ168" i="3"/>
  <c r="J168" i="5" s="1"/>
  <c r="O168" i="5"/>
  <c r="P168" i="5" s="1"/>
  <c r="BM168" i="3"/>
  <c r="AL171" i="1"/>
  <c r="AK171" i="1"/>
  <c r="AJ171" i="1"/>
  <c r="AE168" i="1"/>
  <c r="U168" i="5"/>
  <c r="Z201" i="5"/>
  <c r="V171" i="5"/>
  <c r="U198" i="5"/>
  <c r="V198" i="5"/>
  <c r="O180" i="5"/>
  <c r="P180" i="5" s="1"/>
  <c r="AF180" i="1"/>
  <c r="I180" i="5"/>
  <c r="H180" i="5"/>
  <c r="N172" i="5"/>
  <c r="V197" i="5"/>
  <c r="U180" i="5"/>
  <c r="AF198" i="1"/>
  <c r="T180" i="5"/>
  <c r="O175" i="5"/>
  <c r="Q175" i="5" s="1"/>
  <c r="U176" i="5"/>
  <c r="AE175" i="1"/>
  <c r="BR175" i="1" s="1"/>
  <c r="U197" i="5"/>
  <c r="AE180" i="1"/>
  <c r="AG172" i="1"/>
  <c r="O172" i="5"/>
  <c r="R172" i="5" s="1"/>
  <c r="T176" i="5"/>
  <c r="AF172" i="1"/>
  <c r="AH172" i="1"/>
  <c r="I171" i="5"/>
  <c r="AE198" i="1"/>
  <c r="V172" i="5"/>
  <c r="J171" i="5"/>
  <c r="AH200" i="1"/>
  <c r="O200" i="5"/>
  <c r="BL177" i="3"/>
  <c r="AE200" i="1"/>
  <c r="AF200" i="1"/>
  <c r="AG200" i="1"/>
  <c r="J178" i="5"/>
  <c r="I178" i="5"/>
  <c r="AH198" i="1"/>
  <c r="O198" i="5"/>
  <c r="P198" i="5" s="1"/>
  <c r="AG168" i="1"/>
  <c r="J190" i="5"/>
  <c r="I190" i="5"/>
  <c r="I197" i="5"/>
  <c r="V168" i="5"/>
  <c r="J197" i="5"/>
  <c r="AE197" i="1"/>
  <c r="BR197" i="1" s="1"/>
  <c r="BW197" i="1" s="1"/>
  <c r="AG197" i="1"/>
  <c r="AF197" i="1"/>
  <c r="R197" i="5"/>
  <c r="BL175" i="3"/>
  <c r="AG175" i="1"/>
  <c r="Q197" i="5"/>
  <c r="BO167" i="1"/>
  <c r="BQ167" i="1" s="1"/>
  <c r="BN167" i="1" s="1"/>
  <c r="BJ167" i="1"/>
  <c r="CF167" i="1"/>
  <c r="AH197" i="1"/>
  <c r="BK168" i="3"/>
  <c r="N168" i="5" s="1"/>
  <c r="BS168" i="3"/>
  <c r="M168" i="5" s="1"/>
  <c r="BP183" i="3"/>
  <c r="BT183" i="3" s="1"/>
  <c r="BL183" i="3"/>
  <c r="AE171" i="1"/>
  <c r="AG171" i="1"/>
  <c r="AF171" i="1"/>
  <c r="AH171" i="1"/>
  <c r="Q171" i="5"/>
  <c r="R171" i="5"/>
  <c r="R173" i="5"/>
  <c r="AE178" i="1"/>
  <c r="BR178" i="1" s="1"/>
  <c r="X163" i="5"/>
  <c r="O177" i="5"/>
  <c r="P177" i="5" s="1"/>
  <c r="J175" i="5"/>
  <c r="AE179" i="1"/>
  <c r="BR179" i="1" s="1"/>
  <c r="BW179" i="1" s="1"/>
  <c r="O179" i="5"/>
  <c r="R179" i="5" s="1"/>
  <c r="O178" i="5"/>
  <c r="P178" i="5" s="1"/>
  <c r="AH179" i="1"/>
  <c r="AG179" i="1"/>
  <c r="AH178" i="1"/>
  <c r="AE173" i="1"/>
  <c r="AF178" i="1"/>
  <c r="AG173" i="1"/>
  <c r="AH177" i="1"/>
  <c r="I175" i="5"/>
  <c r="AL177" i="1"/>
  <c r="S177" i="5"/>
  <c r="AJ177" i="1"/>
  <c r="AM177" i="1"/>
  <c r="AG177" i="1"/>
  <c r="AF177" i="1"/>
  <c r="AH173" i="1"/>
  <c r="Q173" i="5"/>
  <c r="P173" i="5"/>
  <c r="AF173" i="1"/>
  <c r="N174" i="5"/>
  <c r="M174" i="5"/>
  <c r="AB172" i="1"/>
  <c r="L172" i="5"/>
  <c r="AA172" i="1"/>
  <c r="M172" i="5"/>
  <c r="Y172" i="1"/>
  <c r="BR172" i="1" s="1"/>
  <c r="Z172" i="1"/>
  <c r="M180" i="5"/>
  <c r="L180" i="5"/>
  <c r="N180" i="5"/>
  <c r="M178" i="5"/>
  <c r="L178" i="5"/>
  <c r="N178" i="5"/>
  <c r="L176" i="5"/>
  <c r="M176" i="5"/>
  <c r="N176" i="5"/>
  <c r="L175" i="5"/>
  <c r="M175" i="5"/>
  <c r="N175" i="5"/>
  <c r="L179" i="5"/>
  <c r="M179" i="5"/>
  <c r="N179" i="5"/>
  <c r="L177" i="5"/>
  <c r="N177" i="5"/>
  <c r="M177" i="5"/>
  <c r="I168" i="5"/>
  <c r="BE167" i="1"/>
  <c r="BD167" i="1"/>
  <c r="CG167" i="1"/>
  <c r="BW167" i="1"/>
  <c r="AY167" i="1"/>
  <c r="AJ169" i="1"/>
  <c r="V169" i="5"/>
  <c r="U169" i="5"/>
  <c r="AM169" i="1"/>
  <c r="AL169" i="1"/>
  <c r="AK169" i="1"/>
  <c r="BP169" i="3"/>
  <c r="BT169" i="3" s="1"/>
  <c r="AE169" i="1"/>
  <c r="AF169" i="1"/>
  <c r="AG169" i="1"/>
  <c r="O169" i="5"/>
  <c r="P169" i="5" s="1"/>
  <c r="H169" i="5"/>
  <c r="J169" i="5"/>
  <c r="I169" i="5"/>
  <c r="AC163" i="5"/>
  <c r="CE167" i="1"/>
  <c r="BI167" i="1"/>
  <c r="BL167" i="1" s="1"/>
  <c r="BC167" i="1"/>
  <c r="CJ167" i="1"/>
  <c r="CH167" i="1"/>
  <c r="BD167" i="3"/>
  <c r="BE167" i="3"/>
  <c r="BI167" i="3" s="1"/>
  <c r="F167" i="5" s="1"/>
  <c r="CI167" i="1"/>
  <c r="BC167" i="3"/>
  <c r="AU167" i="3"/>
  <c r="CC167" i="1"/>
  <c r="W167" i="5"/>
  <c r="AZ167" i="3"/>
  <c r="AN167" i="3"/>
  <c r="AO167" i="3" s="1"/>
  <c r="Z167" i="5" s="1"/>
  <c r="CB167" i="1"/>
  <c r="BN167" i="3" a="1"/>
  <c r="BN167" i="3" s="1"/>
  <c r="S167" i="1"/>
  <c r="T167" i="1" s="1"/>
  <c r="AQ167" i="3"/>
  <c r="BF167" i="3" s="1"/>
  <c r="AZ167" i="1"/>
  <c r="AR167" i="3"/>
  <c r="BH167" i="3" s="1"/>
  <c r="BP167" i="3" s="1"/>
  <c r="BT167" i="3" s="1"/>
  <c r="AX167" i="1"/>
  <c r="K167" i="5"/>
  <c r="L167" i="5" s="1"/>
  <c r="AB167" i="1"/>
  <c r="AA167" i="1"/>
  <c r="Z167" i="1"/>
  <c r="Y167" i="5"/>
  <c r="X167" i="5"/>
  <c r="AC167" i="5"/>
  <c r="Q167" i="1"/>
  <c r="BH167" i="1"/>
  <c r="K167" i="1"/>
  <c r="AP167" i="1"/>
  <c r="AB167" i="5" s="1"/>
  <c r="AV167" i="3"/>
  <c r="C123" i="3"/>
  <c r="C132" i="3"/>
  <c r="E164" i="3"/>
  <c r="J164" i="1" s="1"/>
  <c r="BW164" i="1" s="1"/>
  <c r="I2" i="1"/>
  <c r="I3" i="1"/>
  <c r="I4" i="1"/>
  <c r="I12" i="1"/>
  <c r="I13" i="1"/>
  <c r="I17" i="1"/>
  <c r="I18" i="1"/>
  <c r="I21" i="1"/>
  <c r="I22" i="1"/>
  <c r="I23" i="1"/>
  <c r="I24" i="1"/>
  <c r="I26" i="1"/>
  <c r="I27" i="1"/>
  <c r="I28" i="1"/>
  <c r="I33" i="1"/>
  <c r="I38" i="1"/>
  <c r="I42" i="1"/>
  <c r="I43" i="1"/>
  <c r="I45" i="1"/>
  <c r="I46" i="1"/>
  <c r="I47" i="1"/>
  <c r="I48" i="1"/>
  <c r="I49" i="1"/>
  <c r="I50" i="1"/>
  <c r="I53" i="1"/>
  <c r="I54" i="1"/>
  <c r="I56" i="1"/>
  <c r="I57" i="1"/>
  <c r="I62" i="1"/>
  <c r="I74" i="1"/>
  <c r="I76" i="1"/>
  <c r="I77" i="1"/>
  <c r="I78" i="1"/>
  <c r="I79" i="1"/>
  <c r="I80" i="1"/>
  <c r="I87" i="1"/>
  <c r="BM87" i="1" s="1"/>
  <c r="I88" i="1"/>
  <c r="BM88" i="1" s="1"/>
  <c r="I89" i="1"/>
  <c r="I90" i="1"/>
  <c r="I91" i="1"/>
  <c r="BM91" i="1" s="1"/>
  <c r="I96" i="1"/>
  <c r="I98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BM113" i="1" s="1"/>
  <c r="I114" i="1"/>
  <c r="I116" i="1"/>
  <c r="I119" i="1"/>
  <c r="I120" i="1"/>
  <c r="I121" i="1"/>
  <c r="I123" i="1"/>
  <c r="I124" i="1"/>
  <c r="I125" i="1"/>
  <c r="I126" i="1"/>
  <c r="I127" i="1"/>
  <c r="I135" i="1"/>
  <c r="I136" i="1"/>
  <c r="BM136" i="1" s="1"/>
  <c r="I137" i="1"/>
  <c r="I163" i="1"/>
  <c r="I164" i="1"/>
  <c r="I166" i="1"/>
  <c r="V164" i="3"/>
  <c r="U164" i="3"/>
  <c r="E62" i="3"/>
  <c r="J181" i="1" s="1"/>
  <c r="E60" i="3"/>
  <c r="E59" i="3"/>
  <c r="E58" i="3"/>
  <c r="E57" i="3"/>
  <c r="E56" i="3"/>
  <c r="E55" i="3"/>
  <c r="L204" i="5" l="1"/>
  <c r="R170" i="5"/>
  <c r="R199" i="5"/>
  <c r="M204" i="5"/>
  <c r="P170" i="5"/>
  <c r="R176" i="5"/>
  <c r="P176" i="5"/>
  <c r="Q199" i="5"/>
  <c r="P172" i="5"/>
  <c r="Q172" i="5"/>
  <c r="I174" i="5"/>
  <c r="I207" i="5"/>
  <c r="J174" i="5"/>
  <c r="P204" i="5"/>
  <c r="R204" i="5"/>
  <c r="P206" i="5"/>
  <c r="R206" i="5"/>
  <c r="Q206" i="5"/>
  <c r="M205" i="5"/>
  <c r="R180" i="5"/>
  <c r="Q180" i="5"/>
  <c r="Q168" i="5"/>
  <c r="R168" i="5"/>
  <c r="AG202" i="1"/>
  <c r="V173" i="5"/>
  <c r="AF202" i="1"/>
  <c r="AE202" i="1"/>
  <c r="R202" i="5"/>
  <c r="O203" i="5"/>
  <c r="AH203" i="1"/>
  <c r="AG203" i="1"/>
  <c r="AF203" i="1"/>
  <c r="AE203" i="1"/>
  <c r="Q202" i="5"/>
  <c r="AH202" i="1"/>
  <c r="P175" i="5"/>
  <c r="BR171" i="1"/>
  <c r="BW171" i="1" s="1"/>
  <c r="U173" i="5"/>
  <c r="BR173" i="1"/>
  <c r="BW173" i="1" s="1"/>
  <c r="R175" i="5"/>
  <c r="P200" i="5"/>
  <c r="Q200" i="5"/>
  <c r="R200" i="5"/>
  <c r="R198" i="5"/>
  <c r="Q198" i="5"/>
  <c r="BJ164" i="1"/>
  <c r="AY164" i="1"/>
  <c r="CG55" i="1"/>
  <c r="BJ55" i="1"/>
  <c r="AY55" i="1"/>
  <c r="CG56" i="1"/>
  <c r="BJ56" i="1"/>
  <c r="AY56" i="1"/>
  <c r="CG57" i="1"/>
  <c r="BJ57" i="1"/>
  <c r="AY57" i="1"/>
  <c r="CG58" i="1"/>
  <c r="AY58" i="1"/>
  <c r="BJ58" i="1"/>
  <c r="CG59" i="1"/>
  <c r="AY59" i="1"/>
  <c r="BJ59" i="1"/>
  <c r="CG60" i="1"/>
  <c r="BJ60" i="1"/>
  <c r="AY60" i="1"/>
  <c r="CG62" i="1"/>
  <c r="BJ62" i="1"/>
  <c r="CE181" i="1"/>
  <c r="AX181" i="1"/>
  <c r="CC181" i="1"/>
  <c r="AQ181" i="1" s="1"/>
  <c r="BS181" i="1" s="1"/>
  <c r="BO181" i="1"/>
  <c r="BQ181" i="1" s="1"/>
  <c r="BN181" i="1" s="1"/>
  <c r="CJ181" i="1"/>
  <c r="BI181" i="1"/>
  <c r="BL181" i="1" s="1"/>
  <c r="S181" i="1"/>
  <c r="CG181" i="1"/>
  <c r="CF181" i="1"/>
  <c r="CB181" i="1"/>
  <c r="O181" i="1"/>
  <c r="BC181" i="1"/>
  <c r="N181" i="1"/>
  <c r="AY62" i="1"/>
  <c r="BJ181" i="1"/>
  <c r="AZ181" i="1"/>
  <c r="AY181" i="1"/>
  <c r="CH181" i="1"/>
  <c r="CI181" i="1"/>
  <c r="Y181" i="5"/>
  <c r="K181" i="1"/>
  <c r="BE181" i="1"/>
  <c r="X181" i="5"/>
  <c r="AP181" i="1"/>
  <c r="AB181" i="5" s="1"/>
  <c r="W181" i="5"/>
  <c r="BH181" i="1"/>
  <c r="BD181" i="1"/>
  <c r="AC181" i="5"/>
  <c r="R177" i="5"/>
  <c r="Q177" i="5"/>
  <c r="Q179" i="5"/>
  <c r="P179" i="5"/>
  <c r="R178" i="5"/>
  <c r="BW178" i="1"/>
  <c r="BW172" i="1"/>
  <c r="BW176" i="1"/>
  <c r="BW175" i="1"/>
  <c r="BK167" i="1"/>
  <c r="BZ167" i="1"/>
  <c r="CA167" i="1" s="1"/>
  <c r="BR177" i="1"/>
  <c r="Q178" i="5"/>
  <c r="T177" i="5"/>
  <c r="U177" i="5"/>
  <c r="V177" i="5"/>
  <c r="R169" i="5"/>
  <c r="Q169" i="5"/>
  <c r="BM167" i="3"/>
  <c r="E167" i="5"/>
  <c r="BR167" i="3"/>
  <c r="AN167" i="1"/>
  <c r="AD167" i="1"/>
  <c r="O167" i="5" s="1"/>
  <c r="Q167" i="5" s="1"/>
  <c r="U167" i="1"/>
  <c r="BQ167" i="3"/>
  <c r="D167" i="5" s="1"/>
  <c r="AQ167" i="1"/>
  <c r="BS167" i="1" s="1"/>
  <c r="Y164" i="5"/>
  <c r="CG164" i="1"/>
  <c r="AC164" i="5"/>
  <c r="W167" i="1"/>
  <c r="W164" i="5"/>
  <c r="X164" i="5"/>
  <c r="AA167" i="5"/>
  <c r="N167" i="5"/>
  <c r="V167" i="1"/>
  <c r="G167" i="5"/>
  <c r="I167" i="5" s="1"/>
  <c r="BJ167" i="3"/>
  <c r="AI167" i="1"/>
  <c r="BL167" i="3"/>
  <c r="M167" i="5"/>
  <c r="AS167" i="3"/>
  <c r="R167" i="1"/>
  <c r="BF167" i="1"/>
  <c r="BG167" i="1"/>
  <c r="BP167" i="1" s="1" a="1"/>
  <c r="BP167" i="1" s="1"/>
  <c r="CD167" i="1"/>
  <c r="BU167" i="1"/>
  <c r="V165" i="3"/>
  <c r="G166" i="3"/>
  <c r="E24" i="3"/>
  <c r="E23" i="3"/>
  <c r="E166" i="3"/>
  <c r="BS166" i="3"/>
  <c r="BO166" i="3"/>
  <c r="BK166" i="3"/>
  <c r="BG166" i="3"/>
  <c r="BB166" i="3"/>
  <c r="BA166" i="3"/>
  <c r="AX166" i="3"/>
  <c r="AW166" i="3"/>
  <c r="C166" i="3"/>
  <c r="AY166" i="3" s="1"/>
  <c r="C36" i="9"/>
  <c r="D36" i="9"/>
  <c r="E36" i="9"/>
  <c r="G165" i="3"/>
  <c r="E165" i="3"/>
  <c r="O165" i="1" s="1"/>
  <c r="BS165" i="3"/>
  <c r="BO165" i="3"/>
  <c r="BK165" i="3"/>
  <c r="BG165" i="3"/>
  <c r="BB165" i="3"/>
  <c r="BA165" i="3"/>
  <c r="AY165" i="3"/>
  <c r="AX165" i="3"/>
  <c r="AW165" i="3"/>
  <c r="AP165" i="3"/>
  <c r="AM165" i="3"/>
  <c r="L165" i="3"/>
  <c r="I165" i="1" s="1"/>
  <c r="J165" i="3"/>
  <c r="AV165" i="1" s="1"/>
  <c r="F165" i="3"/>
  <c r="AS165" i="1" s="1"/>
  <c r="E35" i="9"/>
  <c r="D35" i="9"/>
  <c r="C35" i="9"/>
  <c r="F164" i="3"/>
  <c r="BS164" i="3"/>
  <c r="BO164" i="3"/>
  <c r="BK164" i="3"/>
  <c r="BG164" i="3"/>
  <c r="BB164" i="3"/>
  <c r="BA164" i="3"/>
  <c r="AX164" i="3"/>
  <c r="AP164" i="3"/>
  <c r="BE164" i="3" s="1"/>
  <c r="E164" i="5" s="1"/>
  <c r="AV164" i="3"/>
  <c r="AW164" i="3"/>
  <c r="J164" i="3"/>
  <c r="AN164" i="3"/>
  <c r="L25" i="3"/>
  <c r="I25" i="1" s="1"/>
  <c r="G25" i="3"/>
  <c r="G163" i="3"/>
  <c r="BS163" i="3"/>
  <c r="BO163" i="3"/>
  <c r="BN163" i="3" a="1"/>
  <c r="BN163" i="3" s="1"/>
  <c r="BK163" i="3"/>
  <c r="BG163" i="3"/>
  <c r="BD163" i="3"/>
  <c r="BB163" i="3"/>
  <c r="BA163" i="3"/>
  <c r="AY163" i="3"/>
  <c r="AX163" i="3"/>
  <c r="AW163" i="3"/>
  <c r="AR163" i="3"/>
  <c r="BH163" i="3" s="1"/>
  <c r="AQ163" i="3"/>
  <c r="BF163" i="3" s="1"/>
  <c r="AP163" i="3"/>
  <c r="BE163" i="3" s="1"/>
  <c r="E163" i="5" s="1"/>
  <c r="AN163" i="3"/>
  <c r="AM163" i="3"/>
  <c r="BY166" i="1"/>
  <c r="BV166" i="1"/>
  <c r="BT166" i="1"/>
  <c r="AW166" i="1" s="1"/>
  <c r="BB166" i="1"/>
  <c r="AV166" i="1"/>
  <c r="AS166" i="1"/>
  <c r="AR166" i="1"/>
  <c r="AO166" i="1"/>
  <c r="J166" i="1" s="1"/>
  <c r="AC166" i="1"/>
  <c r="P166" i="1"/>
  <c r="CA166" i="1" s="1"/>
  <c r="A166" i="1"/>
  <c r="BY165" i="1"/>
  <c r="BV165" i="1"/>
  <c r="BT165" i="1"/>
  <c r="AW165" i="1" s="1"/>
  <c r="BB165" i="1"/>
  <c r="AR165" i="1"/>
  <c r="AO165" i="1"/>
  <c r="AC165" i="1"/>
  <c r="X165" i="1"/>
  <c r="P165" i="1"/>
  <c r="CA165" i="1" s="1"/>
  <c r="A165" i="1"/>
  <c r="CJ164" i="1"/>
  <c r="CI164" i="1"/>
  <c r="CH164" i="1"/>
  <c r="CF164" i="1"/>
  <c r="CE164" i="1"/>
  <c r="CC164" i="1"/>
  <c r="CB164" i="1"/>
  <c r="BY164" i="1"/>
  <c r="BV164" i="1"/>
  <c r="BT164" i="1"/>
  <c r="AW164" i="1" s="1"/>
  <c r="BO164" i="1"/>
  <c r="BI164" i="1"/>
  <c r="BL164" i="1" s="1"/>
  <c r="BC164" i="1"/>
  <c r="BB164" i="1"/>
  <c r="AX164" i="1"/>
  <c r="AV164" i="1"/>
  <c r="AS164" i="1"/>
  <c r="AR164" i="1"/>
  <c r="AO164" i="1"/>
  <c r="AC164" i="1"/>
  <c r="X164" i="1"/>
  <c r="P164" i="1"/>
  <c r="CA164" i="1" s="1"/>
  <c r="O164" i="1"/>
  <c r="N164" i="1"/>
  <c r="A164" i="1"/>
  <c r="A164" i="5" s="1"/>
  <c r="CJ163" i="1"/>
  <c r="CI163" i="1"/>
  <c r="CH163" i="1"/>
  <c r="CF163" i="1"/>
  <c r="CE163" i="1"/>
  <c r="CC163" i="1"/>
  <c r="CB163" i="1"/>
  <c r="BY163" i="1"/>
  <c r="BV163" i="1"/>
  <c r="BT163" i="1"/>
  <c r="AW163" i="1" s="1"/>
  <c r="BO163" i="1"/>
  <c r="BI163" i="1"/>
  <c r="BL163" i="1" s="1"/>
  <c r="BC163" i="1"/>
  <c r="BB163" i="1"/>
  <c r="AZ163" i="1"/>
  <c r="AX163" i="1"/>
  <c r="AV163" i="1"/>
  <c r="AS163" i="1"/>
  <c r="AR163" i="1"/>
  <c r="AO163" i="1"/>
  <c r="J163" i="1" s="1"/>
  <c r="AC163" i="1"/>
  <c r="X163" i="1"/>
  <c r="S163" i="1"/>
  <c r="P163" i="1"/>
  <c r="CA163" i="1" s="1"/>
  <c r="O163" i="1"/>
  <c r="N163" i="1"/>
  <c r="A163" i="1"/>
  <c r="C34" i="9"/>
  <c r="D34" i="9"/>
  <c r="E34" i="9"/>
  <c r="BY162" i="1"/>
  <c r="BV162" i="1"/>
  <c r="BT162" i="1"/>
  <c r="AW162" i="1" s="1"/>
  <c r="BB162" i="1"/>
  <c r="AR162" i="1"/>
  <c r="AO162" i="1"/>
  <c r="AC162" i="1"/>
  <c r="X162" i="1"/>
  <c r="P162" i="1"/>
  <c r="CA162" i="1" s="1"/>
  <c r="A162" i="1"/>
  <c r="A162" i="5" s="1"/>
  <c r="G162" i="3"/>
  <c r="E162" i="3"/>
  <c r="BS162" i="3"/>
  <c r="BO162" i="3"/>
  <c r="BK162" i="3"/>
  <c r="BG162" i="3"/>
  <c r="BB162" i="3"/>
  <c r="BA162" i="3"/>
  <c r="AY162" i="3"/>
  <c r="AX162" i="3"/>
  <c r="AW162" i="3"/>
  <c r="AP162" i="3"/>
  <c r="AM162" i="3"/>
  <c r="L162" i="3"/>
  <c r="I162" i="1" s="1"/>
  <c r="J162" i="3"/>
  <c r="AV162" i="1" s="1"/>
  <c r="F162" i="3"/>
  <c r="AS162" i="1" s="1"/>
  <c r="B161" i="5"/>
  <c r="C161" i="5"/>
  <c r="BY161" i="1"/>
  <c r="BV161" i="1"/>
  <c r="BT161" i="1"/>
  <c r="AW161" i="1" s="1"/>
  <c r="BB161" i="1"/>
  <c r="AV161" i="1"/>
  <c r="AS161" i="1"/>
  <c r="AR161" i="1"/>
  <c r="AC161" i="1"/>
  <c r="X161" i="1"/>
  <c r="AA161" i="1" s="1"/>
  <c r="P161" i="1"/>
  <c r="CA161" i="1" s="1"/>
  <c r="A161" i="1"/>
  <c r="CI165" i="1" l="1"/>
  <c r="AP166" i="3"/>
  <c r="AO163" i="3"/>
  <c r="CJ165" i="1"/>
  <c r="J165" i="1"/>
  <c r="AZ165" i="1" s="1"/>
  <c r="J162" i="1"/>
  <c r="P203" i="5"/>
  <c r="Q203" i="5"/>
  <c r="R203" i="5"/>
  <c r="BC165" i="1"/>
  <c r="CG162" i="1"/>
  <c r="BJ162" i="1"/>
  <c r="AY162" i="1"/>
  <c r="BJ166" i="1"/>
  <c r="AY166" i="1"/>
  <c r="CG23" i="1"/>
  <c r="AY23" i="1"/>
  <c r="BJ23" i="1"/>
  <c r="BI165" i="1"/>
  <c r="BL165" i="1" s="1"/>
  <c r="CG24" i="1"/>
  <c r="BJ24" i="1"/>
  <c r="AY24" i="1"/>
  <c r="BO165" i="1"/>
  <c r="W181" i="1"/>
  <c r="G181" i="5"/>
  <c r="U181" i="1"/>
  <c r="T181" i="1"/>
  <c r="V181" i="1"/>
  <c r="BF181" i="1"/>
  <c r="CD181" i="1"/>
  <c r="BU181" i="1"/>
  <c r="BG181" i="1"/>
  <c r="BP181" i="1" s="1" a="1"/>
  <c r="BP181" i="1" s="1"/>
  <c r="CG165" i="1"/>
  <c r="BJ165" i="1"/>
  <c r="AY165" i="1"/>
  <c r="BK181" i="1"/>
  <c r="AN181" i="1"/>
  <c r="BZ181" i="1"/>
  <c r="BW177" i="1"/>
  <c r="BK163" i="1"/>
  <c r="BZ163" i="1"/>
  <c r="BK164" i="1"/>
  <c r="BZ164" i="1"/>
  <c r="AP164" i="1"/>
  <c r="AB164" i="5" s="1"/>
  <c r="BD164" i="1"/>
  <c r="BE164" i="1"/>
  <c r="BD165" i="1"/>
  <c r="BE165" i="1"/>
  <c r="BD162" i="1"/>
  <c r="BE162" i="1"/>
  <c r="BD163" i="1"/>
  <c r="BE163" i="1"/>
  <c r="BD166" i="1"/>
  <c r="BE166" i="1"/>
  <c r="A165" i="5"/>
  <c r="A163" i="5"/>
  <c r="A166" i="5"/>
  <c r="J167" i="5"/>
  <c r="S167" i="5"/>
  <c r="T167" i="5" s="1"/>
  <c r="AJ167" i="1"/>
  <c r="AG167" i="1"/>
  <c r="AF167" i="1"/>
  <c r="CB165" i="1"/>
  <c r="CC165" i="1"/>
  <c r="AQ165" i="1" s="1"/>
  <c r="BS165" i="1" s="1"/>
  <c r="AX165" i="1"/>
  <c r="CE165" i="1"/>
  <c r="CF165" i="1"/>
  <c r="N165" i="1"/>
  <c r="CH165" i="1"/>
  <c r="S165" i="1"/>
  <c r="U165" i="1" s="1"/>
  <c r="P167" i="5"/>
  <c r="R167" i="5"/>
  <c r="AE167" i="1"/>
  <c r="BE165" i="3"/>
  <c r="E165" i="5" s="1"/>
  <c r="AH167" i="1"/>
  <c r="CC166" i="1"/>
  <c r="CG166" i="1"/>
  <c r="BO166" i="1"/>
  <c r="BQ166" i="1" s="1"/>
  <c r="BN166" i="1" s="1"/>
  <c r="S166" i="1"/>
  <c r="U166" i="1" s="1"/>
  <c r="CB166" i="1"/>
  <c r="BN166" i="3" a="1"/>
  <c r="BN166" i="3" s="1"/>
  <c r="BR166" i="3" s="1"/>
  <c r="BC166" i="3"/>
  <c r="W166" i="5"/>
  <c r="AC166" i="5"/>
  <c r="Y166" i="5"/>
  <c r="X166" i="5"/>
  <c r="AX166" i="1"/>
  <c r="CE166" i="1"/>
  <c r="AI162" i="1"/>
  <c r="AL162" i="1" s="1"/>
  <c r="BC162" i="3"/>
  <c r="W162" i="5"/>
  <c r="AC162" i="5"/>
  <c r="Y162" i="5"/>
  <c r="X162" i="5"/>
  <c r="CF166" i="1"/>
  <c r="BE166" i="3"/>
  <c r="E166" i="5" s="1"/>
  <c r="AL167" i="1"/>
  <c r="BC163" i="3"/>
  <c r="N166" i="1"/>
  <c r="BC166" i="1"/>
  <c r="CH166" i="1"/>
  <c r="BC164" i="3"/>
  <c r="O166" i="1"/>
  <c r="BI166" i="1"/>
  <c r="BL166" i="1" s="1"/>
  <c r="CI166" i="1"/>
  <c r="CJ166" i="1"/>
  <c r="H167" i="5"/>
  <c r="AN165" i="3"/>
  <c r="AO165" i="3" s="1"/>
  <c r="BC165" i="3"/>
  <c r="W165" i="5"/>
  <c r="AC165" i="5"/>
  <c r="Y165" i="5"/>
  <c r="X165" i="5"/>
  <c r="AK167" i="1"/>
  <c r="AM167" i="1"/>
  <c r="AA163" i="1"/>
  <c r="K163" i="5"/>
  <c r="AA162" i="1"/>
  <c r="K162" i="5"/>
  <c r="AA164" i="1"/>
  <c r="K164" i="5"/>
  <c r="AA165" i="1"/>
  <c r="K165" i="5"/>
  <c r="W163" i="1"/>
  <c r="G163" i="5"/>
  <c r="BO162" i="1"/>
  <c r="BQ162" i="1" s="1"/>
  <c r="BN162" i="1" s="1"/>
  <c r="BD166" i="3"/>
  <c r="AN166" i="3"/>
  <c r="AO166" i="3" s="1"/>
  <c r="CH162" i="1"/>
  <c r="AM166" i="3"/>
  <c r="AQ166" i="3"/>
  <c r="BF166" i="3" s="1"/>
  <c r="CI162" i="1"/>
  <c r="AV162" i="3"/>
  <c r="AV165" i="3"/>
  <c r="A161" i="5"/>
  <c r="AU166" i="3"/>
  <c r="BQ165" i="1"/>
  <c r="BN165" i="1" s="1"/>
  <c r="AN162" i="3"/>
  <c r="AO162" i="3" s="1"/>
  <c r="Z162" i="5" s="1"/>
  <c r="CC162" i="1"/>
  <c r="CB162" i="1"/>
  <c r="CE162" i="1"/>
  <c r="BE162" i="3"/>
  <c r="E162" i="5" s="1"/>
  <c r="O162" i="1"/>
  <c r="BC162" i="1"/>
  <c r="CF162" i="1"/>
  <c r="AX162" i="1"/>
  <c r="N162" i="1"/>
  <c r="BI162" i="1"/>
  <c r="BL162" i="1" s="1"/>
  <c r="CJ162" i="1"/>
  <c r="Q163" i="1"/>
  <c r="R163" i="1" s="1"/>
  <c r="AS163" i="3"/>
  <c r="AR166" i="3"/>
  <c r="AS166" i="3" s="1"/>
  <c r="AV166" i="3"/>
  <c r="Q166" i="1"/>
  <c r="X166" i="1"/>
  <c r="AQ165" i="3"/>
  <c r="BF165" i="3" s="1"/>
  <c r="AR165" i="3"/>
  <c r="BH165" i="3" s="1"/>
  <c r="BN165" i="3" a="1"/>
  <c r="BN165" i="3" s="1"/>
  <c r="BR165" i="3" s="1"/>
  <c r="BD165" i="3"/>
  <c r="BQ164" i="1"/>
  <c r="BN164" i="1" s="1"/>
  <c r="BI164" i="3"/>
  <c r="F164" i="5" s="1"/>
  <c r="AQ164" i="3"/>
  <c r="AR164" i="3"/>
  <c r="BH164" i="3" s="1"/>
  <c r="BN164" i="3" a="1"/>
  <c r="BN164" i="3" s="1"/>
  <c r="BD164" i="3"/>
  <c r="AM164" i="3"/>
  <c r="BQ164" i="3" s="1"/>
  <c r="D164" i="5" s="1"/>
  <c r="AY164" i="3"/>
  <c r="Q164" i="1" s="1"/>
  <c r="BQ163" i="1"/>
  <c r="BN163" i="1" s="1"/>
  <c r="BI163" i="3"/>
  <c r="F163" i="5" s="1"/>
  <c r="BQ163" i="3"/>
  <c r="D163" i="5" s="1"/>
  <c r="BR163" i="3"/>
  <c r="BM163" i="3"/>
  <c r="BP163" i="3"/>
  <c r="BT163" i="3" s="1"/>
  <c r="AZ163" i="3"/>
  <c r="Z162" i="1"/>
  <c r="V163" i="3"/>
  <c r="AB162" i="1"/>
  <c r="AN163" i="1"/>
  <c r="AB165" i="1"/>
  <c r="AB164" i="1"/>
  <c r="Z164" i="1"/>
  <c r="AN164" i="1"/>
  <c r="AB163" i="1"/>
  <c r="AQ163" i="1"/>
  <c r="BS163" i="1" s="1"/>
  <c r="AP166" i="1"/>
  <c r="AB166" i="5" s="1"/>
  <c r="AZ166" i="1"/>
  <c r="K166" i="1"/>
  <c r="AI166" i="1"/>
  <c r="BH166" i="1"/>
  <c r="AP165" i="1"/>
  <c r="AB165" i="5" s="1"/>
  <c r="K165" i="1"/>
  <c r="AI165" i="1"/>
  <c r="BH165" i="1"/>
  <c r="Y165" i="1"/>
  <c r="Q165" i="1"/>
  <c r="Z165" i="1"/>
  <c r="AQ164" i="1"/>
  <c r="BS164" i="1" s="1"/>
  <c r="AZ164" i="1"/>
  <c r="K164" i="1"/>
  <c r="AI164" i="1"/>
  <c r="BH164" i="1"/>
  <c r="Y164" i="1"/>
  <c r="AP163" i="1"/>
  <c r="AB163" i="5" s="1"/>
  <c r="T163" i="1"/>
  <c r="U163" i="1"/>
  <c r="V163" i="1"/>
  <c r="K163" i="1"/>
  <c r="AI163" i="1"/>
  <c r="AJ163" i="1" s="1"/>
  <c r="BH163" i="1"/>
  <c r="Y163" i="1"/>
  <c r="Z163" i="1"/>
  <c r="Q162" i="1"/>
  <c r="R162" i="1" s="1"/>
  <c r="K162" i="1"/>
  <c r="BH162" i="1"/>
  <c r="AP162" i="1"/>
  <c r="AB162" i="5" s="1"/>
  <c r="Y162" i="1"/>
  <c r="AQ162" i="3"/>
  <c r="BF162" i="3" s="1"/>
  <c r="AR162" i="3"/>
  <c r="BH162" i="3" s="1"/>
  <c r="BN162" i="3" a="1"/>
  <c r="BN162" i="3" s="1"/>
  <c r="BD162" i="3"/>
  <c r="K161" i="5"/>
  <c r="N161" i="5" s="1"/>
  <c r="AB161" i="1"/>
  <c r="Z161" i="1"/>
  <c r="Y161" i="1"/>
  <c r="C161" i="3"/>
  <c r="AO161" i="1" s="1"/>
  <c r="J161" i="1" s="1"/>
  <c r="E161" i="3"/>
  <c r="BS161" i="3"/>
  <c r="BO161" i="3"/>
  <c r="BK161" i="3"/>
  <c r="BG161" i="3"/>
  <c r="BA161" i="3"/>
  <c r="AX161" i="3"/>
  <c r="AP161" i="3"/>
  <c r="AW161" i="3"/>
  <c r="E63" i="3"/>
  <c r="E64" i="3"/>
  <c r="V37" i="3"/>
  <c r="AY161" i="3" l="1"/>
  <c r="BI166" i="3"/>
  <c r="F166" i="5" s="1"/>
  <c r="BQ166" i="3"/>
  <c r="D166" i="5" s="1"/>
  <c r="CG64" i="1"/>
  <c r="BJ64" i="1"/>
  <c r="AY64" i="1"/>
  <c r="CG63" i="1"/>
  <c r="BJ63" i="1"/>
  <c r="AY63" i="1"/>
  <c r="H181" i="5"/>
  <c r="J181" i="5"/>
  <c r="I181" i="5"/>
  <c r="CG161" i="1"/>
  <c r="BJ161" i="1"/>
  <c r="AY161" i="1"/>
  <c r="BK165" i="1"/>
  <c r="BZ165" i="1"/>
  <c r="BK162" i="1"/>
  <c r="BZ162" i="1"/>
  <c r="BK166" i="1"/>
  <c r="BZ166" i="1"/>
  <c r="AN165" i="1"/>
  <c r="AN166" i="1"/>
  <c r="CD161" i="1"/>
  <c r="BD161" i="1"/>
  <c r="BE161" i="1"/>
  <c r="AT166" i="3"/>
  <c r="BQ165" i="3"/>
  <c r="D165" i="5" s="1"/>
  <c r="BI165" i="3"/>
  <c r="F165" i="5" s="1"/>
  <c r="T166" i="1"/>
  <c r="AQ166" i="1"/>
  <c r="BS166" i="1" s="1"/>
  <c r="U167" i="5"/>
  <c r="V167" i="5"/>
  <c r="W165" i="1"/>
  <c r="BI162" i="3"/>
  <c r="F162" i="5" s="1"/>
  <c r="AK162" i="1"/>
  <c r="AM162" i="1"/>
  <c r="G166" i="5"/>
  <c r="J166" i="5" s="1"/>
  <c r="W166" i="1"/>
  <c r="AN162" i="1"/>
  <c r="T165" i="1"/>
  <c r="V166" i="1"/>
  <c r="V165" i="1"/>
  <c r="G165" i="5"/>
  <c r="J165" i="5" s="1"/>
  <c r="S162" i="5"/>
  <c r="T162" i="5" s="1"/>
  <c r="AJ162" i="1"/>
  <c r="S166" i="5"/>
  <c r="V166" i="5" s="1"/>
  <c r="AJ166" i="1"/>
  <c r="S164" i="5"/>
  <c r="T164" i="5" s="1"/>
  <c r="AJ164" i="1"/>
  <c r="S165" i="5"/>
  <c r="V165" i="5" s="1"/>
  <c r="AJ165" i="1"/>
  <c r="BM166" i="3"/>
  <c r="BQ162" i="3"/>
  <c r="D162" i="5" s="1"/>
  <c r="Z165" i="5"/>
  <c r="AA165" i="5"/>
  <c r="S163" i="5"/>
  <c r="T163" i="5" s="1"/>
  <c r="AV161" i="3"/>
  <c r="AA162" i="5"/>
  <c r="BC161" i="3"/>
  <c r="BJ166" i="3"/>
  <c r="M162" i="5"/>
  <c r="L162" i="5"/>
  <c r="N162" i="5"/>
  <c r="N164" i="5"/>
  <c r="M164" i="5"/>
  <c r="L164" i="5"/>
  <c r="H163" i="5"/>
  <c r="I163" i="5"/>
  <c r="J163" i="5"/>
  <c r="M163" i="5"/>
  <c r="N163" i="5"/>
  <c r="L163" i="5"/>
  <c r="M165" i="5"/>
  <c r="N165" i="5"/>
  <c r="L165" i="5"/>
  <c r="AA166" i="1"/>
  <c r="K166" i="5"/>
  <c r="BR162" i="3"/>
  <c r="Q161" i="1"/>
  <c r="R161" i="1" s="1"/>
  <c r="AU161" i="3"/>
  <c r="BH161" i="1"/>
  <c r="BB161" i="3"/>
  <c r="AQ162" i="1"/>
  <c r="BS162" i="1" s="1"/>
  <c r="AD164" i="1"/>
  <c r="AD166" i="1"/>
  <c r="AD162" i="1"/>
  <c r="BN161" i="3" a="1"/>
  <c r="BN161" i="3" s="1"/>
  <c r="K161" i="1"/>
  <c r="BE161" i="3"/>
  <c r="E161" i="5" s="1"/>
  <c r="AC161" i="5"/>
  <c r="CJ161" i="1"/>
  <c r="BO161" i="1"/>
  <c r="BQ161" i="1" s="1"/>
  <c r="BN161" i="1" s="1"/>
  <c r="BI161" i="1"/>
  <c r="BL161" i="1" s="1"/>
  <c r="S161" i="1"/>
  <c r="BC161" i="1"/>
  <c r="W161" i="5"/>
  <c r="N161" i="1"/>
  <c r="CF161" i="1"/>
  <c r="CE161" i="1"/>
  <c r="O161" i="1"/>
  <c r="CC161" i="1"/>
  <c r="AQ161" i="1" s="1"/>
  <c r="BS161" i="1" s="1"/>
  <c r="X161" i="5"/>
  <c r="CI161" i="1"/>
  <c r="AZ161" i="1"/>
  <c r="CB161" i="1"/>
  <c r="CH161" i="1"/>
  <c r="Y161" i="5"/>
  <c r="AX161" i="1"/>
  <c r="AR161" i="3"/>
  <c r="AZ161" i="3" s="1"/>
  <c r="AP161" i="1"/>
  <c r="AB161" i="5" s="1"/>
  <c r="AQ161" i="3"/>
  <c r="S162" i="1"/>
  <c r="BH166" i="3"/>
  <c r="AZ166" i="3"/>
  <c r="R166" i="1"/>
  <c r="Z166" i="1"/>
  <c r="Y166" i="1"/>
  <c r="AB166" i="1"/>
  <c r="AS165" i="3"/>
  <c r="AZ165" i="3"/>
  <c r="BL165" i="3" s="1"/>
  <c r="AD165" i="1"/>
  <c r="BP165" i="3"/>
  <c r="BT165" i="3" s="1"/>
  <c r="BM165" i="3"/>
  <c r="BJ165" i="3"/>
  <c r="R165" i="1"/>
  <c r="BF164" i="3"/>
  <c r="BR164" i="3" s="1"/>
  <c r="S164" i="1"/>
  <c r="AS164" i="3"/>
  <c r="AZ164" i="3"/>
  <c r="BL164" i="3" s="1"/>
  <c r="BP164" i="3"/>
  <c r="BT164" i="3" s="1"/>
  <c r="R164" i="1"/>
  <c r="AO164" i="3"/>
  <c r="AV163" i="3"/>
  <c r="AD163" i="1" s="1"/>
  <c r="O163" i="5" s="1"/>
  <c r="BL163" i="3"/>
  <c r="BU166" i="1"/>
  <c r="CD166" i="1"/>
  <c r="BF166" i="1"/>
  <c r="BG166" i="1" s="1"/>
  <c r="BP166" i="1" s="1" a="1"/>
  <c r="BP166" i="1" s="1"/>
  <c r="AM166" i="1"/>
  <c r="AL166" i="1"/>
  <c r="AK166" i="1"/>
  <c r="AM165" i="1"/>
  <c r="AL165" i="1"/>
  <c r="AK165" i="1"/>
  <c r="BU165" i="1"/>
  <c r="BF165" i="1"/>
  <c r="BG165" i="1" s="1"/>
  <c r="BP165" i="1" s="1" a="1"/>
  <c r="BP165" i="1" s="1"/>
  <c r="CD165" i="1"/>
  <c r="AM164" i="1"/>
  <c r="AL164" i="1"/>
  <c r="AK164" i="1"/>
  <c r="BU164" i="1"/>
  <c r="CD164" i="1"/>
  <c r="BF164" i="1"/>
  <c r="BG164" i="1" s="1"/>
  <c r="BP164" i="1" s="1" a="1"/>
  <c r="BP164" i="1" s="1"/>
  <c r="BU163" i="1"/>
  <c r="CD163" i="1"/>
  <c r="BG163" i="1"/>
  <c r="BP163" i="1" s="1" a="1"/>
  <c r="BP163" i="1" s="1"/>
  <c r="BF163" i="1"/>
  <c r="AM163" i="1"/>
  <c r="AL163" i="1"/>
  <c r="AK163" i="1"/>
  <c r="AZ162" i="1"/>
  <c r="BU162" i="1"/>
  <c r="CD162" i="1"/>
  <c r="BG162" i="1"/>
  <c r="BP162" i="1" s="1" a="1"/>
  <c r="BP162" i="1" s="1"/>
  <c r="BF162" i="1"/>
  <c r="AS162" i="3"/>
  <c r="AZ162" i="3"/>
  <c r="BL162" i="3" s="1"/>
  <c r="M161" i="5"/>
  <c r="L161" i="5"/>
  <c r="BP162" i="3"/>
  <c r="BT162" i="3" s="1"/>
  <c r="BJ162" i="3"/>
  <c r="BM162" i="3"/>
  <c r="BD161" i="3"/>
  <c r="L161" i="3"/>
  <c r="I161" i="1" s="1"/>
  <c r="AM161" i="3"/>
  <c r="AS3" i="1"/>
  <c r="AS4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9" i="1"/>
  <c r="AS30" i="1"/>
  <c r="AS31" i="1"/>
  <c r="AS35" i="1"/>
  <c r="AS36" i="1"/>
  <c r="AS37" i="1"/>
  <c r="AS38" i="1"/>
  <c r="AS39" i="1"/>
  <c r="AS40" i="1"/>
  <c r="AS42" i="1"/>
  <c r="AS43" i="1"/>
  <c r="AS45" i="1"/>
  <c r="AS46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2" i="1"/>
  <c r="AS74" i="1"/>
  <c r="AS75" i="1"/>
  <c r="AS76" i="1"/>
  <c r="AS77" i="1"/>
  <c r="AS78" i="1"/>
  <c r="AS81" i="1"/>
  <c r="AS82" i="1"/>
  <c r="AS83" i="1"/>
  <c r="AS84" i="1"/>
  <c r="AS85" i="1"/>
  <c r="AS86" i="1"/>
  <c r="AS87" i="1"/>
  <c r="AS88" i="1"/>
  <c r="AS89" i="1"/>
  <c r="AS93" i="1"/>
  <c r="AS94" i="1"/>
  <c r="AS96" i="1"/>
  <c r="AS97" i="1"/>
  <c r="AS98" i="1"/>
  <c r="AS99" i="1"/>
  <c r="AS100" i="1"/>
  <c r="AS101" i="1"/>
  <c r="AS102" i="1"/>
  <c r="AS109" i="1"/>
  <c r="AS110" i="1"/>
  <c r="AS111" i="1"/>
  <c r="AS112" i="1"/>
  <c r="AS114" i="1"/>
  <c r="AS115" i="1"/>
  <c r="AS116" i="1"/>
  <c r="AS117" i="1"/>
  <c r="AS119" i="1"/>
  <c r="AS120" i="1"/>
  <c r="AS121" i="1"/>
  <c r="AS123" i="1"/>
  <c r="AS128" i="1"/>
  <c r="AS130" i="1"/>
  <c r="AS131" i="1"/>
  <c r="AS132" i="1"/>
  <c r="AS133" i="1"/>
  <c r="AS134" i="1"/>
  <c r="AS135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6" i="1"/>
  <c r="AR127" i="1"/>
  <c r="AR128" i="1"/>
  <c r="AR129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2" i="1"/>
  <c r="AV3" i="1"/>
  <c r="AV4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3" i="1"/>
  <c r="AV94" i="1"/>
  <c r="AV95" i="1"/>
  <c r="AV96" i="1"/>
  <c r="AV97" i="1"/>
  <c r="AV98" i="1"/>
  <c r="AV99" i="1"/>
  <c r="AV100" i="1"/>
  <c r="AV101" i="1"/>
  <c r="AV102" i="1"/>
  <c r="AV109" i="1"/>
  <c r="AV110" i="1"/>
  <c r="AV111" i="1"/>
  <c r="AV112" i="1"/>
  <c r="AV114" i="1"/>
  <c r="AV115" i="1"/>
  <c r="AV116" i="1"/>
  <c r="AV117" i="1"/>
  <c r="AV119" i="1"/>
  <c r="AV120" i="1"/>
  <c r="AV121" i="1"/>
  <c r="AV123" i="1"/>
  <c r="AV125" i="1"/>
  <c r="AV128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2" i="1"/>
  <c r="BO3" i="3"/>
  <c r="BO4" i="3"/>
  <c r="BO5" i="3"/>
  <c r="BO6" i="3"/>
  <c r="BO7" i="3"/>
  <c r="BO8" i="3"/>
  <c r="BO9" i="3"/>
  <c r="BO10" i="3"/>
  <c r="BO11" i="3"/>
  <c r="BO12" i="3"/>
  <c r="BO13" i="3"/>
  <c r="BO14" i="3"/>
  <c r="BO15" i="3"/>
  <c r="BO16" i="3"/>
  <c r="BO17" i="3"/>
  <c r="BO18" i="3"/>
  <c r="BO19" i="3"/>
  <c r="BO20" i="3"/>
  <c r="BO21" i="3"/>
  <c r="BO22" i="3"/>
  <c r="BO23" i="3"/>
  <c r="BO24" i="3"/>
  <c r="BO28" i="3"/>
  <c r="BO30" i="3"/>
  <c r="BO31" i="3"/>
  <c r="BO32" i="3"/>
  <c r="BO33" i="3"/>
  <c r="BO34" i="3"/>
  <c r="BO35" i="3"/>
  <c r="BO36" i="3"/>
  <c r="BO37" i="3"/>
  <c r="BO38" i="3"/>
  <c r="BO39" i="3"/>
  <c r="BO40" i="3"/>
  <c r="BO41" i="3"/>
  <c r="BO47" i="3"/>
  <c r="BO48" i="3"/>
  <c r="BO55" i="3"/>
  <c r="BO56" i="3"/>
  <c r="BO57" i="3"/>
  <c r="BO58" i="3"/>
  <c r="BO59" i="3"/>
  <c r="BO60" i="3"/>
  <c r="BO61" i="3"/>
  <c r="BO62" i="3"/>
  <c r="BO63" i="3"/>
  <c r="BO64" i="3"/>
  <c r="BO65" i="3"/>
  <c r="BO66" i="3"/>
  <c r="BO67" i="3"/>
  <c r="BO68" i="3"/>
  <c r="BO69" i="3"/>
  <c r="BO70" i="3"/>
  <c r="BO71" i="3"/>
  <c r="BO72" i="3"/>
  <c r="BO73" i="3"/>
  <c r="BO74" i="3"/>
  <c r="BO75" i="3"/>
  <c r="BO76" i="3"/>
  <c r="BO77" i="3"/>
  <c r="BO78" i="3"/>
  <c r="BO81" i="3"/>
  <c r="BO82" i="3"/>
  <c r="BO83" i="3"/>
  <c r="BO84" i="3"/>
  <c r="BO85" i="3"/>
  <c r="BO86" i="3"/>
  <c r="BO87" i="3"/>
  <c r="BO89" i="3"/>
  <c r="BO90" i="3"/>
  <c r="BO91" i="3"/>
  <c r="BO92" i="3"/>
  <c r="BO93" i="3"/>
  <c r="BO94" i="3"/>
  <c r="BO95" i="3"/>
  <c r="BO98" i="3"/>
  <c r="BO99" i="3"/>
  <c r="BO100" i="3"/>
  <c r="BO101" i="3"/>
  <c r="BO102" i="3"/>
  <c r="BO103" i="3"/>
  <c r="BO104" i="3"/>
  <c r="BO105" i="3"/>
  <c r="BO106" i="3"/>
  <c r="BO107" i="3"/>
  <c r="BO108" i="3"/>
  <c r="BO109" i="3"/>
  <c r="BO110" i="3"/>
  <c r="BO111" i="3"/>
  <c r="BO113" i="3"/>
  <c r="BO114" i="3"/>
  <c r="BO115" i="3"/>
  <c r="BO116" i="3"/>
  <c r="BO117" i="3"/>
  <c r="BO118" i="3"/>
  <c r="BO119" i="3"/>
  <c r="BO120" i="3"/>
  <c r="BO121" i="3"/>
  <c r="BO122" i="3"/>
  <c r="BO123" i="3"/>
  <c r="BO124" i="3"/>
  <c r="BO125" i="3"/>
  <c r="BO126" i="3"/>
  <c r="BO128" i="3"/>
  <c r="BO129" i="3"/>
  <c r="BO130" i="3"/>
  <c r="BO131" i="3"/>
  <c r="BO132" i="3"/>
  <c r="BO133" i="3"/>
  <c r="BO134" i="3"/>
  <c r="BO135" i="3"/>
  <c r="BO136" i="3"/>
  <c r="BO138" i="3"/>
  <c r="BO139" i="3"/>
  <c r="BO140" i="3"/>
  <c r="BO141" i="3"/>
  <c r="BO142" i="3"/>
  <c r="BO143" i="3"/>
  <c r="BO144" i="3"/>
  <c r="BO145" i="3"/>
  <c r="BO146" i="3"/>
  <c r="BO147" i="3"/>
  <c r="BO148" i="3"/>
  <c r="BO149" i="3"/>
  <c r="BO150" i="3"/>
  <c r="BO151" i="3"/>
  <c r="BO152" i="3"/>
  <c r="BO153" i="3"/>
  <c r="BO154" i="3"/>
  <c r="BO155" i="3"/>
  <c r="BO156" i="3"/>
  <c r="BO157" i="3"/>
  <c r="BO158" i="3"/>
  <c r="BO159" i="3"/>
  <c r="BO160" i="3"/>
  <c r="BO2" i="3"/>
  <c r="BD55" i="3"/>
  <c r="BD56" i="3"/>
  <c r="BD57" i="3"/>
  <c r="BD58" i="3"/>
  <c r="BD59" i="3"/>
  <c r="BD60" i="3"/>
  <c r="BD62" i="3"/>
  <c r="BD76" i="3"/>
  <c r="BD77" i="3"/>
  <c r="BD81" i="3"/>
  <c r="BD89" i="3"/>
  <c r="BD93" i="3"/>
  <c r="BD94" i="3"/>
  <c r="BD98" i="3"/>
  <c r="BD99" i="3"/>
  <c r="BD100" i="3"/>
  <c r="BD101" i="3"/>
  <c r="BD102" i="3"/>
  <c r="BD109" i="3"/>
  <c r="BD114" i="3"/>
  <c r="BD116" i="3"/>
  <c r="BD117" i="3"/>
  <c r="BD118" i="3"/>
  <c r="BD119" i="3"/>
  <c r="BD122" i="3"/>
  <c r="BD123" i="3"/>
  <c r="BD128" i="3"/>
  <c r="BD130" i="3"/>
  <c r="BD131" i="3"/>
  <c r="BD133" i="3"/>
  <c r="BD134" i="3"/>
  <c r="BD138" i="3"/>
  <c r="BD140" i="3"/>
  <c r="BD150" i="3"/>
  <c r="BD158" i="3"/>
  <c r="BA160" i="3"/>
  <c r="BA159" i="3"/>
  <c r="BA158" i="3"/>
  <c r="BA157" i="3"/>
  <c r="BA156" i="3"/>
  <c r="BA155" i="3"/>
  <c r="BA154" i="3"/>
  <c r="BA153" i="3"/>
  <c r="BA152" i="3"/>
  <c r="BA151" i="3"/>
  <c r="BA150" i="3"/>
  <c r="BA149" i="3"/>
  <c r="BA148" i="3"/>
  <c r="BA147" i="3"/>
  <c r="BA146" i="3"/>
  <c r="BA145" i="3"/>
  <c r="BA144" i="3"/>
  <c r="BA143" i="3"/>
  <c r="BA142" i="3"/>
  <c r="BA141" i="3"/>
  <c r="BA140" i="3"/>
  <c r="BA139" i="3"/>
  <c r="BA138" i="3"/>
  <c r="BA136" i="3"/>
  <c r="BA135" i="3"/>
  <c r="BA134" i="3"/>
  <c r="BA133" i="3"/>
  <c r="BA132" i="3"/>
  <c r="BA131" i="3"/>
  <c r="BA130" i="3"/>
  <c r="BA129" i="3"/>
  <c r="BA128" i="3"/>
  <c r="BA126" i="3"/>
  <c r="BA125" i="3"/>
  <c r="BA124" i="3"/>
  <c r="BA123" i="3"/>
  <c r="BA122" i="3"/>
  <c r="BA121" i="3"/>
  <c r="BA120" i="3"/>
  <c r="BA119" i="3"/>
  <c r="BA118" i="3"/>
  <c r="BA117" i="3"/>
  <c r="BA116" i="3"/>
  <c r="BA115" i="3"/>
  <c r="BA114" i="3"/>
  <c r="BA113" i="3"/>
  <c r="BA111" i="3"/>
  <c r="BA110" i="3"/>
  <c r="BA109" i="3"/>
  <c r="BA108" i="3"/>
  <c r="BA107" i="3"/>
  <c r="BA106" i="3"/>
  <c r="BA105" i="3"/>
  <c r="BA104" i="3"/>
  <c r="BA103" i="3"/>
  <c r="BA102" i="3"/>
  <c r="BA101" i="3"/>
  <c r="BA100" i="3"/>
  <c r="BA99" i="3"/>
  <c r="BA98" i="3"/>
  <c r="BA95" i="3"/>
  <c r="BA94" i="3"/>
  <c r="BA93" i="3"/>
  <c r="BA92" i="3"/>
  <c r="BA91" i="3"/>
  <c r="BA90" i="3"/>
  <c r="BA89" i="3"/>
  <c r="BA87" i="3"/>
  <c r="BA86" i="3"/>
  <c r="BA85" i="3"/>
  <c r="BA84" i="3"/>
  <c r="BA83" i="3"/>
  <c r="BA82" i="3"/>
  <c r="BA81" i="3"/>
  <c r="BA78" i="3"/>
  <c r="BA77" i="3"/>
  <c r="BA76" i="3"/>
  <c r="BA75" i="3"/>
  <c r="BA74" i="3"/>
  <c r="BA73" i="3"/>
  <c r="BA72" i="3"/>
  <c r="BA71" i="3"/>
  <c r="BA70" i="3"/>
  <c r="BA69" i="3"/>
  <c r="BA68" i="3"/>
  <c r="BA67" i="3"/>
  <c r="BA66" i="3"/>
  <c r="BA65" i="3"/>
  <c r="BA64" i="3"/>
  <c r="BA63" i="3"/>
  <c r="BA62" i="3"/>
  <c r="BA61" i="3"/>
  <c r="BA60" i="3"/>
  <c r="BA59" i="3"/>
  <c r="BA58" i="3"/>
  <c r="BA57" i="3"/>
  <c r="BA56" i="3"/>
  <c r="BA55" i="3"/>
  <c r="BA48" i="3"/>
  <c r="BA47" i="3"/>
  <c r="BA41" i="3"/>
  <c r="BA40" i="3"/>
  <c r="BA39" i="3"/>
  <c r="BA38" i="3"/>
  <c r="BA37" i="3"/>
  <c r="BA36" i="3"/>
  <c r="BA35" i="3"/>
  <c r="BA34" i="3"/>
  <c r="BA33" i="3"/>
  <c r="BA32" i="3"/>
  <c r="BA31" i="3"/>
  <c r="BA30" i="3"/>
  <c r="BA28" i="3"/>
  <c r="BA3" i="3"/>
  <c r="BA4" i="3"/>
  <c r="BA5" i="3"/>
  <c r="BA6" i="3"/>
  <c r="BA7" i="3"/>
  <c r="BA8" i="3"/>
  <c r="BA9" i="3"/>
  <c r="BA10" i="3"/>
  <c r="BA11" i="3"/>
  <c r="BA12" i="3"/>
  <c r="BA13" i="3"/>
  <c r="BA14" i="3"/>
  <c r="BA15" i="3"/>
  <c r="BA16" i="3"/>
  <c r="BA17" i="3"/>
  <c r="BA18" i="3"/>
  <c r="BA19" i="3"/>
  <c r="BA20" i="3"/>
  <c r="BA21" i="3"/>
  <c r="BA22" i="3"/>
  <c r="BA23" i="3"/>
  <c r="BA24" i="3"/>
  <c r="BA2" i="3"/>
  <c r="BS160" i="3"/>
  <c r="BK160" i="3"/>
  <c r="BG160" i="3"/>
  <c r="BB160" i="3"/>
  <c r="BS159" i="3"/>
  <c r="BK159" i="3"/>
  <c r="BG159" i="3"/>
  <c r="BS158" i="3"/>
  <c r="BK158" i="3"/>
  <c r="BG158" i="3"/>
  <c r="BB158" i="3"/>
  <c r="BS157" i="3"/>
  <c r="BK157" i="3"/>
  <c r="BG157" i="3"/>
  <c r="BS156" i="3"/>
  <c r="BK156" i="3"/>
  <c r="BG156" i="3"/>
  <c r="BS155" i="3"/>
  <c r="BK155" i="3"/>
  <c r="BG155" i="3"/>
  <c r="BS154" i="3"/>
  <c r="BK154" i="3"/>
  <c r="BG154" i="3"/>
  <c r="BS153" i="3"/>
  <c r="BK153" i="3"/>
  <c r="BG153" i="3"/>
  <c r="BS152" i="3"/>
  <c r="BK152" i="3"/>
  <c r="BG152" i="3"/>
  <c r="BS151" i="3"/>
  <c r="BK151" i="3"/>
  <c r="BG151" i="3"/>
  <c r="BS150" i="3"/>
  <c r="BK150" i="3"/>
  <c r="BG150" i="3"/>
  <c r="BB150" i="3"/>
  <c r="BS149" i="3"/>
  <c r="BN149" i="3" a="1"/>
  <c r="BN149" i="3" s="1"/>
  <c r="BR149" i="3" s="1"/>
  <c r="BK149" i="3"/>
  <c r="BG149" i="3"/>
  <c r="BS148" i="3"/>
  <c r="BN148" i="3" a="1"/>
  <c r="BN148" i="3" s="1"/>
  <c r="BR148" i="3" s="1"/>
  <c r="BK148" i="3"/>
  <c r="BG148" i="3"/>
  <c r="BS147" i="3"/>
  <c r="BN147" i="3" a="1"/>
  <c r="BN147" i="3" s="1"/>
  <c r="BR147" i="3" s="1"/>
  <c r="BK147" i="3"/>
  <c r="BG147" i="3"/>
  <c r="BS146" i="3"/>
  <c r="BN146" i="3" a="1"/>
  <c r="BN146" i="3" s="1"/>
  <c r="BR146" i="3" s="1"/>
  <c r="BK146" i="3"/>
  <c r="BG146" i="3"/>
  <c r="BS145" i="3"/>
  <c r="BN145" i="3" a="1"/>
  <c r="BN145" i="3" s="1"/>
  <c r="BR145" i="3" s="1"/>
  <c r="BK145" i="3"/>
  <c r="BG145" i="3"/>
  <c r="BS144" i="3"/>
  <c r="BN144" i="3" a="1"/>
  <c r="BN144" i="3" s="1"/>
  <c r="BR144" i="3" s="1"/>
  <c r="BK144" i="3"/>
  <c r="BG144" i="3"/>
  <c r="BS143" i="3"/>
  <c r="BN143" i="3" a="1"/>
  <c r="BN143" i="3" s="1"/>
  <c r="BR143" i="3" s="1"/>
  <c r="BK143" i="3"/>
  <c r="BG143" i="3"/>
  <c r="BS142" i="3"/>
  <c r="BN142" i="3" a="1"/>
  <c r="BN142" i="3" s="1"/>
  <c r="BR142" i="3" s="1"/>
  <c r="BK142" i="3"/>
  <c r="BG142" i="3"/>
  <c r="BS141" i="3"/>
  <c r="BN141" i="3" a="1"/>
  <c r="BN141" i="3" s="1"/>
  <c r="BR141" i="3" s="1"/>
  <c r="BK141" i="3"/>
  <c r="BG141" i="3"/>
  <c r="BS140" i="3"/>
  <c r="BN140" i="3" a="1"/>
  <c r="BN140" i="3" s="1"/>
  <c r="BR140" i="3" s="1"/>
  <c r="BK140" i="3"/>
  <c r="BG140" i="3"/>
  <c r="BB140" i="3"/>
  <c r="BS139" i="3"/>
  <c r="BN139" i="3" a="1"/>
  <c r="BN139" i="3" s="1"/>
  <c r="BR139" i="3" s="1"/>
  <c r="BK139" i="3"/>
  <c r="BG139" i="3"/>
  <c r="BS138" i="3"/>
  <c r="BN138" i="3" a="1"/>
  <c r="BN138" i="3" s="1"/>
  <c r="BK138" i="3"/>
  <c r="BG138" i="3"/>
  <c r="BB138" i="3"/>
  <c r="BS136" i="3"/>
  <c r="BN136" i="3" a="1"/>
  <c r="BN136" i="3" s="1"/>
  <c r="BR136" i="3" s="1"/>
  <c r="BK136" i="3"/>
  <c r="BG136" i="3"/>
  <c r="BS135" i="3"/>
  <c r="BK135" i="3"/>
  <c r="BG135" i="3"/>
  <c r="BS134" i="3"/>
  <c r="BN134" i="3" a="1"/>
  <c r="BN134" i="3" s="1"/>
  <c r="BK134" i="3"/>
  <c r="BG134" i="3"/>
  <c r="BB134" i="3"/>
  <c r="BS133" i="3"/>
  <c r="BN133" i="3" a="1"/>
  <c r="BN133" i="3" s="1"/>
  <c r="BK133" i="3"/>
  <c r="BG133" i="3"/>
  <c r="BB133" i="3"/>
  <c r="BS132" i="3"/>
  <c r="BK132" i="3"/>
  <c r="BG132" i="3"/>
  <c r="BS131" i="3"/>
  <c r="BN131" i="3" a="1"/>
  <c r="BN131" i="3" s="1"/>
  <c r="BR131" i="3" s="1"/>
  <c r="BK131" i="3"/>
  <c r="BG131" i="3"/>
  <c r="BB131" i="3"/>
  <c r="BS130" i="3"/>
  <c r="BN130" i="3" a="1"/>
  <c r="BN130" i="3" s="1"/>
  <c r="BR130" i="3" s="1"/>
  <c r="BK130" i="3"/>
  <c r="BG130" i="3"/>
  <c r="BB130" i="3"/>
  <c r="BS129" i="3"/>
  <c r="BK129" i="3"/>
  <c r="BG129" i="3"/>
  <c r="BB129" i="3"/>
  <c r="BS128" i="3"/>
  <c r="BN128" i="3" a="1"/>
  <c r="BN128" i="3" s="1"/>
  <c r="BK128" i="3"/>
  <c r="BG128" i="3"/>
  <c r="BB128" i="3"/>
  <c r="BB127" i="3"/>
  <c r="BS126" i="3"/>
  <c r="BK126" i="3"/>
  <c r="BG126" i="3"/>
  <c r="BB126" i="3"/>
  <c r="BS125" i="3"/>
  <c r="BK125" i="3"/>
  <c r="BG125" i="3"/>
  <c r="BB125" i="3"/>
  <c r="BS124" i="3"/>
  <c r="BK124" i="3"/>
  <c r="BG124" i="3"/>
  <c r="BS123" i="3"/>
  <c r="BK123" i="3"/>
  <c r="BG123" i="3"/>
  <c r="BB123" i="3"/>
  <c r="BS122" i="3"/>
  <c r="BN122" i="3" a="1"/>
  <c r="BN122" i="3" s="1"/>
  <c r="BR122" i="3" s="1"/>
  <c r="BK122" i="3"/>
  <c r="BG122" i="3"/>
  <c r="BB122" i="3"/>
  <c r="BS121" i="3"/>
  <c r="BK121" i="3"/>
  <c r="BG121" i="3"/>
  <c r="BB121" i="3"/>
  <c r="BS120" i="3"/>
  <c r="BK120" i="3"/>
  <c r="BG120" i="3"/>
  <c r="BS119" i="3"/>
  <c r="BN119" i="3" a="1"/>
  <c r="BN119" i="3" s="1"/>
  <c r="BR119" i="3" s="1"/>
  <c r="BK119" i="3"/>
  <c r="BG119" i="3"/>
  <c r="BB119" i="3"/>
  <c r="BS118" i="3"/>
  <c r="BK118" i="3"/>
  <c r="BG118" i="3"/>
  <c r="BB118" i="3"/>
  <c r="BS117" i="3"/>
  <c r="BN117" i="3" a="1"/>
  <c r="BN117" i="3" s="1"/>
  <c r="BK117" i="3"/>
  <c r="BG117" i="3"/>
  <c r="BB117" i="3"/>
  <c r="BS116" i="3"/>
  <c r="BN116" i="3" a="1"/>
  <c r="BN116" i="3" s="1"/>
  <c r="BK116" i="3"/>
  <c r="BG116" i="3"/>
  <c r="BB116" i="3"/>
  <c r="BS115" i="3"/>
  <c r="BK115" i="3"/>
  <c r="BG115" i="3"/>
  <c r="BS114" i="3"/>
  <c r="BK114" i="3"/>
  <c r="BG114" i="3"/>
  <c r="BB114" i="3"/>
  <c r="BS113" i="3"/>
  <c r="BN113" i="3" a="1"/>
  <c r="BN113" i="3" s="1"/>
  <c r="BR113" i="3" s="1"/>
  <c r="BK113" i="3"/>
  <c r="BG113" i="3"/>
  <c r="BS111" i="3"/>
  <c r="BK111" i="3"/>
  <c r="BG111" i="3"/>
  <c r="BS110" i="3"/>
  <c r="BK110" i="3"/>
  <c r="BG110" i="3"/>
  <c r="BS109" i="3"/>
  <c r="BN109" i="3" a="1"/>
  <c r="BN109" i="3" s="1"/>
  <c r="BR109" i="3" s="1"/>
  <c r="BK109" i="3"/>
  <c r="BG109" i="3"/>
  <c r="BB109" i="3"/>
  <c r="BS108" i="3"/>
  <c r="BK108" i="3"/>
  <c r="BG108" i="3"/>
  <c r="BB108" i="3"/>
  <c r="BS107" i="3"/>
  <c r="BK107" i="3"/>
  <c r="BG107" i="3"/>
  <c r="BB107" i="3"/>
  <c r="BS106" i="3"/>
  <c r="BK106" i="3"/>
  <c r="BG106" i="3"/>
  <c r="BB106" i="3"/>
  <c r="BS105" i="3"/>
  <c r="BK105" i="3"/>
  <c r="BG105" i="3"/>
  <c r="BB105" i="3"/>
  <c r="BS104" i="3"/>
  <c r="BK104" i="3"/>
  <c r="BG104" i="3"/>
  <c r="BB104" i="3"/>
  <c r="BS103" i="3"/>
  <c r="BK103" i="3"/>
  <c r="BG103" i="3"/>
  <c r="BB103" i="3"/>
  <c r="BS102" i="3"/>
  <c r="BN102" i="3" a="1"/>
  <c r="BN102" i="3" s="1"/>
  <c r="BK102" i="3"/>
  <c r="BG102" i="3"/>
  <c r="BB102" i="3"/>
  <c r="BS101" i="3"/>
  <c r="BN101" i="3" a="1"/>
  <c r="BN101" i="3" s="1"/>
  <c r="BK101" i="3"/>
  <c r="BG101" i="3"/>
  <c r="BB101" i="3"/>
  <c r="BS100" i="3"/>
  <c r="BN100" i="3" a="1"/>
  <c r="BN100" i="3" s="1"/>
  <c r="BR100" i="3" s="1"/>
  <c r="BK100" i="3"/>
  <c r="BG100" i="3"/>
  <c r="BB100" i="3"/>
  <c r="BS99" i="3"/>
  <c r="BN99" i="3" a="1"/>
  <c r="BN99" i="3" s="1"/>
  <c r="BR99" i="3" s="1"/>
  <c r="BK99" i="3"/>
  <c r="BG99" i="3"/>
  <c r="BB99" i="3"/>
  <c r="BS98" i="3"/>
  <c r="BN98" i="3" a="1"/>
  <c r="BN98" i="3" s="1"/>
  <c r="BR98" i="3" s="1"/>
  <c r="BK98" i="3"/>
  <c r="BG98" i="3"/>
  <c r="BB98" i="3"/>
  <c r="BB97" i="3"/>
  <c r="BB96" i="3"/>
  <c r="BS95" i="3"/>
  <c r="BK95" i="3"/>
  <c r="BG95" i="3"/>
  <c r="BB95" i="3"/>
  <c r="BS94" i="3"/>
  <c r="BN94" i="3" a="1"/>
  <c r="BN94" i="3" s="1"/>
  <c r="BR94" i="3" s="1"/>
  <c r="BK94" i="3"/>
  <c r="BG94" i="3"/>
  <c r="BB94" i="3"/>
  <c r="BS93" i="3"/>
  <c r="BN93" i="3" a="1"/>
  <c r="BN93" i="3" s="1"/>
  <c r="BR93" i="3" s="1"/>
  <c r="BK93" i="3"/>
  <c r="BG93" i="3"/>
  <c r="BB93" i="3"/>
  <c r="BS92" i="3"/>
  <c r="BN92" i="3" a="1"/>
  <c r="BN92" i="3" s="1"/>
  <c r="BR92" i="3" s="1"/>
  <c r="BK92" i="3"/>
  <c r="BG92" i="3"/>
  <c r="BS91" i="3"/>
  <c r="BN91" i="3" a="1"/>
  <c r="BN91" i="3" s="1"/>
  <c r="BR91" i="3" s="1"/>
  <c r="BK91" i="3"/>
  <c r="BG91" i="3"/>
  <c r="BS90" i="3"/>
  <c r="BK90" i="3"/>
  <c r="BG90" i="3"/>
  <c r="BS89" i="3"/>
  <c r="BN89" i="3" a="1"/>
  <c r="BN89" i="3" s="1"/>
  <c r="BK89" i="3"/>
  <c r="BG89" i="3"/>
  <c r="BB89" i="3"/>
  <c r="BB88" i="3"/>
  <c r="BS87" i="3"/>
  <c r="BK87" i="3"/>
  <c r="BG87" i="3"/>
  <c r="BB87" i="3"/>
  <c r="BS86" i="3"/>
  <c r="BK86" i="3"/>
  <c r="BG86" i="3"/>
  <c r="BS85" i="3"/>
  <c r="BK85" i="3"/>
  <c r="BG85" i="3"/>
  <c r="BB85" i="3"/>
  <c r="BS84" i="3"/>
  <c r="BK84" i="3"/>
  <c r="BG84" i="3"/>
  <c r="BB84" i="3"/>
  <c r="BS83" i="3"/>
  <c r="BK83" i="3"/>
  <c r="BG83" i="3"/>
  <c r="BB83" i="3"/>
  <c r="BS82" i="3"/>
  <c r="BK82" i="3"/>
  <c r="BG82" i="3"/>
  <c r="BB82" i="3"/>
  <c r="BS81" i="3"/>
  <c r="BN81" i="3" a="1"/>
  <c r="BN81" i="3" s="1"/>
  <c r="BR81" i="3" s="1"/>
  <c r="BK81" i="3"/>
  <c r="BG81" i="3"/>
  <c r="BB81" i="3"/>
  <c r="BB80" i="3"/>
  <c r="BS78" i="3"/>
  <c r="BK78" i="3"/>
  <c r="BG78" i="3"/>
  <c r="BS77" i="3"/>
  <c r="BN77" i="3" a="1"/>
  <c r="BN77" i="3" s="1"/>
  <c r="BR77" i="3" s="1"/>
  <c r="BK77" i="3"/>
  <c r="BG77" i="3"/>
  <c r="BB77" i="3"/>
  <c r="BS76" i="3"/>
  <c r="BN76" i="3" a="1"/>
  <c r="BN76" i="3" s="1"/>
  <c r="BR76" i="3" s="1"/>
  <c r="BK76" i="3"/>
  <c r="BG76" i="3"/>
  <c r="BB76" i="3"/>
  <c r="BS75" i="3"/>
  <c r="BK75" i="3"/>
  <c r="BG75" i="3"/>
  <c r="BS74" i="3"/>
  <c r="BK74" i="3"/>
  <c r="BG74" i="3"/>
  <c r="BS73" i="3"/>
  <c r="BK73" i="3"/>
  <c r="BG73" i="3"/>
  <c r="BB73" i="3"/>
  <c r="BS72" i="3"/>
  <c r="BK72" i="3"/>
  <c r="BG72" i="3"/>
  <c r="BB72" i="3"/>
  <c r="BS71" i="3"/>
  <c r="BK71" i="3"/>
  <c r="BG71" i="3"/>
  <c r="BS70" i="3"/>
  <c r="BK70" i="3"/>
  <c r="BG70" i="3"/>
  <c r="BS69" i="3"/>
  <c r="BK69" i="3"/>
  <c r="BG69" i="3"/>
  <c r="BB69" i="3"/>
  <c r="BS68" i="3"/>
  <c r="BK68" i="3"/>
  <c r="BG68" i="3"/>
  <c r="BB68" i="3"/>
  <c r="BS67" i="3"/>
  <c r="BK67" i="3"/>
  <c r="BG67" i="3"/>
  <c r="BB67" i="3"/>
  <c r="BS66" i="3"/>
  <c r="BK66" i="3"/>
  <c r="BG66" i="3"/>
  <c r="BB66" i="3"/>
  <c r="BS65" i="3"/>
  <c r="BK65" i="3"/>
  <c r="BG65" i="3"/>
  <c r="BB65" i="3"/>
  <c r="BS64" i="3"/>
  <c r="BK64" i="3"/>
  <c r="BG64" i="3"/>
  <c r="BB64" i="3"/>
  <c r="BS63" i="3"/>
  <c r="BK63" i="3"/>
  <c r="BG63" i="3"/>
  <c r="BS62" i="3"/>
  <c r="BN62" i="3" a="1"/>
  <c r="BN62" i="3" s="1"/>
  <c r="BK62" i="3"/>
  <c r="BG62" i="3"/>
  <c r="BB62" i="3"/>
  <c r="BS61" i="3"/>
  <c r="BK61" i="3"/>
  <c r="BG61" i="3"/>
  <c r="BB61" i="3"/>
  <c r="BS60" i="3"/>
  <c r="BN60" i="3" a="1"/>
  <c r="BN60" i="3" s="1"/>
  <c r="BR60" i="3" s="1"/>
  <c r="BK60" i="3"/>
  <c r="BG60" i="3"/>
  <c r="BB60" i="3"/>
  <c r="BS59" i="3"/>
  <c r="BN59" i="3" a="1"/>
  <c r="BN59" i="3" s="1"/>
  <c r="BR59" i="3" s="1"/>
  <c r="BK59" i="3"/>
  <c r="BG59" i="3"/>
  <c r="BB59" i="3"/>
  <c r="BS58" i="3"/>
  <c r="BN58" i="3" a="1"/>
  <c r="BN58" i="3" s="1"/>
  <c r="BR58" i="3" s="1"/>
  <c r="BK58" i="3"/>
  <c r="BG58" i="3"/>
  <c r="BB58" i="3"/>
  <c r="BS57" i="3"/>
  <c r="BN57" i="3" a="1"/>
  <c r="BN57" i="3" s="1"/>
  <c r="BR57" i="3" s="1"/>
  <c r="BK57" i="3"/>
  <c r="BG57" i="3"/>
  <c r="BB57" i="3"/>
  <c r="BS56" i="3"/>
  <c r="BN56" i="3" a="1"/>
  <c r="BN56" i="3" s="1"/>
  <c r="BR56" i="3" s="1"/>
  <c r="BK56" i="3"/>
  <c r="BG56" i="3"/>
  <c r="BB56" i="3"/>
  <c r="BS55" i="3"/>
  <c r="BN55" i="3" a="1"/>
  <c r="BN55" i="3" s="1"/>
  <c r="BR55" i="3" s="1"/>
  <c r="BK55" i="3"/>
  <c r="BG55" i="3"/>
  <c r="BB55" i="3"/>
  <c r="BB54" i="3"/>
  <c r="BB53" i="3"/>
  <c r="BB50" i="3"/>
  <c r="BB49" i="3"/>
  <c r="BS48" i="3"/>
  <c r="BK48" i="3"/>
  <c r="BG48" i="3"/>
  <c r="BB48" i="3"/>
  <c r="BS47" i="3"/>
  <c r="BK47" i="3"/>
  <c r="BG47" i="3"/>
  <c r="BB47" i="3"/>
  <c r="BB45" i="3"/>
  <c r="BB44" i="3"/>
  <c r="BB42" i="3"/>
  <c r="BS41" i="3"/>
  <c r="BK41" i="3"/>
  <c r="BG41" i="3"/>
  <c r="BB41" i="3"/>
  <c r="BS40" i="3"/>
  <c r="BK40" i="3"/>
  <c r="BG40" i="3"/>
  <c r="BB40" i="3"/>
  <c r="BS39" i="3"/>
  <c r="BK39" i="3"/>
  <c r="BG39" i="3"/>
  <c r="BS38" i="3"/>
  <c r="BK38" i="3"/>
  <c r="BG38" i="3"/>
  <c r="BB38" i="3"/>
  <c r="BS37" i="3"/>
  <c r="BK37" i="3"/>
  <c r="BG37" i="3"/>
  <c r="BB37" i="3"/>
  <c r="BS36" i="3"/>
  <c r="BK36" i="3"/>
  <c r="BG36" i="3"/>
  <c r="BB36" i="3"/>
  <c r="BS35" i="3"/>
  <c r="BK35" i="3"/>
  <c r="BG35" i="3"/>
  <c r="BB35" i="3"/>
  <c r="BS34" i="3"/>
  <c r="BK34" i="3"/>
  <c r="BG34" i="3"/>
  <c r="BB34" i="3"/>
  <c r="BS33" i="3"/>
  <c r="BK33" i="3"/>
  <c r="BG33" i="3"/>
  <c r="BB33" i="3"/>
  <c r="BS32" i="3"/>
  <c r="BK32" i="3"/>
  <c r="BG32" i="3"/>
  <c r="BB32" i="3"/>
  <c r="BS31" i="3"/>
  <c r="BK31" i="3"/>
  <c r="BG31" i="3"/>
  <c r="BS30" i="3"/>
  <c r="BK30" i="3"/>
  <c r="BG30" i="3"/>
  <c r="BB29" i="3"/>
  <c r="BS28" i="3"/>
  <c r="BK28" i="3"/>
  <c r="BG28" i="3"/>
  <c r="BB27" i="3"/>
  <c r="BS24" i="3"/>
  <c r="BK24" i="3"/>
  <c r="BG24" i="3"/>
  <c r="BB24" i="3"/>
  <c r="BS23" i="3"/>
  <c r="BK23" i="3"/>
  <c r="BG23" i="3"/>
  <c r="BB23" i="3"/>
  <c r="BS22" i="3"/>
  <c r="BK22" i="3"/>
  <c r="BG22" i="3"/>
  <c r="BB22" i="3"/>
  <c r="BS21" i="3"/>
  <c r="BK21" i="3"/>
  <c r="BG21" i="3"/>
  <c r="BB21" i="3"/>
  <c r="BS20" i="3"/>
  <c r="BK20" i="3"/>
  <c r="BG20" i="3"/>
  <c r="BB20" i="3"/>
  <c r="BS19" i="3"/>
  <c r="BK19" i="3"/>
  <c r="BG19" i="3"/>
  <c r="BS18" i="3"/>
  <c r="BK18" i="3"/>
  <c r="BG18" i="3"/>
  <c r="BB18" i="3"/>
  <c r="BS17" i="3"/>
  <c r="BK17" i="3"/>
  <c r="BG17" i="3"/>
  <c r="BB17" i="3"/>
  <c r="BS16" i="3"/>
  <c r="BK16" i="3"/>
  <c r="BG16" i="3"/>
  <c r="BS15" i="3"/>
  <c r="BK15" i="3"/>
  <c r="BG15" i="3"/>
  <c r="BS14" i="3"/>
  <c r="BK14" i="3"/>
  <c r="BG14" i="3"/>
  <c r="BS13" i="3"/>
  <c r="BK13" i="3"/>
  <c r="BG13" i="3"/>
  <c r="BS12" i="3"/>
  <c r="BK12" i="3"/>
  <c r="BG12" i="3"/>
  <c r="BB12" i="3"/>
  <c r="BS11" i="3"/>
  <c r="BK11" i="3"/>
  <c r="BG11" i="3"/>
  <c r="BS10" i="3"/>
  <c r="BK10" i="3"/>
  <c r="BG10" i="3"/>
  <c r="BB10" i="3"/>
  <c r="BS9" i="3"/>
  <c r="BK9" i="3"/>
  <c r="BG9" i="3"/>
  <c r="BS8" i="3"/>
  <c r="BK8" i="3"/>
  <c r="BG8" i="3"/>
  <c r="BB8" i="3"/>
  <c r="BS7" i="3"/>
  <c r="BK7" i="3"/>
  <c r="BG7" i="3"/>
  <c r="BS6" i="3"/>
  <c r="BK6" i="3"/>
  <c r="BG6" i="3"/>
  <c r="BS5" i="3"/>
  <c r="BK5" i="3"/>
  <c r="BG5" i="3"/>
  <c r="BB5" i="3"/>
  <c r="BS4" i="3"/>
  <c r="BK4" i="3"/>
  <c r="BG4" i="3"/>
  <c r="BB4" i="3"/>
  <c r="BS3" i="3"/>
  <c r="BK3" i="3"/>
  <c r="BG3" i="3"/>
  <c r="G164" i="5" l="1"/>
  <c r="H164" i="5" s="1"/>
  <c r="BF161" i="1"/>
  <c r="BG161" i="1" s="1"/>
  <c r="BK161" i="1"/>
  <c r="BZ161" i="1"/>
  <c r="BU161" i="1"/>
  <c r="T166" i="5"/>
  <c r="U166" i="5"/>
  <c r="U165" i="5"/>
  <c r="T165" i="5"/>
  <c r="H166" i="5"/>
  <c r="I166" i="5"/>
  <c r="I165" i="5"/>
  <c r="H165" i="5"/>
  <c r="V162" i="5"/>
  <c r="U162" i="5"/>
  <c r="U164" i="5"/>
  <c r="V164" i="5"/>
  <c r="U163" i="5"/>
  <c r="V163" i="5"/>
  <c r="Z164" i="5"/>
  <c r="AA164" i="5"/>
  <c r="T162" i="1"/>
  <c r="G162" i="5"/>
  <c r="M166" i="5"/>
  <c r="N166" i="5"/>
  <c r="L166" i="5"/>
  <c r="AE164" i="1"/>
  <c r="O164" i="5"/>
  <c r="P163" i="5"/>
  <c r="Q163" i="5"/>
  <c r="R163" i="5"/>
  <c r="AF165" i="1"/>
  <c r="O165" i="5"/>
  <c r="AH166" i="1"/>
  <c r="O166" i="5"/>
  <c r="AF162" i="1"/>
  <c r="O162" i="5"/>
  <c r="AS161" i="3"/>
  <c r="BI161" i="3"/>
  <c r="F161" i="5" s="1"/>
  <c r="AT161" i="3"/>
  <c r="BJ164" i="3"/>
  <c r="BM164" i="3"/>
  <c r="BP161" i="1" a="1"/>
  <c r="BP161" i="1" s="1"/>
  <c r="AF164" i="1"/>
  <c r="AG162" i="1"/>
  <c r="AG166" i="1"/>
  <c r="AE166" i="1"/>
  <c r="AF166" i="1"/>
  <c r="AG164" i="1"/>
  <c r="AH164" i="1"/>
  <c r="AH162" i="1"/>
  <c r="AE162" i="1"/>
  <c r="W162" i="1"/>
  <c r="V162" i="1"/>
  <c r="U162" i="1"/>
  <c r="V161" i="1"/>
  <c r="G161" i="5"/>
  <c r="T161" i="1"/>
  <c r="U161" i="1"/>
  <c r="W161" i="1"/>
  <c r="BF161" i="3"/>
  <c r="BM161" i="3" s="1"/>
  <c r="AI161" i="1"/>
  <c r="AJ161" i="1" s="1"/>
  <c r="BH161" i="3"/>
  <c r="BP161" i="3" s="1"/>
  <c r="BT161" i="3" s="1"/>
  <c r="AD161" i="1"/>
  <c r="AN161" i="1"/>
  <c r="BP166" i="3"/>
  <c r="BT166" i="3" s="1"/>
  <c r="BL166" i="3"/>
  <c r="AG165" i="1"/>
  <c r="AH165" i="1"/>
  <c r="AE165" i="1"/>
  <c r="W164" i="1"/>
  <c r="U164" i="1"/>
  <c r="T164" i="1"/>
  <c r="V164" i="1"/>
  <c r="AE163" i="1"/>
  <c r="AG163" i="1"/>
  <c r="AF163" i="1"/>
  <c r="AH163" i="1"/>
  <c r="BQ161" i="3"/>
  <c r="D161" i="5" s="1"/>
  <c r="AP4" i="3"/>
  <c r="AP5" i="3"/>
  <c r="AP8" i="3"/>
  <c r="AP10" i="3"/>
  <c r="AP12" i="3"/>
  <c r="AP17" i="3"/>
  <c r="AP18" i="3"/>
  <c r="AP20" i="3"/>
  <c r="AP21" i="3"/>
  <c r="AP22" i="3"/>
  <c r="AP23" i="3"/>
  <c r="AP24" i="3"/>
  <c r="AP27" i="3"/>
  <c r="AP29" i="3"/>
  <c r="AP32" i="3"/>
  <c r="AP33" i="3"/>
  <c r="AP34" i="3"/>
  <c r="AP35" i="3"/>
  <c r="AP36" i="3"/>
  <c r="AP37" i="3"/>
  <c r="AP38" i="3"/>
  <c r="AP40" i="3"/>
  <c r="AP41" i="3"/>
  <c r="AP42" i="3"/>
  <c r="AP44" i="3"/>
  <c r="AP45" i="3"/>
  <c r="AP47" i="3"/>
  <c r="AP48" i="3"/>
  <c r="AP49" i="3"/>
  <c r="AP50" i="3"/>
  <c r="AP53" i="3"/>
  <c r="AP54" i="3"/>
  <c r="AP55" i="3"/>
  <c r="BE55" i="3" s="1"/>
  <c r="AQ55" i="3"/>
  <c r="BF55" i="3" s="1"/>
  <c r="AR55" i="3"/>
  <c r="AP56" i="3"/>
  <c r="BE56" i="3" s="1"/>
  <c r="AQ56" i="3"/>
  <c r="BF56" i="3" s="1"/>
  <c r="BM56" i="3" s="1"/>
  <c r="AR56" i="3"/>
  <c r="BH56" i="3" s="1"/>
  <c r="AP57" i="3"/>
  <c r="BE57" i="3" s="1"/>
  <c r="BI57" i="3" s="1"/>
  <c r="AQ57" i="3"/>
  <c r="BF57" i="3" s="1"/>
  <c r="AR57" i="3"/>
  <c r="AP58" i="3"/>
  <c r="BE58" i="3" s="1"/>
  <c r="AQ58" i="3"/>
  <c r="BF58" i="3" s="1"/>
  <c r="BM58" i="3" s="1"/>
  <c r="AR58" i="3"/>
  <c r="AP59" i="3"/>
  <c r="BE59" i="3" s="1"/>
  <c r="AQ59" i="3"/>
  <c r="BF59" i="3" s="1"/>
  <c r="AR59" i="3"/>
  <c r="AP60" i="3"/>
  <c r="BE60" i="3" s="1"/>
  <c r="BI60" i="3" s="1"/>
  <c r="AQ60" i="3"/>
  <c r="BF60" i="3" s="1"/>
  <c r="AR60" i="3"/>
  <c r="AP61" i="3"/>
  <c r="AP62" i="3"/>
  <c r="AQ62" i="3"/>
  <c r="AR62" i="3"/>
  <c r="AP64" i="3"/>
  <c r="AP65" i="3"/>
  <c r="AP66" i="3"/>
  <c r="AP67" i="3"/>
  <c r="AP68" i="3"/>
  <c r="AP69" i="3"/>
  <c r="AP72" i="3"/>
  <c r="AP73" i="3"/>
  <c r="AP76" i="3"/>
  <c r="BE76" i="3" s="1"/>
  <c r="BI76" i="3" s="1"/>
  <c r="AQ76" i="3"/>
  <c r="BF76" i="3" s="1"/>
  <c r="AR76" i="3"/>
  <c r="AP77" i="3"/>
  <c r="BE77" i="3" s="1"/>
  <c r="BI77" i="3" s="1"/>
  <c r="AQ77" i="3"/>
  <c r="BF77" i="3" s="1"/>
  <c r="AR77" i="3"/>
  <c r="AZ77" i="3" s="1"/>
  <c r="AR79" i="3"/>
  <c r="BH79" i="3" s="1"/>
  <c r="AP80" i="3"/>
  <c r="AP81" i="3"/>
  <c r="BE81" i="3" s="1"/>
  <c r="BI81" i="3" s="1"/>
  <c r="AQ81" i="3"/>
  <c r="BF81" i="3" s="1"/>
  <c r="AR81" i="3"/>
  <c r="AZ81" i="3" s="1"/>
  <c r="AP82" i="3"/>
  <c r="AP83" i="3"/>
  <c r="AP84" i="3"/>
  <c r="Q189" i="1" s="1"/>
  <c r="R189" i="1" s="1"/>
  <c r="AP85" i="3"/>
  <c r="Q193" i="1" s="1"/>
  <c r="R193" i="1" s="1"/>
  <c r="AP87" i="3"/>
  <c r="AP88" i="3"/>
  <c r="AP89" i="3"/>
  <c r="AQ89" i="3"/>
  <c r="AR89" i="3"/>
  <c r="AP93" i="3"/>
  <c r="BE93" i="3" s="1"/>
  <c r="AQ93" i="3"/>
  <c r="BF93" i="3" s="1"/>
  <c r="AR93" i="3"/>
  <c r="BH93" i="3" s="1"/>
  <c r="BP93" i="3" s="1"/>
  <c r="BT93" i="3" s="1"/>
  <c r="AP94" i="3"/>
  <c r="AQ94" i="3"/>
  <c r="BF94" i="3" s="1"/>
  <c r="AR94" i="3"/>
  <c r="AP95" i="3"/>
  <c r="AP96" i="3"/>
  <c r="AP97" i="3"/>
  <c r="AP98" i="3"/>
  <c r="BE98" i="3" s="1"/>
  <c r="AQ98" i="3"/>
  <c r="BF98" i="3" s="1"/>
  <c r="AR98" i="3"/>
  <c r="AP99" i="3"/>
  <c r="BE99" i="3" s="1"/>
  <c r="BI99" i="3" s="1"/>
  <c r="AQ99" i="3"/>
  <c r="BF99" i="3" s="1"/>
  <c r="AR99" i="3"/>
  <c r="BH99" i="3" s="1"/>
  <c r="BP99" i="3" s="1"/>
  <c r="AP100" i="3"/>
  <c r="BE100" i="3" s="1"/>
  <c r="AQ100" i="3"/>
  <c r="BF100" i="3" s="1"/>
  <c r="AR100" i="3"/>
  <c r="AP101" i="3"/>
  <c r="BE101" i="3" s="1"/>
  <c r="AQ101" i="3"/>
  <c r="BF101" i="3" s="1"/>
  <c r="BR101" i="3" s="1"/>
  <c r="AR101" i="3"/>
  <c r="AP102" i="3"/>
  <c r="BE102" i="3" s="1"/>
  <c r="AQ102" i="3"/>
  <c r="BF102" i="3" s="1"/>
  <c r="BR102" i="3" s="1"/>
  <c r="AR102" i="3"/>
  <c r="AZ102" i="3" s="1"/>
  <c r="AP103" i="3"/>
  <c r="AP104" i="3"/>
  <c r="AP105" i="3"/>
  <c r="AP106" i="3"/>
  <c r="AP107" i="3"/>
  <c r="AP108" i="3"/>
  <c r="AP109" i="3"/>
  <c r="BE109" i="3" s="1"/>
  <c r="AQ109" i="3"/>
  <c r="BF109" i="3" s="1"/>
  <c r="BM109" i="3" s="1"/>
  <c r="AR109" i="3"/>
  <c r="BH109" i="3" s="1"/>
  <c r="AR110" i="3"/>
  <c r="AP114" i="3"/>
  <c r="BE114" i="3" s="1"/>
  <c r="AQ114" i="3"/>
  <c r="BF114" i="3" s="1"/>
  <c r="AR114" i="3"/>
  <c r="AZ114" i="3" s="1"/>
  <c r="AP116" i="3"/>
  <c r="BE116" i="3" s="1"/>
  <c r="AQ116" i="3"/>
  <c r="BF116" i="3" s="1"/>
  <c r="AR116" i="3"/>
  <c r="AP117" i="3"/>
  <c r="BE117" i="3" s="1"/>
  <c r="AQ117" i="3"/>
  <c r="BF117" i="3" s="1"/>
  <c r="BR117" i="3" s="1"/>
  <c r="AR117" i="3"/>
  <c r="BH117" i="3" s="1"/>
  <c r="AP118" i="3"/>
  <c r="BE118" i="3" s="1"/>
  <c r="BI118" i="3" s="1"/>
  <c r="AQ118" i="3"/>
  <c r="BF118" i="3" s="1"/>
  <c r="AR118" i="3"/>
  <c r="AP119" i="3"/>
  <c r="BE119" i="3" s="1"/>
  <c r="BI119" i="3" s="1"/>
  <c r="AQ119" i="3"/>
  <c r="BF119" i="3" s="1"/>
  <c r="AR119" i="3"/>
  <c r="AP121" i="3"/>
  <c r="AP122" i="3"/>
  <c r="BE122" i="3" s="1"/>
  <c r="BI122" i="3" s="1"/>
  <c r="AQ122" i="3"/>
  <c r="BF122" i="3" s="1"/>
  <c r="AR122" i="3"/>
  <c r="AZ122" i="3" s="1"/>
  <c r="AP123" i="3"/>
  <c r="BE123" i="3" s="1"/>
  <c r="AQ123" i="3"/>
  <c r="BF123" i="3" s="1"/>
  <c r="BM123" i="3" s="1"/>
  <c r="AR123" i="3"/>
  <c r="AZ123" i="3" s="1"/>
  <c r="AP125" i="3"/>
  <c r="AP126" i="3"/>
  <c r="AP127" i="3"/>
  <c r="AP128" i="3"/>
  <c r="BE128" i="3" s="1"/>
  <c r="AQ128" i="3"/>
  <c r="BF128" i="3" s="1"/>
  <c r="AR128" i="3"/>
  <c r="AZ128" i="3" s="1"/>
  <c r="AP129" i="3"/>
  <c r="AP130" i="3"/>
  <c r="BE130" i="3" s="1"/>
  <c r="AQ130" i="3"/>
  <c r="BF130" i="3" s="1"/>
  <c r="AR130" i="3"/>
  <c r="AP131" i="3"/>
  <c r="BE131" i="3" s="1"/>
  <c r="BI131" i="3" s="1"/>
  <c r="AQ131" i="3"/>
  <c r="BF131" i="3" s="1"/>
  <c r="AR131" i="3"/>
  <c r="AP133" i="3"/>
  <c r="BE133" i="3" s="1"/>
  <c r="AQ133" i="3"/>
  <c r="BF133" i="3" s="1"/>
  <c r="BM133" i="3" s="1"/>
  <c r="AR133" i="3"/>
  <c r="AP134" i="3"/>
  <c r="BE134" i="3" s="1"/>
  <c r="AQ134" i="3"/>
  <c r="BF134" i="3" s="1"/>
  <c r="AR134" i="3"/>
  <c r="AZ134" i="3" s="1"/>
  <c r="AR137" i="3"/>
  <c r="AP138" i="3"/>
  <c r="BE138" i="3" s="1"/>
  <c r="BI138" i="3" s="1"/>
  <c r="AQ138" i="3"/>
  <c r="BF138" i="3" s="1"/>
  <c r="BR138" i="3" s="1"/>
  <c r="AR138" i="3"/>
  <c r="BH138" i="3" s="1"/>
  <c r="AP140" i="3"/>
  <c r="BE140" i="3" s="1"/>
  <c r="AQ140" i="3"/>
  <c r="BF140" i="3" s="1"/>
  <c r="AR140" i="3"/>
  <c r="AZ140" i="3" s="1"/>
  <c r="AP150" i="3"/>
  <c r="BE150" i="3" s="1"/>
  <c r="AQ150" i="3"/>
  <c r="BF150" i="3" s="1"/>
  <c r="BM150" i="3" s="1"/>
  <c r="AR150" i="3"/>
  <c r="AZ150" i="3" s="1"/>
  <c r="AP158" i="3"/>
  <c r="BE158" i="3" s="1"/>
  <c r="AQ158" i="3"/>
  <c r="BF158" i="3" s="1"/>
  <c r="AR158" i="3"/>
  <c r="AP160" i="3"/>
  <c r="P3" i="1"/>
  <c r="CA3" i="1" s="1"/>
  <c r="X3" i="1"/>
  <c r="Y3" i="1" s="1"/>
  <c r="AC3" i="1"/>
  <c r="BB3" i="1"/>
  <c r="BT3" i="1"/>
  <c r="AW3" i="1" s="1"/>
  <c r="BV3" i="1"/>
  <c r="BY3" i="1"/>
  <c r="P4" i="1"/>
  <c r="X4" i="1"/>
  <c r="K4" i="5" s="1"/>
  <c r="L4" i="5" s="1"/>
  <c r="AC4" i="1"/>
  <c r="AO4" i="1"/>
  <c r="BB4" i="1"/>
  <c r="BT4" i="1"/>
  <c r="AW4" i="1" s="1"/>
  <c r="BV4" i="1"/>
  <c r="BY4" i="1"/>
  <c r="P5" i="1"/>
  <c r="CA5" i="1" s="1"/>
  <c r="X5" i="1"/>
  <c r="Z5" i="1" s="1"/>
  <c r="AC5" i="1"/>
  <c r="AO5" i="1"/>
  <c r="BB5" i="1"/>
  <c r="BT5" i="1"/>
  <c r="AW5" i="1" s="1"/>
  <c r="BV5" i="1"/>
  <c r="BY5" i="1"/>
  <c r="P6" i="1"/>
  <c r="CA6" i="1" s="1"/>
  <c r="X6" i="1"/>
  <c r="Z6" i="1" s="1"/>
  <c r="AC6" i="1"/>
  <c r="BB6" i="1"/>
  <c r="BT6" i="1"/>
  <c r="AW6" i="1" s="1"/>
  <c r="BV6" i="1"/>
  <c r="BY6" i="1"/>
  <c r="P7" i="1"/>
  <c r="CA7" i="1" s="1"/>
  <c r="X7" i="1"/>
  <c r="Z7" i="1" s="1"/>
  <c r="AC7" i="1"/>
  <c r="BB7" i="1"/>
  <c r="BT7" i="1"/>
  <c r="AW7" i="1" s="1"/>
  <c r="BV7" i="1"/>
  <c r="BY7" i="1"/>
  <c r="P8" i="1"/>
  <c r="CA8" i="1" s="1"/>
  <c r="X8" i="1"/>
  <c r="AC8" i="1"/>
  <c r="AO8" i="1"/>
  <c r="BB8" i="1"/>
  <c r="BT8" i="1"/>
  <c r="AW8" i="1" s="1"/>
  <c r="BV8" i="1"/>
  <c r="BY8" i="1"/>
  <c r="P9" i="1"/>
  <c r="CA9" i="1" s="1"/>
  <c r="X9" i="1"/>
  <c r="Z9" i="1" s="1"/>
  <c r="AC9" i="1"/>
  <c r="BB9" i="1"/>
  <c r="BT9" i="1"/>
  <c r="AW9" i="1" s="1"/>
  <c r="BV9" i="1"/>
  <c r="BY9" i="1"/>
  <c r="P10" i="1"/>
  <c r="CA10" i="1" s="1"/>
  <c r="X10" i="1"/>
  <c r="Z10" i="1" s="1"/>
  <c r="AC10" i="1"/>
  <c r="AO10" i="1"/>
  <c r="BB10" i="1"/>
  <c r="BT10" i="1"/>
  <c r="AW10" i="1" s="1"/>
  <c r="BV10" i="1"/>
  <c r="BY10" i="1"/>
  <c r="P11" i="1"/>
  <c r="CA11" i="1" s="1"/>
  <c r="X11" i="1"/>
  <c r="Z11" i="1" s="1"/>
  <c r="AC11" i="1"/>
  <c r="BB11" i="1"/>
  <c r="BT11" i="1"/>
  <c r="AW11" i="1" s="1"/>
  <c r="BV11" i="1"/>
  <c r="BY11" i="1"/>
  <c r="P12" i="1"/>
  <c r="CA12" i="1" s="1"/>
  <c r="X12" i="1"/>
  <c r="AA12" i="1" s="1"/>
  <c r="AC12" i="1"/>
  <c r="AO12" i="1"/>
  <c r="BB12" i="1"/>
  <c r="BT12" i="1"/>
  <c r="AW12" i="1" s="1"/>
  <c r="BV12" i="1"/>
  <c r="BY12" i="1"/>
  <c r="P13" i="1"/>
  <c r="CA13" i="1" s="1"/>
  <c r="X13" i="1"/>
  <c r="AB13" i="1" s="1"/>
  <c r="AC13" i="1"/>
  <c r="BB13" i="1"/>
  <c r="BT13" i="1"/>
  <c r="AW13" i="1" s="1"/>
  <c r="BV13" i="1"/>
  <c r="BY13" i="1"/>
  <c r="P14" i="1"/>
  <c r="CA14" i="1" s="1"/>
  <c r="X14" i="1"/>
  <c r="AB14" i="1" s="1"/>
  <c r="AC14" i="1"/>
  <c r="BB14" i="1"/>
  <c r="BT14" i="1"/>
  <c r="AW14" i="1" s="1"/>
  <c r="BV14" i="1"/>
  <c r="BY14" i="1"/>
  <c r="P15" i="1"/>
  <c r="CA15" i="1" s="1"/>
  <c r="X15" i="1"/>
  <c r="AC15" i="1"/>
  <c r="BB15" i="1"/>
  <c r="BT15" i="1"/>
  <c r="AW15" i="1" s="1"/>
  <c r="BV15" i="1"/>
  <c r="BY15" i="1"/>
  <c r="P16" i="1"/>
  <c r="CA16" i="1" s="1"/>
  <c r="X16" i="1"/>
  <c r="AA16" i="1" s="1"/>
  <c r="AC16" i="1"/>
  <c r="BB16" i="1"/>
  <c r="BT16" i="1"/>
  <c r="AW16" i="1" s="1"/>
  <c r="BV16" i="1"/>
  <c r="BY16" i="1"/>
  <c r="P17" i="1"/>
  <c r="CA17" i="1" s="1"/>
  <c r="X17" i="1"/>
  <c r="Z17" i="1" s="1"/>
  <c r="AC17" i="1"/>
  <c r="AO17" i="1"/>
  <c r="BB17" i="1"/>
  <c r="BT17" i="1"/>
  <c r="AW17" i="1" s="1"/>
  <c r="BV17" i="1"/>
  <c r="BY17" i="1"/>
  <c r="P18" i="1"/>
  <c r="CA18" i="1" s="1"/>
  <c r="X18" i="1"/>
  <c r="AB18" i="1" s="1"/>
  <c r="AC18" i="1"/>
  <c r="AO18" i="1"/>
  <c r="BB18" i="1"/>
  <c r="BT18" i="1"/>
  <c r="AW18" i="1" s="1"/>
  <c r="BV18" i="1"/>
  <c r="BY18" i="1"/>
  <c r="P19" i="1"/>
  <c r="CA19" i="1" s="1"/>
  <c r="X19" i="1"/>
  <c r="K19" i="5" s="1"/>
  <c r="L19" i="5" s="1"/>
  <c r="AC19" i="1"/>
  <c r="BB19" i="1"/>
  <c r="BT19" i="1"/>
  <c r="AW19" i="1" s="1"/>
  <c r="BV19" i="1"/>
  <c r="BY19" i="1"/>
  <c r="P20" i="1"/>
  <c r="CA20" i="1" s="1"/>
  <c r="X20" i="1"/>
  <c r="Z20" i="1" s="1"/>
  <c r="AC20" i="1"/>
  <c r="AO20" i="1"/>
  <c r="BB20" i="1"/>
  <c r="BT20" i="1"/>
  <c r="AW20" i="1" s="1"/>
  <c r="BV20" i="1"/>
  <c r="BY20" i="1"/>
  <c r="P21" i="1"/>
  <c r="CA21" i="1" s="1"/>
  <c r="X21" i="1"/>
  <c r="AC21" i="1"/>
  <c r="AO21" i="1"/>
  <c r="BB21" i="1"/>
  <c r="BT21" i="1"/>
  <c r="AW21" i="1" s="1"/>
  <c r="BV21" i="1"/>
  <c r="BY21" i="1"/>
  <c r="P22" i="1"/>
  <c r="CA22" i="1" s="1"/>
  <c r="X22" i="1"/>
  <c r="Z22" i="1" s="1"/>
  <c r="AC22" i="1"/>
  <c r="AO22" i="1"/>
  <c r="BB22" i="1"/>
  <c r="BT22" i="1"/>
  <c r="AW22" i="1" s="1"/>
  <c r="BV22" i="1"/>
  <c r="BY22" i="1"/>
  <c r="P23" i="1"/>
  <c r="CA23" i="1" s="1"/>
  <c r="X23" i="1"/>
  <c r="AA23" i="1" s="1"/>
  <c r="AC23" i="1"/>
  <c r="AO23" i="1"/>
  <c r="J23" i="1" s="1"/>
  <c r="BB23" i="1"/>
  <c r="BT23" i="1"/>
  <c r="AW23" i="1" s="1"/>
  <c r="BV23" i="1"/>
  <c r="BY23" i="1"/>
  <c r="P24" i="1"/>
  <c r="CA24" i="1" s="1"/>
  <c r="X24" i="1"/>
  <c r="Z24" i="1" s="1"/>
  <c r="AC24" i="1"/>
  <c r="AO24" i="1"/>
  <c r="J24" i="1" s="1"/>
  <c r="BB24" i="1"/>
  <c r="BT24" i="1"/>
  <c r="AW24" i="1" s="1"/>
  <c r="BV24" i="1"/>
  <c r="BY24" i="1"/>
  <c r="P25" i="1"/>
  <c r="CA25" i="1" s="1"/>
  <c r="AC25" i="1"/>
  <c r="BB25" i="1"/>
  <c r="BT25" i="1"/>
  <c r="AW25" i="1" s="1"/>
  <c r="BV25" i="1"/>
  <c r="BY25" i="1"/>
  <c r="P26" i="1"/>
  <c r="CA26" i="1" s="1"/>
  <c r="AC26" i="1"/>
  <c r="BB26" i="1"/>
  <c r="BT26" i="1"/>
  <c r="AW26" i="1" s="1"/>
  <c r="BV26" i="1"/>
  <c r="BY26" i="1"/>
  <c r="P27" i="1"/>
  <c r="AC27" i="1"/>
  <c r="AO27" i="1"/>
  <c r="BB27" i="1"/>
  <c r="BT27" i="1"/>
  <c r="AW27" i="1" s="1"/>
  <c r="BV27" i="1"/>
  <c r="BY27" i="1"/>
  <c r="P28" i="1"/>
  <c r="CA28" i="1" s="1"/>
  <c r="X28" i="1"/>
  <c r="K28" i="5" s="1"/>
  <c r="AC28" i="1"/>
  <c r="BB28" i="1"/>
  <c r="BT28" i="1"/>
  <c r="AW28" i="1" s="1"/>
  <c r="BV28" i="1"/>
  <c r="BY28" i="1"/>
  <c r="P29" i="1"/>
  <c r="AC29" i="1"/>
  <c r="AO29" i="1"/>
  <c r="BB29" i="1"/>
  <c r="BT29" i="1"/>
  <c r="AW29" i="1" s="1"/>
  <c r="BV29" i="1"/>
  <c r="BY29" i="1"/>
  <c r="P30" i="1"/>
  <c r="CA30" i="1" s="1"/>
  <c r="X30" i="1"/>
  <c r="AC30" i="1"/>
  <c r="BB30" i="1"/>
  <c r="BT30" i="1"/>
  <c r="AW30" i="1" s="1"/>
  <c r="BV30" i="1"/>
  <c r="BY30" i="1"/>
  <c r="P31" i="1"/>
  <c r="CA31" i="1" s="1"/>
  <c r="X31" i="1"/>
  <c r="K31" i="5" s="1"/>
  <c r="L31" i="5" s="1"/>
  <c r="AC31" i="1"/>
  <c r="BB31" i="1"/>
  <c r="BT31" i="1"/>
  <c r="AW31" i="1" s="1"/>
  <c r="BV31" i="1"/>
  <c r="BY31" i="1"/>
  <c r="P32" i="1"/>
  <c r="X32" i="1"/>
  <c r="AC32" i="1"/>
  <c r="AO32" i="1"/>
  <c r="BB32" i="1"/>
  <c r="BT32" i="1"/>
  <c r="AW32" i="1" s="1"/>
  <c r="BV32" i="1"/>
  <c r="BY32" i="1"/>
  <c r="P33" i="1"/>
  <c r="CA33" i="1" s="1"/>
  <c r="X33" i="1"/>
  <c r="AC33" i="1"/>
  <c r="AO33" i="1"/>
  <c r="BB33" i="1"/>
  <c r="BT33" i="1"/>
  <c r="AW33" i="1" s="1"/>
  <c r="BV33" i="1"/>
  <c r="BY33" i="1"/>
  <c r="P34" i="1"/>
  <c r="CA34" i="1" s="1"/>
  <c r="X34" i="1"/>
  <c r="K34" i="5" s="1"/>
  <c r="AC34" i="1"/>
  <c r="AO34" i="1"/>
  <c r="BB34" i="1"/>
  <c r="BT34" i="1"/>
  <c r="AW34" i="1" s="1"/>
  <c r="BV34" i="1"/>
  <c r="BY34" i="1"/>
  <c r="P35" i="1"/>
  <c r="X35" i="1"/>
  <c r="Z35" i="1" s="1"/>
  <c r="AC35" i="1"/>
  <c r="AO35" i="1"/>
  <c r="BB35" i="1"/>
  <c r="BT35" i="1"/>
  <c r="AW35" i="1" s="1"/>
  <c r="BV35" i="1"/>
  <c r="BY35" i="1"/>
  <c r="P36" i="1"/>
  <c r="CA36" i="1" s="1"/>
  <c r="X36" i="1"/>
  <c r="Y36" i="1" s="1"/>
  <c r="AC36" i="1"/>
  <c r="AO36" i="1"/>
  <c r="BB36" i="1"/>
  <c r="BT36" i="1"/>
  <c r="AW36" i="1" s="1"/>
  <c r="BV36" i="1"/>
  <c r="BY36" i="1"/>
  <c r="P37" i="1"/>
  <c r="CA37" i="1" s="1"/>
  <c r="X37" i="1"/>
  <c r="AA37" i="1" s="1"/>
  <c r="AC37" i="1"/>
  <c r="AO37" i="1"/>
  <c r="BB37" i="1"/>
  <c r="BT37" i="1"/>
  <c r="AW37" i="1" s="1"/>
  <c r="BV37" i="1"/>
  <c r="BY37" i="1"/>
  <c r="P38" i="1"/>
  <c r="CA38" i="1" s="1"/>
  <c r="X38" i="1"/>
  <c r="AC38" i="1"/>
  <c r="AO38" i="1"/>
  <c r="BB38" i="1"/>
  <c r="BT38" i="1"/>
  <c r="AW38" i="1" s="1"/>
  <c r="BV38" i="1"/>
  <c r="BY38" i="1"/>
  <c r="P39" i="1"/>
  <c r="CA39" i="1" s="1"/>
  <c r="X39" i="1"/>
  <c r="AA39" i="1" s="1"/>
  <c r="AC39" i="1"/>
  <c r="BB39" i="1"/>
  <c r="BT39" i="1"/>
  <c r="AW39" i="1" s="1"/>
  <c r="BV39" i="1"/>
  <c r="BY39" i="1"/>
  <c r="P40" i="1"/>
  <c r="CA40" i="1" s="1"/>
  <c r="X40" i="1"/>
  <c r="Y40" i="1" s="1"/>
  <c r="AC40" i="1"/>
  <c r="AO40" i="1"/>
  <c r="BB40" i="1"/>
  <c r="BT40" i="1"/>
  <c r="AW40" i="1" s="1"/>
  <c r="BV40" i="1"/>
  <c r="BY40" i="1"/>
  <c r="P41" i="1"/>
  <c r="X41" i="1"/>
  <c r="K41" i="5" s="1"/>
  <c r="L41" i="5" s="1"/>
  <c r="AC41" i="1"/>
  <c r="AO41" i="1"/>
  <c r="BB41" i="1"/>
  <c r="BT41" i="1"/>
  <c r="AW41" i="1" s="1"/>
  <c r="BV41" i="1"/>
  <c r="BY41" i="1"/>
  <c r="P42" i="1"/>
  <c r="CA42" i="1" s="1"/>
  <c r="AC42" i="1"/>
  <c r="AO42" i="1"/>
  <c r="BB42" i="1"/>
  <c r="BT42" i="1"/>
  <c r="AW42" i="1" s="1"/>
  <c r="BV42" i="1"/>
  <c r="BY42" i="1"/>
  <c r="P43" i="1"/>
  <c r="CA43" i="1" s="1"/>
  <c r="AC43" i="1"/>
  <c r="BB43" i="1"/>
  <c r="BT43" i="1"/>
  <c r="AW43" i="1" s="1"/>
  <c r="BV43" i="1"/>
  <c r="BY43" i="1"/>
  <c r="P44" i="1"/>
  <c r="CA44" i="1" s="1"/>
  <c r="AC44" i="1"/>
  <c r="AO44" i="1"/>
  <c r="BB44" i="1"/>
  <c r="BT44" i="1"/>
  <c r="AW44" i="1" s="1"/>
  <c r="BV44" i="1"/>
  <c r="BY44" i="1"/>
  <c r="P45" i="1"/>
  <c r="CA45" i="1" s="1"/>
  <c r="AC45" i="1"/>
  <c r="AO45" i="1"/>
  <c r="BB45" i="1"/>
  <c r="BT45" i="1"/>
  <c r="AW45" i="1" s="1"/>
  <c r="BV45" i="1"/>
  <c r="BY45" i="1"/>
  <c r="P46" i="1"/>
  <c r="CA46" i="1" s="1"/>
  <c r="AC46" i="1"/>
  <c r="BB46" i="1"/>
  <c r="BT46" i="1"/>
  <c r="AW46" i="1" s="1"/>
  <c r="BV46" i="1"/>
  <c r="BY46" i="1"/>
  <c r="P47" i="1"/>
  <c r="X47" i="1"/>
  <c r="K47" i="5" s="1"/>
  <c r="L47" i="5" s="1"/>
  <c r="AC47" i="1"/>
  <c r="AO47" i="1"/>
  <c r="BB47" i="1"/>
  <c r="BT47" i="1"/>
  <c r="AW47" i="1" s="1"/>
  <c r="BV47" i="1"/>
  <c r="BY47" i="1"/>
  <c r="P48" i="1"/>
  <c r="X48" i="1"/>
  <c r="AB48" i="1" s="1"/>
  <c r="AC48" i="1"/>
  <c r="AO48" i="1"/>
  <c r="BB48" i="1"/>
  <c r="BT48" i="1"/>
  <c r="AW48" i="1" s="1"/>
  <c r="BV48" i="1"/>
  <c r="BY48" i="1"/>
  <c r="P49" i="1"/>
  <c r="CA49" i="1" s="1"/>
  <c r="AC49" i="1"/>
  <c r="AO49" i="1"/>
  <c r="BB49" i="1"/>
  <c r="BT49" i="1"/>
  <c r="AW49" i="1" s="1"/>
  <c r="BV49" i="1"/>
  <c r="BY49" i="1"/>
  <c r="P50" i="1"/>
  <c r="CA50" i="1" s="1"/>
  <c r="AC50" i="1"/>
  <c r="AO50" i="1"/>
  <c r="BB50" i="1"/>
  <c r="BT50" i="1"/>
  <c r="AW50" i="1" s="1"/>
  <c r="BV50" i="1"/>
  <c r="BY50" i="1"/>
  <c r="P51" i="1"/>
  <c r="CA51" i="1" s="1"/>
  <c r="AC51" i="1"/>
  <c r="BB51" i="1"/>
  <c r="BT51" i="1"/>
  <c r="AW51" i="1" s="1"/>
  <c r="BV51" i="1"/>
  <c r="BY51" i="1"/>
  <c r="P52" i="1"/>
  <c r="CA52" i="1" s="1"/>
  <c r="AC52" i="1"/>
  <c r="BB52" i="1"/>
  <c r="BT52" i="1"/>
  <c r="AW52" i="1" s="1"/>
  <c r="BV52" i="1"/>
  <c r="BY52" i="1"/>
  <c r="P53" i="1"/>
  <c r="CA53" i="1" s="1"/>
  <c r="AC53" i="1"/>
  <c r="AO53" i="1"/>
  <c r="BB53" i="1"/>
  <c r="BT53" i="1"/>
  <c r="AW53" i="1" s="1"/>
  <c r="BV53" i="1"/>
  <c r="BY53" i="1"/>
  <c r="P54" i="1"/>
  <c r="CA54" i="1" s="1"/>
  <c r="AC54" i="1"/>
  <c r="AO54" i="1"/>
  <c r="BB54" i="1"/>
  <c r="BT54" i="1"/>
  <c r="AW54" i="1" s="1"/>
  <c r="BV54" i="1"/>
  <c r="BY54" i="1"/>
  <c r="N55" i="1"/>
  <c r="O55" i="1"/>
  <c r="P55" i="1"/>
  <c r="S55" i="1"/>
  <c r="W55" i="1" s="1"/>
  <c r="X55" i="1"/>
  <c r="K55" i="5" s="1"/>
  <c r="AC55" i="1"/>
  <c r="AI55" i="1"/>
  <c r="AJ55" i="1" s="1"/>
  <c r="AO55" i="1"/>
  <c r="J55" i="1" s="1"/>
  <c r="AX55" i="1"/>
  <c r="AZ55" i="1"/>
  <c r="BB55" i="1"/>
  <c r="BC55" i="1"/>
  <c r="BI55" i="1"/>
  <c r="BO55" i="1"/>
  <c r="BT55" i="1"/>
  <c r="AW55" i="1" s="1"/>
  <c r="BV55" i="1"/>
  <c r="BY55" i="1"/>
  <c r="CB55" i="1"/>
  <c r="CC55" i="1"/>
  <c r="CE55" i="1"/>
  <c r="CF55" i="1"/>
  <c r="CH55" i="1"/>
  <c r="CI55" i="1"/>
  <c r="CJ55" i="1"/>
  <c r="N56" i="1"/>
  <c r="O56" i="1"/>
  <c r="P56" i="1"/>
  <c r="CA56" i="1" s="1"/>
  <c r="S56" i="1"/>
  <c r="V56" i="1" s="1"/>
  <c r="X56" i="1"/>
  <c r="Z56" i="1" s="1"/>
  <c r="AC56" i="1"/>
  <c r="AI56" i="1"/>
  <c r="AJ56" i="1" s="1"/>
  <c r="AO56" i="1"/>
  <c r="J56" i="1" s="1"/>
  <c r="AX56" i="1"/>
  <c r="AZ56" i="1"/>
  <c r="BB56" i="1"/>
  <c r="BC56" i="1"/>
  <c r="BI56" i="1"/>
  <c r="BO56" i="1"/>
  <c r="BT56" i="1"/>
  <c r="AW56" i="1" s="1"/>
  <c r="BV56" i="1"/>
  <c r="BY56" i="1"/>
  <c r="CB56" i="1"/>
  <c r="CC56" i="1"/>
  <c r="CE56" i="1"/>
  <c r="CF56" i="1"/>
  <c r="CH56" i="1"/>
  <c r="CI56" i="1"/>
  <c r="CJ56" i="1"/>
  <c r="N57" i="1"/>
  <c r="O57" i="1"/>
  <c r="P57" i="1"/>
  <c r="CA57" i="1" s="1"/>
  <c r="S57" i="1"/>
  <c r="G57" i="5" s="1"/>
  <c r="X57" i="1"/>
  <c r="AC57" i="1"/>
  <c r="AI57" i="1"/>
  <c r="AJ57" i="1" s="1"/>
  <c r="AO57" i="1"/>
  <c r="J57" i="1" s="1"/>
  <c r="AX57" i="1"/>
  <c r="AZ57" i="1"/>
  <c r="BB57" i="1"/>
  <c r="BC57" i="1"/>
  <c r="BI57" i="1"/>
  <c r="BL57" i="1" s="1"/>
  <c r="BO57" i="1"/>
  <c r="BT57" i="1"/>
  <c r="AW57" i="1" s="1"/>
  <c r="BV57" i="1"/>
  <c r="BY57" i="1"/>
  <c r="CB57" i="1"/>
  <c r="CC57" i="1"/>
  <c r="CE57" i="1"/>
  <c r="CF57" i="1"/>
  <c r="CH57" i="1"/>
  <c r="CI57" i="1"/>
  <c r="CJ57" i="1"/>
  <c r="N58" i="1"/>
  <c r="O58" i="1"/>
  <c r="P58" i="1"/>
  <c r="CA58" i="1" s="1"/>
  <c r="S58" i="1"/>
  <c r="T58" i="1" s="1"/>
  <c r="X58" i="1"/>
  <c r="AC58" i="1"/>
  <c r="AI58" i="1"/>
  <c r="AJ58" i="1" s="1"/>
  <c r="AO58" i="1"/>
  <c r="AX58" i="1"/>
  <c r="AZ58" i="1"/>
  <c r="BB58" i="1"/>
  <c r="BC58" i="1"/>
  <c r="BI58" i="1"/>
  <c r="BL58" i="1" s="1"/>
  <c r="BO58" i="1"/>
  <c r="BT58" i="1"/>
  <c r="AW58" i="1" s="1"/>
  <c r="BV58" i="1"/>
  <c r="BY58" i="1"/>
  <c r="CB58" i="1"/>
  <c r="CC58" i="1"/>
  <c r="CE58" i="1"/>
  <c r="CF58" i="1"/>
  <c r="CH58" i="1"/>
  <c r="CI58" i="1"/>
  <c r="CJ58" i="1"/>
  <c r="N59" i="1"/>
  <c r="O59" i="1"/>
  <c r="P59" i="1"/>
  <c r="CA59" i="1" s="1"/>
  <c r="S59" i="1"/>
  <c r="X59" i="1"/>
  <c r="K59" i="5" s="1"/>
  <c r="L59" i="5" s="1"/>
  <c r="AC59" i="1"/>
  <c r="AI59" i="1"/>
  <c r="AJ59" i="1" s="1"/>
  <c r="AO59" i="1"/>
  <c r="J59" i="1" s="1"/>
  <c r="AX59" i="1"/>
  <c r="AZ59" i="1"/>
  <c r="BB59" i="1"/>
  <c r="BC59" i="1"/>
  <c r="BI59" i="1"/>
  <c r="BO59" i="1"/>
  <c r="BT59" i="1"/>
  <c r="AW59" i="1" s="1"/>
  <c r="BV59" i="1"/>
  <c r="BY59" i="1"/>
  <c r="CB59" i="1"/>
  <c r="CC59" i="1"/>
  <c r="CE59" i="1"/>
  <c r="CF59" i="1"/>
  <c r="CH59" i="1"/>
  <c r="CI59" i="1"/>
  <c r="CJ59" i="1"/>
  <c r="N60" i="1"/>
  <c r="O60" i="1"/>
  <c r="P60" i="1"/>
  <c r="CA60" i="1" s="1"/>
  <c r="S60" i="1"/>
  <c r="U60" i="1" s="1"/>
  <c r="X60" i="1"/>
  <c r="AA60" i="1" s="1"/>
  <c r="AC60" i="1"/>
  <c r="AI60" i="1"/>
  <c r="AO60" i="1"/>
  <c r="J60" i="1" s="1"/>
  <c r="AX60" i="1"/>
  <c r="AZ60" i="1"/>
  <c r="BB60" i="1"/>
  <c r="BC60" i="1"/>
  <c r="BI60" i="1"/>
  <c r="BO60" i="1"/>
  <c r="BT60" i="1"/>
  <c r="AW60" i="1" s="1"/>
  <c r="BV60" i="1"/>
  <c r="BY60" i="1"/>
  <c r="CB60" i="1"/>
  <c r="CC60" i="1"/>
  <c r="CE60" i="1"/>
  <c r="CF60" i="1"/>
  <c r="CH60" i="1"/>
  <c r="CI60" i="1"/>
  <c r="CJ60" i="1"/>
  <c r="P61" i="1"/>
  <c r="X61" i="1"/>
  <c r="AC61" i="1"/>
  <c r="AO61" i="1"/>
  <c r="BB61" i="1"/>
  <c r="BT61" i="1"/>
  <c r="AW61" i="1" s="1"/>
  <c r="BV61" i="1"/>
  <c r="BY61" i="1"/>
  <c r="N62" i="1"/>
  <c r="O62" i="1"/>
  <c r="P62" i="1"/>
  <c r="CA62" i="1" s="1"/>
  <c r="S62" i="1"/>
  <c r="T62" i="1" s="1"/>
  <c r="X62" i="1"/>
  <c r="Y62" i="1" s="1"/>
  <c r="AC62" i="1"/>
  <c r="AO62" i="1"/>
  <c r="J62" i="1" s="1"/>
  <c r="AX62" i="1"/>
  <c r="AZ62" i="1"/>
  <c r="BB62" i="1"/>
  <c r="BC62" i="1"/>
  <c r="BI62" i="1"/>
  <c r="BL62" i="1" s="1"/>
  <c r="BO62" i="1"/>
  <c r="BT62" i="1"/>
  <c r="AW62" i="1" s="1"/>
  <c r="BV62" i="1"/>
  <c r="BY62" i="1"/>
  <c r="CB62" i="1"/>
  <c r="CC62" i="1"/>
  <c r="CE62" i="1"/>
  <c r="CF62" i="1"/>
  <c r="CH62" i="1"/>
  <c r="CI62" i="1"/>
  <c r="CJ62" i="1"/>
  <c r="P63" i="1"/>
  <c r="X63" i="1"/>
  <c r="Y63" i="1" s="1"/>
  <c r="AC63" i="1"/>
  <c r="BB63" i="1"/>
  <c r="BT63" i="1"/>
  <c r="AW63" i="1" s="1"/>
  <c r="BV63" i="1"/>
  <c r="BY63" i="1"/>
  <c r="P64" i="1"/>
  <c r="CA64" i="1" s="1"/>
  <c r="X64" i="1"/>
  <c r="AA64" i="1" s="1"/>
  <c r="AC64" i="1"/>
  <c r="AO64" i="1"/>
  <c r="J64" i="1" s="1"/>
  <c r="BB64" i="1"/>
  <c r="BT64" i="1"/>
  <c r="AW64" i="1" s="1"/>
  <c r="BV64" i="1"/>
  <c r="BY64" i="1"/>
  <c r="P65" i="1"/>
  <c r="X65" i="1"/>
  <c r="AA65" i="1" s="1"/>
  <c r="AC65" i="1"/>
  <c r="AO65" i="1"/>
  <c r="BB65" i="1"/>
  <c r="BT65" i="1"/>
  <c r="AW65" i="1" s="1"/>
  <c r="BV65" i="1"/>
  <c r="BY65" i="1"/>
  <c r="P66" i="1"/>
  <c r="CA66" i="1" s="1"/>
  <c r="X66" i="1"/>
  <c r="AB66" i="1" s="1"/>
  <c r="AC66" i="1"/>
  <c r="AO66" i="1"/>
  <c r="BB66" i="1"/>
  <c r="BT66" i="1"/>
  <c r="AW66" i="1" s="1"/>
  <c r="BV66" i="1"/>
  <c r="BY66" i="1"/>
  <c r="P67" i="1"/>
  <c r="CA67" i="1" s="1"/>
  <c r="X67" i="1"/>
  <c r="AA67" i="1" s="1"/>
  <c r="AC67" i="1"/>
  <c r="AO67" i="1"/>
  <c r="BB67" i="1"/>
  <c r="BT67" i="1"/>
  <c r="AW67" i="1" s="1"/>
  <c r="BV67" i="1"/>
  <c r="BY67" i="1"/>
  <c r="P68" i="1"/>
  <c r="CA68" i="1" s="1"/>
  <c r="X68" i="1"/>
  <c r="AB68" i="1" s="1"/>
  <c r="AC68" i="1"/>
  <c r="AO68" i="1"/>
  <c r="BB68" i="1"/>
  <c r="BT68" i="1"/>
  <c r="AW68" i="1" s="1"/>
  <c r="BV68" i="1"/>
  <c r="BY68" i="1"/>
  <c r="P69" i="1"/>
  <c r="CA69" i="1" s="1"/>
  <c r="X69" i="1"/>
  <c r="Z69" i="1" s="1"/>
  <c r="AC69" i="1"/>
  <c r="AO69" i="1"/>
  <c r="BB69" i="1"/>
  <c r="BT69" i="1"/>
  <c r="AW69" i="1" s="1"/>
  <c r="BV69" i="1"/>
  <c r="BY69" i="1"/>
  <c r="P70" i="1"/>
  <c r="CA70" i="1" s="1"/>
  <c r="X70" i="1"/>
  <c r="AA70" i="1" s="1"/>
  <c r="AC70" i="1"/>
  <c r="BB70" i="1"/>
  <c r="BT70" i="1"/>
  <c r="AW70" i="1" s="1"/>
  <c r="BV70" i="1"/>
  <c r="BY70" i="1"/>
  <c r="P71" i="1"/>
  <c r="CA71" i="1" s="1"/>
  <c r="X71" i="1"/>
  <c r="K71" i="5" s="1"/>
  <c r="L71" i="5" s="1"/>
  <c r="AC71" i="1"/>
  <c r="BB71" i="1"/>
  <c r="BT71" i="1"/>
  <c r="AW71" i="1" s="1"/>
  <c r="BV71" i="1"/>
  <c r="BY71" i="1"/>
  <c r="P72" i="1"/>
  <c r="CA72" i="1" s="1"/>
  <c r="X72" i="1"/>
  <c r="K72" i="5" s="1"/>
  <c r="L72" i="5" s="1"/>
  <c r="AC72" i="1"/>
  <c r="AO72" i="1"/>
  <c r="BB72" i="1"/>
  <c r="BT72" i="1"/>
  <c r="AW72" i="1" s="1"/>
  <c r="BV72" i="1"/>
  <c r="BY72" i="1"/>
  <c r="P73" i="1"/>
  <c r="CA73" i="1" s="1"/>
  <c r="X73" i="1"/>
  <c r="AC73" i="1"/>
  <c r="AO73" i="1"/>
  <c r="BB73" i="1"/>
  <c r="BT73" i="1"/>
  <c r="AW73" i="1" s="1"/>
  <c r="BV73" i="1"/>
  <c r="BY73" i="1"/>
  <c r="P74" i="1"/>
  <c r="CA74" i="1" s="1"/>
  <c r="X74" i="1"/>
  <c r="K74" i="5" s="1"/>
  <c r="L74" i="5" s="1"/>
  <c r="AC74" i="1"/>
  <c r="BB74" i="1"/>
  <c r="BT74" i="1"/>
  <c r="AW74" i="1" s="1"/>
  <c r="BV74" i="1"/>
  <c r="BY74" i="1"/>
  <c r="P75" i="1"/>
  <c r="CA75" i="1" s="1"/>
  <c r="X75" i="1"/>
  <c r="Y75" i="1" s="1"/>
  <c r="AC75" i="1"/>
  <c r="BB75" i="1"/>
  <c r="BT75" i="1"/>
  <c r="AW75" i="1" s="1"/>
  <c r="BV75" i="1"/>
  <c r="BY75" i="1"/>
  <c r="N76" i="1"/>
  <c r="O76" i="1"/>
  <c r="P76" i="1"/>
  <c r="CA76" i="1" s="1"/>
  <c r="S76" i="1"/>
  <c r="T76" i="1" s="1"/>
  <c r="X76" i="1"/>
  <c r="AB76" i="1" s="1"/>
  <c r="AC76" i="1"/>
  <c r="AI76" i="1"/>
  <c r="AJ76" i="1" s="1"/>
  <c r="AO76" i="1"/>
  <c r="J76" i="1" s="1"/>
  <c r="AX76" i="1"/>
  <c r="BB76" i="1"/>
  <c r="BC76" i="1"/>
  <c r="BI76" i="1"/>
  <c r="BL76" i="1" s="1"/>
  <c r="BO76" i="1"/>
  <c r="BT76" i="1"/>
  <c r="AW76" i="1" s="1"/>
  <c r="BV76" i="1"/>
  <c r="BY76" i="1"/>
  <c r="CB76" i="1"/>
  <c r="CC76" i="1"/>
  <c r="CE76" i="1"/>
  <c r="CF76" i="1"/>
  <c r="CH76" i="1"/>
  <c r="CI76" i="1"/>
  <c r="CJ76" i="1"/>
  <c r="N77" i="1"/>
  <c r="O77" i="1"/>
  <c r="P77" i="1"/>
  <c r="CA77" i="1" s="1"/>
  <c r="S77" i="1"/>
  <c r="V77" i="1" s="1"/>
  <c r="X77" i="1"/>
  <c r="Z77" i="1" s="1"/>
  <c r="AC77" i="1"/>
  <c r="AI77" i="1"/>
  <c r="AJ77" i="1" s="1"/>
  <c r="AO77" i="1"/>
  <c r="J77" i="1" s="1"/>
  <c r="AX77" i="1"/>
  <c r="BB77" i="1"/>
  <c r="BC77" i="1"/>
  <c r="BI77" i="1"/>
  <c r="BL77" i="1" s="1"/>
  <c r="BO77" i="1"/>
  <c r="BT77" i="1"/>
  <c r="AW77" i="1" s="1"/>
  <c r="BV77" i="1"/>
  <c r="BY77" i="1"/>
  <c r="CB77" i="1"/>
  <c r="CC77" i="1"/>
  <c r="CE77" i="1"/>
  <c r="CF77" i="1"/>
  <c r="CH77" i="1"/>
  <c r="CI77" i="1"/>
  <c r="CJ77" i="1"/>
  <c r="P78" i="1"/>
  <c r="CA78" i="1" s="1"/>
  <c r="X78" i="1"/>
  <c r="K78" i="5" s="1"/>
  <c r="L78" i="5" s="1"/>
  <c r="AC78" i="1"/>
  <c r="BB78" i="1"/>
  <c r="BT78" i="1"/>
  <c r="AW78" i="1" s="1"/>
  <c r="BV78" i="1"/>
  <c r="BY78" i="1"/>
  <c r="N79" i="1"/>
  <c r="O79" i="1"/>
  <c r="P79" i="1"/>
  <c r="CA79" i="1" s="1"/>
  <c r="AC79" i="1"/>
  <c r="AI79" i="1"/>
  <c r="AJ79" i="1" s="1"/>
  <c r="AX79" i="1"/>
  <c r="AZ79" i="1"/>
  <c r="BB79" i="1"/>
  <c r="BC79" i="1"/>
  <c r="BI79" i="1"/>
  <c r="BL79" i="1" s="1"/>
  <c r="BO79" i="1"/>
  <c r="BT79" i="1"/>
  <c r="AW79" i="1" s="1"/>
  <c r="BV79" i="1"/>
  <c r="BY79" i="1"/>
  <c r="CB79" i="1"/>
  <c r="CC79" i="1"/>
  <c r="CE79" i="1"/>
  <c r="CF79" i="1"/>
  <c r="CH79" i="1"/>
  <c r="CI79" i="1"/>
  <c r="CJ79" i="1"/>
  <c r="P80" i="1"/>
  <c r="AC80" i="1"/>
  <c r="AO80" i="1"/>
  <c r="BB80" i="1"/>
  <c r="BT80" i="1"/>
  <c r="AW80" i="1" s="1"/>
  <c r="BV80" i="1"/>
  <c r="BY80" i="1"/>
  <c r="P81" i="1"/>
  <c r="CA81" i="1" s="1"/>
  <c r="S81" i="1"/>
  <c r="W81" i="1" s="1"/>
  <c r="X81" i="1"/>
  <c r="AA81" i="1" s="1"/>
  <c r="AC81" i="1"/>
  <c r="AI81" i="1"/>
  <c r="AJ81" i="1" s="1"/>
  <c r="AO81" i="1"/>
  <c r="J81" i="1" s="1"/>
  <c r="AX81" i="1"/>
  <c r="AZ81" i="1"/>
  <c r="BB81" i="1"/>
  <c r="BC81" i="1"/>
  <c r="BI81" i="1"/>
  <c r="BL81" i="1" s="1"/>
  <c r="BO81" i="1"/>
  <c r="BT81" i="1"/>
  <c r="AW81" i="1" s="1"/>
  <c r="BV81" i="1"/>
  <c r="BY81" i="1"/>
  <c r="CB81" i="1"/>
  <c r="CC81" i="1"/>
  <c r="CE81" i="1"/>
  <c r="CF81" i="1"/>
  <c r="CH81" i="1"/>
  <c r="CI81" i="1"/>
  <c r="CJ81" i="1"/>
  <c r="P82" i="1"/>
  <c r="CA82" i="1" s="1"/>
  <c r="X82" i="1"/>
  <c r="Z82" i="1" s="1"/>
  <c r="AC82" i="1"/>
  <c r="AO82" i="1"/>
  <c r="BB82" i="1"/>
  <c r="BT82" i="1"/>
  <c r="AW82" i="1" s="1"/>
  <c r="BV82" i="1"/>
  <c r="BY82" i="1"/>
  <c r="P83" i="1"/>
  <c r="CA83" i="1" s="1"/>
  <c r="X83" i="1"/>
  <c r="Z83" i="1" s="1"/>
  <c r="AC83" i="1"/>
  <c r="AO83" i="1"/>
  <c r="BB83" i="1"/>
  <c r="BT83" i="1"/>
  <c r="AW83" i="1" s="1"/>
  <c r="BV83" i="1"/>
  <c r="BY83" i="1"/>
  <c r="P84" i="1"/>
  <c r="CA84" i="1" s="1"/>
  <c r="X84" i="1"/>
  <c r="Z84" i="1" s="1"/>
  <c r="AC84" i="1"/>
  <c r="AO84" i="1"/>
  <c r="BB84" i="1"/>
  <c r="BT84" i="1"/>
  <c r="AW84" i="1" s="1"/>
  <c r="BV84" i="1"/>
  <c r="BY84" i="1"/>
  <c r="P85" i="1"/>
  <c r="CA85" i="1" s="1"/>
  <c r="X85" i="1"/>
  <c r="K85" i="5" s="1"/>
  <c r="L85" i="5" s="1"/>
  <c r="AC85" i="1"/>
  <c r="AO85" i="1"/>
  <c r="BB85" i="1"/>
  <c r="BT85" i="1"/>
  <c r="AW85" i="1" s="1"/>
  <c r="BV85" i="1"/>
  <c r="BY85" i="1"/>
  <c r="P86" i="1"/>
  <c r="CA86" i="1" s="1"/>
  <c r="X86" i="1"/>
  <c r="Z86" i="1" s="1"/>
  <c r="AC86" i="1"/>
  <c r="BB86" i="1"/>
  <c r="BT86" i="1"/>
  <c r="AW86" i="1" s="1"/>
  <c r="BV86" i="1"/>
  <c r="BY86" i="1"/>
  <c r="P87" i="1"/>
  <c r="CA87" i="1" s="1"/>
  <c r="X87" i="1"/>
  <c r="K87" i="5" s="1"/>
  <c r="L87" i="5" s="1"/>
  <c r="AC87" i="1"/>
  <c r="AO87" i="1"/>
  <c r="BB87" i="1"/>
  <c r="BT87" i="1"/>
  <c r="AW87" i="1" s="1"/>
  <c r="BV87" i="1"/>
  <c r="BY87" i="1"/>
  <c r="P88" i="1"/>
  <c r="CA88" i="1" s="1"/>
  <c r="AC88" i="1"/>
  <c r="AO88" i="1"/>
  <c r="BB88" i="1"/>
  <c r="BT88" i="1"/>
  <c r="AW88" i="1" s="1"/>
  <c r="BV88" i="1"/>
  <c r="BY88" i="1"/>
  <c r="N89" i="1"/>
  <c r="O89" i="1"/>
  <c r="P89" i="1"/>
  <c r="CA89" i="1" s="1"/>
  <c r="S89" i="1"/>
  <c r="T89" i="1" s="1"/>
  <c r="X89" i="1"/>
  <c r="K89" i="5" s="1"/>
  <c r="AC89" i="1"/>
  <c r="AO89" i="1"/>
  <c r="J89" i="1" s="1"/>
  <c r="AX89" i="1"/>
  <c r="AZ89" i="1"/>
  <c r="BB89" i="1"/>
  <c r="BC89" i="1"/>
  <c r="BI89" i="1"/>
  <c r="BL89" i="1" s="1"/>
  <c r="BO89" i="1"/>
  <c r="BT89" i="1"/>
  <c r="AW89" i="1" s="1"/>
  <c r="BV89" i="1"/>
  <c r="BY89" i="1"/>
  <c r="CB89" i="1"/>
  <c r="CC89" i="1"/>
  <c r="CE89" i="1"/>
  <c r="CF89" i="1"/>
  <c r="CH89" i="1"/>
  <c r="CI89" i="1"/>
  <c r="CJ89" i="1"/>
  <c r="P90" i="1"/>
  <c r="CA90" i="1" s="1"/>
  <c r="X90" i="1"/>
  <c r="AC90" i="1"/>
  <c r="BB90" i="1"/>
  <c r="BT90" i="1"/>
  <c r="AW90" i="1" s="1"/>
  <c r="BV90" i="1"/>
  <c r="BY90" i="1"/>
  <c r="P91" i="1"/>
  <c r="CA91" i="1" s="1"/>
  <c r="S91" i="1"/>
  <c r="T91" i="1" s="1"/>
  <c r="X91" i="1"/>
  <c r="Y91" i="1" s="1"/>
  <c r="AC91" i="1"/>
  <c r="AI91" i="1"/>
  <c r="AX91" i="1"/>
  <c r="AZ91" i="1"/>
  <c r="BB91" i="1"/>
  <c r="BC91" i="1"/>
  <c r="BI91" i="1"/>
  <c r="BL91" i="1" s="1"/>
  <c r="BO91" i="1"/>
  <c r="BT91" i="1"/>
  <c r="AW91" i="1" s="1"/>
  <c r="BV91" i="1"/>
  <c r="BY91" i="1"/>
  <c r="CB91" i="1"/>
  <c r="CC91" i="1"/>
  <c r="CE91" i="1"/>
  <c r="CF91" i="1"/>
  <c r="CH91" i="1"/>
  <c r="CI91" i="1"/>
  <c r="CJ91" i="1"/>
  <c r="P92" i="1"/>
  <c r="CA92" i="1" s="1"/>
  <c r="S92" i="1"/>
  <c r="G92" i="5" s="1"/>
  <c r="H92" i="5" s="1"/>
  <c r="X92" i="1"/>
  <c r="Y92" i="1" s="1"/>
  <c r="AC92" i="1"/>
  <c r="AI92" i="1"/>
  <c r="AX92" i="1"/>
  <c r="BB92" i="1"/>
  <c r="BC92" i="1"/>
  <c r="BI92" i="1"/>
  <c r="BL92" i="1" s="1"/>
  <c r="BO92" i="1"/>
  <c r="BT92" i="1"/>
  <c r="AW92" i="1" s="1"/>
  <c r="BV92" i="1"/>
  <c r="BY92" i="1"/>
  <c r="CB92" i="1"/>
  <c r="CC92" i="1"/>
  <c r="CE92" i="1"/>
  <c r="CF92" i="1"/>
  <c r="CH92" i="1"/>
  <c r="CI92" i="1"/>
  <c r="CJ92" i="1"/>
  <c r="N93" i="1"/>
  <c r="O93" i="1"/>
  <c r="P93" i="1"/>
  <c r="CA93" i="1" s="1"/>
  <c r="S93" i="1"/>
  <c r="T93" i="1" s="1"/>
  <c r="X93" i="1"/>
  <c r="K93" i="5" s="1"/>
  <c r="L93" i="5" s="1"/>
  <c r="AC93" i="1"/>
  <c r="AI93" i="1"/>
  <c r="AJ93" i="1" s="1"/>
  <c r="AO93" i="1"/>
  <c r="J93" i="1" s="1"/>
  <c r="AX93" i="1"/>
  <c r="AZ93" i="1"/>
  <c r="BB93" i="1"/>
  <c r="BC93" i="1"/>
  <c r="BI93" i="1"/>
  <c r="BL93" i="1" s="1"/>
  <c r="BO93" i="1"/>
  <c r="BT93" i="1"/>
  <c r="AW93" i="1" s="1"/>
  <c r="BV93" i="1"/>
  <c r="BY93" i="1"/>
  <c r="CB93" i="1"/>
  <c r="CC93" i="1"/>
  <c r="CE93" i="1"/>
  <c r="CF93" i="1"/>
  <c r="CH93" i="1"/>
  <c r="CI93" i="1"/>
  <c r="CJ93" i="1"/>
  <c r="N94" i="1"/>
  <c r="O94" i="1"/>
  <c r="P94" i="1"/>
  <c r="CA94" i="1" s="1"/>
  <c r="S94" i="1"/>
  <c r="T94" i="1" s="1"/>
  <c r="X94" i="1"/>
  <c r="AB94" i="1" s="1"/>
  <c r="AC94" i="1"/>
  <c r="AI94" i="1"/>
  <c r="AO94" i="1"/>
  <c r="J94" i="1" s="1"/>
  <c r="AX94" i="1"/>
  <c r="AZ94" i="1"/>
  <c r="BB94" i="1"/>
  <c r="BC94" i="1"/>
  <c r="BI94" i="1"/>
  <c r="BL94" i="1" s="1"/>
  <c r="BO94" i="1"/>
  <c r="BT94" i="1"/>
  <c r="AW94" i="1" s="1"/>
  <c r="BV94" i="1"/>
  <c r="BY94" i="1"/>
  <c r="CB94" i="1"/>
  <c r="CC94" i="1"/>
  <c r="CE94" i="1"/>
  <c r="CF94" i="1"/>
  <c r="CH94" i="1"/>
  <c r="CI94" i="1"/>
  <c r="CJ94" i="1"/>
  <c r="P95" i="1"/>
  <c r="CA95" i="1" s="1"/>
  <c r="X95" i="1"/>
  <c r="K95" i="5" s="1"/>
  <c r="L95" i="5" s="1"/>
  <c r="AC95" i="1"/>
  <c r="AO95" i="1"/>
  <c r="BB95" i="1"/>
  <c r="BT95" i="1"/>
  <c r="AW95" i="1" s="1"/>
  <c r="BV95" i="1"/>
  <c r="BY95" i="1"/>
  <c r="P96" i="1"/>
  <c r="CA96" i="1" s="1"/>
  <c r="AC96" i="1"/>
  <c r="AO96" i="1"/>
  <c r="BB96" i="1"/>
  <c r="BT96" i="1"/>
  <c r="AW96" i="1" s="1"/>
  <c r="BV96" i="1"/>
  <c r="BY96" i="1"/>
  <c r="P97" i="1"/>
  <c r="CA97" i="1" s="1"/>
  <c r="AC97" i="1"/>
  <c r="AO97" i="1"/>
  <c r="BB97" i="1"/>
  <c r="BT97" i="1"/>
  <c r="AW97" i="1" s="1"/>
  <c r="BV97" i="1"/>
  <c r="BY97" i="1"/>
  <c r="P98" i="1"/>
  <c r="CA98" i="1" s="1"/>
  <c r="S98" i="1"/>
  <c r="V98" i="1" s="1"/>
  <c r="X98" i="1"/>
  <c r="AA98" i="1" s="1"/>
  <c r="AC98" i="1"/>
  <c r="AI98" i="1"/>
  <c r="AO98" i="1"/>
  <c r="J98" i="1" s="1"/>
  <c r="AX98" i="1"/>
  <c r="AZ98" i="1"/>
  <c r="BB98" i="1"/>
  <c r="BC98" i="1"/>
  <c r="BI98" i="1"/>
  <c r="BO98" i="1"/>
  <c r="BT98" i="1"/>
  <c r="AW98" i="1" s="1"/>
  <c r="BV98" i="1"/>
  <c r="BY98" i="1"/>
  <c r="CB98" i="1"/>
  <c r="CC98" i="1"/>
  <c r="CE98" i="1"/>
  <c r="CF98" i="1"/>
  <c r="CH98" i="1"/>
  <c r="CI98" i="1"/>
  <c r="CJ98" i="1"/>
  <c r="N99" i="1"/>
  <c r="O99" i="1"/>
  <c r="P99" i="1"/>
  <c r="S99" i="1"/>
  <c r="U99" i="1" s="1"/>
  <c r="X99" i="1"/>
  <c r="Y99" i="1" s="1"/>
  <c r="AC99" i="1"/>
  <c r="AI99" i="1"/>
  <c r="AO99" i="1"/>
  <c r="J99" i="1" s="1"/>
  <c r="AX99" i="1"/>
  <c r="AZ99" i="1"/>
  <c r="BB99" i="1"/>
  <c r="BC99" i="1"/>
  <c r="BI99" i="1"/>
  <c r="BL99" i="1" s="1"/>
  <c r="BO99" i="1"/>
  <c r="BT99" i="1"/>
  <c r="AW99" i="1" s="1"/>
  <c r="BV99" i="1"/>
  <c r="BY99" i="1"/>
  <c r="CB99" i="1"/>
  <c r="CC99" i="1"/>
  <c r="CE99" i="1"/>
  <c r="CF99" i="1"/>
  <c r="CH99" i="1"/>
  <c r="CI99" i="1"/>
  <c r="CJ99" i="1"/>
  <c r="N100" i="1"/>
  <c r="O100" i="1"/>
  <c r="P100" i="1"/>
  <c r="CA100" i="1" s="1"/>
  <c r="S100" i="1"/>
  <c r="G100" i="5" s="1"/>
  <c r="X100" i="1"/>
  <c r="K100" i="5" s="1"/>
  <c r="L100" i="5" s="1"/>
  <c r="AC100" i="1"/>
  <c r="AI100" i="1"/>
  <c r="AJ100" i="1" s="1"/>
  <c r="AO100" i="1"/>
  <c r="J100" i="1" s="1"/>
  <c r="AX100" i="1"/>
  <c r="AZ100" i="1"/>
  <c r="BB100" i="1"/>
  <c r="BC100" i="1"/>
  <c r="BI100" i="1"/>
  <c r="BL100" i="1" s="1"/>
  <c r="BO100" i="1"/>
  <c r="BT100" i="1"/>
  <c r="AW100" i="1" s="1"/>
  <c r="BV100" i="1"/>
  <c r="BY100" i="1"/>
  <c r="CB100" i="1"/>
  <c r="CC100" i="1"/>
  <c r="CE100" i="1"/>
  <c r="CF100" i="1"/>
  <c r="CH100" i="1"/>
  <c r="CI100" i="1"/>
  <c r="CJ100" i="1"/>
  <c r="P101" i="1"/>
  <c r="CA101" i="1" s="1"/>
  <c r="S101" i="1"/>
  <c r="T101" i="1" s="1"/>
  <c r="X101" i="1"/>
  <c r="AC101" i="1"/>
  <c r="AO101" i="1"/>
  <c r="J101" i="1" s="1"/>
  <c r="AX101" i="1"/>
  <c r="BB101" i="1"/>
  <c r="BC101" i="1"/>
  <c r="BI101" i="1"/>
  <c r="BL101" i="1" s="1"/>
  <c r="BO101" i="1"/>
  <c r="BT101" i="1"/>
  <c r="AW101" i="1" s="1"/>
  <c r="BV101" i="1"/>
  <c r="BY101" i="1"/>
  <c r="CB101" i="1"/>
  <c r="CC101" i="1"/>
  <c r="CE101" i="1"/>
  <c r="CF101" i="1"/>
  <c r="CH101" i="1"/>
  <c r="CI101" i="1"/>
  <c r="CJ101" i="1"/>
  <c r="P102" i="1"/>
  <c r="CA102" i="1" s="1"/>
  <c r="S102" i="1"/>
  <c r="T102" i="1" s="1"/>
  <c r="X102" i="1"/>
  <c r="AA102" i="1" s="1"/>
  <c r="AC102" i="1"/>
  <c r="AO102" i="1"/>
  <c r="J102" i="1" s="1"/>
  <c r="AX102" i="1"/>
  <c r="BB102" i="1"/>
  <c r="BC102" i="1"/>
  <c r="BI102" i="1"/>
  <c r="BO102" i="1"/>
  <c r="BT102" i="1"/>
  <c r="AW102" i="1" s="1"/>
  <c r="BV102" i="1"/>
  <c r="BY102" i="1"/>
  <c r="CB102" i="1"/>
  <c r="CC102" i="1"/>
  <c r="CE102" i="1"/>
  <c r="CF102" i="1"/>
  <c r="CH102" i="1"/>
  <c r="CI102" i="1"/>
  <c r="CJ102" i="1"/>
  <c r="P103" i="1"/>
  <c r="X103" i="1"/>
  <c r="K103" i="5" s="1"/>
  <c r="AC103" i="1"/>
  <c r="AO103" i="1"/>
  <c r="BB103" i="1"/>
  <c r="BT103" i="1"/>
  <c r="AW103" i="1" s="1"/>
  <c r="BV103" i="1"/>
  <c r="BY103" i="1"/>
  <c r="P104" i="1"/>
  <c r="X104" i="1"/>
  <c r="K104" i="5" s="1"/>
  <c r="L104" i="5" s="1"/>
  <c r="AC104" i="1"/>
  <c r="AO104" i="1"/>
  <c r="BB104" i="1"/>
  <c r="BT104" i="1"/>
  <c r="AW104" i="1" s="1"/>
  <c r="BV104" i="1"/>
  <c r="BY104" i="1"/>
  <c r="P105" i="1"/>
  <c r="X105" i="1"/>
  <c r="Z105" i="1" s="1"/>
  <c r="AC105" i="1"/>
  <c r="AO105" i="1"/>
  <c r="BB105" i="1"/>
  <c r="BT105" i="1"/>
  <c r="AW105" i="1" s="1"/>
  <c r="BV105" i="1"/>
  <c r="BY105" i="1"/>
  <c r="P106" i="1"/>
  <c r="X106" i="1"/>
  <c r="AB106" i="1" s="1"/>
  <c r="AC106" i="1"/>
  <c r="AO106" i="1"/>
  <c r="BB106" i="1"/>
  <c r="BT106" i="1"/>
  <c r="AW106" i="1" s="1"/>
  <c r="BV106" i="1"/>
  <c r="BY106" i="1"/>
  <c r="P107" i="1"/>
  <c r="X107" i="1"/>
  <c r="Y107" i="1" s="1"/>
  <c r="AC107" i="1"/>
  <c r="AO107" i="1"/>
  <c r="BB107" i="1"/>
  <c r="BT107" i="1"/>
  <c r="AW107" i="1" s="1"/>
  <c r="BV107" i="1"/>
  <c r="BY107" i="1"/>
  <c r="P108" i="1"/>
  <c r="X108" i="1"/>
  <c r="K108" i="5" s="1"/>
  <c r="AC108" i="1"/>
  <c r="AO108" i="1"/>
  <c r="BB108" i="1"/>
  <c r="BT108" i="1"/>
  <c r="AW108" i="1" s="1"/>
  <c r="BV108" i="1"/>
  <c r="BY108" i="1"/>
  <c r="N109" i="1"/>
  <c r="O109" i="1"/>
  <c r="P109" i="1"/>
  <c r="CA109" i="1" s="1"/>
  <c r="S109" i="1"/>
  <c r="V109" i="1" s="1"/>
  <c r="X109" i="1"/>
  <c r="Z109" i="1" s="1"/>
  <c r="AC109" i="1"/>
  <c r="AI109" i="1"/>
  <c r="AJ109" i="1" s="1"/>
  <c r="AO109" i="1"/>
  <c r="J109" i="1" s="1"/>
  <c r="AX109" i="1"/>
  <c r="AZ109" i="1"/>
  <c r="BB109" i="1"/>
  <c r="BC109" i="1"/>
  <c r="BI109" i="1"/>
  <c r="BL109" i="1" s="1"/>
  <c r="BO109" i="1"/>
  <c r="BT109" i="1"/>
  <c r="AW109" i="1" s="1"/>
  <c r="BV109" i="1"/>
  <c r="BY109" i="1"/>
  <c r="CB109" i="1"/>
  <c r="CC109" i="1"/>
  <c r="CE109" i="1"/>
  <c r="CF109" i="1"/>
  <c r="CH109" i="1"/>
  <c r="CI109" i="1"/>
  <c r="CJ109" i="1"/>
  <c r="N110" i="1"/>
  <c r="O110" i="1"/>
  <c r="P110" i="1"/>
  <c r="CA110" i="1" s="1"/>
  <c r="X110" i="1"/>
  <c r="AC110" i="1"/>
  <c r="AI110" i="1"/>
  <c r="AJ110" i="1" s="1"/>
  <c r="AX110" i="1"/>
  <c r="BB110" i="1"/>
  <c r="BC110" i="1"/>
  <c r="BI110" i="1"/>
  <c r="BL110" i="1" s="1"/>
  <c r="BO110" i="1"/>
  <c r="BT110" i="1"/>
  <c r="AW110" i="1" s="1"/>
  <c r="BV110" i="1"/>
  <c r="BY110" i="1"/>
  <c r="CB110" i="1"/>
  <c r="CC110" i="1"/>
  <c r="CE110" i="1"/>
  <c r="CF110" i="1"/>
  <c r="CH110" i="1"/>
  <c r="CI110" i="1"/>
  <c r="CJ110" i="1"/>
  <c r="P111" i="1"/>
  <c r="CA111" i="1" s="1"/>
  <c r="X111" i="1"/>
  <c r="Z111" i="1" s="1"/>
  <c r="AC111" i="1"/>
  <c r="BB111" i="1"/>
  <c r="BT111" i="1"/>
  <c r="AW111" i="1" s="1"/>
  <c r="BV111" i="1"/>
  <c r="BY111" i="1"/>
  <c r="P112" i="1"/>
  <c r="CA112" i="1" s="1"/>
  <c r="AC112" i="1"/>
  <c r="BB112" i="1"/>
  <c r="BT112" i="1"/>
  <c r="AW112" i="1" s="1"/>
  <c r="BV112" i="1"/>
  <c r="BY112" i="1"/>
  <c r="P113" i="1"/>
  <c r="CA113" i="1" s="1"/>
  <c r="S113" i="1"/>
  <c r="T113" i="1" s="1"/>
  <c r="X113" i="1"/>
  <c r="AA113" i="1" s="1"/>
  <c r="AC113" i="1"/>
  <c r="AI113" i="1"/>
  <c r="AX113" i="1"/>
  <c r="AZ113" i="1"/>
  <c r="BB113" i="1"/>
  <c r="BC113" i="1"/>
  <c r="BI113" i="1"/>
  <c r="BL113" i="1" s="1"/>
  <c r="BO113" i="1"/>
  <c r="BT113" i="1"/>
  <c r="AW113" i="1" s="1"/>
  <c r="BV113" i="1"/>
  <c r="BY113" i="1"/>
  <c r="CB113" i="1"/>
  <c r="CC113" i="1"/>
  <c r="CE113" i="1"/>
  <c r="CF113" i="1"/>
  <c r="CH113" i="1"/>
  <c r="CI113" i="1"/>
  <c r="CJ113" i="1"/>
  <c r="N114" i="1"/>
  <c r="O114" i="1"/>
  <c r="P114" i="1"/>
  <c r="CA114" i="1" s="1"/>
  <c r="S114" i="1"/>
  <c r="X114" i="1"/>
  <c r="K114" i="5" s="1"/>
  <c r="AC114" i="1"/>
  <c r="AO114" i="1"/>
  <c r="J114" i="1" s="1"/>
  <c r="AX114" i="1"/>
  <c r="AZ114" i="1"/>
  <c r="BB114" i="1"/>
  <c r="BC114" i="1"/>
  <c r="BI114" i="1"/>
  <c r="BL114" i="1" s="1"/>
  <c r="BO114" i="1"/>
  <c r="BT114" i="1"/>
  <c r="AW114" i="1" s="1"/>
  <c r="BV114" i="1"/>
  <c r="BY114" i="1"/>
  <c r="CB114" i="1"/>
  <c r="CC114" i="1"/>
  <c r="CE114" i="1"/>
  <c r="CF114" i="1"/>
  <c r="CH114" i="1"/>
  <c r="CI114" i="1"/>
  <c r="CJ114" i="1"/>
  <c r="N115" i="1"/>
  <c r="O115" i="1"/>
  <c r="P115" i="1"/>
  <c r="S115" i="1"/>
  <c r="X115" i="1"/>
  <c r="AA115" i="1" s="1"/>
  <c r="AC115" i="1"/>
  <c r="AX115" i="1"/>
  <c r="AZ115" i="1"/>
  <c r="BB115" i="1"/>
  <c r="BC115" i="1"/>
  <c r="BI115" i="1"/>
  <c r="BL115" i="1" s="1"/>
  <c r="BO115" i="1"/>
  <c r="BT115" i="1"/>
  <c r="AW115" i="1" s="1"/>
  <c r="BV115" i="1"/>
  <c r="BY115" i="1"/>
  <c r="CB115" i="1"/>
  <c r="CC115" i="1"/>
  <c r="CE115" i="1"/>
  <c r="CF115" i="1"/>
  <c r="CH115" i="1"/>
  <c r="CI115" i="1"/>
  <c r="CJ115" i="1"/>
  <c r="N116" i="1"/>
  <c r="O116" i="1"/>
  <c r="P116" i="1"/>
  <c r="CA116" i="1" s="1"/>
  <c r="X116" i="1"/>
  <c r="Y116" i="1" s="1"/>
  <c r="AC116" i="1"/>
  <c r="AO116" i="1"/>
  <c r="J116" i="1" s="1"/>
  <c r="AX116" i="1"/>
  <c r="BB116" i="1"/>
  <c r="BC116" i="1"/>
  <c r="BI116" i="1"/>
  <c r="BL116" i="1" s="1"/>
  <c r="BO116" i="1"/>
  <c r="BT116" i="1"/>
  <c r="AW116" i="1" s="1"/>
  <c r="BV116" i="1"/>
  <c r="BY116" i="1"/>
  <c r="CB116" i="1"/>
  <c r="CC116" i="1"/>
  <c r="CE116" i="1"/>
  <c r="CF116" i="1"/>
  <c r="CH116" i="1"/>
  <c r="CI116" i="1"/>
  <c r="CJ116" i="1"/>
  <c r="N117" i="1"/>
  <c r="O117" i="1"/>
  <c r="P117" i="1"/>
  <c r="CA117" i="1" s="1"/>
  <c r="S117" i="1"/>
  <c r="U117" i="1" s="1"/>
  <c r="X117" i="1"/>
  <c r="AB117" i="1" s="1"/>
  <c r="AC117" i="1"/>
  <c r="AO117" i="1"/>
  <c r="J117" i="1" s="1"/>
  <c r="AX117" i="1"/>
  <c r="AZ117" i="1"/>
  <c r="BB117" i="1"/>
  <c r="BC117" i="1"/>
  <c r="BI117" i="1"/>
  <c r="BL117" i="1" s="1"/>
  <c r="BO117" i="1"/>
  <c r="BT117" i="1"/>
  <c r="AW117" i="1" s="1"/>
  <c r="BV117" i="1"/>
  <c r="BY117" i="1"/>
  <c r="CB117" i="1"/>
  <c r="CC117" i="1"/>
  <c r="CE117" i="1"/>
  <c r="CF117" i="1"/>
  <c r="CH117" i="1"/>
  <c r="CI117" i="1"/>
  <c r="CJ117" i="1"/>
  <c r="N118" i="1"/>
  <c r="O118" i="1"/>
  <c r="P118" i="1"/>
  <c r="CA118" i="1" s="1"/>
  <c r="X118" i="1"/>
  <c r="K118" i="5" s="1"/>
  <c r="L118" i="5" s="1"/>
  <c r="AC118" i="1"/>
  <c r="AI118" i="1"/>
  <c r="AJ118" i="1" s="1"/>
  <c r="AO118" i="1"/>
  <c r="J118" i="1" s="1"/>
  <c r="AX118" i="1"/>
  <c r="AZ118" i="1"/>
  <c r="BB118" i="1"/>
  <c r="BC118" i="1"/>
  <c r="BI118" i="1"/>
  <c r="BL118" i="1" s="1"/>
  <c r="BO118" i="1"/>
  <c r="BT118" i="1"/>
  <c r="AW118" i="1" s="1"/>
  <c r="BV118" i="1"/>
  <c r="BY118" i="1"/>
  <c r="CB118" i="1"/>
  <c r="CC118" i="1"/>
  <c r="CE118" i="1"/>
  <c r="CF118" i="1"/>
  <c r="CH118" i="1"/>
  <c r="CI118" i="1"/>
  <c r="CJ118" i="1"/>
  <c r="N119" i="1"/>
  <c r="O119" i="1"/>
  <c r="P119" i="1"/>
  <c r="CA119" i="1" s="1"/>
  <c r="S119" i="1"/>
  <c r="W119" i="1" s="1"/>
  <c r="X119" i="1"/>
  <c r="AA119" i="1" s="1"/>
  <c r="AC119" i="1"/>
  <c r="AI119" i="1"/>
  <c r="AJ119" i="1" s="1"/>
  <c r="AO119" i="1"/>
  <c r="J119" i="1" s="1"/>
  <c r="AX119" i="1"/>
  <c r="AZ119" i="1"/>
  <c r="BB119" i="1"/>
  <c r="BC119" i="1"/>
  <c r="BI119" i="1"/>
  <c r="BL119" i="1" s="1"/>
  <c r="BO119" i="1"/>
  <c r="BT119" i="1"/>
  <c r="AW119" i="1" s="1"/>
  <c r="BV119" i="1"/>
  <c r="BY119" i="1"/>
  <c r="CB119" i="1"/>
  <c r="CC119" i="1"/>
  <c r="CE119" i="1"/>
  <c r="CF119" i="1"/>
  <c r="CH119" i="1"/>
  <c r="CI119" i="1"/>
  <c r="CJ119" i="1"/>
  <c r="N120" i="1"/>
  <c r="O120" i="1"/>
  <c r="P120" i="1"/>
  <c r="CA120" i="1" s="1"/>
  <c r="S120" i="1"/>
  <c r="X120" i="1"/>
  <c r="AA120" i="1" s="1"/>
  <c r="AC120" i="1"/>
  <c r="AX120" i="1"/>
  <c r="AZ120" i="1"/>
  <c r="BB120" i="1"/>
  <c r="BC120" i="1"/>
  <c r="BI120" i="1"/>
  <c r="BL120" i="1" s="1"/>
  <c r="BO120" i="1"/>
  <c r="BQ120" i="1" s="1"/>
  <c r="BT120" i="1"/>
  <c r="AW120" i="1" s="1"/>
  <c r="BV120" i="1"/>
  <c r="BY120" i="1"/>
  <c r="CB120" i="1"/>
  <c r="CC120" i="1"/>
  <c r="CE120" i="1"/>
  <c r="CF120" i="1"/>
  <c r="CH120" i="1"/>
  <c r="CI120" i="1"/>
  <c r="CJ120" i="1"/>
  <c r="P121" i="1"/>
  <c r="CA121" i="1" s="1"/>
  <c r="X121" i="1"/>
  <c r="AB121" i="1" s="1"/>
  <c r="AC121" i="1"/>
  <c r="AO121" i="1"/>
  <c r="BB121" i="1"/>
  <c r="BT121" i="1"/>
  <c r="AW121" i="1" s="1"/>
  <c r="BV121" i="1"/>
  <c r="BY121" i="1"/>
  <c r="P122" i="1"/>
  <c r="CA122" i="1" s="1"/>
  <c r="S122" i="1"/>
  <c r="U122" i="1" s="1"/>
  <c r="X122" i="1"/>
  <c r="AC122" i="1"/>
  <c r="AI122" i="1"/>
  <c r="AJ122" i="1" s="1"/>
  <c r="AO122" i="1"/>
  <c r="J122" i="1" s="1"/>
  <c r="AX122" i="1"/>
  <c r="BB122" i="1"/>
  <c r="BC122" i="1"/>
  <c r="BI122" i="1"/>
  <c r="BL122" i="1" s="1"/>
  <c r="BO122" i="1"/>
  <c r="BT122" i="1"/>
  <c r="AW122" i="1" s="1"/>
  <c r="BV122" i="1"/>
  <c r="BY122" i="1"/>
  <c r="CB122" i="1"/>
  <c r="CC122" i="1"/>
  <c r="CE122" i="1"/>
  <c r="CF122" i="1"/>
  <c r="CH122" i="1"/>
  <c r="CI122" i="1"/>
  <c r="CJ122" i="1"/>
  <c r="N123" i="1"/>
  <c r="O123" i="1"/>
  <c r="P123" i="1"/>
  <c r="CA123" i="1" s="1"/>
  <c r="S123" i="1"/>
  <c r="W123" i="1" s="1"/>
  <c r="X123" i="1"/>
  <c r="AB123" i="1" s="1"/>
  <c r="AC123" i="1"/>
  <c r="AO123" i="1"/>
  <c r="J123" i="1" s="1"/>
  <c r="AX123" i="1"/>
  <c r="AZ123" i="1"/>
  <c r="BB123" i="1"/>
  <c r="BC123" i="1"/>
  <c r="BI123" i="1"/>
  <c r="BO123" i="1"/>
  <c r="BT123" i="1"/>
  <c r="AW123" i="1" s="1"/>
  <c r="BV123" i="1"/>
  <c r="BY123" i="1"/>
  <c r="CB123" i="1"/>
  <c r="CC123" i="1"/>
  <c r="CE123" i="1"/>
  <c r="CF123" i="1"/>
  <c r="CH123" i="1"/>
  <c r="CI123" i="1"/>
  <c r="CJ123" i="1"/>
  <c r="P124" i="1"/>
  <c r="CA124" i="1" s="1"/>
  <c r="X124" i="1"/>
  <c r="Y124" i="1" s="1"/>
  <c r="AC124" i="1"/>
  <c r="BB124" i="1"/>
  <c r="BT124" i="1"/>
  <c r="AW124" i="1" s="1"/>
  <c r="BV124" i="1"/>
  <c r="BY124" i="1"/>
  <c r="P125" i="1"/>
  <c r="CA125" i="1" s="1"/>
  <c r="X125" i="1"/>
  <c r="K125" i="5" s="1"/>
  <c r="AC125" i="1"/>
  <c r="AO125" i="1"/>
  <c r="BB125" i="1"/>
  <c r="BT125" i="1"/>
  <c r="AW125" i="1" s="1"/>
  <c r="BV125" i="1"/>
  <c r="BY125" i="1"/>
  <c r="P126" i="1"/>
  <c r="CA126" i="1" s="1"/>
  <c r="X126" i="1"/>
  <c r="K126" i="5" s="1"/>
  <c r="AC126" i="1"/>
  <c r="AO126" i="1"/>
  <c r="BB126" i="1"/>
  <c r="BT126" i="1"/>
  <c r="AW126" i="1" s="1"/>
  <c r="BV126" i="1"/>
  <c r="BY126" i="1"/>
  <c r="P127" i="1"/>
  <c r="AC127" i="1"/>
  <c r="AO127" i="1"/>
  <c r="BB127" i="1"/>
  <c r="BT127" i="1"/>
  <c r="AW127" i="1" s="1"/>
  <c r="BV127" i="1"/>
  <c r="BY127" i="1"/>
  <c r="N128" i="1"/>
  <c r="O128" i="1"/>
  <c r="P128" i="1"/>
  <c r="CA128" i="1" s="1"/>
  <c r="S128" i="1"/>
  <c r="X128" i="1"/>
  <c r="AC128" i="1"/>
  <c r="AO128" i="1"/>
  <c r="J128" i="1" s="1"/>
  <c r="AX128" i="1"/>
  <c r="AZ128" i="1"/>
  <c r="BB128" i="1"/>
  <c r="BC128" i="1"/>
  <c r="BI128" i="1"/>
  <c r="BL128" i="1" s="1"/>
  <c r="BO128" i="1"/>
  <c r="BT128" i="1"/>
  <c r="AW128" i="1" s="1"/>
  <c r="BV128" i="1"/>
  <c r="BY128" i="1"/>
  <c r="CB128" i="1"/>
  <c r="CC128" i="1"/>
  <c r="CE128" i="1"/>
  <c r="CF128" i="1"/>
  <c r="CH128" i="1"/>
  <c r="CI128" i="1"/>
  <c r="CJ128" i="1"/>
  <c r="P129" i="1"/>
  <c r="CA129" i="1" s="1"/>
  <c r="X129" i="1"/>
  <c r="Z129" i="1" s="1"/>
  <c r="AC129" i="1"/>
  <c r="AO129" i="1"/>
  <c r="BB129" i="1"/>
  <c r="BT129" i="1"/>
  <c r="AW129" i="1" s="1"/>
  <c r="BV129" i="1"/>
  <c r="BY129" i="1"/>
  <c r="N130" i="1"/>
  <c r="O130" i="1"/>
  <c r="P130" i="1"/>
  <c r="CA130" i="1" s="1"/>
  <c r="S130" i="1"/>
  <c r="V130" i="1" s="1"/>
  <c r="X130" i="1"/>
  <c r="K130" i="5" s="1"/>
  <c r="L130" i="5" s="1"/>
  <c r="AC130" i="1"/>
  <c r="AI130" i="1"/>
  <c r="AJ130" i="1" s="1"/>
  <c r="AO130" i="1"/>
  <c r="J130" i="1" s="1"/>
  <c r="AX130" i="1"/>
  <c r="AZ130" i="1"/>
  <c r="BB130" i="1"/>
  <c r="BC130" i="1"/>
  <c r="BI130" i="1"/>
  <c r="BO130" i="1"/>
  <c r="BT130" i="1"/>
  <c r="AW130" i="1" s="1"/>
  <c r="BV130" i="1"/>
  <c r="BY130" i="1"/>
  <c r="CB130" i="1"/>
  <c r="CC130" i="1"/>
  <c r="CE130" i="1"/>
  <c r="CF130" i="1"/>
  <c r="CH130" i="1"/>
  <c r="CI130" i="1"/>
  <c r="CJ130" i="1"/>
  <c r="N131" i="1"/>
  <c r="O131" i="1"/>
  <c r="P131" i="1"/>
  <c r="CA131" i="1" s="1"/>
  <c r="S131" i="1"/>
  <c r="T131" i="1" s="1"/>
  <c r="X131" i="1"/>
  <c r="K131" i="5" s="1"/>
  <c r="L131" i="5" s="1"/>
  <c r="AC131" i="1"/>
  <c r="AI131" i="1"/>
  <c r="AO131" i="1"/>
  <c r="J131" i="1" s="1"/>
  <c r="AX131" i="1"/>
  <c r="AZ131" i="1"/>
  <c r="BB131" i="1"/>
  <c r="BC131" i="1"/>
  <c r="BI131" i="1"/>
  <c r="BO131" i="1"/>
  <c r="BT131" i="1"/>
  <c r="AW131" i="1" s="1"/>
  <c r="BV131" i="1"/>
  <c r="BY131" i="1"/>
  <c r="CB131" i="1"/>
  <c r="CC131" i="1"/>
  <c r="CE131" i="1"/>
  <c r="CF131" i="1"/>
  <c r="CH131" i="1"/>
  <c r="CI131" i="1"/>
  <c r="CJ131" i="1"/>
  <c r="P132" i="1"/>
  <c r="CA132" i="1" s="1"/>
  <c r="X132" i="1"/>
  <c r="Z132" i="1" s="1"/>
  <c r="AC132" i="1"/>
  <c r="BB132" i="1"/>
  <c r="BT132" i="1"/>
  <c r="AW132" i="1" s="1"/>
  <c r="BV132" i="1"/>
  <c r="BY132" i="1"/>
  <c r="N133" i="1"/>
  <c r="O133" i="1"/>
  <c r="P133" i="1"/>
  <c r="CA133" i="1" s="1"/>
  <c r="S133" i="1"/>
  <c r="W133" i="1" s="1"/>
  <c r="X133" i="1"/>
  <c r="AB133" i="1" s="1"/>
  <c r="AC133" i="1"/>
  <c r="AO133" i="1"/>
  <c r="J133" i="1" s="1"/>
  <c r="AX133" i="1"/>
  <c r="AZ133" i="1"/>
  <c r="BB133" i="1"/>
  <c r="BC133" i="1"/>
  <c r="BI133" i="1"/>
  <c r="BO133" i="1"/>
  <c r="BT133" i="1"/>
  <c r="AW133" i="1" s="1"/>
  <c r="BV133" i="1"/>
  <c r="BY133" i="1"/>
  <c r="CB133" i="1"/>
  <c r="CC133" i="1"/>
  <c r="CE133" i="1"/>
  <c r="CF133" i="1"/>
  <c r="CH133" i="1"/>
  <c r="CI133" i="1"/>
  <c r="CJ133" i="1"/>
  <c r="N134" i="1"/>
  <c r="O134" i="1"/>
  <c r="P134" i="1"/>
  <c r="CA134" i="1" s="1"/>
  <c r="S134" i="1"/>
  <c r="G134" i="5" s="1"/>
  <c r="X134" i="1"/>
  <c r="AA134" i="1" s="1"/>
  <c r="AC134" i="1"/>
  <c r="AO134" i="1"/>
  <c r="J134" i="1" s="1"/>
  <c r="AX134" i="1"/>
  <c r="AZ134" i="1"/>
  <c r="BB134" i="1"/>
  <c r="BC134" i="1"/>
  <c r="BI134" i="1"/>
  <c r="BL134" i="1" s="1"/>
  <c r="BO134" i="1"/>
  <c r="BT134" i="1"/>
  <c r="AW134" i="1" s="1"/>
  <c r="BV134" i="1"/>
  <c r="BY134" i="1"/>
  <c r="CB134" i="1"/>
  <c r="CC134" i="1"/>
  <c r="CE134" i="1"/>
  <c r="CF134" i="1"/>
  <c r="CH134" i="1"/>
  <c r="CI134" i="1"/>
  <c r="CJ134" i="1"/>
  <c r="P135" i="1"/>
  <c r="CA135" i="1" s="1"/>
  <c r="X135" i="1"/>
  <c r="K135" i="5" s="1"/>
  <c r="AC135" i="1"/>
  <c r="BB135" i="1"/>
  <c r="BT135" i="1"/>
  <c r="AW135" i="1" s="1"/>
  <c r="BV135" i="1"/>
  <c r="BY135" i="1"/>
  <c r="N136" i="1"/>
  <c r="O136" i="1"/>
  <c r="P136" i="1"/>
  <c r="CA136" i="1" s="1"/>
  <c r="S136" i="1"/>
  <c r="G136" i="5" s="1"/>
  <c r="H136" i="5" s="1"/>
  <c r="X136" i="1"/>
  <c r="AB136" i="1" s="1"/>
  <c r="AC136" i="1"/>
  <c r="AI136" i="1"/>
  <c r="AX136" i="1"/>
  <c r="AZ136" i="1"/>
  <c r="BB136" i="1"/>
  <c r="BC136" i="1"/>
  <c r="BI136" i="1"/>
  <c r="BO136" i="1"/>
  <c r="BT136" i="1"/>
  <c r="AW136" i="1" s="1"/>
  <c r="BV136" i="1"/>
  <c r="BY136" i="1"/>
  <c r="CB136" i="1"/>
  <c r="CC136" i="1"/>
  <c r="CE136" i="1"/>
  <c r="CF136" i="1"/>
  <c r="CH136" i="1"/>
  <c r="CI136" i="1"/>
  <c r="CJ136" i="1"/>
  <c r="N137" i="1"/>
  <c r="O137" i="1"/>
  <c r="P137" i="1"/>
  <c r="CA137" i="1" s="1"/>
  <c r="AC137" i="1"/>
  <c r="AI137" i="1"/>
  <c r="AJ137" i="1" s="1"/>
  <c r="AX137" i="1"/>
  <c r="AZ137" i="1"/>
  <c r="BB137" i="1"/>
  <c r="BC137" i="1"/>
  <c r="BI137" i="1"/>
  <c r="BO137" i="1"/>
  <c r="BT137" i="1"/>
  <c r="AW137" i="1" s="1"/>
  <c r="BV137" i="1"/>
  <c r="BY137" i="1"/>
  <c r="CB137" i="1"/>
  <c r="CC137" i="1"/>
  <c r="CE137" i="1"/>
  <c r="CF137" i="1"/>
  <c r="CH137" i="1"/>
  <c r="CI137" i="1"/>
  <c r="CJ137" i="1"/>
  <c r="N138" i="1"/>
  <c r="O138" i="1"/>
  <c r="P138" i="1"/>
  <c r="CA138" i="1" s="1"/>
  <c r="S138" i="1"/>
  <c r="V138" i="1" s="1"/>
  <c r="X138" i="1"/>
  <c r="Y138" i="1" s="1"/>
  <c r="AC138" i="1"/>
  <c r="AO138" i="1"/>
  <c r="J138" i="1" s="1"/>
  <c r="AX138" i="1"/>
  <c r="AZ138" i="1"/>
  <c r="BB138" i="1"/>
  <c r="BC138" i="1"/>
  <c r="BI138" i="1"/>
  <c r="BO138" i="1"/>
  <c r="BT138" i="1"/>
  <c r="AW138" i="1" s="1"/>
  <c r="BV138" i="1"/>
  <c r="BY138" i="1"/>
  <c r="CB138" i="1"/>
  <c r="CC138" i="1"/>
  <c r="CE138" i="1"/>
  <c r="CF138" i="1"/>
  <c r="CH138" i="1"/>
  <c r="CI138" i="1"/>
  <c r="CJ138" i="1"/>
  <c r="N139" i="1"/>
  <c r="O139" i="1"/>
  <c r="P139" i="1"/>
  <c r="CA139" i="1" s="1"/>
  <c r="S139" i="1"/>
  <c r="G139" i="5" s="1"/>
  <c r="H139" i="5" s="1"/>
  <c r="X139" i="1"/>
  <c r="Z139" i="1" s="1"/>
  <c r="AC139" i="1"/>
  <c r="AI139" i="1"/>
  <c r="AJ139" i="1" s="1"/>
  <c r="AX139" i="1"/>
  <c r="AZ139" i="1"/>
  <c r="BB139" i="1"/>
  <c r="BC139" i="1"/>
  <c r="BI139" i="1"/>
  <c r="BL139" i="1" s="1"/>
  <c r="BO139" i="1"/>
  <c r="BT139" i="1"/>
  <c r="AW139" i="1" s="1"/>
  <c r="BV139" i="1"/>
  <c r="BY139" i="1"/>
  <c r="CB139" i="1"/>
  <c r="CC139" i="1"/>
  <c r="CE139" i="1"/>
  <c r="CF139" i="1"/>
  <c r="CH139" i="1"/>
  <c r="CI139" i="1"/>
  <c r="CJ139" i="1"/>
  <c r="N140" i="1"/>
  <c r="O140" i="1"/>
  <c r="P140" i="1"/>
  <c r="CA140" i="1" s="1"/>
  <c r="S140" i="1"/>
  <c r="X140" i="1"/>
  <c r="AB140" i="1" s="1"/>
  <c r="AC140" i="1"/>
  <c r="AI140" i="1"/>
  <c r="AJ140" i="1" s="1"/>
  <c r="AO140" i="1"/>
  <c r="J140" i="1" s="1"/>
  <c r="AX140" i="1"/>
  <c r="AZ140" i="1"/>
  <c r="BB140" i="1"/>
  <c r="BC140" i="1"/>
  <c r="BI140" i="1"/>
  <c r="BL140" i="1" s="1"/>
  <c r="BO140" i="1"/>
  <c r="BT140" i="1"/>
  <c r="AW140" i="1" s="1"/>
  <c r="BV140" i="1"/>
  <c r="BY140" i="1"/>
  <c r="CB140" i="1"/>
  <c r="CC140" i="1"/>
  <c r="CE140" i="1"/>
  <c r="CF140" i="1"/>
  <c r="CH140" i="1"/>
  <c r="CI140" i="1"/>
  <c r="CJ140" i="1"/>
  <c r="N141" i="1"/>
  <c r="O141" i="1"/>
  <c r="P141" i="1"/>
  <c r="CA141" i="1" s="1"/>
  <c r="S141" i="1"/>
  <c r="T141" i="1" s="1"/>
  <c r="X141" i="1"/>
  <c r="Y141" i="1" s="1"/>
  <c r="AC141" i="1"/>
  <c r="AI141" i="1"/>
  <c r="AJ141" i="1" s="1"/>
  <c r="AX141" i="1"/>
  <c r="AZ141" i="1"/>
  <c r="BB141" i="1"/>
  <c r="BC141" i="1"/>
  <c r="BI141" i="1"/>
  <c r="BL141" i="1" s="1"/>
  <c r="BO141" i="1"/>
  <c r="BT141" i="1"/>
  <c r="AW141" i="1" s="1"/>
  <c r="BV141" i="1"/>
  <c r="BY141" i="1"/>
  <c r="CB141" i="1"/>
  <c r="CC141" i="1"/>
  <c r="CE141" i="1"/>
  <c r="CF141" i="1"/>
  <c r="CH141" i="1"/>
  <c r="CI141" i="1"/>
  <c r="CJ141" i="1"/>
  <c r="N142" i="1"/>
  <c r="O142" i="1"/>
  <c r="P142" i="1"/>
  <c r="CA142" i="1" s="1"/>
  <c r="S142" i="1"/>
  <c r="W142" i="1" s="1"/>
  <c r="X142" i="1"/>
  <c r="AA142" i="1" s="1"/>
  <c r="AC142" i="1"/>
  <c r="AI142" i="1"/>
  <c r="AX142" i="1"/>
  <c r="AZ142" i="1"/>
  <c r="BB142" i="1"/>
  <c r="BC142" i="1"/>
  <c r="BI142" i="1"/>
  <c r="BL142" i="1" s="1"/>
  <c r="BO142" i="1"/>
  <c r="BT142" i="1"/>
  <c r="AW142" i="1" s="1"/>
  <c r="BV142" i="1"/>
  <c r="BY142" i="1"/>
  <c r="CB142" i="1"/>
  <c r="CC142" i="1"/>
  <c r="CE142" i="1"/>
  <c r="CF142" i="1"/>
  <c r="CH142" i="1"/>
  <c r="CI142" i="1"/>
  <c r="CJ142" i="1"/>
  <c r="N143" i="1"/>
  <c r="O143" i="1"/>
  <c r="P143" i="1"/>
  <c r="CA143" i="1" s="1"/>
  <c r="S143" i="1"/>
  <c r="V143" i="1" s="1"/>
  <c r="X143" i="1"/>
  <c r="AC143" i="1"/>
  <c r="AI143" i="1"/>
  <c r="AJ143" i="1" s="1"/>
  <c r="AX143" i="1"/>
  <c r="AZ143" i="1"/>
  <c r="BB143" i="1"/>
  <c r="BC143" i="1"/>
  <c r="BI143" i="1"/>
  <c r="BL143" i="1" s="1"/>
  <c r="BO143" i="1"/>
  <c r="BT143" i="1"/>
  <c r="AW143" i="1" s="1"/>
  <c r="BV143" i="1"/>
  <c r="BY143" i="1"/>
  <c r="CB143" i="1"/>
  <c r="CC143" i="1"/>
  <c r="CE143" i="1"/>
  <c r="CF143" i="1"/>
  <c r="CH143" i="1"/>
  <c r="CI143" i="1"/>
  <c r="CJ143" i="1"/>
  <c r="N144" i="1"/>
  <c r="O144" i="1"/>
  <c r="P144" i="1"/>
  <c r="CA144" i="1" s="1"/>
  <c r="S144" i="1"/>
  <c r="T144" i="1" s="1"/>
  <c r="X144" i="1"/>
  <c r="AA144" i="1" s="1"/>
  <c r="AC144" i="1"/>
  <c r="AI144" i="1"/>
  <c r="AJ144" i="1" s="1"/>
  <c r="AX144" i="1"/>
  <c r="AZ144" i="1"/>
  <c r="BB144" i="1"/>
  <c r="BC144" i="1"/>
  <c r="BI144" i="1"/>
  <c r="BL144" i="1" s="1"/>
  <c r="BO144" i="1"/>
  <c r="BT144" i="1"/>
  <c r="AW144" i="1" s="1"/>
  <c r="BV144" i="1"/>
  <c r="BY144" i="1"/>
  <c r="CB144" i="1"/>
  <c r="CC144" i="1"/>
  <c r="CE144" i="1"/>
  <c r="CF144" i="1"/>
  <c r="CH144" i="1"/>
  <c r="CI144" i="1"/>
  <c r="CJ144" i="1"/>
  <c r="N145" i="1"/>
  <c r="O145" i="1"/>
  <c r="P145" i="1"/>
  <c r="CA145" i="1" s="1"/>
  <c r="S145" i="1"/>
  <c r="V145" i="1" s="1"/>
  <c r="X145" i="1"/>
  <c r="AC145" i="1"/>
  <c r="AI145" i="1"/>
  <c r="AJ145" i="1" s="1"/>
  <c r="AX145" i="1"/>
  <c r="AZ145" i="1"/>
  <c r="BB145" i="1"/>
  <c r="BC145" i="1"/>
  <c r="BI145" i="1"/>
  <c r="BL145" i="1" s="1"/>
  <c r="BO145" i="1"/>
  <c r="BT145" i="1"/>
  <c r="AW145" i="1" s="1"/>
  <c r="BV145" i="1"/>
  <c r="BY145" i="1"/>
  <c r="CB145" i="1"/>
  <c r="CC145" i="1"/>
  <c r="CE145" i="1"/>
  <c r="CF145" i="1"/>
  <c r="CH145" i="1"/>
  <c r="CI145" i="1"/>
  <c r="CJ145" i="1"/>
  <c r="N146" i="1"/>
  <c r="O146" i="1"/>
  <c r="P146" i="1"/>
  <c r="CA146" i="1" s="1"/>
  <c r="S146" i="1"/>
  <c r="T146" i="1" s="1"/>
  <c r="X146" i="1"/>
  <c r="K146" i="5" s="1"/>
  <c r="L146" i="5" s="1"/>
  <c r="AC146" i="1"/>
  <c r="AI146" i="1"/>
  <c r="AJ146" i="1" s="1"/>
  <c r="AX146" i="1"/>
  <c r="AZ146" i="1"/>
  <c r="BB146" i="1"/>
  <c r="BC146" i="1"/>
  <c r="BI146" i="1"/>
  <c r="BL146" i="1" s="1"/>
  <c r="BO146" i="1"/>
  <c r="BT146" i="1"/>
  <c r="AW146" i="1" s="1"/>
  <c r="BV146" i="1"/>
  <c r="BY146" i="1"/>
  <c r="CB146" i="1"/>
  <c r="CC146" i="1"/>
  <c r="CE146" i="1"/>
  <c r="CF146" i="1"/>
  <c r="CH146" i="1"/>
  <c r="CI146" i="1"/>
  <c r="CJ146" i="1"/>
  <c r="N147" i="1"/>
  <c r="O147" i="1"/>
  <c r="P147" i="1"/>
  <c r="CA147" i="1" s="1"/>
  <c r="S147" i="1"/>
  <c r="V147" i="1" s="1"/>
  <c r="X147" i="1"/>
  <c r="Z147" i="1" s="1"/>
  <c r="AC147" i="1"/>
  <c r="AI147" i="1"/>
  <c r="AX147" i="1"/>
  <c r="AZ147" i="1"/>
  <c r="BB147" i="1"/>
  <c r="BC147" i="1"/>
  <c r="BI147" i="1"/>
  <c r="BL147" i="1" s="1"/>
  <c r="BO147" i="1"/>
  <c r="BT147" i="1"/>
  <c r="AW147" i="1" s="1"/>
  <c r="BV147" i="1"/>
  <c r="BY147" i="1"/>
  <c r="CB147" i="1"/>
  <c r="CC147" i="1"/>
  <c r="CE147" i="1"/>
  <c r="CF147" i="1"/>
  <c r="CH147" i="1"/>
  <c r="CI147" i="1"/>
  <c r="CJ147" i="1"/>
  <c r="N148" i="1"/>
  <c r="O148" i="1"/>
  <c r="P148" i="1"/>
  <c r="CA148" i="1" s="1"/>
  <c r="S148" i="1"/>
  <c r="W148" i="1" s="1"/>
  <c r="X148" i="1"/>
  <c r="K148" i="5" s="1"/>
  <c r="AC148" i="1"/>
  <c r="AI148" i="1"/>
  <c r="AJ148" i="1" s="1"/>
  <c r="AX148" i="1"/>
  <c r="AZ148" i="1"/>
  <c r="BB148" i="1"/>
  <c r="BC148" i="1"/>
  <c r="BI148" i="1"/>
  <c r="BL148" i="1" s="1"/>
  <c r="BO148" i="1"/>
  <c r="BT148" i="1"/>
  <c r="AW148" i="1" s="1"/>
  <c r="BV148" i="1"/>
  <c r="BY148" i="1"/>
  <c r="CB148" i="1"/>
  <c r="CC148" i="1"/>
  <c r="CE148" i="1"/>
  <c r="CF148" i="1"/>
  <c r="CH148" i="1"/>
  <c r="CI148" i="1"/>
  <c r="CJ148" i="1"/>
  <c r="N149" i="1"/>
  <c r="O149" i="1"/>
  <c r="P149" i="1"/>
  <c r="CA149" i="1" s="1"/>
  <c r="S149" i="1"/>
  <c r="V149" i="1" s="1"/>
  <c r="X149" i="1"/>
  <c r="Z149" i="1" s="1"/>
  <c r="AC149" i="1"/>
  <c r="AI149" i="1"/>
  <c r="AJ149" i="1" s="1"/>
  <c r="AX149" i="1"/>
  <c r="AZ149" i="1"/>
  <c r="BB149" i="1"/>
  <c r="BC149" i="1"/>
  <c r="BI149" i="1"/>
  <c r="BO149" i="1"/>
  <c r="BT149" i="1"/>
  <c r="AW149" i="1" s="1"/>
  <c r="BV149" i="1"/>
  <c r="BY149" i="1"/>
  <c r="CB149" i="1"/>
  <c r="CC149" i="1"/>
  <c r="CE149" i="1"/>
  <c r="CF149" i="1"/>
  <c r="CH149" i="1"/>
  <c r="CI149" i="1"/>
  <c r="CJ149" i="1"/>
  <c r="N150" i="1"/>
  <c r="O150" i="1"/>
  <c r="P150" i="1"/>
  <c r="CA150" i="1" s="1"/>
  <c r="S150" i="1"/>
  <c r="G150" i="5" s="1"/>
  <c r="X150" i="1"/>
  <c r="AB150" i="1" s="1"/>
  <c r="AC150" i="1"/>
  <c r="AO150" i="1"/>
  <c r="J150" i="1" s="1"/>
  <c r="AX150" i="1"/>
  <c r="AZ150" i="1"/>
  <c r="BB150" i="1"/>
  <c r="BC150" i="1"/>
  <c r="BI150" i="1"/>
  <c r="BL150" i="1" s="1"/>
  <c r="BO150" i="1"/>
  <c r="BT150" i="1"/>
  <c r="AW150" i="1" s="1"/>
  <c r="BV150" i="1"/>
  <c r="BY150" i="1"/>
  <c r="CB150" i="1"/>
  <c r="CC150" i="1"/>
  <c r="CE150" i="1"/>
  <c r="CF150" i="1"/>
  <c r="CH150" i="1"/>
  <c r="CI150" i="1"/>
  <c r="CJ150" i="1"/>
  <c r="N151" i="1"/>
  <c r="O151" i="1"/>
  <c r="P151" i="1"/>
  <c r="CA151" i="1" s="1"/>
  <c r="S151" i="1"/>
  <c r="V151" i="1" s="1"/>
  <c r="X151" i="1"/>
  <c r="AA151" i="1" s="1"/>
  <c r="AC151" i="1"/>
  <c r="AX151" i="1"/>
  <c r="AZ151" i="1"/>
  <c r="BB151" i="1"/>
  <c r="BC151" i="1"/>
  <c r="BI151" i="1"/>
  <c r="BL151" i="1" s="1"/>
  <c r="BO151" i="1"/>
  <c r="BT151" i="1"/>
  <c r="AW151" i="1" s="1"/>
  <c r="BV151" i="1"/>
  <c r="BY151" i="1"/>
  <c r="CB151" i="1"/>
  <c r="CC151" i="1"/>
  <c r="CE151" i="1"/>
  <c r="CF151" i="1"/>
  <c r="CH151" i="1"/>
  <c r="CI151" i="1"/>
  <c r="CJ151" i="1"/>
  <c r="N152" i="1"/>
  <c r="O152" i="1"/>
  <c r="P152" i="1"/>
  <c r="CA152" i="1" s="1"/>
  <c r="S152" i="1"/>
  <c r="U152" i="1" s="1"/>
  <c r="X152" i="1"/>
  <c r="Z152" i="1" s="1"/>
  <c r="AC152" i="1"/>
  <c r="AX152" i="1"/>
  <c r="AZ152" i="1"/>
  <c r="BB152" i="1"/>
  <c r="BC152" i="1"/>
  <c r="BI152" i="1"/>
  <c r="BO152" i="1"/>
  <c r="BT152" i="1"/>
  <c r="AW152" i="1" s="1"/>
  <c r="BV152" i="1"/>
  <c r="BY152" i="1"/>
  <c r="CB152" i="1"/>
  <c r="CC152" i="1"/>
  <c r="CE152" i="1"/>
  <c r="CF152" i="1"/>
  <c r="CH152" i="1"/>
  <c r="CI152" i="1"/>
  <c r="CJ152" i="1"/>
  <c r="N153" i="1"/>
  <c r="O153" i="1"/>
  <c r="P153" i="1"/>
  <c r="CA153" i="1" s="1"/>
  <c r="S153" i="1"/>
  <c r="V153" i="1" s="1"/>
  <c r="X153" i="1"/>
  <c r="Y153" i="1" s="1"/>
  <c r="AC153" i="1"/>
  <c r="AX153" i="1"/>
  <c r="AZ153" i="1"/>
  <c r="BB153" i="1"/>
  <c r="BC153" i="1"/>
  <c r="BI153" i="1"/>
  <c r="BL153" i="1" s="1"/>
  <c r="BO153" i="1"/>
  <c r="BT153" i="1"/>
  <c r="AW153" i="1" s="1"/>
  <c r="BV153" i="1"/>
  <c r="BY153" i="1"/>
  <c r="CB153" i="1"/>
  <c r="CC153" i="1"/>
  <c r="CE153" i="1"/>
  <c r="CF153" i="1"/>
  <c r="CH153" i="1"/>
  <c r="CI153" i="1"/>
  <c r="CJ153" i="1"/>
  <c r="N154" i="1"/>
  <c r="O154" i="1"/>
  <c r="P154" i="1"/>
  <c r="CA154" i="1" s="1"/>
  <c r="S154" i="1"/>
  <c r="X154" i="1"/>
  <c r="Y154" i="1" s="1"/>
  <c r="AC154" i="1"/>
  <c r="AX154" i="1"/>
  <c r="AZ154" i="1"/>
  <c r="BB154" i="1"/>
  <c r="BC154" i="1"/>
  <c r="BI154" i="1"/>
  <c r="BO154" i="1"/>
  <c r="BT154" i="1"/>
  <c r="AW154" i="1" s="1"/>
  <c r="BV154" i="1"/>
  <c r="BY154" i="1"/>
  <c r="CB154" i="1"/>
  <c r="CC154" i="1"/>
  <c r="CE154" i="1"/>
  <c r="CF154" i="1"/>
  <c r="CH154" i="1"/>
  <c r="CI154" i="1"/>
  <c r="CJ154" i="1"/>
  <c r="N155" i="1"/>
  <c r="O155" i="1"/>
  <c r="P155" i="1"/>
  <c r="CA155" i="1" s="1"/>
  <c r="S155" i="1"/>
  <c r="X155" i="1"/>
  <c r="K155" i="5" s="1"/>
  <c r="L155" i="5" s="1"/>
  <c r="AC155" i="1"/>
  <c r="AX155" i="1"/>
  <c r="AZ155" i="1"/>
  <c r="BB155" i="1"/>
  <c r="BC155" i="1"/>
  <c r="BI155" i="1"/>
  <c r="BO155" i="1"/>
  <c r="BT155" i="1"/>
  <c r="AW155" i="1" s="1"/>
  <c r="BV155" i="1"/>
  <c r="BY155" i="1"/>
  <c r="CB155" i="1"/>
  <c r="CC155" i="1"/>
  <c r="CE155" i="1"/>
  <c r="CF155" i="1"/>
  <c r="CH155" i="1"/>
  <c r="CI155" i="1"/>
  <c r="CJ155" i="1"/>
  <c r="N156" i="1"/>
  <c r="O156" i="1"/>
  <c r="P156" i="1"/>
  <c r="CA156" i="1" s="1"/>
  <c r="S156" i="1"/>
  <c r="U156" i="1" s="1"/>
  <c r="X156" i="1"/>
  <c r="AC156" i="1"/>
  <c r="AX156" i="1"/>
  <c r="AZ156" i="1"/>
  <c r="BB156" i="1"/>
  <c r="BC156" i="1"/>
  <c r="BI156" i="1"/>
  <c r="BL156" i="1" s="1"/>
  <c r="BO156" i="1"/>
  <c r="BT156" i="1"/>
  <c r="AW156" i="1" s="1"/>
  <c r="BV156" i="1"/>
  <c r="BY156" i="1"/>
  <c r="CB156" i="1"/>
  <c r="CC156" i="1"/>
  <c r="CE156" i="1"/>
  <c r="CF156" i="1"/>
  <c r="CH156" i="1"/>
  <c r="CI156" i="1"/>
  <c r="CJ156" i="1"/>
  <c r="N157" i="1"/>
  <c r="O157" i="1"/>
  <c r="P157" i="1"/>
  <c r="CA157" i="1" s="1"/>
  <c r="S157" i="1"/>
  <c r="U157" i="1" s="1"/>
  <c r="X157" i="1"/>
  <c r="K157" i="5" s="1"/>
  <c r="L157" i="5" s="1"/>
  <c r="AC157" i="1"/>
  <c r="AX157" i="1"/>
  <c r="AZ157" i="1"/>
  <c r="BB157" i="1"/>
  <c r="BC157" i="1"/>
  <c r="BI157" i="1"/>
  <c r="BL157" i="1" s="1"/>
  <c r="BO157" i="1"/>
  <c r="BT157" i="1"/>
  <c r="AW157" i="1" s="1"/>
  <c r="BV157" i="1"/>
  <c r="BY157" i="1"/>
  <c r="CB157" i="1"/>
  <c r="CC157" i="1"/>
  <c r="CE157" i="1"/>
  <c r="CF157" i="1"/>
  <c r="CH157" i="1"/>
  <c r="CI157" i="1"/>
  <c r="CJ157" i="1"/>
  <c r="N158" i="1"/>
  <c r="O158" i="1"/>
  <c r="P158" i="1"/>
  <c r="CA158" i="1" s="1"/>
  <c r="S158" i="1"/>
  <c r="W158" i="1" s="1"/>
  <c r="X158" i="1"/>
  <c r="AA158" i="1" s="1"/>
  <c r="AC158" i="1"/>
  <c r="AO158" i="1"/>
  <c r="J158" i="1" s="1"/>
  <c r="AX158" i="1"/>
  <c r="AZ158" i="1"/>
  <c r="BB158" i="1"/>
  <c r="BC158" i="1"/>
  <c r="BI158" i="1"/>
  <c r="BL158" i="1" s="1"/>
  <c r="BO158" i="1"/>
  <c r="BT158" i="1"/>
  <c r="AW158" i="1" s="1"/>
  <c r="BV158" i="1"/>
  <c r="BY158" i="1"/>
  <c r="CB158" i="1"/>
  <c r="CC158" i="1"/>
  <c r="CE158" i="1"/>
  <c r="CF158" i="1"/>
  <c r="CH158" i="1"/>
  <c r="CI158" i="1"/>
  <c r="CJ158" i="1"/>
  <c r="N159" i="1"/>
  <c r="O159" i="1"/>
  <c r="P159" i="1"/>
  <c r="CA159" i="1" s="1"/>
  <c r="S159" i="1"/>
  <c r="T159" i="1" s="1"/>
  <c r="X159" i="1"/>
  <c r="AB159" i="1" s="1"/>
  <c r="AC159" i="1"/>
  <c r="AX159" i="1"/>
  <c r="AZ159" i="1"/>
  <c r="BB159" i="1"/>
  <c r="BC159" i="1"/>
  <c r="BI159" i="1"/>
  <c r="BO159" i="1"/>
  <c r="BT159" i="1"/>
  <c r="AW159" i="1" s="1"/>
  <c r="BV159" i="1"/>
  <c r="BY159" i="1"/>
  <c r="CB159" i="1"/>
  <c r="CC159" i="1"/>
  <c r="CE159" i="1"/>
  <c r="CF159" i="1"/>
  <c r="CH159" i="1"/>
  <c r="CI159" i="1"/>
  <c r="CJ159" i="1"/>
  <c r="P160" i="1"/>
  <c r="X160" i="1"/>
  <c r="K160" i="5" s="1"/>
  <c r="L160" i="5" s="1"/>
  <c r="AC160" i="1"/>
  <c r="AO160" i="1"/>
  <c r="BB160" i="1"/>
  <c r="BT160" i="1"/>
  <c r="AW160" i="1" s="1"/>
  <c r="BV160" i="1"/>
  <c r="BY160" i="1"/>
  <c r="B3" i="5"/>
  <c r="C3" i="5"/>
  <c r="B4" i="5"/>
  <c r="C4" i="5"/>
  <c r="B5" i="5"/>
  <c r="C5" i="5"/>
  <c r="B6" i="5"/>
  <c r="C6" i="5"/>
  <c r="B7" i="5"/>
  <c r="C7" i="5"/>
  <c r="B8" i="5"/>
  <c r="C8" i="5"/>
  <c r="B9" i="5"/>
  <c r="C9" i="5"/>
  <c r="B10" i="5"/>
  <c r="C10" i="5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B26" i="5"/>
  <c r="C26" i="5"/>
  <c r="B27" i="5"/>
  <c r="C27" i="5"/>
  <c r="B28" i="5"/>
  <c r="C28" i="5"/>
  <c r="B29" i="5"/>
  <c r="C29" i="5"/>
  <c r="B30" i="5"/>
  <c r="C30" i="5"/>
  <c r="B31" i="5"/>
  <c r="C31" i="5"/>
  <c r="B32" i="5"/>
  <c r="C32" i="5"/>
  <c r="B33" i="5"/>
  <c r="C33" i="5"/>
  <c r="B34" i="5"/>
  <c r="C34" i="5"/>
  <c r="B35" i="5"/>
  <c r="C35" i="5"/>
  <c r="B36" i="5"/>
  <c r="C36" i="5"/>
  <c r="B37" i="5"/>
  <c r="C37" i="5"/>
  <c r="B38" i="5"/>
  <c r="C38" i="5"/>
  <c r="B39" i="5"/>
  <c r="C39" i="5"/>
  <c r="B40" i="5"/>
  <c r="C40" i="5"/>
  <c r="B41" i="5"/>
  <c r="C41" i="5"/>
  <c r="B42" i="5"/>
  <c r="C42" i="5"/>
  <c r="B43" i="5"/>
  <c r="C43" i="5"/>
  <c r="B44" i="5"/>
  <c r="C44" i="5"/>
  <c r="B45" i="5"/>
  <c r="C45" i="5"/>
  <c r="B46" i="5"/>
  <c r="C46" i="5"/>
  <c r="B47" i="5"/>
  <c r="C47" i="5"/>
  <c r="B48" i="5"/>
  <c r="C48" i="5"/>
  <c r="B49" i="5"/>
  <c r="C49" i="5"/>
  <c r="B50" i="5"/>
  <c r="C50" i="5"/>
  <c r="B51" i="5"/>
  <c r="C51" i="5"/>
  <c r="B52" i="5"/>
  <c r="C52" i="5"/>
  <c r="B53" i="5"/>
  <c r="C53" i="5"/>
  <c r="B54" i="5"/>
  <c r="C54" i="5"/>
  <c r="B55" i="5"/>
  <c r="X55" i="5" s="1"/>
  <c r="C55" i="5"/>
  <c r="B56" i="5"/>
  <c r="C56" i="5"/>
  <c r="B57" i="5"/>
  <c r="Y57" i="5" s="1"/>
  <c r="C57" i="5"/>
  <c r="B58" i="5"/>
  <c r="X58" i="5" s="1"/>
  <c r="C58" i="5"/>
  <c r="B59" i="5"/>
  <c r="C59" i="5"/>
  <c r="B60" i="5"/>
  <c r="W60" i="5" s="1"/>
  <c r="C60" i="5"/>
  <c r="B61" i="5"/>
  <c r="C61" i="5"/>
  <c r="B62" i="5"/>
  <c r="C62" i="5"/>
  <c r="B63" i="5"/>
  <c r="C63" i="5"/>
  <c r="B64" i="5"/>
  <c r="C64" i="5"/>
  <c r="B65" i="5"/>
  <c r="C65" i="5"/>
  <c r="B66" i="5"/>
  <c r="C66" i="5"/>
  <c r="B67" i="5"/>
  <c r="C67" i="5"/>
  <c r="B68" i="5"/>
  <c r="C68" i="5"/>
  <c r="B69" i="5"/>
  <c r="C69" i="5"/>
  <c r="B70" i="5"/>
  <c r="C70" i="5"/>
  <c r="B71" i="5"/>
  <c r="C71" i="5"/>
  <c r="B72" i="5"/>
  <c r="C72" i="5"/>
  <c r="B73" i="5"/>
  <c r="C73" i="5"/>
  <c r="B74" i="5"/>
  <c r="C74" i="5"/>
  <c r="B75" i="5"/>
  <c r="C75" i="5"/>
  <c r="B76" i="5"/>
  <c r="W76" i="5" s="1"/>
  <c r="C76" i="5"/>
  <c r="B77" i="5"/>
  <c r="X77" i="5" s="1"/>
  <c r="C77" i="5"/>
  <c r="B78" i="5"/>
  <c r="C78" i="5"/>
  <c r="B79" i="5"/>
  <c r="C79" i="5"/>
  <c r="B80" i="5"/>
  <c r="C80" i="5"/>
  <c r="B81" i="5"/>
  <c r="Y81" i="5" s="1"/>
  <c r="C81" i="5"/>
  <c r="B82" i="5"/>
  <c r="C82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W89" i="5" s="1"/>
  <c r="C89" i="5"/>
  <c r="B90" i="5"/>
  <c r="C90" i="5"/>
  <c r="B91" i="5"/>
  <c r="C91" i="5"/>
  <c r="B92" i="5"/>
  <c r="AC92" i="5" s="1"/>
  <c r="C92" i="5"/>
  <c r="B93" i="5"/>
  <c r="AC93" i="5" s="1"/>
  <c r="C93" i="5"/>
  <c r="B94" i="5"/>
  <c r="W94" i="5" s="1"/>
  <c r="C94" i="5"/>
  <c r="B95" i="5"/>
  <c r="C95" i="5"/>
  <c r="B96" i="5"/>
  <c r="C96" i="5"/>
  <c r="B97" i="5"/>
  <c r="C97" i="5"/>
  <c r="B98" i="5"/>
  <c r="W98" i="5" s="1"/>
  <c r="C98" i="5"/>
  <c r="B99" i="5"/>
  <c r="AC99" i="5" s="1"/>
  <c r="C99" i="5"/>
  <c r="B100" i="5"/>
  <c r="Y100" i="5" s="1"/>
  <c r="C100" i="5"/>
  <c r="B101" i="5"/>
  <c r="W101" i="5" s="1"/>
  <c r="C101" i="5"/>
  <c r="B102" i="5"/>
  <c r="W102" i="5" s="1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B114" i="5"/>
  <c r="W114" i="5" s="1"/>
  <c r="C114" i="5"/>
  <c r="B115" i="5"/>
  <c r="AC115" i="5" s="1"/>
  <c r="C115" i="5"/>
  <c r="B116" i="5"/>
  <c r="X116" i="5" s="1"/>
  <c r="C116" i="5"/>
  <c r="B117" i="5"/>
  <c r="W117" i="5" s="1"/>
  <c r="C117" i="5"/>
  <c r="B118" i="5"/>
  <c r="Y118" i="5" s="1"/>
  <c r="C118" i="5"/>
  <c r="B119" i="5"/>
  <c r="W119" i="5" s="1"/>
  <c r="C119" i="5"/>
  <c r="B120" i="5"/>
  <c r="AC120" i="5" s="1"/>
  <c r="C120" i="5"/>
  <c r="B121" i="5"/>
  <c r="C121" i="5"/>
  <c r="B122" i="5"/>
  <c r="Y122" i="5" s="1"/>
  <c r="C122" i="5"/>
  <c r="W122" i="5"/>
  <c r="B123" i="5"/>
  <c r="AC123" i="5" s="1"/>
  <c r="C123" i="5"/>
  <c r="B124" i="5"/>
  <c r="C124" i="5"/>
  <c r="B125" i="5"/>
  <c r="C125" i="5"/>
  <c r="B126" i="5"/>
  <c r="C126" i="5"/>
  <c r="B127" i="5"/>
  <c r="C127" i="5"/>
  <c r="B128" i="5"/>
  <c r="AC128" i="5" s="1"/>
  <c r="C128" i="5"/>
  <c r="B129" i="5"/>
  <c r="C129" i="5"/>
  <c r="B130" i="5"/>
  <c r="Y130" i="5" s="1"/>
  <c r="C130" i="5"/>
  <c r="B131" i="5"/>
  <c r="AC131" i="5" s="1"/>
  <c r="C131" i="5"/>
  <c r="B132" i="5"/>
  <c r="C132" i="5"/>
  <c r="B133" i="5"/>
  <c r="Y133" i="5" s="1"/>
  <c r="C133" i="5"/>
  <c r="B134" i="5"/>
  <c r="AC134" i="5" s="1"/>
  <c r="C134" i="5"/>
  <c r="B135" i="5"/>
  <c r="C135" i="5"/>
  <c r="B136" i="5"/>
  <c r="AC136" i="5" s="1"/>
  <c r="C136" i="5"/>
  <c r="B137" i="5"/>
  <c r="C137" i="5"/>
  <c r="B138" i="5"/>
  <c r="Y138" i="5" s="1"/>
  <c r="C138" i="5"/>
  <c r="B139" i="5"/>
  <c r="C139" i="5"/>
  <c r="B140" i="5"/>
  <c r="X140" i="5" s="1"/>
  <c r="C140" i="5"/>
  <c r="B141" i="5"/>
  <c r="C141" i="5"/>
  <c r="B142" i="5"/>
  <c r="C142" i="5"/>
  <c r="B143" i="5"/>
  <c r="AC143" i="5" s="1"/>
  <c r="C143" i="5"/>
  <c r="B144" i="5"/>
  <c r="AC144" i="5" s="1"/>
  <c r="C144" i="5"/>
  <c r="B145" i="5"/>
  <c r="AC145" i="5" s="1"/>
  <c r="C145" i="5"/>
  <c r="B146" i="5"/>
  <c r="C146" i="5"/>
  <c r="B147" i="5"/>
  <c r="C147" i="5"/>
  <c r="B148" i="5"/>
  <c r="C148" i="5"/>
  <c r="B149" i="5"/>
  <c r="AC149" i="5" s="1"/>
  <c r="C149" i="5"/>
  <c r="B150" i="5"/>
  <c r="Y150" i="5" s="1"/>
  <c r="C150" i="5"/>
  <c r="B151" i="5"/>
  <c r="AC151" i="5" s="1"/>
  <c r="C151" i="5"/>
  <c r="B152" i="5"/>
  <c r="AC152" i="5" s="1"/>
  <c r="C152" i="5"/>
  <c r="B153" i="5"/>
  <c r="AC153" i="5" s="1"/>
  <c r="C153" i="5"/>
  <c r="B154" i="5"/>
  <c r="C154" i="5"/>
  <c r="B155" i="5"/>
  <c r="C155" i="5"/>
  <c r="B156" i="5"/>
  <c r="C156" i="5"/>
  <c r="B157" i="5"/>
  <c r="AC157" i="5" s="1"/>
  <c r="C157" i="5"/>
  <c r="B158" i="5"/>
  <c r="X158" i="5" s="1"/>
  <c r="C158" i="5"/>
  <c r="B159" i="5"/>
  <c r="AC159" i="5" s="1"/>
  <c r="C159" i="5"/>
  <c r="B160" i="5"/>
  <c r="C160" i="5"/>
  <c r="BG2" i="3"/>
  <c r="E73" i="3"/>
  <c r="E65" i="3"/>
  <c r="X2" i="1"/>
  <c r="K2" i="5" s="1"/>
  <c r="AV76" i="3"/>
  <c r="AV77" i="3"/>
  <c r="AV81" i="3"/>
  <c r="AV92" i="3"/>
  <c r="AV93" i="3"/>
  <c r="AV94" i="3"/>
  <c r="AV98" i="3"/>
  <c r="AV115" i="3"/>
  <c r="AV117" i="3"/>
  <c r="AV118" i="3"/>
  <c r="AV122" i="3"/>
  <c r="AV131" i="3"/>
  <c r="AV136" i="3"/>
  <c r="AW9" i="3"/>
  <c r="AW10" i="3"/>
  <c r="AW12" i="3"/>
  <c r="AW13" i="3"/>
  <c r="AW14" i="3"/>
  <c r="AW15" i="3"/>
  <c r="AW16" i="3"/>
  <c r="AW21" i="3"/>
  <c r="AW22" i="3"/>
  <c r="AW23" i="3"/>
  <c r="AW24" i="3"/>
  <c r="AW25" i="3"/>
  <c r="AW26" i="3"/>
  <c r="AW27" i="3"/>
  <c r="AW29" i="3"/>
  <c r="AW30" i="3"/>
  <c r="AW31" i="3"/>
  <c r="AW32" i="3"/>
  <c r="AW33" i="3"/>
  <c r="AW34" i="3"/>
  <c r="AW35" i="3"/>
  <c r="AW36" i="3"/>
  <c r="AW37" i="3"/>
  <c r="AW38" i="3"/>
  <c r="AW39" i="3"/>
  <c r="AW40" i="3"/>
  <c r="AW41" i="3"/>
  <c r="AW42" i="3"/>
  <c r="AW43" i="3"/>
  <c r="AW44" i="3"/>
  <c r="AW45" i="3"/>
  <c r="AW46" i="3"/>
  <c r="AW47" i="3"/>
  <c r="AW48" i="3"/>
  <c r="AW49" i="3"/>
  <c r="AW50" i="3"/>
  <c r="AW51" i="3"/>
  <c r="AW52" i="3"/>
  <c r="AW53" i="3"/>
  <c r="AW54" i="3"/>
  <c r="AW55" i="3"/>
  <c r="AW56" i="3"/>
  <c r="AW57" i="3"/>
  <c r="AW58" i="3"/>
  <c r="AW59" i="3"/>
  <c r="AW60" i="3"/>
  <c r="AW61" i="3"/>
  <c r="AW62" i="3"/>
  <c r="AW63" i="3"/>
  <c r="AW64" i="3"/>
  <c r="AW65" i="3"/>
  <c r="AW66" i="3"/>
  <c r="AW67" i="3"/>
  <c r="AW68" i="3"/>
  <c r="AW69" i="3"/>
  <c r="AW70" i="3"/>
  <c r="AW71" i="3"/>
  <c r="AW72" i="3"/>
  <c r="AW73" i="3"/>
  <c r="AW76" i="3"/>
  <c r="AW77" i="3"/>
  <c r="AW78" i="3"/>
  <c r="AW79" i="3"/>
  <c r="AW80" i="3"/>
  <c r="AW81" i="3"/>
  <c r="AW82" i="3"/>
  <c r="AW83" i="3"/>
  <c r="AW85" i="3"/>
  <c r="AW86" i="3"/>
  <c r="AW87" i="3"/>
  <c r="AW88" i="3"/>
  <c r="AW89" i="3"/>
  <c r="AW90" i="3"/>
  <c r="AW91" i="3"/>
  <c r="AW92" i="3"/>
  <c r="AW93" i="3"/>
  <c r="AW94" i="3"/>
  <c r="AW95" i="3"/>
  <c r="AW96" i="3"/>
  <c r="AW97" i="3"/>
  <c r="AW98" i="3"/>
  <c r="AW99" i="3"/>
  <c r="AW100" i="3"/>
  <c r="AW101" i="3"/>
  <c r="AW102" i="3"/>
  <c r="AW103" i="3"/>
  <c r="AW104" i="3"/>
  <c r="AW105" i="3"/>
  <c r="AW106" i="3"/>
  <c r="AW107" i="3"/>
  <c r="AW108" i="3"/>
  <c r="AW109" i="3"/>
  <c r="AW110" i="3"/>
  <c r="AW111" i="3"/>
  <c r="AW112" i="3"/>
  <c r="AW113" i="3"/>
  <c r="AW115" i="3"/>
  <c r="AW116" i="3"/>
  <c r="AW117" i="3"/>
  <c r="AW119" i="3"/>
  <c r="AW121" i="3"/>
  <c r="AW122" i="3"/>
  <c r="AW124" i="3"/>
  <c r="AW125" i="3"/>
  <c r="AW126" i="3"/>
  <c r="AW127" i="3"/>
  <c r="AW128" i="3"/>
  <c r="AW129" i="3"/>
  <c r="AW130" i="3"/>
  <c r="AW131" i="3"/>
  <c r="AW133" i="3"/>
  <c r="AW134" i="3"/>
  <c r="AW135" i="3"/>
  <c r="AW136" i="3"/>
  <c r="AW137" i="3"/>
  <c r="AW138" i="3"/>
  <c r="AW139" i="3"/>
  <c r="AW140" i="3"/>
  <c r="AW141" i="3"/>
  <c r="AW142" i="3"/>
  <c r="AW143" i="3"/>
  <c r="AW144" i="3"/>
  <c r="AW145" i="3"/>
  <c r="AW146" i="3"/>
  <c r="AW147" i="3"/>
  <c r="AW148" i="3"/>
  <c r="AW149" i="3"/>
  <c r="AW160" i="3"/>
  <c r="AY4" i="3"/>
  <c r="AY5" i="3"/>
  <c r="AY8" i="3"/>
  <c r="AY10" i="3"/>
  <c r="AY12" i="3"/>
  <c r="AY17" i="3"/>
  <c r="AY18" i="3"/>
  <c r="AY20" i="3"/>
  <c r="AY21" i="3"/>
  <c r="AY22" i="3"/>
  <c r="AY23" i="3"/>
  <c r="AY24" i="3"/>
  <c r="AY27" i="3"/>
  <c r="AY29" i="3"/>
  <c r="AY32" i="3"/>
  <c r="AY33" i="3"/>
  <c r="AY34" i="3"/>
  <c r="AY35" i="3"/>
  <c r="AY36" i="3"/>
  <c r="AY37" i="3"/>
  <c r="AY38" i="3"/>
  <c r="AY40" i="3"/>
  <c r="AY41" i="3"/>
  <c r="AY42" i="3"/>
  <c r="AY44" i="3"/>
  <c r="AY45" i="3"/>
  <c r="AY47" i="3"/>
  <c r="AY48" i="3"/>
  <c r="AY49" i="3"/>
  <c r="AY50" i="3"/>
  <c r="AY53" i="3"/>
  <c r="AY54" i="3"/>
  <c r="AY55" i="3"/>
  <c r="AY56" i="3"/>
  <c r="AY57" i="3"/>
  <c r="AY58" i="3"/>
  <c r="AY59" i="3"/>
  <c r="AY60" i="3"/>
  <c r="AY61" i="3"/>
  <c r="AY62" i="3"/>
  <c r="AY64" i="3"/>
  <c r="AY65" i="3"/>
  <c r="AY66" i="3"/>
  <c r="AY67" i="3"/>
  <c r="AY68" i="3"/>
  <c r="AY69" i="3"/>
  <c r="AY72" i="3"/>
  <c r="AY73" i="3"/>
  <c r="AY76" i="3"/>
  <c r="AY77" i="3"/>
  <c r="AY80" i="3"/>
  <c r="AY81" i="3"/>
  <c r="AY82" i="3"/>
  <c r="AY83" i="3"/>
  <c r="AY84" i="3"/>
  <c r="AY85" i="3"/>
  <c r="AY87" i="3"/>
  <c r="AY88" i="3"/>
  <c r="AY89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4" i="3"/>
  <c r="AY116" i="3"/>
  <c r="AY117" i="3"/>
  <c r="AY118" i="3"/>
  <c r="AY119" i="3"/>
  <c r="AY121" i="3"/>
  <c r="AY122" i="3"/>
  <c r="AY123" i="3"/>
  <c r="AY125" i="3"/>
  <c r="AY126" i="3"/>
  <c r="AY127" i="3"/>
  <c r="AY128" i="3"/>
  <c r="AY129" i="3"/>
  <c r="AY130" i="3"/>
  <c r="AY131" i="3"/>
  <c r="AY133" i="3"/>
  <c r="AY134" i="3"/>
  <c r="AY138" i="3"/>
  <c r="AY140" i="3"/>
  <c r="AY150" i="3"/>
  <c r="AY158" i="3"/>
  <c r="AY160" i="3"/>
  <c r="Q184" i="1" l="1"/>
  <c r="R184" i="1" s="1"/>
  <c r="Q183" i="1"/>
  <c r="R183" i="1" s="1"/>
  <c r="BE94" i="3"/>
  <c r="E196" i="5" s="1"/>
  <c r="Q196" i="1"/>
  <c r="R196" i="1" s="1"/>
  <c r="BE89" i="3"/>
  <c r="Q190" i="1"/>
  <c r="R190" i="1" s="1"/>
  <c r="BE62" i="3"/>
  <c r="E181" i="5" s="1"/>
  <c r="Q181" i="1"/>
  <c r="R181" i="1" s="1"/>
  <c r="J73" i="1"/>
  <c r="J65" i="1"/>
  <c r="AT184" i="3"/>
  <c r="J58" i="1"/>
  <c r="AU184" i="3"/>
  <c r="I164" i="5"/>
  <c r="J164" i="5"/>
  <c r="CG65" i="1"/>
  <c r="BJ65" i="1"/>
  <c r="AY65" i="1"/>
  <c r="CG73" i="1"/>
  <c r="AY73" i="1"/>
  <c r="BJ73" i="1"/>
  <c r="AD196" i="1"/>
  <c r="AZ89" i="3"/>
  <c r="BF89" i="3"/>
  <c r="BR89" i="3" s="1"/>
  <c r="AI190" i="1"/>
  <c r="BI89" i="3"/>
  <c r="F190" i="5" s="1"/>
  <c r="E190" i="5"/>
  <c r="AZ62" i="3"/>
  <c r="BF62" i="3"/>
  <c r="AI181" i="1"/>
  <c r="X122" i="5"/>
  <c r="Q188" i="1"/>
  <c r="R188" i="1" s="1"/>
  <c r="Q187" i="1"/>
  <c r="R187" i="1" s="1"/>
  <c r="BZ100" i="1"/>
  <c r="Q195" i="1"/>
  <c r="R195" i="1" s="1"/>
  <c r="Q194" i="1"/>
  <c r="R194" i="1" s="1"/>
  <c r="BZ56" i="1"/>
  <c r="BZ158" i="1"/>
  <c r="BZ114" i="1"/>
  <c r="Q182" i="1"/>
  <c r="R182" i="1" s="1"/>
  <c r="BZ150" i="1"/>
  <c r="BZ57" i="1"/>
  <c r="BZ77" i="1"/>
  <c r="BZ138" i="1"/>
  <c r="BK101" i="1"/>
  <c r="BZ101" i="1"/>
  <c r="BZ99" i="1"/>
  <c r="CA99" i="1" s="1"/>
  <c r="BZ76" i="1"/>
  <c r="BZ55" i="1"/>
  <c r="CA55" i="1" s="1"/>
  <c r="BK115" i="1"/>
  <c r="BK137" i="1"/>
  <c r="BK102" i="1"/>
  <c r="BZ102" i="1"/>
  <c r="BK98" i="1"/>
  <c r="BZ98" i="1"/>
  <c r="BK60" i="1"/>
  <c r="BZ60" i="1"/>
  <c r="BZ119" i="1"/>
  <c r="BK94" i="1"/>
  <c r="BZ94" i="1"/>
  <c r="BK118" i="1"/>
  <c r="BZ118" i="1"/>
  <c r="BK79" i="1"/>
  <c r="BK62" i="1"/>
  <c r="BZ62" i="1"/>
  <c r="BZ59" i="1"/>
  <c r="BK131" i="1"/>
  <c r="BZ131" i="1"/>
  <c r="BK128" i="1"/>
  <c r="BZ128" i="1"/>
  <c r="BZ123" i="1"/>
  <c r="BK116" i="1"/>
  <c r="BZ116" i="1"/>
  <c r="BZ109" i="1"/>
  <c r="BK92" i="1"/>
  <c r="BZ58" i="1"/>
  <c r="BK93" i="1"/>
  <c r="BZ93" i="1"/>
  <c r="BK130" i="1"/>
  <c r="BZ130" i="1"/>
  <c r="BK122" i="1"/>
  <c r="BZ122" i="1"/>
  <c r="BK110" i="1"/>
  <c r="BK134" i="1"/>
  <c r="BZ134" i="1"/>
  <c r="BK81" i="1"/>
  <c r="BZ81" i="1"/>
  <c r="BK117" i="1"/>
  <c r="BZ117" i="1"/>
  <c r="BZ140" i="1"/>
  <c r="BK133" i="1"/>
  <c r="BZ133" i="1"/>
  <c r="BK89" i="1"/>
  <c r="BZ89" i="1"/>
  <c r="BK76" i="1"/>
  <c r="BK150" i="1"/>
  <c r="BK58" i="1"/>
  <c r="BK77" i="1"/>
  <c r="BK56" i="1"/>
  <c r="BK123" i="1"/>
  <c r="BK109" i="1"/>
  <c r="BK99" i="1"/>
  <c r="BK114" i="1"/>
  <c r="BK55" i="1"/>
  <c r="BK140" i="1"/>
  <c r="BK158" i="1"/>
  <c r="BK138" i="1"/>
  <c r="BK59" i="1"/>
  <c r="BK119" i="1"/>
  <c r="BK57" i="1"/>
  <c r="BK100" i="1"/>
  <c r="AC60" i="5"/>
  <c r="AC118" i="5"/>
  <c r="Y60" i="5"/>
  <c r="W55" i="5"/>
  <c r="X118" i="5"/>
  <c r="X60" i="5"/>
  <c r="W118" i="5"/>
  <c r="W128" i="5"/>
  <c r="X93" i="5"/>
  <c r="X76" i="5"/>
  <c r="W116" i="5"/>
  <c r="W93" i="5"/>
  <c r="BC133" i="3"/>
  <c r="BJ133" i="3" s="1"/>
  <c r="BD133" i="1"/>
  <c r="BE133" i="1"/>
  <c r="BD85" i="1"/>
  <c r="BE85" i="1"/>
  <c r="BD67" i="1"/>
  <c r="BE67" i="1"/>
  <c r="BD58" i="1"/>
  <c r="BE58" i="1"/>
  <c r="BD37" i="1"/>
  <c r="BE37" i="1"/>
  <c r="BD24" i="1"/>
  <c r="BE24" i="1"/>
  <c r="BD20" i="1"/>
  <c r="BE20" i="1"/>
  <c r="BD10" i="1"/>
  <c r="BE10" i="1"/>
  <c r="BD140" i="1"/>
  <c r="BE140" i="1"/>
  <c r="W158" i="5"/>
  <c r="BC81" i="3"/>
  <c r="BJ81" i="3" s="1"/>
  <c r="BD81" i="1"/>
  <c r="BE81" i="1"/>
  <c r="BC98" i="3"/>
  <c r="BJ98" i="3" s="1"/>
  <c r="BD98" i="1"/>
  <c r="BE98" i="1"/>
  <c r="X57" i="5"/>
  <c r="BD126" i="1"/>
  <c r="BE126" i="1"/>
  <c r="BC119" i="3"/>
  <c r="BJ119" i="3" s="1"/>
  <c r="BD119" i="1"/>
  <c r="BE119" i="1"/>
  <c r="BD57" i="1"/>
  <c r="BE57" i="1"/>
  <c r="BD41" i="1"/>
  <c r="BE41" i="1"/>
  <c r="AC140" i="5"/>
  <c r="BD118" i="1"/>
  <c r="BE118" i="1"/>
  <c r="BD100" i="1"/>
  <c r="BE100" i="1"/>
  <c r="BD89" i="1"/>
  <c r="BE89" i="1"/>
  <c r="BD77" i="1"/>
  <c r="BE77" i="1"/>
  <c r="BD68" i="1"/>
  <c r="BE68" i="1"/>
  <c r="BD64" i="1"/>
  <c r="BE64" i="1"/>
  <c r="BD38" i="1"/>
  <c r="BE38" i="1"/>
  <c r="BD4" i="1"/>
  <c r="BE4" i="1"/>
  <c r="W140" i="5"/>
  <c r="X99" i="5"/>
  <c r="BD131" i="1"/>
  <c r="BE131" i="1"/>
  <c r="BD128" i="1"/>
  <c r="BE128" i="1"/>
  <c r="BC117" i="3"/>
  <c r="BJ117" i="3" s="1"/>
  <c r="BD117" i="1"/>
  <c r="BE117" i="1"/>
  <c r="BD116" i="1"/>
  <c r="BE116" i="1"/>
  <c r="BD114" i="1"/>
  <c r="BE114" i="1"/>
  <c r="BD101" i="1"/>
  <c r="BE101" i="1"/>
  <c r="BD76" i="1"/>
  <c r="BE76" i="1"/>
  <c r="BD56" i="1"/>
  <c r="BE56" i="1"/>
  <c r="Y99" i="5"/>
  <c r="X123" i="5"/>
  <c r="W99" i="5"/>
  <c r="BD130" i="1"/>
  <c r="BE130" i="1"/>
  <c r="BD123" i="1"/>
  <c r="BE123" i="1"/>
  <c r="BD122" i="1"/>
  <c r="BE122" i="1"/>
  <c r="BD109" i="1"/>
  <c r="BE109" i="1"/>
  <c r="BD99" i="1"/>
  <c r="BE99" i="1"/>
  <c r="BD8" i="1"/>
  <c r="BE8" i="1"/>
  <c r="BC134" i="3"/>
  <c r="BJ134" i="3" s="1"/>
  <c r="BD134" i="1"/>
  <c r="BE134" i="1"/>
  <c r="BD129" i="1"/>
  <c r="BE129" i="1"/>
  <c r="BD102" i="1"/>
  <c r="BE102" i="1"/>
  <c r="BD72" i="1"/>
  <c r="BE72" i="1"/>
  <c r="BD69" i="1"/>
  <c r="BE69" i="1"/>
  <c r="BD65" i="1"/>
  <c r="BE65" i="1"/>
  <c r="BD55" i="1"/>
  <c r="BE55" i="1"/>
  <c r="BD35" i="1"/>
  <c r="BE35" i="1"/>
  <c r="AC102" i="5"/>
  <c r="X81" i="5"/>
  <c r="BD158" i="1"/>
  <c r="BE158" i="1"/>
  <c r="BD94" i="1"/>
  <c r="BE94" i="1"/>
  <c r="BD60" i="1"/>
  <c r="BE60" i="1"/>
  <c r="BD84" i="1"/>
  <c r="BE84" i="1"/>
  <c r="BD73" i="1"/>
  <c r="BE73" i="1"/>
  <c r="BD66" i="1"/>
  <c r="BE66" i="1"/>
  <c r="BD62" i="1"/>
  <c r="BE62" i="1"/>
  <c r="BD36" i="1"/>
  <c r="BE36" i="1"/>
  <c r="BD32" i="1"/>
  <c r="BE32" i="1"/>
  <c r="BD23" i="1"/>
  <c r="BE23" i="1"/>
  <c r="BD150" i="1"/>
  <c r="BE150" i="1"/>
  <c r="BC138" i="3"/>
  <c r="BJ138" i="3" s="1"/>
  <c r="BD138" i="1"/>
  <c r="BE138" i="1"/>
  <c r="BD93" i="1"/>
  <c r="BE93" i="1"/>
  <c r="BD59" i="1"/>
  <c r="BE59" i="1"/>
  <c r="X130" i="5"/>
  <c r="Y102" i="5"/>
  <c r="X102" i="5"/>
  <c r="AC94" i="5"/>
  <c r="AC98" i="5"/>
  <c r="Y94" i="5"/>
  <c r="Y58" i="5"/>
  <c r="Y98" i="5"/>
  <c r="X94" i="5"/>
  <c r="W58" i="5"/>
  <c r="W130" i="5"/>
  <c r="AC158" i="5"/>
  <c r="Y128" i="5"/>
  <c r="X98" i="5"/>
  <c r="X128" i="5"/>
  <c r="AC116" i="5"/>
  <c r="F60" i="5"/>
  <c r="S147" i="5"/>
  <c r="T147" i="5" s="1"/>
  <c r="AJ147" i="1"/>
  <c r="AN81" i="1"/>
  <c r="S60" i="5"/>
  <c r="T60" i="5" s="1"/>
  <c r="AJ60" i="1"/>
  <c r="S113" i="5"/>
  <c r="T113" i="5" s="1"/>
  <c r="AJ113" i="1"/>
  <c r="S94" i="5"/>
  <c r="T94" i="5" s="1"/>
  <c r="AJ94" i="1"/>
  <c r="AN92" i="1"/>
  <c r="S91" i="5"/>
  <c r="T91" i="5" s="1"/>
  <c r="AJ91" i="1"/>
  <c r="AN116" i="1"/>
  <c r="AN115" i="1"/>
  <c r="S92" i="5"/>
  <c r="U92" i="5" s="1"/>
  <c r="AJ92" i="1"/>
  <c r="S99" i="5"/>
  <c r="V99" i="5" s="1"/>
  <c r="AJ99" i="1"/>
  <c r="AN89" i="1"/>
  <c r="S136" i="5"/>
  <c r="V136" i="5" s="1"/>
  <c r="AJ136" i="1"/>
  <c r="S131" i="5"/>
  <c r="T131" i="5" s="1"/>
  <c r="AJ131" i="1"/>
  <c r="AN102" i="1"/>
  <c r="S98" i="5"/>
  <c r="T98" i="5" s="1"/>
  <c r="AJ98" i="1"/>
  <c r="S142" i="5"/>
  <c r="T142" i="5" s="1"/>
  <c r="AJ142" i="1"/>
  <c r="BC76" i="3"/>
  <c r="BJ76" i="3" s="1"/>
  <c r="BC109" i="3"/>
  <c r="BJ109" i="3" s="1"/>
  <c r="BC94" i="3"/>
  <c r="BJ94" i="3" s="1"/>
  <c r="BC59" i="3"/>
  <c r="BJ59" i="3" s="1"/>
  <c r="BC56" i="3"/>
  <c r="BJ56" i="3" s="1"/>
  <c r="BC122" i="3"/>
  <c r="BJ122" i="3" s="1"/>
  <c r="BC130" i="3"/>
  <c r="BJ130" i="3" s="1"/>
  <c r="BC99" i="3"/>
  <c r="BJ99" i="3" s="1"/>
  <c r="BC140" i="3"/>
  <c r="BJ140" i="3" s="1"/>
  <c r="BC73" i="3"/>
  <c r="BC114" i="3"/>
  <c r="BJ114" i="3" s="1"/>
  <c r="BC23" i="3"/>
  <c r="BC150" i="3"/>
  <c r="BJ150" i="3" s="1"/>
  <c r="BC128" i="3"/>
  <c r="BJ128" i="3" s="1"/>
  <c r="BC93" i="3"/>
  <c r="BJ93" i="3" s="1"/>
  <c r="BC89" i="3"/>
  <c r="BC58" i="3"/>
  <c r="BJ58" i="3" s="1"/>
  <c r="BC55" i="3"/>
  <c r="BJ55" i="3" s="1"/>
  <c r="BC24" i="3"/>
  <c r="BC65" i="3"/>
  <c r="BC118" i="3"/>
  <c r="BJ118" i="3" s="1"/>
  <c r="BC62" i="3"/>
  <c r="BJ62" i="3" s="1"/>
  <c r="BC77" i="3"/>
  <c r="BJ77" i="3" s="1"/>
  <c r="BC60" i="3"/>
  <c r="BJ60" i="3" s="1"/>
  <c r="BC57" i="3"/>
  <c r="BJ57" i="3" s="1"/>
  <c r="BC100" i="3"/>
  <c r="BJ100" i="3" s="1"/>
  <c r="BC64" i="3"/>
  <c r="BC158" i="3"/>
  <c r="BJ158" i="3" s="1"/>
  <c r="BC131" i="3"/>
  <c r="BJ131" i="3" s="1"/>
  <c r="BC123" i="3"/>
  <c r="BJ123" i="3" s="1"/>
  <c r="BC116" i="3"/>
  <c r="BJ116" i="3" s="1"/>
  <c r="I162" i="5"/>
  <c r="J162" i="5"/>
  <c r="H162" i="5"/>
  <c r="Q166" i="5"/>
  <c r="P166" i="5"/>
  <c r="R166" i="5"/>
  <c r="P165" i="5"/>
  <c r="Q165" i="5"/>
  <c r="R165" i="5"/>
  <c r="P162" i="5"/>
  <c r="Q162" i="5"/>
  <c r="R162" i="5"/>
  <c r="Q164" i="5"/>
  <c r="R164" i="5"/>
  <c r="P164" i="5"/>
  <c r="Y140" i="5"/>
  <c r="X119" i="5"/>
  <c r="Y116" i="5"/>
  <c r="W100" i="5"/>
  <c r="X133" i="5"/>
  <c r="W133" i="5"/>
  <c r="X89" i="5"/>
  <c r="Y55" i="5"/>
  <c r="X114" i="5"/>
  <c r="AC58" i="5"/>
  <c r="X138" i="5"/>
  <c r="Y134" i="5"/>
  <c r="X117" i="5"/>
  <c r="AC119" i="5"/>
  <c r="E158" i="5"/>
  <c r="W138" i="5"/>
  <c r="X134" i="5"/>
  <c r="AC130" i="5"/>
  <c r="AC114" i="5"/>
  <c r="W134" i="5"/>
  <c r="Y119" i="5"/>
  <c r="Y114" i="5"/>
  <c r="F119" i="5"/>
  <c r="E62" i="5"/>
  <c r="F138" i="5"/>
  <c r="AC138" i="5"/>
  <c r="AC73" i="5"/>
  <c r="BR166" i="1"/>
  <c r="AU162" i="3"/>
  <c r="AU165" i="3"/>
  <c r="BH101" i="1"/>
  <c r="AP98" i="1"/>
  <c r="AB98" i="5" s="1"/>
  <c r="BL161" i="3"/>
  <c r="S161" i="5"/>
  <c r="AM161" i="1"/>
  <c r="AK161" i="1"/>
  <c r="AL161" i="1"/>
  <c r="BJ161" i="3"/>
  <c r="BR161" i="3"/>
  <c r="J161" i="5"/>
  <c r="I161" i="5"/>
  <c r="H161" i="5"/>
  <c r="AH161" i="1"/>
  <c r="O161" i="5"/>
  <c r="AG161" i="1"/>
  <c r="AF161" i="1"/>
  <c r="AE161" i="1"/>
  <c r="G81" i="5"/>
  <c r="H81" i="5" s="1"/>
  <c r="AT163" i="3"/>
  <c r="BR163" i="1" s="1"/>
  <c r="BJ163" i="3"/>
  <c r="AU163" i="3"/>
  <c r="BQ89" i="1"/>
  <c r="BN89" i="1" s="1"/>
  <c r="BQ117" i="1"/>
  <c r="BN117" i="1" s="1"/>
  <c r="BQ150" i="1"/>
  <c r="BN150" i="1" s="1"/>
  <c r="BQ147" i="1"/>
  <c r="BN147" i="1" s="1"/>
  <c r="BQ144" i="1"/>
  <c r="BN144" i="1" s="1"/>
  <c r="BQ57" i="1"/>
  <c r="BN57" i="1" s="1"/>
  <c r="BQ137" i="1"/>
  <c r="BN137" i="1" s="1"/>
  <c r="G141" i="5"/>
  <c r="J141" i="5" s="1"/>
  <c r="G123" i="5"/>
  <c r="H123" i="5" s="1"/>
  <c r="G147" i="5"/>
  <c r="H147" i="5" s="1"/>
  <c r="K76" i="5"/>
  <c r="M76" i="5" s="1"/>
  <c r="G130" i="5"/>
  <c r="J130" i="5" s="1"/>
  <c r="BQ94" i="1"/>
  <c r="BN94" i="1" s="1"/>
  <c r="G102" i="5"/>
  <c r="H102" i="5" s="1"/>
  <c r="BQ157" i="1"/>
  <c r="BN157" i="1" s="1"/>
  <c r="BN120" i="1"/>
  <c r="BQ114" i="1"/>
  <c r="BN114" i="1" s="1"/>
  <c r="BQ59" i="1"/>
  <c r="BN59" i="1" s="1"/>
  <c r="BQ76" i="1"/>
  <c r="BN76" i="1" s="1"/>
  <c r="G138" i="5"/>
  <c r="H138" i="5" s="1"/>
  <c r="G101" i="5"/>
  <c r="J101" i="5" s="1"/>
  <c r="BQ156" i="1"/>
  <c r="BN156" i="1" s="1"/>
  <c r="BQ119" i="1"/>
  <c r="BN119" i="1" s="1"/>
  <c r="G148" i="5"/>
  <c r="I148" i="5" s="1"/>
  <c r="G144" i="5"/>
  <c r="J144" i="5" s="1"/>
  <c r="G91" i="5"/>
  <c r="J91" i="5" s="1"/>
  <c r="G55" i="5"/>
  <c r="H55" i="5" s="1"/>
  <c r="BQ116" i="1"/>
  <c r="BN116" i="1" s="1"/>
  <c r="BQ99" i="1"/>
  <c r="BN99" i="1" s="1"/>
  <c r="BQ60" i="1"/>
  <c r="BN60" i="1" s="1"/>
  <c r="BQ143" i="1"/>
  <c r="BN143" i="1" s="1"/>
  <c r="BQ155" i="1"/>
  <c r="BN155" i="1" s="1"/>
  <c r="BI62" i="3"/>
  <c r="AQ65" i="3"/>
  <c r="BF65" i="3" s="1"/>
  <c r="CH65" i="1"/>
  <c r="CC65" i="1"/>
  <c r="AZ65" i="1"/>
  <c r="CE65" i="1"/>
  <c r="N65" i="1"/>
  <c r="CF65" i="1"/>
  <c r="CJ65" i="1"/>
  <c r="O65" i="1"/>
  <c r="BO65" i="1"/>
  <c r="BQ65" i="1" s="1"/>
  <c r="BN65" i="1" s="1"/>
  <c r="AI65" i="1"/>
  <c r="CB65" i="1"/>
  <c r="AX65" i="1"/>
  <c r="CI65" i="1"/>
  <c r="BC65" i="1"/>
  <c r="BI65" i="1"/>
  <c r="BL65" i="1" s="1"/>
  <c r="W65" i="5"/>
  <c r="BQ158" i="1"/>
  <c r="BN158" i="1" s="1"/>
  <c r="AN133" i="1"/>
  <c r="AQ73" i="3"/>
  <c r="BF73" i="3" s="1"/>
  <c r="AX73" i="1"/>
  <c r="CB73" i="1"/>
  <c r="CC73" i="1"/>
  <c r="AQ73" i="1" s="1"/>
  <c r="BS73" i="1" s="1"/>
  <c r="CE73" i="1"/>
  <c r="N73" i="1"/>
  <c r="BI73" i="1"/>
  <c r="BL73" i="1" s="1"/>
  <c r="CH73" i="1"/>
  <c r="AI73" i="1"/>
  <c r="AJ73" i="1" s="1"/>
  <c r="CF73" i="1"/>
  <c r="CI73" i="1"/>
  <c r="CJ73" i="1"/>
  <c r="BC73" i="1"/>
  <c r="BO73" i="1"/>
  <c r="BQ73" i="1" s="1"/>
  <c r="BN73" i="1" s="1"/>
  <c r="O73" i="1"/>
  <c r="Y73" i="5"/>
  <c r="X73" i="5"/>
  <c r="AN130" i="1"/>
  <c r="W73" i="5"/>
  <c r="BQ134" i="1"/>
  <c r="BN134" i="1" s="1"/>
  <c r="BQ159" i="1"/>
  <c r="BN159" i="1" s="1"/>
  <c r="BQ149" i="1"/>
  <c r="BN149" i="1" s="1"/>
  <c r="BQ145" i="1"/>
  <c r="BN145" i="1" s="1"/>
  <c r="BQ131" i="1"/>
  <c r="BN131" i="1" s="1"/>
  <c r="BQ153" i="1"/>
  <c r="BN153" i="1" s="1"/>
  <c r="BQ146" i="1"/>
  <c r="BN146" i="1" s="1"/>
  <c r="AP65" i="1"/>
  <c r="AB65" i="5" s="1"/>
  <c r="BQ151" i="1"/>
  <c r="BN151" i="1" s="1"/>
  <c r="BQ140" i="1"/>
  <c r="BN140" i="1" s="1"/>
  <c r="BQ133" i="1"/>
  <c r="BN133" i="1" s="1"/>
  <c r="BQ101" i="1"/>
  <c r="BN101" i="1" s="1"/>
  <c r="Q82" i="1"/>
  <c r="R82" i="1" s="1"/>
  <c r="Q106" i="1"/>
  <c r="R106" i="1" s="1"/>
  <c r="BQ100" i="1"/>
  <c r="BN100" i="1" s="1"/>
  <c r="BQ102" i="1"/>
  <c r="BN102" i="1" s="1"/>
  <c r="BQ56" i="1"/>
  <c r="BN56" i="1" s="1"/>
  <c r="BQ93" i="1"/>
  <c r="BN93" i="1" s="1"/>
  <c r="Q108" i="1"/>
  <c r="R108" i="1" s="1"/>
  <c r="Q67" i="1"/>
  <c r="R67" i="1" s="1"/>
  <c r="Q73" i="1"/>
  <c r="R73" i="1" s="1"/>
  <c r="S55" i="5"/>
  <c r="AM55" i="1"/>
  <c r="Q22" i="1"/>
  <c r="R22" i="1" s="1"/>
  <c r="BQ81" i="1"/>
  <c r="BN81" i="1" s="1"/>
  <c r="Q35" i="1"/>
  <c r="R35" i="1" s="1"/>
  <c r="Q72" i="1"/>
  <c r="R72" i="1" s="1"/>
  <c r="Q68" i="1"/>
  <c r="R68" i="1" s="1"/>
  <c r="Q10" i="1"/>
  <c r="R10" i="1" s="1"/>
  <c r="Q5" i="1"/>
  <c r="R5" i="1" s="1"/>
  <c r="BQ55" i="1"/>
  <c r="BN55" i="1" s="1"/>
  <c r="BI150" i="3"/>
  <c r="F150" i="5" s="1"/>
  <c r="E150" i="5"/>
  <c r="Q44" i="1"/>
  <c r="R44" i="1" s="1"/>
  <c r="Q42" i="1"/>
  <c r="R42" i="1" s="1"/>
  <c r="Q54" i="1"/>
  <c r="R54" i="1" s="1"/>
  <c r="Q34" i="1"/>
  <c r="R34" i="1" s="1"/>
  <c r="Q17" i="1"/>
  <c r="R17" i="1" s="1"/>
  <c r="BQ98" i="1"/>
  <c r="BN98" i="1" s="1"/>
  <c r="BM93" i="3"/>
  <c r="BM128" i="3"/>
  <c r="BR128" i="3"/>
  <c r="BR134" i="3"/>
  <c r="BM134" i="3"/>
  <c r="BM98" i="3"/>
  <c r="E130" i="5"/>
  <c r="BI130" i="3"/>
  <c r="AR73" i="3"/>
  <c r="BH73" i="3" s="1"/>
  <c r="BP73" i="3" s="1"/>
  <c r="BM116" i="3"/>
  <c r="BR116" i="3"/>
  <c r="BM122" i="3"/>
  <c r="E102" i="5"/>
  <c r="BI102" i="3"/>
  <c r="F102" i="5" s="1"/>
  <c r="BM99" i="3"/>
  <c r="BM140" i="3"/>
  <c r="AR65" i="3"/>
  <c r="AS65" i="3" s="1"/>
  <c r="BR133" i="3"/>
  <c r="BE65" i="3"/>
  <c r="BR62" i="3"/>
  <c r="BM55" i="3"/>
  <c r="BE73" i="3"/>
  <c r="BI73" i="3" s="1"/>
  <c r="F73" i="5" s="1"/>
  <c r="BM158" i="3"/>
  <c r="BM62" i="3"/>
  <c r="BD65" i="3"/>
  <c r="BN65" i="3" a="1"/>
  <c r="BN65" i="3" s="1"/>
  <c r="BD73" i="3"/>
  <c r="BN73" i="3" a="1"/>
  <c r="BN73" i="3" s="1"/>
  <c r="BH158" i="1"/>
  <c r="AP150" i="1"/>
  <c r="AB150" i="5" s="1"/>
  <c r="AK149" i="1"/>
  <c r="S149" i="5"/>
  <c r="U149" i="5" s="1"/>
  <c r="S148" i="5"/>
  <c r="U148" i="5" s="1"/>
  <c r="AL146" i="1"/>
  <c r="S146" i="5"/>
  <c r="AL145" i="1"/>
  <c r="S145" i="5"/>
  <c r="S144" i="5"/>
  <c r="S143" i="5"/>
  <c r="U143" i="5" s="1"/>
  <c r="AL141" i="1"/>
  <c r="S141" i="5"/>
  <c r="V141" i="5" s="1"/>
  <c r="S140" i="5"/>
  <c r="AL139" i="1"/>
  <c r="S139" i="5"/>
  <c r="S137" i="5"/>
  <c r="K130" i="1"/>
  <c r="S130" i="5"/>
  <c r="BH128" i="1"/>
  <c r="Q123" i="1"/>
  <c r="R123" i="1" s="1"/>
  <c r="S122" i="5"/>
  <c r="S119" i="5"/>
  <c r="S118" i="5"/>
  <c r="AP116" i="1"/>
  <c r="AB116" i="5" s="1"/>
  <c r="AQ114" i="1"/>
  <c r="BS114" i="1" s="1"/>
  <c r="S110" i="5"/>
  <c r="AK109" i="1"/>
  <c r="S109" i="5"/>
  <c r="AK100" i="1"/>
  <c r="S100" i="5"/>
  <c r="Q99" i="1"/>
  <c r="R99" i="1" s="1"/>
  <c r="AP94" i="1"/>
  <c r="AB94" i="5" s="1"/>
  <c r="Q93" i="1"/>
  <c r="R93" i="1" s="1"/>
  <c r="AL93" i="1"/>
  <c r="S93" i="5"/>
  <c r="S81" i="5"/>
  <c r="U81" i="5" s="1"/>
  <c r="AL79" i="1"/>
  <c r="S79" i="5"/>
  <c r="AM77" i="1"/>
  <c r="S77" i="5"/>
  <c r="Q76" i="1"/>
  <c r="R76" i="1" s="1"/>
  <c r="S76" i="5"/>
  <c r="BH62" i="1"/>
  <c r="AM59" i="1"/>
  <c r="S59" i="5"/>
  <c r="BH58" i="1"/>
  <c r="AK58" i="1"/>
  <c r="S58" i="5"/>
  <c r="AP57" i="1"/>
  <c r="AB57" i="5" s="1"/>
  <c r="AM57" i="1"/>
  <c r="S57" i="5"/>
  <c r="U57" i="5" s="1"/>
  <c r="AN56" i="1"/>
  <c r="AK56" i="1"/>
  <c r="S56" i="5"/>
  <c r="BI158" i="3"/>
  <c r="F158" i="5" s="1"/>
  <c r="BI140" i="3"/>
  <c r="F140" i="5" s="1"/>
  <c r="E140" i="5"/>
  <c r="BM138" i="3"/>
  <c r="E138" i="5"/>
  <c r="BI134" i="3"/>
  <c r="F134" i="5" s="1"/>
  <c r="E134" i="5"/>
  <c r="BI133" i="3"/>
  <c r="F133" i="5" s="1"/>
  <c r="E133" i="5"/>
  <c r="BM131" i="3"/>
  <c r="E131" i="5"/>
  <c r="BM130" i="3"/>
  <c r="BI128" i="3"/>
  <c r="F128" i="5" s="1"/>
  <c r="E128" i="5"/>
  <c r="BI123" i="3"/>
  <c r="F123" i="5" s="1"/>
  <c r="E123" i="5"/>
  <c r="E122" i="5"/>
  <c r="BM119" i="3"/>
  <c r="E119" i="5"/>
  <c r="BM118" i="3"/>
  <c r="E118" i="5"/>
  <c r="BM117" i="3"/>
  <c r="E117" i="5"/>
  <c r="BI117" i="3"/>
  <c r="F117" i="5" s="1"/>
  <c r="BI116" i="3"/>
  <c r="F116" i="5" s="1"/>
  <c r="E116" i="5"/>
  <c r="BM114" i="3"/>
  <c r="BI114" i="3"/>
  <c r="F114" i="5" s="1"/>
  <c r="E114" i="5"/>
  <c r="BI109" i="3"/>
  <c r="F109" i="5" s="1"/>
  <c r="E109" i="5"/>
  <c r="BJ102" i="3"/>
  <c r="BM102" i="3"/>
  <c r="BM101" i="3"/>
  <c r="BJ101" i="3"/>
  <c r="BI101" i="3"/>
  <c r="F101" i="5" s="1"/>
  <c r="E101" i="5"/>
  <c r="BM100" i="3"/>
  <c r="BI100" i="3"/>
  <c r="F100" i="5" s="1"/>
  <c r="E100" i="5"/>
  <c r="E99" i="5"/>
  <c r="BI98" i="3"/>
  <c r="F98" i="5" s="1"/>
  <c r="E98" i="5"/>
  <c r="BM94" i="3"/>
  <c r="BI94" i="3"/>
  <c r="E94" i="5"/>
  <c r="BI93" i="3"/>
  <c r="F93" i="5" s="1"/>
  <c r="E93" i="5"/>
  <c r="E89" i="5"/>
  <c r="BM81" i="3"/>
  <c r="E81" i="5"/>
  <c r="BM77" i="3"/>
  <c r="E77" i="5"/>
  <c r="BM76" i="3"/>
  <c r="E76" i="5"/>
  <c r="BM60" i="3"/>
  <c r="E60" i="5"/>
  <c r="BM59" i="3"/>
  <c r="BI59" i="3"/>
  <c r="F59" i="5" s="1"/>
  <c r="E59" i="5"/>
  <c r="E58" i="5"/>
  <c r="BI58" i="3"/>
  <c r="F58" i="5" s="1"/>
  <c r="BM57" i="3"/>
  <c r="E57" i="5"/>
  <c r="E56" i="5"/>
  <c r="BI56" i="3"/>
  <c r="F56" i="5" s="1"/>
  <c r="BI55" i="3"/>
  <c r="F55" i="5" s="1"/>
  <c r="E55" i="5"/>
  <c r="BT99" i="3"/>
  <c r="BP56" i="3"/>
  <c r="BT56" i="3" s="1"/>
  <c r="AZ117" i="3"/>
  <c r="BL117" i="3" s="1"/>
  <c r="AZ93" i="3"/>
  <c r="BL93" i="3" s="1"/>
  <c r="AZ99" i="3"/>
  <c r="AZ138" i="3"/>
  <c r="AZ56" i="3"/>
  <c r="AZ109" i="3"/>
  <c r="AS158" i="3"/>
  <c r="AZ158" i="3"/>
  <c r="BH158" i="3"/>
  <c r="AS150" i="3"/>
  <c r="BH150" i="3"/>
  <c r="BP150" i="3" s="1"/>
  <c r="BT150" i="3" s="1"/>
  <c r="AS140" i="3"/>
  <c r="BH140" i="3"/>
  <c r="BP138" i="3"/>
  <c r="BT138" i="3" s="1"/>
  <c r="BH137" i="3"/>
  <c r="AS134" i="3"/>
  <c r="BH134" i="3"/>
  <c r="BP134" i="3" s="1"/>
  <c r="BT134" i="3" s="1"/>
  <c r="AS133" i="3"/>
  <c r="AZ133" i="3"/>
  <c r="BH133" i="3"/>
  <c r="BP133" i="3" s="1"/>
  <c r="BT133" i="3" s="1"/>
  <c r="AS131" i="3"/>
  <c r="BH131" i="3"/>
  <c r="AZ131" i="3"/>
  <c r="AS130" i="3"/>
  <c r="BH130" i="3"/>
  <c r="AZ130" i="3"/>
  <c r="AS128" i="3"/>
  <c r="BH128" i="3"/>
  <c r="BP128" i="3" s="1"/>
  <c r="BT128" i="3" s="1"/>
  <c r="AS123" i="3"/>
  <c r="BH123" i="3"/>
  <c r="AS122" i="3"/>
  <c r="BH122" i="3"/>
  <c r="AZ119" i="3"/>
  <c r="BH119" i="3"/>
  <c r="BP119" i="3" s="1"/>
  <c r="BT119" i="3" s="1"/>
  <c r="BH118" i="3"/>
  <c r="AZ118" i="3"/>
  <c r="BP117" i="3"/>
  <c r="BT117" i="3" s="1"/>
  <c r="AS116" i="3"/>
  <c r="BH116" i="3"/>
  <c r="AZ116" i="3"/>
  <c r="AS114" i="3"/>
  <c r="BH114" i="3"/>
  <c r="BP114" i="3" s="1"/>
  <c r="BT114" i="3" s="1"/>
  <c r="AS110" i="3"/>
  <c r="BH110" i="3"/>
  <c r="BP109" i="3"/>
  <c r="BT109" i="3" s="1"/>
  <c r="AS102" i="3"/>
  <c r="BH102" i="3"/>
  <c r="AS101" i="3"/>
  <c r="AZ101" i="3"/>
  <c r="BH101" i="3"/>
  <c r="AZ100" i="3"/>
  <c r="BH100" i="3"/>
  <c r="AZ98" i="3"/>
  <c r="BH98" i="3"/>
  <c r="AS94" i="3"/>
  <c r="BH94" i="3"/>
  <c r="AZ94" i="3"/>
  <c r="AS89" i="3"/>
  <c r="BH89" i="3"/>
  <c r="BP89" i="3" s="1"/>
  <c r="BT89" i="3" s="1"/>
  <c r="AS81" i="3"/>
  <c r="BH81" i="3"/>
  <c r="BT79" i="3"/>
  <c r="BP79" i="3"/>
  <c r="AS77" i="3"/>
  <c r="BH77" i="3"/>
  <c r="BP77" i="3" s="1"/>
  <c r="BT77" i="3" s="1"/>
  <c r="AS76" i="3"/>
  <c r="AZ76" i="3"/>
  <c r="BH76" i="3"/>
  <c r="BP76" i="3" s="1"/>
  <c r="BT76" i="3" s="1"/>
  <c r="AS62" i="3"/>
  <c r="BH62" i="3"/>
  <c r="BP62" i="3" s="1"/>
  <c r="BT62" i="3" s="1"/>
  <c r="AZ60" i="3"/>
  <c r="BH60" i="3"/>
  <c r="BH59" i="3"/>
  <c r="AZ59" i="3"/>
  <c r="AS58" i="3"/>
  <c r="AZ58" i="3"/>
  <c r="BH58" i="3"/>
  <c r="AZ57" i="3"/>
  <c r="BH57" i="3"/>
  <c r="AZ55" i="3"/>
  <c r="BH55" i="3"/>
  <c r="G131" i="5"/>
  <c r="H131" i="5" s="1"/>
  <c r="G56" i="5"/>
  <c r="H56" i="5" s="1"/>
  <c r="AK79" i="1"/>
  <c r="G149" i="5"/>
  <c r="I149" i="5" s="1"/>
  <c r="G119" i="5"/>
  <c r="J119" i="5" s="1"/>
  <c r="AM79" i="1"/>
  <c r="G60" i="5"/>
  <c r="H60" i="5" s="1"/>
  <c r="AP58" i="1"/>
  <c r="AB58" i="5" s="1"/>
  <c r="BH65" i="1"/>
  <c r="G89" i="5"/>
  <c r="H89" i="5" s="1"/>
  <c r="T109" i="1"/>
  <c r="AQ116" i="1"/>
  <c r="BS116" i="1" s="1"/>
  <c r="Q116" i="1"/>
  <c r="R116" i="1" s="1"/>
  <c r="AN99" i="1"/>
  <c r="AK77" i="1"/>
  <c r="G145" i="5"/>
  <c r="H145" i="5" s="1"/>
  <c r="BH94" i="1"/>
  <c r="G99" i="5"/>
  <c r="J99" i="5" s="1"/>
  <c r="AQ99" i="1"/>
  <c r="BS99" i="1" s="1"/>
  <c r="W99" i="1"/>
  <c r="W94" i="1"/>
  <c r="T99" i="1"/>
  <c r="V58" i="1"/>
  <c r="G153" i="5"/>
  <c r="J153" i="5" s="1"/>
  <c r="AQ77" i="1"/>
  <c r="BS77" i="1" s="1"/>
  <c r="V141" i="1"/>
  <c r="AP128" i="1"/>
  <c r="AB128" i="5" s="1"/>
  <c r="AQ118" i="1"/>
  <c r="BS118" i="1" s="1"/>
  <c r="U94" i="1"/>
  <c r="AP158" i="1"/>
  <c r="AB158" i="5" s="1"/>
  <c r="AP102" i="1"/>
  <c r="AB102" i="5" s="1"/>
  <c r="BH57" i="1"/>
  <c r="AQ93" i="1"/>
  <c r="BS93" i="1" s="1"/>
  <c r="V89" i="1"/>
  <c r="AP77" i="1"/>
  <c r="AB77" i="5" s="1"/>
  <c r="V60" i="1"/>
  <c r="AQ58" i="1"/>
  <c r="BS58" i="1" s="1"/>
  <c r="U55" i="1"/>
  <c r="G98" i="5"/>
  <c r="I98" i="5" s="1"/>
  <c r="G77" i="5"/>
  <c r="H77" i="5" s="1"/>
  <c r="AL77" i="1"/>
  <c r="Q128" i="1"/>
  <c r="R128" i="1" s="1"/>
  <c r="BH122" i="1"/>
  <c r="BH118" i="1"/>
  <c r="K59" i="1"/>
  <c r="AM140" i="1"/>
  <c r="K57" i="1"/>
  <c r="Q47" i="1"/>
  <c r="R47" i="1" s="1"/>
  <c r="T153" i="1"/>
  <c r="K128" i="1"/>
  <c r="V99" i="1"/>
  <c r="T157" i="1"/>
  <c r="AQ128" i="1"/>
  <c r="BS128" i="1" s="1"/>
  <c r="BH98" i="1"/>
  <c r="Q69" i="1"/>
  <c r="R69" i="1" s="1"/>
  <c r="AQ60" i="1"/>
  <c r="BS60" i="1" s="1"/>
  <c r="AQ55" i="1"/>
  <c r="BS55" i="1" s="1"/>
  <c r="W149" i="1"/>
  <c r="AQ101" i="1"/>
  <c r="BS101" i="1" s="1"/>
  <c r="AI101" i="1"/>
  <c r="T152" i="1"/>
  <c r="AQ150" i="1"/>
  <c r="BS150" i="1" s="1"/>
  <c r="U149" i="1"/>
  <c r="V148" i="1"/>
  <c r="AP122" i="1"/>
  <c r="AB122" i="5" s="1"/>
  <c r="AP118" i="1"/>
  <c r="AB118" i="5" s="1"/>
  <c r="Q101" i="1"/>
  <c r="R101" i="1" s="1"/>
  <c r="AP93" i="1"/>
  <c r="AB93" i="5" s="1"/>
  <c r="W91" i="1"/>
  <c r="U76" i="1"/>
  <c r="BH140" i="1"/>
  <c r="AP140" i="1"/>
  <c r="AB140" i="5" s="1"/>
  <c r="K140" i="1"/>
  <c r="G109" i="5"/>
  <c r="I109" i="5" s="1"/>
  <c r="T149" i="1"/>
  <c r="T148" i="1"/>
  <c r="U147" i="1"/>
  <c r="Q98" i="1"/>
  <c r="R98" i="1" s="1"/>
  <c r="U91" i="1"/>
  <c r="AQ59" i="1"/>
  <c r="BS59" i="1" s="1"/>
  <c r="BH59" i="1"/>
  <c r="Q140" i="1"/>
  <c r="R140" i="1" s="1"/>
  <c r="AP62" i="1"/>
  <c r="AB62" i="5" s="1"/>
  <c r="AP56" i="1"/>
  <c r="AB56" i="5" s="1"/>
  <c r="W130" i="1"/>
  <c r="Q33" i="1"/>
  <c r="R33" i="1" s="1"/>
  <c r="K158" i="1"/>
  <c r="U130" i="1"/>
  <c r="K98" i="1"/>
  <c r="T130" i="1"/>
  <c r="AQ122" i="1"/>
  <c r="BS122" i="1" s="1"/>
  <c r="K76" i="1"/>
  <c r="K55" i="1"/>
  <c r="AL144" i="1"/>
  <c r="T122" i="1"/>
  <c r="W109" i="1"/>
  <c r="AP101" i="1"/>
  <c r="AB101" i="5" s="1"/>
  <c r="AP76" i="1"/>
  <c r="AB76" i="5" s="1"/>
  <c r="AQ62" i="1"/>
  <c r="BS62" i="1" s="1"/>
  <c r="V62" i="1"/>
  <c r="AP60" i="1"/>
  <c r="AB60" i="5" s="1"/>
  <c r="AQ56" i="1"/>
  <c r="BS56" i="1" s="1"/>
  <c r="BH55" i="1"/>
  <c r="K122" i="1"/>
  <c r="Q80" i="1"/>
  <c r="R80" i="1" s="1"/>
  <c r="K75" i="5"/>
  <c r="N75" i="5" s="1"/>
  <c r="J100" i="5"/>
  <c r="H100" i="5"/>
  <c r="I150" i="5"/>
  <c r="H150" i="5"/>
  <c r="M148" i="5"/>
  <c r="L148" i="5"/>
  <c r="M126" i="5"/>
  <c r="L126" i="5"/>
  <c r="M125" i="5"/>
  <c r="L125" i="5"/>
  <c r="M55" i="5"/>
  <c r="L55" i="5"/>
  <c r="M103" i="5"/>
  <c r="L103" i="5"/>
  <c r="N34" i="5"/>
  <c r="L34" i="5"/>
  <c r="M28" i="5"/>
  <c r="L28" i="5"/>
  <c r="I57" i="5"/>
  <c r="H57" i="5"/>
  <c r="M114" i="5"/>
  <c r="L114" i="5"/>
  <c r="N2" i="5"/>
  <c r="L2" i="5"/>
  <c r="N135" i="5"/>
  <c r="L135" i="5"/>
  <c r="J134" i="5"/>
  <c r="H134" i="5"/>
  <c r="M89" i="5"/>
  <c r="L89" i="5"/>
  <c r="N108" i="5"/>
  <c r="L108" i="5"/>
  <c r="AS60" i="3"/>
  <c r="AS138" i="3"/>
  <c r="AS98" i="3"/>
  <c r="AS57" i="3"/>
  <c r="AS59" i="3"/>
  <c r="AS56" i="3"/>
  <c r="AS93" i="3"/>
  <c r="AS55" i="3"/>
  <c r="AS117" i="3"/>
  <c r="AN122" i="1"/>
  <c r="AN101" i="1"/>
  <c r="AN128" i="1"/>
  <c r="AS118" i="3"/>
  <c r="AS100" i="3"/>
  <c r="AS99" i="3"/>
  <c r="AS109" i="3"/>
  <c r="AS119" i="3"/>
  <c r="K124" i="5"/>
  <c r="K99" i="5"/>
  <c r="K83" i="5"/>
  <c r="M83" i="5" s="1"/>
  <c r="K77" i="5"/>
  <c r="L77" i="5" s="1"/>
  <c r="U59" i="1"/>
  <c r="G59" i="5"/>
  <c r="AA57" i="1"/>
  <c r="K57" i="5"/>
  <c r="L57" i="5" s="1"/>
  <c r="AA8" i="1"/>
  <c r="K8" i="5"/>
  <c r="L8" i="5" s="1"/>
  <c r="G133" i="5"/>
  <c r="H133" i="5" s="1"/>
  <c r="AM143" i="1"/>
  <c r="G58" i="5"/>
  <c r="AL56" i="1"/>
  <c r="K17" i="5"/>
  <c r="AK147" i="1"/>
  <c r="AK76" i="1"/>
  <c r="AL76" i="1"/>
  <c r="T57" i="1"/>
  <c r="U57" i="1"/>
  <c r="W152" i="1"/>
  <c r="AB30" i="1"/>
  <c r="K30" i="5"/>
  <c r="T120" i="1"/>
  <c r="U120" i="1"/>
  <c r="G120" i="5"/>
  <c r="Z21" i="1"/>
  <c r="K21" i="5"/>
  <c r="M21" i="5" s="1"/>
  <c r="G117" i="5"/>
  <c r="K10" i="5"/>
  <c r="V146" i="1"/>
  <c r="U146" i="1"/>
  <c r="G146" i="5"/>
  <c r="T140" i="1"/>
  <c r="G140" i="5"/>
  <c r="H140" i="5" s="1"/>
  <c r="W128" i="1"/>
  <c r="G128" i="5"/>
  <c r="H128" i="5" s="1"/>
  <c r="T115" i="1"/>
  <c r="G115" i="5"/>
  <c r="F99" i="5"/>
  <c r="G151" i="5"/>
  <c r="U148" i="1"/>
  <c r="U109" i="1"/>
  <c r="F77" i="5"/>
  <c r="G94" i="5"/>
  <c r="H94" i="5" s="1"/>
  <c r="G93" i="5"/>
  <c r="H93" i="5" s="1"/>
  <c r="K6" i="5"/>
  <c r="Q158" i="1"/>
  <c r="R158" i="1" s="1"/>
  <c r="U153" i="1"/>
  <c r="V94" i="1"/>
  <c r="F131" i="5"/>
  <c r="K60" i="5"/>
  <c r="L60" i="5" s="1"/>
  <c r="G157" i="5"/>
  <c r="G113" i="5"/>
  <c r="H113" i="5" s="1"/>
  <c r="G152" i="5"/>
  <c r="W153" i="1"/>
  <c r="W146" i="1"/>
  <c r="W59" i="1"/>
  <c r="W144" i="1"/>
  <c r="W141" i="1"/>
  <c r="U113" i="1"/>
  <c r="G76" i="5"/>
  <c r="H76" i="5" s="1"/>
  <c r="U141" i="1"/>
  <c r="AL137" i="1"/>
  <c r="AM130" i="1"/>
  <c r="V128" i="1"/>
  <c r="G122" i="5"/>
  <c r="H122" i="5" s="1"/>
  <c r="W159" i="1"/>
  <c r="AM148" i="1"/>
  <c r="T128" i="1"/>
  <c r="V93" i="1"/>
  <c r="G143" i="5"/>
  <c r="H143" i="5" s="1"/>
  <c r="U159" i="1"/>
  <c r="V152" i="1"/>
  <c r="V115" i="1"/>
  <c r="V101" i="1"/>
  <c r="W57" i="1"/>
  <c r="W157" i="1"/>
  <c r="W122" i="1"/>
  <c r="G159" i="5"/>
  <c r="H159" i="5" s="1"/>
  <c r="AM139" i="1"/>
  <c r="V122" i="1"/>
  <c r="AL119" i="1"/>
  <c r="T60" i="1"/>
  <c r="AM56" i="1"/>
  <c r="V157" i="1"/>
  <c r="G62" i="5"/>
  <c r="AM144" i="1"/>
  <c r="AK119" i="1"/>
  <c r="W76" i="1"/>
  <c r="K133" i="5"/>
  <c r="K66" i="5"/>
  <c r="AA30" i="1"/>
  <c r="K144" i="5"/>
  <c r="K94" i="5"/>
  <c r="L94" i="5" s="1"/>
  <c r="K24" i="5"/>
  <c r="L24" i="5" s="1"/>
  <c r="K140" i="5"/>
  <c r="L140" i="5" s="1"/>
  <c r="K138" i="5"/>
  <c r="K64" i="5"/>
  <c r="L64" i="5" s="1"/>
  <c r="AA124" i="1"/>
  <c r="K134" i="5"/>
  <c r="L134" i="5" s="1"/>
  <c r="AA6" i="1"/>
  <c r="K84" i="5"/>
  <c r="L84" i="5" s="1"/>
  <c r="K147" i="5"/>
  <c r="Z151" i="1"/>
  <c r="K86" i="5"/>
  <c r="L86" i="5" s="1"/>
  <c r="AA94" i="1"/>
  <c r="Z68" i="1"/>
  <c r="Y125" i="1"/>
  <c r="AA107" i="1"/>
  <c r="K67" i="5"/>
  <c r="Z159" i="1"/>
  <c r="Z40" i="1"/>
  <c r="Y83" i="1"/>
  <c r="K23" i="5"/>
  <c r="L23" i="5" s="1"/>
  <c r="K153" i="5"/>
  <c r="AB153" i="1"/>
  <c r="K109" i="5"/>
  <c r="L109" i="5" s="1"/>
  <c r="K107" i="5"/>
  <c r="K9" i="5"/>
  <c r="L9" i="5" s="1"/>
  <c r="AA153" i="1"/>
  <c r="AB20" i="1"/>
  <c r="AB10" i="1"/>
  <c r="K129" i="5"/>
  <c r="K111" i="5"/>
  <c r="K35" i="5"/>
  <c r="L35" i="5" s="1"/>
  <c r="Z153" i="1"/>
  <c r="AA138" i="1"/>
  <c r="K36" i="5"/>
  <c r="L36" i="5" s="1"/>
  <c r="K14" i="5"/>
  <c r="K154" i="5"/>
  <c r="K68" i="5"/>
  <c r="L68" i="5" s="1"/>
  <c r="K56" i="5"/>
  <c r="L56" i="5" s="1"/>
  <c r="K13" i="5"/>
  <c r="Z124" i="1"/>
  <c r="Y69" i="1"/>
  <c r="K152" i="5"/>
  <c r="K136" i="5"/>
  <c r="K121" i="5"/>
  <c r="K7" i="5"/>
  <c r="K105" i="5"/>
  <c r="K81" i="5"/>
  <c r="L81" i="5" s="1"/>
  <c r="K62" i="5"/>
  <c r="AA152" i="1"/>
  <c r="AB107" i="1"/>
  <c r="K151" i="5"/>
  <c r="L151" i="5" s="1"/>
  <c r="K40" i="5"/>
  <c r="K113" i="5"/>
  <c r="K92" i="5"/>
  <c r="K70" i="5"/>
  <c r="L70" i="5" s="1"/>
  <c r="K20" i="5"/>
  <c r="L20" i="5" s="1"/>
  <c r="K5" i="5"/>
  <c r="AA86" i="1"/>
  <c r="Y133" i="1"/>
  <c r="AA75" i="1"/>
  <c r="K123" i="5"/>
  <c r="Z140" i="1"/>
  <c r="Y109" i="1"/>
  <c r="K115" i="5"/>
  <c r="L115" i="5" s="1"/>
  <c r="K63" i="5"/>
  <c r="Z154" i="1"/>
  <c r="AB99" i="1"/>
  <c r="Y65" i="1"/>
  <c r="K141" i="5"/>
  <c r="L141" i="5" s="1"/>
  <c r="K139" i="5"/>
  <c r="L139" i="5" s="1"/>
  <c r="K3" i="5"/>
  <c r="L3" i="5" s="1"/>
  <c r="Z107" i="1"/>
  <c r="Z99" i="1"/>
  <c r="Z60" i="1"/>
  <c r="K142" i="5"/>
  <c r="K117" i="5"/>
  <c r="L117" i="5" s="1"/>
  <c r="K106" i="5"/>
  <c r="AB142" i="1"/>
  <c r="Z123" i="1"/>
  <c r="Y105" i="1"/>
  <c r="K11" i="5"/>
  <c r="L11" i="5" s="1"/>
  <c r="K69" i="5"/>
  <c r="L69" i="5" s="1"/>
  <c r="K22" i="5"/>
  <c r="K82" i="5"/>
  <c r="Z142" i="1"/>
  <c r="AB124" i="1"/>
  <c r="Y123" i="1"/>
  <c r="Z64" i="1"/>
  <c r="AA22" i="1"/>
  <c r="AB12" i="1"/>
  <c r="Q119" i="1"/>
  <c r="R119" i="1" s="1"/>
  <c r="BH119" i="1"/>
  <c r="K119" i="1"/>
  <c r="AP119" i="1"/>
  <c r="AB119" i="5" s="1"/>
  <c r="AQ119" i="1"/>
  <c r="BS119" i="1" s="1"/>
  <c r="W114" i="1"/>
  <c r="T114" i="1"/>
  <c r="G114" i="5"/>
  <c r="W155" i="1"/>
  <c r="T155" i="1"/>
  <c r="U155" i="1"/>
  <c r="V155" i="1"/>
  <c r="G155" i="5"/>
  <c r="AL113" i="1"/>
  <c r="AK113" i="1"/>
  <c r="AM113" i="1"/>
  <c r="K133" i="1"/>
  <c r="AP133" i="1"/>
  <c r="AB133" i="5" s="1"/>
  <c r="Q133" i="1"/>
  <c r="R133" i="1" s="1"/>
  <c r="V150" i="1"/>
  <c r="T150" i="1"/>
  <c r="U150" i="1"/>
  <c r="W150" i="1"/>
  <c r="AQ123" i="1"/>
  <c r="BS123" i="1" s="1"/>
  <c r="Y160" i="1"/>
  <c r="V159" i="1"/>
  <c r="Y158" i="1"/>
  <c r="BQ148" i="1"/>
  <c r="BN148" i="1" s="1"/>
  <c r="T147" i="1"/>
  <c r="W145" i="1"/>
  <c r="V144" i="1"/>
  <c r="Y140" i="1"/>
  <c r="Z138" i="1"/>
  <c r="BQ128" i="1"/>
  <c r="BN128" i="1" s="1"/>
  <c r="U128" i="1"/>
  <c r="K118" i="1"/>
  <c r="T117" i="1"/>
  <c r="AL100" i="1"/>
  <c r="U145" i="1"/>
  <c r="U144" i="1"/>
  <c r="K123" i="1"/>
  <c r="V102" i="1"/>
  <c r="U102" i="1"/>
  <c r="W102" i="1"/>
  <c r="T98" i="1"/>
  <c r="W98" i="1"/>
  <c r="U98" i="1"/>
  <c r="T145" i="1"/>
  <c r="AN140" i="1"/>
  <c r="W138" i="1"/>
  <c r="BQ123" i="1"/>
  <c r="BN123" i="1" s="1"/>
  <c r="AA123" i="1"/>
  <c r="AQ133" i="1"/>
  <c r="BS133" i="1" s="1"/>
  <c r="AN118" i="1"/>
  <c r="Y115" i="1"/>
  <c r="Z115" i="1"/>
  <c r="V100" i="1"/>
  <c r="T100" i="1"/>
  <c r="U100" i="1"/>
  <c r="W100" i="1"/>
  <c r="AB72" i="1"/>
  <c r="Y72" i="1"/>
  <c r="Q150" i="1"/>
  <c r="R150" i="1" s="1"/>
  <c r="BH131" i="1"/>
  <c r="S116" i="1"/>
  <c r="W116" i="1" s="1"/>
  <c r="AI116" i="1"/>
  <c r="AN110" i="1"/>
  <c r="AM149" i="1"/>
  <c r="K131" i="1"/>
  <c r="BH123" i="1"/>
  <c r="Q104" i="1"/>
  <c r="R104" i="1" s="1"/>
  <c r="AP89" i="1"/>
  <c r="AB89" i="5" s="1"/>
  <c r="BH89" i="1"/>
  <c r="Q89" i="1"/>
  <c r="R89" i="1" s="1"/>
  <c r="AI89" i="1"/>
  <c r="AJ89" i="1" s="1"/>
  <c r="AB154" i="1"/>
  <c r="BQ142" i="1"/>
  <c r="BN142" i="1" s="1"/>
  <c r="AA133" i="1"/>
  <c r="AP131" i="1"/>
  <c r="AB131" i="5" s="1"/>
  <c r="AI128" i="1"/>
  <c r="V120" i="1"/>
  <c r="Y103" i="1"/>
  <c r="Z103" i="1"/>
  <c r="AA103" i="1"/>
  <c r="AB103" i="1"/>
  <c r="AN58" i="1"/>
  <c r="W143" i="1"/>
  <c r="Q125" i="1"/>
  <c r="R125" i="1" s="1"/>
  <c r="AN114" i="1"/>
  <c r="Q66" i="1"/>
  <c r="R66" i="1" s="1"/>
  <c r="AB61" i="1"/>
  <c r="Y61" i="1"/>
  <c r="U143" i="1"/>
  <c r="Y117" i="1"/>
  <c r="BQ152" i="1"/>
  <c r="BN152" i="1" s="1"/>
  <c r="W147" i="1"/>
  <c r="T143" i="1"/>
  <c r="AB138" i="1"/>
  <c r="AP123" i="1"/>
  <c r="AB123" i="5" s="1"/>
  <c r="BH114" i="1"/>
  <c r="V113" i="1"/>
  <c r="W113" i="1"/>
  <c r="AA108" i="1"/>
  <c r="Y108" i="1"/>
  <c r="K58" i="5"/>
  <c r="Z58" i="1"/>
  <c r="K114" i="1"/>
  <c r="AP114" i="1"/>
  <c r="AB114" i="5" s="1"/>
  <c r="AL60" i="1"/>
  <c r="AK60" i="1"/>
  <c r="AM60" i="1"/>
  <c r="AB105" i="1"/>
  <c r="BH99" i="1"/>
  <c r="V91" i="1"/>
  <c r="W58" i="1"/>
  <c r="Q37" i="1"/>
  <c r="R37" i="1" s="1"/>
  <c r="Q27" i="1"/>
  <c r="R27" i="1" s="1"/>
  <c r="W101" i="1"/>
  <c r="AP99" i="1"/>
  <c r="AB99" i="5" s="1"/>
  <c r="W93" i="1"/>
  <c r="BQ79" i="1"/>
  <c r="BN79" i="1" s="1"/>
  <c r="Y77" i="1"/>
  <c r="AA76" i="1"/>
  <c r="BQ62" i="1"/>
  <c r="BN62" i="1" s="1"/>
  <c r="W62" i="1"/>
  <c r="U58" i="1"/>
  <c r="Z31" i="1"/>
  <c r="Y31" i="1"/>
  <c r="AA31" i="1"/>
  <c r="Q18" i="1"/>
  <c r="R18" i="1" s="1"/>
  <c r="BQ77" i="1"/>
  <c r="BN77" i="1" s="1"/>
  <c r="U101" i="1"/>
  <c r="U93" i="1"/>
  <c r="AQ76" i="1"/>
  <c r="BS76" i="1" s="1"/>
  <c r="S65" i="1"/>
  <c r="U62" i="1"/>
  <c r="Q58" i="1"/>
  <c r="R58" i="1" s="1"/>
  <c r="BQ115" i="1"/>
  <c r="BN115" i="1" s="1"/>
  <c r="AL98" i="1"/>
  <c r="Q94" i="1"/>
  <c r="R94" i="1" s="1"/>
  <c r="BH76" i="1"/>
  <c r="V76" i="1"/>
  <c r="AB69" i="1"/>
  <c r="AM58" i="1"/>
  <c r="Q49" i="1"/>
  <c r="R49" i="1" s="1"/>
  <c r="AN100" i="1"/>
  <c r="K99" i="1"/>
  <c r="AM81" i="1"/>
  <c r="AL58" i="1"/>
  <c r="AN60" i="1"/>
  <c r="K58" i="1"/>
  <c r="BH100" i="1"/>
  <c r="AB57" i="1"/>
  <c r="Y57" i="1"/>
  <c r="AP100" i="1"/>
  <c r="AB100" i="5" s="1"/>
  <c r="Q100" i="1"/>
  <c r="R100" i="1" s="1"/>
  <c r="AN93" i="1"/>
  <c r="AB92" i="1"/>
  <c r="K65" i="1"/>
  <c r="U56" i="1"/>
  <c r="T56" i="1"/>
  <c r="Z34" i="1"/>
  <c r="Y34" i="1"/>
  <c r="K94" i="1"/>
  <c r="K93" i="1"/>
  <c r="Q62" i="1"/>
  <c r="R62" i="1" s="1"/>
  <c r="K62" i="1"/>
  <c r="AI62" i="1"/>
  <c r="BQ58" i="1"/>
  <c r="BN58" i="1" s="1"/>
  <c r="Q45" i="1"/>
  <c r="R45" i="1" s="1"/>
  <c r="Y35" i="1"/>
  <c r="AA35" i="1"/>
  <c r="AB35" i="1"/>
  <c r="Y24" i="1"/>
  <c r="Y20" i="1"/>
  <c r="Q41" i="1"/>
  <c r="R41" i="1" s="1"/>
  <c r="AA21" i="1"/>
  <c r="Y21" i="1"/>
  <c r="Y8" i="1"/>
  <c r="Q24" i="1"/>
  <c r="R24" i="1" s="1"/>
  <c r="AA11" i="1"/>
  <c r="AB7" i="1"/>
  <c r="Y11" i="1"/>
  <c r="Y7" i="1"/>
  <c r="Z3" i="1"/>
  <c r="F76" i="5"/>
  <c r="F122" i="5"/>
  <c r="F130" i="5"/>
  <c r="F118" i="5"/>
  <c r="F57" i="5"/>
  <c r="AB156" i="1"/>
  <c r="Y156" i="1"/>
  <c r="K156" i="5"/>
  <c r="AA156" i="1"/>
  <c r="AB131" i="1"/>
  <c r="Y131" i="1"/>
  <c r="Z90" i="1"/>
  <c r="K90" i="5"/>
  <c r="Z38" i="1"/>
  <c r="Y38" i="1"/>
  <c r="AA38" i="1"/>
  <c r="AB38" i="1"/>
  <c r="Y101" i="1"/>
  <c r="Z101" i="1"/>
  <c r="K101" i="5"/>
  <c r="AB101" i="1"/>
  <c r="Z73" i="1"/>
  <c r="K73" i="5"/>
  <c r="Y73" i="1"/>
  <c r="AA73" i="1"/>
  <c r="Z37" i="1"/>
  <c r="Y37" i="1"/>
  <c r="K37" i="5"/>
  <c r="Z15" i="1"/>
  <c r="Y15" i="1"/>
  <c r="AA15" i="1"/>
  <c r="AB15" i="1"/>
  <c r="K15" i="5"/>
  <c r="L15" i="5" s="1"/>
  <c r="Z14" i="1"/>
  <c r="AA14" i="1"/>
  <c r="Y14" i="1"/>
  <c r="K102" i="5"/>
  <c r="Y150" i="1"/>
  <c r="Z150" i="1"/>
  <c r="Y128" i="1"/>
  <c r="K128" i="5"/>
  <c r="L128" i="5" s="1"/>
  <c r="AA128" i="1"/>
  <c r="AA126" i="1"/>
  <c r="AB126" i="1"/>
  <c r="K122" i="5"/>
  <c r="AB122" i="1"/>
  <c r="Y121" i="1"/>
  <c r="Y111" i="1"/>
  <c r="AA111" i="1"/>
  <c r="AB111" i="1"/>
  <c r="AB82" i="1"/>
  <c r="AA82" i="1"/>
  <c r="AB149" i="1"/>
  <c r="Y149" i="1"/>
  <c r="AA149" i="1"/>
  <c r="K149" i="5"/>
  <c r="AB119" i="1"/>
  <c r="Y119" i="1"/>
  <c r="Z119" i="1"/>
  <c r="AB102" i="1"/>
  <c r="Y102" i="1"/>
  <c r="Z102" i="1"/>
  <c r="Z145" i="1"/>
  <c r="K145" i="5"/>
  <c r="Y144" i="1"/>
  <c r="Z144" i="1"/>
  <c r="AB109" i="1"/>
  <c r="AA100" i="1"/>
  <c r="AB91" i="1"/>
  <c r="Z32" i="1"/>
  <c r="AB32" i="1"/>
  <c r="Z18" i="1"/>
  <c r="K18" i="5"/>
  <c r="Y18" i="1"/>
  <c r="K32" i="5"/>
  <c r="Z113" i="1"/>
  <c r="Y113" i="1"/>
  <c r="AA93" i="1"/>
  <c r="Y87" i="1"/>
  <c r="AA87" i="1"/>
  <c r="AA56" i="1"/>
  <c r="K38" i="5"/>
  <c r="Y132" i="1"/>
  <c r="K132" i="5"/>
  <c r="L132" i="5" s="1"/>
  <c r="AB132" i="1"/>
  <c r="Y120" i="1"/>
  <c r="Z120" i="1"/>
  <c r="AB120" i="1"/>
  <c r="K120" i="5"/>
  <c r="Z158" i="1"/>
  <c r="K158" i="5"/>
  <c r="Z13" i="1"/>
  <c r="Y13" i="1"/>
  <c r="K119" i="5"/>
  <c r="K91" i="5"/>
  <c r="L91" i="5" s="1"/>
  <c r="AB33" i="1"/>
  <c r="K33" i="5"/>
  <c r="Y33" i="1"/>
  <c r="Y4" i="1"/>
  <c r="Z4" i="1"/>
  <c r="AA4" i="1"/>
  <c r="AB129" i="1"/>
  <c r="AA129" i="1"/>
  <c r="Z116" i="1"/>
  <c r="K116" i="5"/>
  <c r="AB100" i="1"/>
  <c r="Z100" i="1"/>
  <c r="Y100" i="1"/>
  <c r="K150" i="5"/>
  <c r="L150" i="5" s="1"/>
  <c r="Z156" i="1"/>
  <c r="AA146" i="1"/>
  <c r="Z146" i="1"/>
  <c r="Z134" i="1"/>
  <c r="AB134" i="1"/>
  <c r="Y134" i="1"/>
  <c r="AA131" i="1"/>
  <c r="AB110" i="1"/>
  <c r="K110" i="5"/>
  <c r="AB98" i="1"/>
  <c r="Y98" i="1"/>
  <c r="K98" i="5"/>
  <c r="Z19" i="1"/>
  <c r="AA19" i="1"/>
  <c r="Z16" i="1"/>
  <c r="AB16" i="1"/>
  <c r="Y16" i="1"/>
  <c r="K16" i="5"/>
  <c r="L16" i="5" s="1"/>
  <c r="K39" i="5"/>
  <c r="AA61" i="1"/>
  <c r="AB58" i="1"/>
  <c r="AA40" i="1"/>
  <c r="AB9" i="1"/>
  <c r="AA7" i="1"/>
  <c r="AB3" i="1"/>
  <c r="AB47" i="1"/>
  <c r="AB21" i="1"/>
  <c r="Y9" i="1"/>
  <c r="AA3" i="1"/>
  <c r="AB39" i="1"/>
  <c r="K61" i="5"/>
  <c r="AA160" i="1"/>
  <c r="Y142" i="1"/>
  <c r="Z39" i="1"/>
  <c r="AB24" i="1"/>
  <c r="AA20" i="1"/>
  <c r="AB17" i="1"/>
  <c r="Z12" i="1"/>
  <c r="AA10" i="1"/>
  <c r="K65" i="5"/>
  <c r="K48" i="5"/>
  <c r="L48" i="5" s="1"/>
  <c r="Z160" i="1"/>
  <c r="Z108" i="1"/>
  <c r="Z48" i="1"/>
  <c r="Y39" i="1"/>
  <c r="AB31" i="1"/>
  <c r="AA24" i="1"/>
  <c r="Y17" i="1"/>
  <c r="Y12" i="1"/>
  <c r="AB11" i="1"/>
  <c r="Y10" i="1"/>
  <c r="AB8" i="1"/>
  <c r="AA154" i="1"/>
  <c r="Z133" i="1"/>
  <c r="AA99" i="1"/>
  <c r="AA83" i="1"/>
  <c r="AA77" i="1"/>
  <c r="AA69" i="1"/>
  <c r="Z8" i="1"/>
  <c r="AB6" i="1"/>
  <c r="K12" i="5"/>
  <c r="Z136" i="1"/>
  <c r="Y94" i="1"/>
  <c r="Z92" i="1"/>
  <c r="Z76" i="1"/>
  <c r="AB70" i="1"/>
  <c r="AB40" i="1"/>
  <c r="Y6" i="1"/>
  <c r="Y5" i="1"/>
  <c r="M47" i="5"/>
  <c r="J57" i="5"/>
  <c r="M108" i="5"/>
  <c r="J136" i="5"/>
  <c r="M93" i="5"/>
  <c r="N28" i="5"/>
  <c r="N41" i="5"/>
  <c r="M41" i="5"/>
  <c r="N148" i="5"/>
  <c r="N131" i="5"/>
  <c r="N85" i="5"/>
  <c r="M131" i="5"/>
  <c r="N89" i="5"/>
  <c r="M85" i="5"/>
  <c r="M135" i="5"/>
  <c r="M146" i="5"/>
  <c r="G158" i="5"/>
  <c r="H158" i="5" s="1"/>
  <c r="V158" i="1"/>
  <c r="AB157" i="1"/>
  <c r="AB155" i="1"/>
  <c r="Y155" i="1"/>
  <c r="AA155" i="1"/>
  <c r="Y148" i="1"/>
  <c r="AB148" i="1"/>
  <c r="Z148" i="1"/>
  <c r="AA148" i="1"/>
  <c r="Y143" i="1"/>
  <c r="Z143" i="1"/>
  <c r="AB143" i="1"/>
  <c r="K143" i="5"/>
  <c r="L143" i="5" s="1"/>
  <c r="AQ140" i="1"/>
  <c r="BS140" i="1" s="1"/>
  <c r="N4" i="5"/>
  <c r="I139" i="5"/>
  <c r="N125" i="5"/>
  <c r="M19" i="5"/>
  <c r="N19" i="5"/>
  <c r="AA159" i="1"/>
  <c r="Y159" i="1"/>
  <c r="K159" i="5"/>
  <c r="L159" i="5" s="1"/>
  <c r="AN158" i="1"/>
  <c r="AK146" i="1"/>
  <c r="AM146" i="1"/>
  <c r="AK145" i="1"/>
  <c r="AM145" i="1"/>
  <c r="V142" i="1"/>
  <c r="T142" i="1"/>
  <c r="U142" i="1"/>
  <c r="G142" i="5"/>
  <c r="H142" i="5" s="1"/>
  <c r="AM141" i="1"/>
  <c r="AK141" i="1"/>
  <c r="M34" i="5"/>
  <c r="M74" i="5"/>
  <c r="N55" i="5"/>
  <c r="BQ154" i="1"/>
  <c r="BN154" i="1" s="1"/>
  <c r="V134" i="1"/>
  <c r="T134" i="1"/>
  <c r="U134" i="1"/>
  <c r="W134" i="1"/>
  <c r="M71" i="5"/>
  <c r="N71" i="5"/>
  <c r="Y157" i="1"/>
  <c r="Z157" i="1"/>
  <c r="AA157" i="1"/>
  <c r="N103" i="5"/>
  <c r="Y147" i="1"/>
  <c r="AB147" i="1"/>
  <c r="AA147" i="1"/>
  <c r="BL159" i="1"/>
  <c r="M155" i="5"/>
  <c r="M87" i="5"/>
  <c r="N87" i="5"/>
  <c r="T156" i="1"/>
  <c r="V156" i="1"/>
  <c r="G156" i="5"/>
  <c r="H156" i="5" s="1"/>
  <c r="W156" i="1"/>
  <c r="N114" i="5"/>
  <c r="M31" i="5"/>
  <c r="N31" i="5"/>
  <c r="AQ158" i="1"/>
  <c r="BS158" i="1" s="1"/>
  <c r="AK142" i="1"/>
  <c r="AL142" i="1"/>
  <c r="AM142" i="1"/>
  <c r="I134" i="5"/>
  <c r="N72" i="5"/>
  <c r="M4" i="5"/>
  <c r="M160" i="5"/>
  <c r="N160" i="5"/>
  <c r="T154" i="1"/>
  <c r="U154" i="1"/>
  <c r="V154" i="1"/>
  <c r="W154" i="1"/>
  <c r="G154" i="5"/>
  <c r="Q138" i="1"/>
  <c r="R138" i="1" s="1"/>
  <c r="BH138" i="1"/>
  <c r="AI138" i="1"/>
  <c r="K138" i="1"/>
  <c r="AP138" i="1"/>
  <c r="AB138" i="5" s="1"/>
  <c r="AP134" i="1"/>
  <c r="AB134" i="5" s="1"/>
  <c r="K134" i="1"/>
  <c r="BH134" i="1"/>
  <c r="Q134" i="1"/>
  <c r="R134" i="1" s="1"/>
  <c r="AI134" i="1"/>
  <c r="U158" i="1"/>
  <c r="BL155" i="1"/>
  <c r="BL149" i="1"/>
  <c r="AK148" i="1"/>
  <c r="AL148" i="1"/>
  <c r="BL152" i="1"/>
  <c r="Q160" i="1"/>
  <c r="R160" i="1" s="1"/>
  <c r="T158" i="1"/>
  <c r="Z155" i="1"/>
  <c r="AA143" i="1"/>
  <c r="T139" i="1"/>
  <c r="U139" i="1"/>
  <c r="W139" i="1"/>
  <c r="V139" i="1"/>
  <c r="AB160" i="1"/>
  <c r="AQ134" i="1"/>
  <c r="BS134" i="1" s="1"/>
  <c r="Y130" i="1"/>
  <c r="Z130" i="1"/>
  <c r="AA130" i="1"/>
  <c r="AB130" i="1"/>
  <c r="Y151" i="1"/>
  <c r="AB151" i="1"/>
  <c r="AK139" i="1"/>
  <c r="BL154" i="1"/>
  <c r="W151" i="1"/>
  <c r="AM147" i="1"/>
  <c r="T136" i="1"/>
  <c r="U136" i="1"/>
  <c r="V136" i="1"/>
  <c r="W136" i="1"/>
  <c r="Y152" i="1"/>
  <c r="AB152" i="1"/>
  <c r="U151" i="1"/>
  <c r="BH150" i="1"/>
  <c r="AL149" i="1"/>
  <c r="AL147" i="1"/>
  <c r="AA145" i="1"/>
  <c r="AB158" i="1"/>
  <c r="T151" i="1"/>
  <c r="AA150" i="1"/>
  <c r="AB146" i="1"/>
  <c r="Y146" i="1"/>
  <c r="BQ141" i="1"/>
  <c r="BN141" i="1" s="1"/>
  <c r="Z141" i="1"/>
  <c r="AA141" i="1"/>
  <c r="AB141" i="1"/>
  <c r="BQ138" i="1"/>
  <c r="BN138" i="1" s="1"/>
  <c r="BL136" i="1"/>
  <c r="K150" i="1"/>
  <c r="Y145" i="1"/>
  <c r="AB145" i="1"/>
  <c r="U140" i="1"/>
  <c r="V140" i="1"/>
  <c r="W140" i="1"/>
  <c r="Y139" i="1"/>
  <c r="AA139" i="1"/>
  <c r="AB139" i="1"/>
  <c r="N146" i="5"/>
  <c r="AN150" i="1"/>
  <c r="BQ139" i="1"/>
  <c r="BN139" i="1" s="1"/>
  <c r="AN138" i="1"/>
  <c r="Y135" i="1"/>
  <c r="AA135" i="1"/>
  <c r="AB135" i="1"/>
  <c r="Z135" i="1"/>
  <c r="AK143" i="1"/>
  <c r="AL143" i="1"/>
  <c r="AQ138" i="1"/>
  <c r="BS138" i="1" s="1"/>
  <c r="AK136" i="1"/>
  <c r="AL136" i="1"/>
  <c r="AM136" i="1"/>
  <c r="AK131" i="1"/>
  <c r="AL131" i="1"/>
  <c r="AM131" i="1"/>
  <c r="BL138" i="1"/>
  <c r="AN137" i="1"/>
  <c r="AB144" i="1"/>
  <c r="AA140" i="1"/>
  <c r="AM137" i="1"/>
  <c r="AA136" i="1"/>
  <c r="BL123" i="1"/>
  <c r="AL140" i="1"/>
  <c r="U138" i="1"/>
  <c r="BL137" i="1"/>
  <c r="AK137" i="1"/>
  <c r="Y136" i="1"/>
  <c r="BL133" i="1"/>
  <c r="AI133" i="1"/>
  <c r="BH133" i="1"/>
  <c r="T133" i="1"/>
  <c r="U133" i="1"/>
  <c r="V133" i="1"/>
  <c r="Y118" i="1"/>
  <c r="Z118" i="1"/>
  <c r="AA118" i="1"/>
  <c r="AB118" i="1"/>
  <c r="AK144" i="1"/>
  <c r="AK140" i="1"/>
  <c r="T138" i="1"/>
  <c r="AN131" i="1"/>
  <c r="BL131" i="1"/>
  <c r="BL130" i="1"/>
  <c r="AP130" i="1"/>
  <c r="AB130" i="5" s="1"/>
  <c r="Q130" i="1"/>
  <c r="R130" i="1" s="1"/>
  <c r="AP117" i="1"/>
  <c r="AB117" i="5" s="1"/>
  <c r="K117" i="1"/>
  <c r="AI117" i="1"/>
  <c r="BH117" i="1"/>
  <c r="Q117" i="1"/>
  <c r="R117" i="1" s="1"/>
  <c r="AQ117" i="1"/>
  <c r="BS117" i="1" s="1"/>
  <c r="V131" i="1"/>
  <c r="U131" i="1"/>
  <c r="W131" i="1"/>
  <c r="BH130" i="1"/>
  <c r="AQ130" i="1"/>
  <c r="BS130" i="1" s="1"/>
  <c r="AN134" i="1"/>
  <c r="AA132" i="1"/>
  <c r="AQ131" i="1"/>
  <c r="BS131" i="1" s="1"/>
  <c r="AB128" i="1"/>
  <c r="AN119" i="1"/>
  <c r="Y95" i="1"/>
  <c r="Z95" i="1"/>
  <c r="AA95" i="1"/>
  <c r="AB95" i="1"/>
  <c r="AN109" i="1"/>
  <c r="Z131" i="1"/>
  <c r="Z128" i="1"/>
  <c r="AK122" i="1"/>
  <c r="AL122" i="1"/>
  <c r="AM122" i="1"/>
  <c r="Q121" i="1"/>
  <c r="R121" i="1" s="1"/>
  <c r="Y114" i="1"/>
  <c r="Z114" i="1"/>
  <c r="AA114" i="1"/>
  <c r="AB114" i="1"/>
  <c r="AK130" i="1"/>
  <c r="AL130" i="1"/>
  <c r="Q129" i="1"/>
  <c r="R129" i="1" s="1"/>
  <c r="AP109" i="1"/>
  <c r="AB109" i="5" s="1"/>
  <c r="BH109" i="1"/>
  <c r="K109" i="1"/>
  <c r="Q109" i="1"/>
  <c r="R109" i="1" s="1"/>
  <c r="AK99" i="1"/>
  <c r="AL99" i="1"/>
  <c r="AM99" i="1"/>
  <c r="V123" i="1"/>
  <c r="T123" i="1"/>
  <c r="U123" i="1"/>
  <c r="Y126" i="1"/>
  <c r="Z126" i="1"/>
  <c r="AN123" i="1"/>
  <c r="BQ122" i="1"/>
  <c r="BN122" i="1" s="1"/>
  <c r="AK118" i="1"/>
  <c r="AL118" i="1"/>
  <c r="AM118" i="1"/>
  <c r="AB125" i="1"/>
  <c r="Z125" i="1"/>
  <c r="AA125" i="1"/>
  <c r="AM119" i="1"/>
  <c r="V119" i="1"/>
  <c r="T119" i="1"/>
  <c r="U119" i="1"/>
  <c r="Y129" i="1"/>
  <c r="Y122" i="1"/>
  <c r="Z122" i="1"/>
  <c r="AA122" i="1"/>
  <c r="AN117" i="1"/>
  <c r="V117" i="1"/>
  <c r="W117" i="1"/>
  <c r="AA121" i="1"/>
  <c r="AA117" i="1"/>
  <c r="Y110" i="1"/>
  <c r="AA110" i="1"/>
  <c r="BL98" i="1"/>
  <c r="Q126" i="1"/>
  <c r="R126" i="1" s="1"/>
  <c r="Q122" i="1"/>
  <c r="R122" i="1" s="1"/>
  <c r="Z121" i="1"/>
  <c r="W120" i="1"/>
  <c r="Q118" i="1"/>
  <c r="R118" i="1" s="1"/>
  <c r="Z117" i="1"/>
  <c r="BQ109" i="1"/>
  <c r="BN109" i="1" s="1"/>
  <c r="AL109" i="1"/>
  <c r="AM109" i="1"/>
  <c r="AN94" i="1"/>
  <c r="W115" i="1"/>
  <c r="Y106" i="1"/>
  <c r="Z106" i="1"/>
  <c r="AA106" i="1"/>
  <c r="AQ94" i="1"/>
  <c r="BS94" i="1" s="1"/>
  <c r="AA116" i="1"/>
  <c r="AB116" i="1"/>
  <c r="K116" i="1"/>
  <c r="AL110" i="1"/>
  <c r="Q131" i="1"/>
  <c r="R131" i="1" s="1"/>
  <c r="Q127" i="1"/>
  <c r="R127" i="1" s="1"/>
  <c r="U115" i="1"/>
  <c r="AB113" i="1"/>
  <c r="BQ110" i="1"/>
  <c r="BN110" i="1" s="1"/>
  <c r="AK110" i="1"/>
  <c r="AM110" i="1"/>
  <c r="AQ109" i="1"/>
  <c r="BS109" i="1" s="1"/>
  <c r="AB104" i="1"/>
  <c r="Y104" i="1"/>
  <c r="Z104" i="1"/>
  <c r="AA104" i="1"/>
  <c r="AK94" i="1"/>
  <c r="AM94" i="1"/>
  <c r="AL94" i="1"/>
  <c r="Q103" i="1"/>
  <c r="R103" i="1" s="1"/>
  <c r="AK92" i="1"/>
  <c r="AL92" i="1"/>
  <c r="AM92" i="1"/>
  <c r="U114" i="1"/>
  <c r="V114" i="1"/>
  <c r="Q107" i="1"/>
  <c r="R107" i="1" s="1"/>
  <c r="Q105" i="1"/>
  <c r="R105" i="1" s="1"/>
  <c r="AQ102" i="1"/>
  <c r="BS102" i="1" s="1"/>
  <c r="BH116" i="1"/>
  <c r="Z110" i="1"/>
  <c r="BL102" i="1"/>
  <c r="V92" i="1"/>
  <c r="T92" i="1"/>
  <c r="W92" i="1"/>
  <c r="AA84" i="1"/>
  <c r="Y84" i="1"/>
  <c r="AB84" i="1"/>
  <c r="AB90" i="1"/>
  <c r="Y90" i="1"/>
  <c r="AA90" i="1"/>
  <c r="AA109" i="1"/>
  <c r="AA105" i="1"/>
  <c r="AI102" i="1"/>
  <c r="AK91" i="1"/>
  <c r="AL91" i="1"/>
  <c r="AM91" i="1"/>
  <c r="Q114" i="1"/>
  <c r="R114" i="1" s="1"/>
  <c r="AQ98" i="1"/>
  <c r="BS98" i="1" s="1"/>
  <c r="Y93" i="1"/>
  <c r="Z93" i="1"/>
  <c r="AB93" i="1"/>
  <c r="BH102" i="1"/>
  <c r="Q102" i="1"/>
  <c r="R102" i="1" s="1"/>
  <c r="Q95" i="1"/>
  <c r="R95" i="1" s="1"/>
  <c r="Q97" i="1"/>
  <c r="R97" i="1" s="1"/>
  <c r="Q85" i="1"/>
  <c r="R85" i="1" s="1"/>
  <c r="AB115" i="1"/>
  <c r="AA101" i="1"/>
  <c r="AQ100" i="1"/>
  <c r="BS100" i="1" s="1"/>
  <c r="AP81" i="1"/>
  <c r="AB81" i="5" s="1"/>
  <c r="Q81" i="1"/>
  <c r="R81" i="1" s="1"/>
  <c r="AQ81" i="1"/>
  <c r="BS81" i="1" s="1"/>
  <c r="BH81" i="1"/>
  <c r="K81" i="1"/>
  <c r="AK98" i="1"/>
  <c r="AM98" i="1"/>
  <c r="K101" i="1"/>
  <c r="Y85" i="1"/>
  <c r="Z85" i="1"/>
  <c r="AA85" i="1"/>
  <c r="AB85" i="1"/>
  <c r="AB108" i="1"/>
  <c r="AM100" i="1"/>
  <c r="AQ89" i="1"/>
  <c r="BS89" i="1" s="1"/>
  <c r="Y89" i="1"/>
  <c r="Z89" i="1"/>
  <c r="AA89" i="1"/>
  <c r="AB89" i="1"/>
  <c r="K102" i="1"/>
  <c r="K100" i="1"/>
  <c r="AN98" i="1"/>
  <c r="Q96" i="1"/>
  <c r="R96" i="1" s="1"/>
  <c r="AK93" i="1"/>
  <c r="AM93" i="1"/>
  <c r="U92" i="1"/>
  <c r="Z71" i="1"/>
  <c r="AB71" i="1"/>
  <c r="Y71" i="1"/>
  <c r="AA71" i="1"/>
  <c r="Z78" i="1"/>
  <c r="Y78" i="1"/>
  <c r="AA78" i="1"/>
  <c r="AB78" i="1"/>
  <c r="Q83" i="1"/>
  <c r="R83" i="1" s="1"/>
  <c r="Z98" i="1"/>
  <c r="K89" i="1"/>
  <c r="AK81" i="1"/>
  <c r="AL81" i="1"/>
  <c r="AN77" i="1"/>
  <c r="AA92" i="1"/>
  <c r="W89" i="1"/>
  <c r="Q87" i="1"/>
  <c r="R87" i="1" s="1"/>
  <c r="Y74" i="1"/>
  <c r="Z74" i="1"/>
  <c r="AA74" i="1"/>
  <c r="AB74" i="1"/>
  <c r="K73" i="1"/>
  <c r="BH73" i="1"/>
  <c r="AP73" i="1"/>
  <c r="AB73" i="5" s="1"/>
  <c r="AA91" i="1"/>
  <c r="U89" i="1"/>
  <c r="AN76" i="1"/>
  <c r="BH93" i="1"/>
  <c r="Z91" i="1"/>
  <c r="Y81" i="1"/>
  <c r="Z81" i="1"/>
  <c r="AB81" i="1"/>
  <c r="T77" i="1"/>
  <c r="W77" i="1"/>
  <c r="U77" i="1"/>
  <c r="Z94" i="1"/>
  <c r="Z87" i="1"/>
  <c r="AB87" i="1"/>
  <c r="AB86" i="1"/>
  <c r="Y86" i="1"/>
  <c r="T81" i="1"/>
  <c r="U81" i="1"/>
  <c r="V81" i="1"/>
  <c r="Q64" i="1"/>
  <c r="R64" i="1" s="1"/>
  <c r="Z67" i="1"/>
  <c r="AB67" i="1"/>
  <c r="Y67" i="1"/>
  <c r="AB83" i="1"/>
  <c r="Y82" i="1"/>
  <c r="K77" i="1"/>
  <c r="BH77" i="1"/>
  <c r="AB77" i="1"/>
  <c r="AM76" i="1"/>
  <c r="Y76" i="1"/>
  <c r="Z75" i="1"/>
  <c r="AB75" i="1"/>
  <c r="Y70" i="1"/>
  <c r="Z70" i="1"/>
  <c r="BL56" i="1"/>
  <c r="Q88" i="1"/>
  <c r="R88" i="1" s="1"/>
  <c r="Q84" i="1"/>
  <c r="R84" i="1" s="1"/>
  <c r="AB73" i="1"/>
  <c r="Z63" i="1"/>
  <c r="AA63" i="1"/>
  <c r="AB63" i="1"/>
  <c r="Y55" i="1"/>
  <c r="Z55" i="1"/>
  <c r="AB55" i="1"/>
  <c r="AA55" i="1"/>
  <c r="Y66" i="1"/>
  <c r="Z66" i="1"/>
  <c r="AA66" i="1"/>
  <c r="BL59" i="1"/>
  <c r="AA68" i="1"/>
  <c r="AN62" i="1"/>
  <c r="Z62" i="1"/>
  <c r="AA62" i="1"/>
  <c r="AB62" i="1"/>
  <c r="Q53" i="1"/>
  <c r="R53" i="1" s="1"/>
  <c r="Y68" i="1"/>
  <c r="Q40" i="1"/>
  <c r="R40" i="1" s="1"/>
  <c r="BL60" i="1"/>
  <c r="AA72" i="1"/>
  <c r="Y59" i="1"/>
  <c r="Z59" i="1"/>
  <c r="AB59" i="1"/>
  <c r="AA59" i="1"/>
  <c r="BL55" i="1"/>
  <c r="AN79" i="1"/>
  <c r="Q77" i="1"/>
  <c r="R77" i="1" s="1"/>
  <c r="Z72" i="1"/>
  <c r="Y64" i="1"/>
  <c r="AB64" i="1"/>
  <c r="AN57" i="1"/>
  <c r="AK59" i="1"/>
  <c r="AL59" i="1"/>
  <c r="AL57" i="1"/>
  <c r="AK55" i="1"/>
  <c r="AL55" i="1"/>
  <c r="Z41" i="1"/>
  <c r="AA41" i="1"/>
  <c r="Y41" i="1"/>
  <c r="AB41" i="1"/>
  <c r="AQ57" i="1"/>
  <c r="BS57" i="1" s="1"/>
  <c r="AB65" i="1"/>
  <c r="Z65" i="1"/>
  <c r="Y28" i="1"/>
  <c r="AA28" i="1"/>
  <c r="AB28" i="1"/>
  <c r="Z28" i="1"/>
  <c r="Y58" i="1"/>
  <c r="AA58" i="1"/>
  <c r="Y60" i="1"/>
  <c r="AB60" i="1"/>
  <c r="V59" i="1"/>
  <c r="T59" i="1"/>
  <c r="Y56" i="1"/>
  <c r="AB56" i="1"/>
  <c r="V55" i="1"/>
  <c r="T55" i="1"/>
  <c r="Q65" i="1"/>
  <c r="R65" i="1" s="1"/>
  <c r="Q61" i="1"/>
  <c r="R61" i="1" s="1"/>
  <c r="AP59" i="1"/>
  <c r="AB59" i="5" s="1"/>
  <c r="Q59" i="1"/>
  <c r="R59" i="1" s="1"/>
  <c r="Q48" i="1"/>
  <c r="R48" i="1" s="1"/>
  <c r="AK57" i="1"/>
  <c r="Q57" i="1"/>
  <c r="R57" i="1" s="1"/>
  <c r="Q50" i="1"/>
  <c r="R50" i="1" s="1"/>
  <c r="Z61" i="1"/>
  <c r="BH60" i="1"/>
  <c r="W60" i="1"/>
  <c r="K60" i="1"/>
  <c r="Z57" i="1"/>
  <c r="BH56" i="1"/>
  <c r="W56" i="1"/>
  <c r="K56" i="1"/>
  <c r="Z36" i="1"/>
  <c r="Q38" i="1"/>
  <c r="R38" i="1" s="1"/>
  <c r="AP55" i="1"/>
  <c r="AB55" i="5" s="1"/>
  <c r="Y47" i="1"/>
  <c r="Z47" i="1"/>
  <c r="AA47" i="1"/>
  <c r="AA36" i="1"/>
  <c r="AB36" i="1"/>
  <c r="Q55" i="1"/>
  <c r="R55" i="1" s="1"/>
  <c r="AN59" i="1"/>
  <c r="V57" i="1"/>
  <c r="AN55" i="1"/>
  <c r="AA48" i="1"/>
  <c r="Q60" i="1"/>
  <c r="R60" i="1" s="1"/>
  <c r="Q56" i="1"/>
  <c r="R56" i="1" s="1"/>
  <c r="Y48" i="1"/>
  <c r="Q32" i="1"/>
  <c r="R32" i="1" s="1"/>
  <c r="Q29" i="1"/>
  <c r="R29" i="1" s="1"/>
  <c r="AB34" i="1"/>
  <c r="AA33" i="1"/>
  <c r="AB37" i="1"/>
  <c r="AA34" i="1"/>
  <c r="Z33" i="1"/>
  <c r="Y23" i="1"/>
  <c r="Z23" i="1"/>
  <c r="AB23" i="1"/>
  <c r="Q36" i="1"/>
  <c r="R36" i="1" s="1"/>
  <c r="Y32" i="1"/>
  <c r="AA32" i="1"/>
  <c r="Z30" i="1"/>
  <c r="Y22" i="1"/>
  <c r="Y19" i="1"/>
  <c r="Y30" i="1"/>
  <c r="Q21" i="1"/>
  <c r="R21" i="1" s="1"/>
  <c r="AA18" i="1"/>
  <c r="AB22" i="1"/>
  <c r="AB19" i="1"/>
  <c r="Q23" i="1"/>
  <c r="R23" i="1" s="1"/>
  <c r="Q20" i="1"/>
  <c r="R20" i="1" s="1"/>
  <c r="Q12" i="1"/>
  <c r="R12" i="1" s="1"/>
  <c r="Q8" i="1"/>
  <c r="R8" i="1" s="1"/>
  <c r="Q4" i="1"/>
  <c r="R4" i="1" s="1"/>
  <c r="AB4" i="1"/>
  <c r="AB5" i="1"/>
  <c r="AA17" i="1"/>
  <c r="AA13" i="1"/>
  <c r="AA9" i="1"/>
  <c r="AA5" i="1"/>
  <c r="AC155" i="5"/>
  <c r="AC147" i="5"/>
  <c r="Y131" i="5"/>
  <c r="N130" i="5"/>
  <c r="N126" i="5"/>
  <c r="W123" i="5"/>
  <c r="Y123" i="5"/>
  <c r="AC117" i="5"/>
  <c r="Y117" i="5"/>
  <c r="X131" i="5"/>
  <c r="M130" i="5"/>
  <c r="Y158" i="5"/>
  <c r="N155" i="5"/>
  <c r="AC150" i="5"/>
  <c r="AC139" i="5"/>
  <c r="AC154" i="5"/>
  <c r="AC146" i="5"/>
  <c r="M118" i="5"/>
  <c r="N118" i="5"/>
  <c r="M104" i="5"/>
  <c r="N104" i="5"/>
  <c r="X150" i="5"/>
  <c r="AC142" i="5"/>
  <c r="I136" i="5"/>
  <c r="AC133" i="5"/>
  <c r="AC122" i="5"/>
  <c r="N157" i="5"/>
  <c r="M157" i="5"/>
  <c r="W150" i="5"/>
  <c r="J150" i="5"/>
  <c r="AC156" i="5"/>
  <c r="AC148" i="5"/>
  <c r="AC141" i="5"/>
  <c r="J139" i="5"/>
  <c r="AC137" i="5"/>
  <c r="W131" i="5"/>
  <c r="M100" i="5"/>
  <c r="N100" i="5"/>
  <c r="X109" i="5"/>
  <c r="Y109" i="5"/>
  <c r="AC109" i="5"/>
  <c r="AC101" i="5"/>
  <c r="AC110" i="5"/>
  <c r="I100" i="5"/>
  <c r="W109" i="5"/>
  <c r="I92" i="5"/>
  <c r="J92" i="5"/>
  <c r="X100" i="5"/>
  <c r="AC100" i="5"/>
  <c r="N93" i="5"/>
  <c r="Y101" i="5"/>
  <c r="AC113" i="5"/>
  <c r="X101" i="5"/>
  <c r="M95" i="5"/>
  <c r="N95" i="5"/>
  <c r="X59" i="5"/>
  <c r="W59" i="5"/>
  <c r="Y59" i="5"/>
  <c r="AC59" i="5"/>
  <c r="Y93" i="5"/>
  <c r="M78" i="5"/>
  <c r="N78" i="5"/>
  <c r="W62" i="5"/>
  <c r="X62" i="5"/>
  <c r="Y62" i="5"/>
  <c r="AC62" i="5"/>
  <c r="AC91" i="5"/>
  <c r="X56" i="5"/>
  <c r="W56" i="5"/>
  <c r="Y56" i="5"/>
  <c r="AC56" i="5"/>
  <c r="AC89" i="5"/>
  <c r="Y89" i="5"/>
  <c r="AC81" i="5"/>
  <c r="W81" i="5"/>
  <c r="F81" i="5"/>
  <c r="W77" i="5"/>
  <c r="AC65" i="5"/>
  <c r="Y76" i="5"/>
  <c r="N74" i="5"/>
  <c r="AC57" i="5"/>
  <c r="N59" i="5"/>
  <c r="M59" i="5"/>
  <c r="AC79" i="5"/>
  <c r="M72" i="5"/>
  <c r="Y77" i="5"/>
  <c r="X65" i="5"/>
  <c r="Y65" i="5"/>
  <c r="AC77" i="5"/>
  <c r="W57" i="5"/>
  <c r="AC76" i="5"/>
  <c r="N47" i="5"/>
  <c r="AC55" i="5"/>
  <c r="BJ89" i="3" l="1"/>
  <c r="BM89" i="3"/>
  <c r="F89" i="5"/>
  <c r="V147" i="5"/>
  <c r="BM65" i="3"/>
  <c r="S181" i="5"/>
  <c r="AJ181" i="1"/>
  <c r="AM181" i="1"/>
  <c r="AL181" i="1"/>
  <c r="AK181" i="1"/>
  <c r="F62" i="5"/>
  <c r="F181" i="5"/>
  <c r="S190" i="5"/>
  <c r="AM190" i="1"/>
  <c r="AL190" i="1"/>
  <c r="AK190" i="1"/>
  <c r="AJ190" i="1"/>
  <c r="F94" i="5"/>
  <c r="F196" i="5"/>
  <c r="O196" i="5"/>
  <c r="AE196" i="1"/>
  <c r="AG196" i="1"/>
  <c r="AF196" i="1"/>
  <c r="AH196" i="1"/>
  <c r="BW163" i="1"/>
  <c r="BW166" i="1"/>
  <c r="BK73" i="1"/>
  <c r="BZ73" i="1"/>
  <c r="BK65" i="1"/>
  <c r="BZ65" i="1"/>
  <c r="CA65" i="1" s="1"/>
  <c r="BF94" i="1"/>
  <c r="BF102" i="1"/>
  <c r="BF65" i="1"/>
  <c r="BF131" i="1"/>
  <c r="BF100" i="1"/>
  <c r="CD60" i="1"/>
  <c r="CD62" i="1"/>
  <c r="BG118" i="1"/>
  <c r="BP118" i="1" s="1" a="1"/>
  <c r="BP118" i="1" s="1"/>
  <c r="BF55" i="1"/>
  <c r="BG55" i="1" s="1"/>
  <c r="BP55" i="1" s="1" a="1"/>
  <c r="BP55" i="1" s="1"/>
  <c r="BF58" i="1"/>
  <c r="BG58" i="1" s="1"/>
  <c r="BP58" i="1" s="1" a="1"/>
  <c r="BP58" i="1" s="1"/>
  <c r="CD89" i="1"/>
  <c r="BF114" i="1"/>
  <c r="CD140" i="1"/>
  <c r="BG99" i="1"/>
  <c r="BP99" i="1" s="1" a="1"/>
  <c r="BP99" i="1" s="1"/>
  <c r="BF122" i="1"/>
  <c r="CD56" i="1"/>
  <c r="AZ76" i="1"/>
  <c r="U99" i="5"/>
  <c r="U147" i="5"/>
  <c r="T136" i="5"/>
  <c r="U60" i="5"/>
  <c r="V60" i="5"/>
  <c r="CD102" i="1"/>
  <c r="V91" i="5"/>
  <c r="U91" i="5"/>
  <c r="U136" i="5"/>
  <c r="U131" i="5"/>
  <c r="V94" i="5"/>
  <c r="T99" i="5"/>
  <c r="V131" i="5"/>
  <c r="AZ65" i="3"/>
  <c r="T92" i="5"/>
  <c r="V113" i="5"/>
  <c r="U113" i="5"/>
  <c r="V92" i="5"/>
  <c r="V98" i="5"/>
  <c r="U98" i="5"/>
  <c r="U94" i="5"/>
  <c r="V142" i="5"/>
  <c r="U142" i="5"/>
  <c r="BR65" i="3"/>
  <c r="AZ102" i="1"/>
  <c r="BG102" i="1"/>
  <c r="BP102" i="1" s="1" a="1"/>
  <c r="BP102" i="1" s="1"/>
  <c r="BJ65" i="3"/>
  <c r="S62" i="5"/>
  <c r="T62" i="5" s="1"/>
  <c r="AJ62" i="1"/>
  <c r="S133" i="5"/>
  <c r="U133" i="5" s="1"/>
  <c r="AJ133" i="1"/>
  <c r="S134" i="5"/>
  <c r="T134" i="5" s="1"/>
  <c r="AJ134" i="1"/>
  <c r="S128" i="5"/>
  <c r="U128" i="5" s="1"/>
  <c r="AJ128" i="1"/>
  <c r="S101" i="5"/>
  <c r="V101" i="5" s="1"/>
  <c r="AJ101" i="1"/>
  <c r="AN65" i="1"/>
  <c r="S138" i="5"/>
  <c r="V138" i="5" s="1"/>
  <c r="AJ138" i="1"/>
  <c r="S102" i="5"/>
  <c r="V102" i="5" s="1"/>
  <c r="AJ102" i="1"/>
  <c r="S117" i="5"/>
  <c r="T117" i="5" s="1"/>
  <c r="AJ117" i="1"/>
  <c r="S116" i="5"/>
  <c r="U116" i="5" s="1"/>
  <c r="AJ116" i="1"/>
  <c r="S65" i="5"/>
  <c r="U65" i="5" s="1"/>
  <c r="AJ65" i="1"/>
  <c r="BU102" i="1"/>
  <c r="J148" i="5"/>
  <c r="BR73" i="3"/>
  <c r="S89" i="5"/>
  <c r="V89" i="5" s="1"/>
  <c r="S73" i="1"/>
  <c r="V73" i="1" s="1"/>
  <c r="BR161" i="1"/>
  <c r="I130" i="5"/>
  <c r="H148" i="5"/>
  <c r="J81" i="5"/>
  <c r="I81" i="5"/>
  <c r="Q161" i="5"/>
  <c r="P161" i="5"/>
  <c r="R161" i="5"/>
  <c r="T161" i="5"/>
  <c r="U161" i="5"/>
  <c r="V161" i="5"/>
  <c r="AK65" i="1"/>
  <c r="BG89" i="1"/>
  <c r="BP89" i="1" s="1" a="1"/>
  <c r="BP89" i="1" s="1"/>
  <c r="AM65" i="1"/>
  <c r="AL65" i="1"/>
  <c r="BF62" i="1"/>
  <c r="I141" i="5"/>
  <c r="BF89" i="1"/>
  <c r="AQ65" i="1"/>
  <c r="BS65" i="1" s="1"/>
  <c r="H141" i="5"/>
  <c r="BU89" i="1"/>
  <c r="BF60" i="1"/>
  <c r="BG60" i="1" s="1"/>
  <c r="BP60" i="1" s="1" a="1"/>
  <c r="BP60" i="1" s="1"/>
  <c r="BU60" i="1"/>
  <c r="BG114" i="1"/>
  <c r="BP114" i="1" s="1" a="1"/>
  <c r="BP114" i="1" s="1"/>
  <c r="AM73" i="1"/>
  <c r="AL73" i="1"/>
  <c r="BU55" i="1"/>
  <c r="CD55" i="1"/>
  <c r="AK73" i="1"/>
  <c r="BU131" i="1"/>
  <c r="I101" i="5"/>
  <c r="H101" i="5"/>
  <c r="CD131" i="1"/>
  <c r="BG131" i="1"/>
  <c r="BP131" i="1" s="1" a="1"/>
  <c r="BP131" i="1" s="1"/>
  <c r="BU65" i="1"/>
  <c r="BG65" i="1"/>
  <c r="BP65" i="1" s="1" a="1"/>
  <c r="BP65" i="1" s="1"/>
  <c r="J147" i="5"/>
  <c r="H130" i="5"/>
  <c r="I147" i="5"/>
  <c r="N76" i="5"/>
  <c r="J138" i="5"/>
  <c r="L76" i="5"/>
  <c r="I138" i="5"/>
  <c r="I145" i="5"/>
  <c r="CD118" i="1"/>
  <c r="CD100" i="1"/>
  <c r="BG100" i="1"/>
  <c r="BP100" i="1" s="1" a="1"/>
  <c r="BP100" i="1" s="1"/>
  <c r="H91" i="5"/>
  <c r="BU100" i="1"/>
  <c r="BF118" i="1"/>
  <c r="AK62" i="1"/>
  <c r="BH65" i="3"/>
  <c r="BP65" i="3" s="1"/>
  <c r="BT65" i="3" s="1"/>
  <c r="CD65" i="1"/>
  <c r="I56" i="5"/>
  <c r="CD99" i="1"/>
  <c r="J56" i="5"/>
  <c r="BU122" i="1"/>
  <c r="J145" i="5"/>
  <c r="CD114" i="1"/>
  <c r="BU118" i="1"/>
  <c r="BU128" i="1"/>
  <c r="I91" i="5"/>
  <c r="I55" i="5"/>
  <c r="J55" i="5"/>
  <c r="I153" i="5"/>
  <c r="AM101" i="1"/>
  <c r="AK128" i="1"/>
  <c r="H144" i="5"/>
  <c r="AL101" i="1"/>
  <c r="I102" i="5"/>
  <c r="I144" i="5"/>
  <c r="J102" i="5"/>
  <c r="AS73" i="3"/>
  <c r="AK101" i="1"/>
  <c r="S73" i="5"/>
  <c r="T73" i="5" s="1"/>
  <c r="AZ73" i="3"/>
  <c r="AK116" i="1"/>
  <c r="BU62" i="1"/>
  <c r="J123" i="5"/>
  <c r="I123" i="5"/>
  <c r="AM128" i="1"/>
  <c r="BU114" i="1"/>
  <c r="E73" i="5"/>
  <c r="AL128" i="1"/>
  <c r="BF56" i="1"/>
  <c r="BU56" i="1"/>
  <c r="CD94" i="1"/>
  <c r="BU94" i="1"/>
  <c r="BG56" i="1"/>
  <c r="BP56" i="1" s="1" a="1"/>
  <c r="BP56" i="1" s="1"/>
  <c r="BG94" i="1"/>
  <c r="BP94" i="1" s="1" a="1"/>
  <c r="BP94" i="1" s="1"/>
  <c r="BG62" i="1"/>
  <c r="BP62" i="1" s="1" a="1"/>
  <c r="BP62" i="1" s="1"/>
  <c r="J131" i="5"/>
  <c r="AN73" i="1"/>
  <c r="BU99" i="1"/>
  <c r="AL116" i="1"/>
  <c r="BF99" i="1"/>
  <c r="I131" i="5"/>
  <c r="AM116" i="1"/>
  <c r="BT73" i="3"/>
  <c r="CD58" i="1"/>
  <c r="I119" i="5"/>
  <c r="BU58" i="1"/>
  <c r="T58" i="5"/>
  <c r="U58" i="5"/>
  <c r="V58" i="5"/>
  <c r="V146" i="5"/>
  <c r="T146" i="5"/>
  <c r="U146" i="5"/>
  <c r="V93" i="5"/>
  <c r="T93" i="5"/>
  <c r="U93" i="5"/>
  <c r="T79" i="5"/>
  <c r="U79" i="5"/>
  <c r="V79" i="5"/>
  <c r="T118" i="5"/>
  <c r="U118" i="5"/>
  <c r="V118" i="5"/>
  <c r="BM73" i="3"/>
  <c r="BJ73" i="3"/>
  <c r="V140" i="5"/>
  <c r="T140" i="5"/>
  <c r="U140" i="5"/>
  <c r="T130" i="5"/>
  <c r="U130" i="5"/>
  <c r="V130" i="5"/>
  <c r="T145" i="5"/>
  <c r="V145" i="5"/>
  <c r="U145" i="5"/>
  <c r="T56" i="5"/>
  <c r="U56" i="5"/>
  <c r="V56" i="5"/>
  <c r="T59" i="5"/>
  <c r="U59" i="5"/>
  <c r="V59" i="5"/>
  <c r="T76" i="5"/>
  <c r="U76" i="5"/>
  <c r="V76" i="5"/>
  <c r="T110" i="5"/>
  <c r="U110" i="5"/>
  <c r="V110" i="5"/>
  <c r="T122" i="5"/>
  <c r="U122" i="5"/>
  <c r="V122" i="5"/>
  <c r="T77" i="5"/>
  <c r="U77" i="5"/>
  <c r="V77" i="5"/>
  <c r="E65" i="5"/>
  <c r="BI65" i="3"/>
  <c r="F65" i="5" s="1"/>
  <c r="T55" i="5"/>
  <c r="U55" i="5"/>
  <c r="V55" i="5"/>
  <c r="T100" i="5"/>
  <c r="U100" i="5"/>
  <c r="V100" i="5"/>
  <c r="T109" i="5"/>
  <c r="V109" i="5"/>
  <c r="U109" i="5"/>
  <c r="T137" i="5"/>
  <c r="U137" i="5"/>
  <c r="V137" i="5"/>
  <c r="T119" i="5"/>
  <c r="U119" i="5"/>
  <c r="V119" i="5"/>
  <c r="T139" i="5"/>
  <c r="U139" i="5"/>
  <c r="V139" i="5"/>
  <c r="T144" i="5"/>
  <c r="V144" i="5"/>
  <c r="U144" i="5"/>
  <c r="V57" i="5"/>
  <c r="T57" i="5"/>
  <c r="V81" i="5"/>
  <c r="T81" i="5"/>
  <c r="U141" i="5"/>
  <c r="T141" i="5"/>
  <c r="V143" i="5"/>
  <c r="T143" i="5"/>
  <c r="V148" i="5"/>
  <c r="T148" i="5"/>
  <c r="V149" i="5"/>
  <c r="T149" i="5"/>
  <c r="BP158" i="3"/>
  <c r="BT158" i="3" s="1"/>
  <c r="BP81" i="3"/>
  <c r="BT81" i="3" s="1"/>
  <c r="BL81" i="3"/>
  <c r="BL77" i="3"/>
  <c r="BL76" i="3"/>
  <c r="BP55" i="3"/>
  <c r="BT55" i="3" s="1"/>
  <c r="BP57" i="3"/>
  <c r="BT57" i="3" s="1"/>
  <c r="BP58" i="3"/>
  <c r="BT58" i="3" s="1"/>
  <c r="BP59" i="3"/>
  <c r="BT59" i="3" s="1"/>
  <c r="BP60" i="3"/>
  <c r="BT60" i="3" s="1"/>
  <c r="BL94" i="3"/>
  <c r="BP94" i="3"/>
  <c r="BT94" i="3" s="1"/>
  <c r="BL98" i="3"/>
  <c r="BP98" i="3"/>
  <c r="BT98" i="3" s="1"/>
  <c r="BP100" i="3"/>
  <c r="BT100" i="3" s="1"/>
  <c r="BP101" i="3"/>
  <c r="BT101" i="3"/>
  <c r="BT102" i="3"/>
  <c r="BP102" i="3"/>
  <c r="BT110" i="3"/>
  <c r="BP110" i="3"/>
  <c r="BP116" i="3"/>
  <c r="BT116" i="3"/>
  <c r="BL118" i="3"/>
  <c r="BP118" i="3"/>
  <c r="BT118" i="3" s="1"/>
  <c r="BL122" i="3"/>
  <c r="BP122" i="3"/>
  <c r="BT122" i="3" s="1"/>
  <c r="BP123" i="3"/>
  <c r="BT123" i="3" s="1"/>
  <c r="BP130" i="3"/>
  <c r="BT130" i="3" s="1"/>
  <c r="BL131" i="3"/>
  <c r="BP131" i="3"/>
  <c r="BT131" i="3" s="1"/>
  <c r="BT137" i="3"/>
  <c r="BP137" i="3"/>
  <c r="BP140" i="3"/>
  <c r="BT140" i="3" s="1"/>
  <c r="J98" i="5"/>
  <c r="H98" i="5"/>
  <c r="M75" i="5"/>
  <c r="J109" i="5"/>
  <c r="J89" i="5"/>
  <c r="H119" i="5"/>
  <c r="I89" i="5"/>
  <c r="H153" i="5"/>
  <c r="H149" i="5"/>
  <c r="J149" i="5"/>
  <c r="H109" i="5"/>
  <c r="J60" i="5"/>
  <c r="I60" i="5"/>
  <c r="H99" i="5"/>
  <c r="I99" i="5"/>
  <c r="J77" i="5"/>
  <c r="I77" i="5"/>
  <c r="BU140" i="1"/>
  <c r="BF140" i="1"/>
  <c r="BG140" i="1" s="1"/>
  <c r="BP140" i="1" s="1" a="1"/>
  <c r="BP140" i="1" s="1"/>
  <c r="N77" i="5"/>
  <c r="M77" i="5"/>
  <c r="I140" i="5"/>
  <c r="L75" i="5"/>
  <c r="M57" i="5"/>
  <c r="I58" i="5"/>
  <c r="H58" i="5"/>
  <c r="M158" i="5"/>
  <c r="L158" i="5"/>
  <c r="N123" i="5"/>
  <c r="L123" i="5"/>
  <c r="I157" i="5"/>
  <c r="H157" i="5"/>
  <c r="N21" i="5"/>
  <c r="L21" i="5"/>
  <c r="M30" i="5"/>
  <c r="L30" i="5"/>
  <c r="I59" i="5"/>
  <c r="H59" i="5"/>
  <c r="M12" i="5"/>
  <c r="L12" i="5"/>
  <c r="M82" i="5"/>
  <c r="L82" i="5"/>
  <c r="N62" i="5"/>
  <c r="L62" i="5"/>
  <c r="M154" i="5"/>
  <c r="L154" i="5"/>
  <c r="N107" i="5"/>
  <c r="L107" i="5"/>
  <c r="N17" i="5"/>
  <c r="L17" i="5"/>
  <c r="N122" i="5"/>
  <c r="L122" i="5"/>
  <c r="I146" i="5"/>
  <c r="H146" i="5"/>
  <c r="M98" i="5"/>
  <c r="L98" i="5"/>
  <c r="M120" i="5"/>
  <c r="L120" i="5"/>
  <c r="N22" i="5"/>
  <c r="L22" i="5"/>
  <c r="M14" i="5"/>
  <c r="L14" i="5"/>
  <c r="M144" i="5"/>
  <c r="L144" i="5"/>
  <c r="M6" i="5"/>
  <c r="L6" i="5"/>
  <c r="M10" i="5"/>
  <c r="L10" i="5"/>
  <c r="N142" i="5"/>
  <c r="L142" i="5"/>
  <c r="M138" i="5"/>
  <c r="L138" i="5"/>
  <c r="J117" i="5"/>
  <c r="H117" i="5"/>
  <c r="N145" i="5"/>
  <c r="L145" i="5"/>
  <c r="N37" i="5"/>
  <c r="L37" i="5"/>
  <c r="I155" i="5"/>
  <c r="H155" i="5"/>
  <c r="N105" i="5"/>
  <c r="L105" i="5"/>
  <c r="N13" i="5"/>
  <c r="L13" i="5"/>
  <c r="M101" i="5"/>
  <c r="L101" i="5"/>
  <c r="N32" i="5"/>
  <c r="L32" i="5"/>
  <c r="M5" i="5"/>
  <c r="L5" i="5"/>
  <c r="M7" i="5"/>
  <c r="L7" i="5"/>
  <c r="M153" i="5"/>
  <c r="L153" i="5"/>
  <c r="N147" i="5"/>
  <c r="L147" i="5"/>
  <c r="N66" i="5"/>
  <c r="L66" i="5"/>
  <c r="I115" i="5"/>
  <c r="H115" i="5"/>
  <c r="J120" i="5"/>
  <c r="H120" i="5"/>
  <c r="N110" i="5"/>
  <c r="L110" i="5"/>
  <c r="M121" i="5"/>
  <c r="L121" i="5"/>
  <c r="M133" i="5"/>
  <c r="L133" i="5"/>
  <c r="N83" i="5"/>
  <c r="L83" i="5"/>
  <c r="N33" i="5"/>
  <c r="L33" i="5"/>
  <c r="N18" i="5"/>
  <c r="L18" i="5"/>
  <c r="M102" i="5"/>
  <c r="L102" i="5"/>
  <c r="M90" i="5"/>
  <c r="L90" i="5"/>
  <c r="M136" i="5"/>
  <c r="L136" i="5"/>
  <c r="M99" i="5"/>
  <c r="L99" i="5"/>
  <c r="N65" i="5"/>
  <c r="L65" i="5"/>
  <c r="M156" i="5"/>
  <c r="L156" i="5"/>
  <c r="J154" i="5"/>
  <c r="H154" i="5"/>
  <c r="N61" i="5"/>
  <c r="L61" i="5"/>
  <c r="M39" i="5"/>
  <c r="L39" i="5"/>
  <c r="M92" i="5"/>
  <c r="L92" i="5"/>
  <c r="N152" i="5"/>
  <c r="L152" i="5"/>
  <c r="N111" i="5"/>
  <c r="L111" i="5"/>
  <c r="N124" i="5"/>
  <c r="L124" i="5"/>
  <c r="N116" i="5"/>
  <c r="L116" i="5"/>
  <c r="M73" i="5"/>
  <c r="L73" i="5"/>
  <c r="M58" i="5"/>
  <c r="L58" i="5"/>
  <c r="N106" i="5"/>
  <c r="L106" i="5"/>
  <c r="M63" i="5"/>
  <c r="L63" i="5"/>
  <c r="N113" i="5"/>
  <c r="L113" i="5"/>
  <c r="M129" i="5"/>
  <c r="L129" i="5"/>
  <c r="I62" i="5"/>
  <c r="H62" i="5"/>
  <c r="M149" i="5"/>
  <c r="L149" i="5"/>
  <c r="M119" i="5"/>
  <c r="L119" i="5"/>
  <c r="N38" i="5"/>
  <c r="L38" i="5"/>
  <c r="I114" i="5"/>
  <c r="H114" i="5"/>
  <c r="M40" i="5"/>
  <c r="L40" i="5"/>
  <c r="N67" i="5"/>
  <c r="L67" i="5"/>
  <c r="I152" i="5"/>
  <c r="H152" i="5"/>
  <c r="J151" i="5"/>
  <c r="H151" i="5"/>
  <c r="N57" i="5"/>
  <c r="N56" i="5"/>
  <c r="N99" i="5"/>
  <c r="M124" i="5"/>
  <c r="M56" i="5"/>
  <c r="N8" i="5"/>
  <c r="M8" i="5"/>
  <c r="J94" i="5"/>
  <c r="M140" i="5"/>
  <c r="I113" i="5"/>
  <c r="N140" i="5"/>
  <c r="I94" i="5"/>
  <c r="J113" i="5"/>
  <c r="M24" i="5"/>
  <c r="N138" i="5"/>
  <c r="N151" i="5"/>
  <c r="J76" i="5"/>
  <c r="I143" i="5"/>
  <c r="J143" i="5"/>
  <c r="N64" i="5"/>
  <c r="M64" i="5"/>
  <c r="J152" i="5"/>
  <c r="I76" i="5"/>
  <c r="M111" i="5"/>
  <c r="M151" i="5"/>
  <c r="N30" i="5"/>
  <c r="J114" i="5"/>
  <c r="J115" i="5"/>
  <c r="N10" i="5"/>
  <c r="J62" i="5"/>
  <c r="I120" i="5"/>
  <c r="I133" i="5"/>
  <c r="J133" i="5"/>
  <c r="M152" i="5"/>
  <c r="M13" i="5"/>
  <c r="N6" i="5"/>
  <c r="I117" i="5"/>
  <c r="J59" i="5"/>
  <c r="I151" i="5"/>
  <c r="N60" i="5"/>
  <c r="M60" i="5"/>
  <c r="M3" i="5"/>
  <c r="M105" i="5"/>
  <c r="N81" i="5"/>
  <c r="N36" i="5"/>
  <c r="M81" i="5"/>
  <c r="N139" i="5"/>
  <c r="N86" i="5"/>
  <c r="M109" i="5"/>
  <c r="M139" i="5"/>
  <c r="M86" i="5"/>
  <c r="M36" i="5"/>
  <c r="N3" i="5"/>
  <c r="N14" i="5"/>
  <c r="N69" i="5"/>
  <c r="M69" i="5"/>
  <c r="N109" i="5"/>
  <c r="N58" i="5"/>
  <c r="M23" i="5"/>
  <c r="N133" i="5"/>
  <c r="M62" i="5"/>
  <c r="M17" i="5"/>
  <c r="N144" i="5"/>
  <c r="J159" i="5"/>
  <c r="I159" i="5"/>
  <c r="I122" i="5"/>
  <c r="J140" i="5"/>
  <c r="J146" i="5"/>
  <c r="J122" i="5"/>
  <c r="J93" i="5"/>
  <c r="I93" i="5"/>
  <c r="J58" i="5"/>
  <c r="J128" i="5"/>
  <c r="I128" i="5"/>
  <c r="M66" i="5"/>
  <c r="N11" i="5"/>
  <c r="M11" i="5"/>
  <c r="M9" i="5"/>
  <c r="M123" i="5"/>
  <c r="N82" i="5"/>
  <c r="N149" i="5"/>
  <c r="J157" i="5"/>
  <c r="N24" i="5"/>
  <c r="N9" i="5"/>
  <c r="J155" i="5"/>
  <c r="M134" i="5"/>
  <c r="M106" i="5"/>
  <c r="N136" i="5"/>
  <c r="M70" i="5"/>
  <c r="N70" i="5"/>
  <c r="N35" i="5"/>
  <c r="N92" i="5"/>
  <c r="N134" i="5"/>
  <c r="M35" i="5"/>
  <c r="N84" i="5"/>
  <c r="N23" i="5"/>
  <c r="N20" i="5"/>
  <c r="M20" i="5"/>
  <c r="N15" i="5"/>
  <c r="N121" i="5"/>
  <c r="M15" i="5"/>
  <c r="M84" i="5"/>
  <c r="N7" i="5"/>
  <c r="M141" i="5"/>
  <c r="N153" i="5"/>
  <c r="M147" i="5"/>
  <c r="N5" i="5"/>
  <c r="N141" i="5"/>
  <c r="N94" i="5"/>
  <c r="N154" i="5"/>
  <c r="M107" i="5"/>
  <c r="M22" i="5"/>
  <c r="M94" i="5"/>
  <c r="N115" i="5"/>
  <c r="N40" i="5"/>
  <c r="M142" i="5"/>
  <c r="N129" i="5"/>
  <c r="N117" i="5"/>
  <c r="M113" i="5"/>
  <c r="M67" i="5"/>
  <c r="M115" i="5"/>
  <c r="M117" i="5"/>
  <c r="M68" i="5"/>
  <c r="N63" i="5"/>
  <c r="N68" i="5"/>
  <c r="AM62" i="1"/>
  <c r="AL62" i="1"/>
  <c r="U65" i="1"/>
  <c r="T65" i="1"/>
  <c r="V65" i="1"/>
  <c r="G65" i="5"/>
  <c r="H65" i="5" s="1"/>
  <c r="W65" i="1"/>
  <c r="BU76" i="1"/>
  <c r="BF76" i="1"/>
  <c r="BG76" i="1"/>
  <c r="BP76" i="1" s="1" a="1"/>
  <c r="BP76" i="1" s="1"/>
  <c r="CD76" i="1"/>
  <c r="BF128" i="1"/>
  <c r="BG128" i="1"/>
  <c r="BP128" i="1" s="1" a="1"/>
  <c r="BP128" i="1" s="1"/>
  <c r="CD128" i="1"/>
  <c r="AK89" i="1"/>
  <c r="AL89" i="1"/>
  <c r="AM89" i="1"/>
  <c r="V116" i="1"/>
  <c r="T116" i="1"/>
  <c r="U116" i="1"/>
  <c r="G116" i="5"/>
  <c r="H116" i="5" s="1"/>
  <c r="BU123" i="1"/>
  <c r="BF123" i="1"/>
  <c r="BG123" i="1"/>
  <c r="BP123" i="1" s="1" a="1"/>
  <c r="BP123" i="1" s="1"/>
  <c r="CD123" i="1"/>
  <c r="AZ122" i="1"/>
  <c r="BG122" i="1"/>
  <c r="BP122" i="1" s="1" a="1"/>
  <c r="BP122" i="1" s="1"/>
  <c r="CD122" i="1"/>
  <c r="CD119" i="1"/>
  <c r="BU119" i="1"/>
  <c r="BF119" i="1"/>
  <c r="BG119" i="1" s="1"/>
  <c r="BP119" i="1" s="1" a="1"/>
  <c r="BP119" i="1" s="1"/>
  <c r="N101" i="5"/>
  <c r="N156" i="5"/>
  <c r="N98" i="5"/>
  <c r="M145" i="5"/>
  <c r="M122" i="5"/>
  <c r="M38" i="5"/>
  <c r="N12" i="5"/>
  <c r="N73" i="5"/>
  <c r="M65" i="5"/>
  <c r="M91" i="5"/>
  <c r="M37" i="5"/>
  <c r="M33" i="5"/>
  <c r="N39" i="5"/>
  <c r="N90" i="5"/>
  <c r="M18" i="5"/>
  <c r="N102" i="5"/>
  <c r="N91" i="5"/>
  <c r="N132" i="5"/>
  <c r="N120" i="5"/>
  <c r="M16" i="5"/>
  <c r="M61" i="5"/>
  <c r="M110" i="5"/>
  <c r="M132" i="5"/>
  <c r="N48" i="5"/>
  <c r="M32" i="5"/>
  <c r="N16" i="5"/>
  <c r="N158" i="5"/>
  <c r="N150" i="5"/>
  <c r="M150" i="5"/>
  <c r="M48" i="5"/>
  <c r="M128" i="5"/>
  <c r="N119" i="5"/>
  <c r="N128" i="5"/>
  <c r="M116" i="5"/>
  <c r="BG57" i="1"/>
  <c r="BP57" i="1" s="1" a="1"/>
  <c r="BP57" i="1" s="1"/>
  <c r="CD57" i="1"/>
  <c r="BU57" i="1"/>
  <c r="BF57" i="1"/>
  <c r="CD59" i="1"/>
  <c r="BU59" i="1"/>
  <c r="BF59" i="1"/>
  <c r="BG59" i="1" s="1"/>
  <c r="BP59" i="1" s="1" a="1"/>
  <c r="BP59" i="1" s="1"/>
  <c r="BG77" i="1"/>
  <c r="BP77" i="1" s="1" a="1"/>
  <c r="BP77" i="1" s="1"/>
  <c r="BU77" i="1"/>
  <c r="AZ77" i="1"/>
  <c r="CD77" i="1"/>
  <c r="BF77" i="1"/>
  <c r="BG73" i="1"/>
  <c r="BP73" i="1" s="1" a="1"/>
  <c r="BP73" i="1" s="1"/>
  <c r="CD73" i="1"/>
  <c r="BU73" i="1"/>
  <c r="BF73" i="1"/>
  <c r="AZ73" i="1"/>
  <c r="BU93" i="1"/>
  <c r="BF93" i="1"/>
  <c r="BG93" i="1" s="1"/>
  <c r="BP93" i="1" s="1" a="1"/>
  <c r="BP93" i="1" s="1"/>
  <c r="CD93" i="1"/>
  <c r="BU101" i="1"/>
  <c r="AZ101" i="1"/>
  <c r="BF101" i="1"/>
  <c r="BG101" i="1"/>
  <c r="BP101" i="1" s="1" a="1"/>
  <c r="BP101" i="1" s="1"/>
  <c r="CD101" i="1"/>
  <c r="BU81" i="1"/>
  <c r="BF81" i="1"/>
  <c r="BG81" i="1"/>
  <c r="BP81" i="1" s="1" a="1"/>
  <c r="BP81" i="1" s="1"/>
  <c r="CD81" i="1"/>
  <c r="BG98" i="1"/>
  <c r="BP98" i="1" s="1" a="1"/>
  <c r="BP98" i="1" s="1"/>
  <c r="CD98" i="1"/>
  <c r="BF98" i="1"/>
  <c r="BU98" i="1"/>
  <c r="AL102" i="1"/>
  <c r="AM102" i="1"/>
  <c r="AK102" i="1"/>
  <c r="AZ116" i="1"/>
  <c r="BF116" i="1"/>
  <c r="BG116" i="1"/>
  <c r="BP116" i="1" s="1" a="1"/>
  <c r="BP116" i="1" s="1"/>
  <c r="BU116" i="1"/>
  <c r="CD116" i="1"/>
  <c r="CD109" i="1"/>
  <c r="BF109" i="1"/>
  <c r="BG109" i="1" s="1"/>
  <c r="BP109" i="1" s="1" a="1"/>
  <c r="BP109" i="1" s="1"/>
  <c r="BU109" i="1"/>
  <c r="AL117" i="1"/>
  <c r="AM117" i="1"/>
  <c r="AK117" i="1"/>
  <c r="BG117" i="1"/>
  <c r="BP117" i="1" s="1" a="1"/>
  <c r="BP117" i="1" s="1"/>
  <c r="CD117" i="1"/>
  <c r="BF117" i="1"/>
  <c r="BU117" i="1"/>
  <c r="BU130" i="1"/>
  <c r="BF130" i="1"/>
  <c r="BG130" i="1" s="1"/>
  <c r="BP130" i="1" s="1" a="1"/>
  <c r="BP130" i="1" s="1"/>
  <c r="CD130" i="1"/>
  <c r="AM133" i="1"/>
  <c r="AK133" i="1"/>
  <c r="AL133" i="1"/>
  <c r="BF133" i="1"/>
  <c r="BG133" i="1" s="1"/>
  <c r="BP133" i="1" s="1" a="1"/>
  <c r="BP133" i="1" s="1"/>
  <c r="CD133" i="1"/>
  <c r="BU133" i="1"/>
  <c r="CD150" i="1"/>
  <c r="BU150" i="1"/>
  <c r="BF150" i="1"/>
  <c r="BG150" i="1" s="1"/>
  <c r="BP150" i="1" s="1" a="1"/>
  <c r="BP150" i="1" s="1"/>
  <c r="CD158" i="1"/>
  <c r="BF158" i="1"/>
  <c r="BG158" i="1" s="1"/>
  <c r="BP158" i="1" s="1" a="1"/>
  <c r="BP158" i="1" s="1"/>
  <c r="BU158" i="1"/>
  <c r="AK134" i="1"/>
  <c r="AL134" i="1"/>
  <c r="AM134" i="1"/>
  <c r="CD134" i="1"/>
  <c r="BU134" i="1"/>
  <c r="BF134" i="1"/>
  <c r="BG134" i="1" s="1"/>
  <c r="BP134" i="1" s="1" a="1"/>
  <c r="BP134" i="1" s="1"/>
  <c r="AK138" i="1"/>
  <c r="AL138" i="1"/>
  <c r="AM138" i="1"/>
  <c r="CD138" i="1"/>
  <c r="BF138" i="1"/>
  <c r="BG138" i="1" s="1"/>
  <c r="BP138" i="1" s="1" a="1"/>
  <c r="BP138" i="1" s="1"/>
  <c r="BU138" i="1"/>
  <c r="I154" i="5"/>
  <c r="I156" i="5"/>
  <c r="J156" i="5"/>
  <c r="I142" i="5"/>
  <c r="J142" i="5"/>
  <c r="N159" i="5"/>
  <c r="M159" i="5"/>
  <c r="M143" i="5"/>
  <c r="N143" i="5"/>
  <c r="I158" i="5"/>
  <c r="J158" i="5"/>
  <c r="T190" i="5" l="1"/>
  <c r="U190" i="5"/>
  <c r="V190" i="5"/>
  <c r="R196" i="5"/>
  <c r="Q196" i="5"/>
  <c r="P196" i="5"/>
  <c r="T181" i="5"/>
  <c r="U181" i="5"/>
  <c r="V181" i="5"/>
  <c r="BW161" i="1"/>
  <c r="T73" i="1"/>
  <c r="V62" i="5"/>
  <c r="T133" i="5"/>
  <c r="U102" i="5"/>
  <c r="V128" i="5"/>
  <c r="G73" i="5"/>
  <c r="H73" i="5" s="1"/>
  <c r="U73" i="1"/>
  <c r="W73" i="1"/>
  <c r="V134" i="5"/>
  <c r="U134" i="5"/>
  <c r="T102" i="5"/>
  <c r="U62" i="5"/>
  <c r="T116" i="5"/>
  <c r="U117" i="5"/>
  <c r="V116" i="5"/>
  <c r="U138" i="5"/>
  <c r="V133" i="5"/>
  <c r="V65" i="5"/>
  <c r="T101" i="5"/>
  <c r="T65" i="5"/>
  <c r="U101" i="5"/>
  <c r="T138" i="5"/>
  <c r="V117" i="5"/>
  <c r="T128" i="5"/>
  <c r="U89" i="5"/>
  <c r="T89" i="5"/>
  <c r="V73" i="5"/>
  <c r="U73" i="5"/>
  <c r="I116" i="5"/>
  <c r="J116" i="5"/>
  <c r="I65" i="5"/>
  <c r="J65" i="5"/>
  <c r="I12" i="17"/>
  <c r="AA204" i="5" s="1"/>
  <c r="W29" i="3"/>
  <c r="V29" i="3"/>
  <c r="BK2" i="3"/>
  <c r="E135" i="3"/>
  <c r="CG135" i="1" l="1"/>
  <c r="BJ135" i="1"/>
  <c r="AY135" i="1"/>
  <c r="J73" i="5"/>
  <c r="I73" i="5"/>
  <c r="N135" i="1"/>
  <c r="BC135" i="1"/>
  <c r="CC135" i="1"/>
  <c r="O135" i="1"/>
  <c r="BI135" i="1"/>
  <c r="BL135" i="1" s="1"/>
  <c r="CE135" i="1"/>
  <c r="CF135" i="1"/>
  <c r="CH135" i="1"/>
  <c r="AI135" i="1"/>
  <c r="AJ135" i="1" s="1"/>
  <c r="BO135" i="1"/>
  <c r="BQ135" i="1" s="1"/>
  <c r="BN135" i="1" s="1"/>
  <c r="CI135" i="1"/>
  <c r="CJ135" i="1"/>
  <c r="AX135" i="1"/>
  <c r="AC135" i="5"/>
  <c r="CB135" i="1"/>
  <c r="AD76" i="1"/>
  <c r="O76" i="5" s="1"/>
  <c r="AD118" i="1"/>
  <c r="O118" i="5" s="1"/>
  <c r="AD98" i="1"/>
  <c r="O98" i="5" s="1"/>
  <c r="AD122" i="1"/>
  <c r="O122" i="5" s="1"/>
  <c r="AD94" i="1"/>
  <c r="O94" i="5" s="1"/>
  <c r="AD116" i="1"/>
  <c r="O116" i="5" s="1"/>
  <c r="AD102" i="1"/>
  <c r="O102" i="5" s="1"/>
  <c r="AD117" i="1"/>
  <c r="O117" i="5" s="1"/>
  <c r="AD137" i="1"/>
  <c r="O137" i="5" s="1"/>
  <c r="AD93" i="1"/>
  <c r="O93" i="5" s="1"/>
  <c r="AD101" i="1"/>
  <c r="O101" i="5" s="1"/>
  <c r="AD81" i="1"/>
  <c r="O81" i="5" s="1"/>
  <c r="AD110" i="1"/>
  <c r="O110" i="5" s="1"/>
  <c r="Q110" i="5" s="1"/>
  <c r="AD131" i="1"/>
  <c r="O131" i="5" s="1"/>
  <c r="R131" i="5" s="1"/>
  <c r="AD79" i="1"/>
  <c r="O79" i="5" s="1"/>
  <c r="AD77" i="1"/>
  <c r="O77" i="5" s="1"/>
  <c r="AV135" i="3"/>
  <c r="V158" i="3"/>
  <c r="BL158" i="3" s="1"/>
  <c r="V150" i="3"/>
  <c r="BL150" i="3" s="1"/>
  <c r="V140" i="3"/>
  <c r="BL140" i="3" s="1"/>
  <c r="V138" i="3"/>
  <c r="BL138" i="3" s="1"/>
  <c r="V137" i="3"/>
  <c r="BL137" i="3" s="1"/>
  <c r="V134" i="3"/>
  <c r="BL134" i="3" s="1"/>
  <c r="V133" i="3"/>
  <c r="BL133" i="3" s="1"/>
  <c r="V123" i="3"/>
  <c r="BL123" i="3" s="1"/>
  <c r="V100" i="3"/>
  <c r="BL100" i="3" s="1"/>
  <c r="V99" i="3"/>
  <c r="BL99" i="3" s="1"/>
  <c r="V89" i="3"/>
  <c r="BL89" i="3" s="1"/>
  <c r="V79" i="3"/>
  <c r="BL79" i="3" s="1"/>
  <c r="V60" i="3"/>
  <c r="BL60" i="3" s="1"/>
  <c r="V59" i="3"/>
  <c r="BL59" i="3" s="1"/>
  <c r="V58" i="3"/>
  <c r="BL58" i="3" s="1"/>
  <c r="V57" i="3"/>
  <c r="BL57" i="3" s="1"/>
  <c r="V56" i="3"/>
  <c r="BL56" i="3" s="1"/>
  <c r="V55" i="3"/>
  <c r="BL55" i="3" s="1"/>
  <c r="V119" i="3"/>
  <c r="BL119" i="3" s="1"/>
  <c r="V116" i="3"/>
  <c r="BL116" i="3" s="1"/>
  <c r="V114" i="3"/>
  <c r="BL114" i="3" s="1"/>
  <c r="V110" i="3"/>
  <c r="BL110" i="3" s="1"/>
  <c r="V109" i="3"/>
  <c r="BL109" i="3" s="1"/>
  <c r="V102" i="3"/>
  <c r="BL102" i="3" s="1"/>
  <c r="V101" i="3"/>
  <c r="BL101" i="3" s="1"/>
  <c r="E51" i="3"/>
  <c r="V40" i="3"/>
  <c r="V130" i="3"/>
  <c r="H39" i="17"/>
  <c r="H42" i="17"/>
  <c r="H41" i="17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E80" i="3"/>
  <c r="J80" i="1" s="1"/>
  <c r="AX80" i="3"/>
  <c r="AM80" i="3"/>
  <c r="F80" i="3"/>
  <c r="AS80" i="1" s="1"/>
  <c r="E111" i="3"/>
  <c r="I25" i="17"/>
  <c r="H25" i="17"/>
  <c r="AX3" i="3"/>
  <c r="AX4" i="3"/>
  <c r="AX5" i="3"/>
  <c r="AX6" i="3"/>
  <c r="AX7" i="3"/>
  <c r="AX8" i="3"/>
  <c r="AX9" i="3"/>
  <c r="AX10" i="3"/>
  <c r="AX11" i="3"/>
  <c r="AX12" i="3"/>
  <c r="AX13" i="3"/>
  <c r="AX14" i="3"/>
  <c r="AX15" i="3"/>
  <c r="AX16" i="3"/>
  <c r="AX17" i="3"/>
  <c r="AX18" i="3"/>
  <c r="AX19" i="3"/>
  <c r="AX20" i="3"/>
  <c r="AX21" i="3"/>
  <c r="AX22" i="3"/>
  <c r="AX23" i="3"/>
  <c r="AX24" i="3"/>
  <c r="AX26" i="3"/>
  <c r="AX27" i="3"/>
  <c r="AX28" i="3"/>
  <c r="AX30" i="3"/>
  <c r="AX31" i="3"/>
  <c r="AX32" i="3"/>
  <c r="AX33" i="3"/>
  <c r="AX34" i="3"/>
  <c r="AX35" i="3"/>
  <c r="AX36" i="3"/>
  <c r="AX37" i="3"/>
  <c r="AX38" i="3"/>
  <c r="AX39" i="3"/>
  <c r="AX40" i="3"/>
  <c r="AX41" i="3"/>
  <c r="AX43" i="3"/>
  <c r="AX44" i="3"/>
  <c r="AX45" i="3"/>
  <c r="AX46" i="3"/>
  <c r="AX47" i="3"/>
  <c r="AX48" i="3"/>
  <c r="AX49" i="3"/>
  <c r="AX50" i="3"/>
  <c r="AX52" i="3"/>
  <c r="AX53" i="3"/>
  <c r="AX55" i="3"/>
  <c r="AX56" i="3"/>
  <c r="AX57" i="3"/>
  <c r="AX58" i="3"/>
  <c r="AX59" i="3"/>
  <c r="AX60" i="3"/>
  <c r="AX61" i="3"/>
  <c r="AX62" i="3"/>
  <c r="AX63" i="3"/>
  <c r="AX64" i="3"/>
  <c r="AX65" i="3"/>
  <c r="AX66" i="3"/>
  <c r="AX67" i="3"/>
  <c r="AX68" i="3"/>
  <c r="AX69" i="3"/>
  <c r="AX70" i="3"/>
  <c r="AX71" i="3"/>
  <c r="AX72" i="3"/>
  <c r="AX73" i="3"/>
  <c r="AX74" i="3"/>
  <c r="AX75" i="3"/>
  <c r="AX76" i="3"/>
  <c r="AX77" i="3"/>
  <c r="AX78" i="3"/>
  <c r="AX79" i="3"/>
  <c r="AX81" i="3"/>
  <c r="AX82" i="3"/>
  <c r="AX83" i="3"/>
  <c r="AX84" i="3"/>
  <c r="AX85" i="3"/>
  <c r="AX86" i="3"/>
  <c r="AX87" i="3"/>
  <c r="AX88" i="3"/>
  <c r="AX89" i="3"/>
  <c r="AX90" i="3"/>
  <c r="AX91" i="3"/>
  <c r="AX92" i="3"/>
  <c r="AX93" i="3"/>
  <c r="AX94" i="3"/>
  <c r="AX95" i="3"/>
  <c r="AX98" i="3"/>
  <c r="AX99" i="3"/>
  <c r="AX100" i="3"/>
  <c r="AX101" i="3"/>
  <c r="AX102" i="3"/>
  <c r="AX103" i="3"/>
  <c r="AX104" i="3"/>
  <c r="AX105" i="3"/>
  <c r="AX106" i="3"/>
  <c r="AX107" i="3"/>
  <c r="AX108" i="3"/>
  <c r="AX109" i="3"/>
  <c r="AX110" i="3"/>
  <c r="AX111" i="3"/>
  <c r="AX113" i="3"/>
  <c r="AX114" i="3"/>
  <c r="AX115" i="3"/>
  <c r="AX116" i="3"/>
  <c r="AX117" i="3"/>
  <c r="AX118" i="3"/>
  <c r="AX119" i="3"/>
  <c r="AX120" i="3"/>
  <c r="AX121" i="3"/>
  <c r="AX122" i="3"/>
  <c r="AX123" i="3"/>
  <c r="AX124" i="3"/>
  <c r="AX125" i="3"/>
  <c r="AX126" i="3"/>
  <c r="AX127" i="3"/>
  <c r="AX128" i="3"/>
  <c r="AX129" i="3"/>
  <c r="AX130" i="3"/>
  <c r="AX131" i="3"/>
  <c r="AX132" i="3"/>
  <c r="AX133" i="3"/>
  <c r="AX134" i="3"/>
  <c r="AX135" i="3"/>
  <c r="AX136" i="3"/>
  <c r="AX138" i="3"/>
  <c r="AX139" i="3"/>
  <c r="AX140" i="3"/>
  <c r="AX141" i="3"/>
  <c r="AX142" i="3"/>
  <c r="AX143" i="3"/>
  <c r="AX144" i="3"/>
  <c r="AX145" i="3"/>
  <c r="AX146" i="3"/>
  <c r="AX147" i="3"/>
  <c r="AX148" i="3"/>
  <c r="AX149" i="3"/>
  <c r="AX150" i="3"/>
  <c r="AX151" i="3"/>
  <c r="AX152" i="3"/>
  <c r="AX153" i="3"/>
  <c r="AX154" i="3"/>
  <c r="AX155" i="3"/>
  <c r="AX156" i="3"/>
  <c r="AX157" i="3"/>
  <c r="AX158" i="3"/>
  <c r="AX159" i="3"/>
  <c r="AX160" i="3"/>
  <c r="K42" i="17"/>
  <c r="K41" i="17"/>
  <c r="AX2" i="3"/>
  <c r="E104" i="3"/>
  <c r="J104" i="1" s="1"/>
  <c r="J105" i="1"/>
  <c r="E127" i="3"/>
  <c r="E103" i="3"/>
  <c r="J103" i="1" s="1"/>
  <c r="E108" i="3"/>
  <c r="J108" i="1" s="1"/>
  <c r="E107" i="3"/>
  <c r="J107" i="1" s="1"/>
  <c r="E106" i="3"/>
  <c r="J106" i="1" s="1"/>
  <c r="J127" i="1" l="1"/>
  <c r="BO127" i="3"/>
  <c r="CG127" i="1"/>
  <c r="BJ127" i="1"/>
  <c r="AY127" i="1"/>
  <c r="BD127" i="1"/>
  <c r="BE127" i="1"/>
  <c r="CG104" i="1"/>
  <c r="BJ104" i="1"/>
  <c r="AY104" i="1"/>
  <c r="BD104" i="1"/>
  <c r="BE104" i="1"/>
  <c r="CG80" i="1"/>
  <c r="BJ80" i="1"/>
  <c r="AY80" i="1"/>
  <c r="BD80" i="1"/>
  <c r="BE80" i="1"/>
  <c r="CG105" i="1"/>
  <c r="BJ105" i="1"/>
  <c r="AY105" i="1"/>
  <c r="BE105" i="1"/>
  <c r="BD105" i="1"/>
  <c r="CG106" i="1"/>
  <c r="AY106" i="1"/>
  <c r="BJ106" i="1"/>
  <c r="BD106" i="1"/>
  <c r="BE106" i="1"/>
  <c r="CG111" i="1"/>
  <c r="BJ111" i="1"/>
  <c r="AY111" i="1"/>
  <c r="CG107" i="1"/>
  <c r="AY107" i="1"/>
  <c r="BJ107" i="1"/>
  <c r="BD107" i="1"/>
  <c r="BE107" i="1"/>
  <c r="CG108" i="1"/>
  <c r="BJ108" i="1"/>
  <c r="AY108" i="1"/>
  <c r="BE108" i="1"/>
  <c r="BD108" i="1"/>
  <c r="AA175" i="5"/>
  <c r="Z175" i="5"/>
  <c r="CG51" i="1"/>
  <c r="BJ51" i="1"/>
  <c r="AY51" i="1"/>
  <c r="CG103" i="1"/>
  <c r="BJ103" i="1"/>
  <c r="AY103" i="1"/>
  <c r="BE103" i="1"/>
  <c r="BD103" i="1"/>
  <c r="BK135" i="1"/>
  <c r="BC105" i="3"/>
  <c r="BC104" i="3"/>
  <c r="BW80" i="1"/>
  <c r="BC80" i="3"/>
  <c r="BC106" i="3"/>
  <c r="BC127" i="3"/>
  <c r="BC107" i="3"/>
  <c r="BC108" i="3"/>
  <c r="BC103" i="3"/>
  <c r="AQ106" i="3"/>
  <c r="BF106" i="3" s="1"/>
  <c r="AX106" i="1"/>
  <c r="AZ106" i="1"/>
  <c r="CB106" i="1"/>
  <c r="CC106" i="1"/>
  <c r="S106" i="1"/>
  <c r="BI106" i="1"/>
  <c r="BL106" i="1" s="1"/>
  <c r="CF106" i="1"/>
  <c r="CH106" i="1"/>
  <c r="CJ106" i="1"/>
  <c r="CI106" i="1"/>
  <c r="BC106" i="1"/>
  <c r="BO106" i="1"/>
  <c r="BQ106" i="1" s="1"/>
  <c r="BN106" i="1" s="1"/>
  <c r="W106" i="5"/>
  <c r="CE106" i="1"/>
  <c r="AC106" i="5"/>
  <c r="AI106" i="1"/>
  <c r="AJ106" i="1" s="1"/>
  <c r="X106" i="5"/>
  <c r="Y106" i="5"/>
  <c r="AR106" i="3"/>
  <c r="BH106" i="3" s="1"/>
  <c r="BE106" i="3"/>
  <c r="BH106" i="1"/>
  <c r="K106" i="1"/>
  <c r="AP106" i="1"/>
  <c r="AB106" i="5" s="1"/>
  <c r="AQ103" i="3"/>
  <c r="BF103" i="3" s="1"/>
  <c r="AZ103" i="3"/>
  <c r="AI103" i="1"/>
  <c r="AJ103" i="1" s="1"/>
  <c r="BO103" i="1"/>
  <c r="BQ103" i="1" s="1"/>
  <c r="BN103" i="1" s="1"/>
  <c r="CI103" i="1"/>
  <c r="CJ103" i="1"/>
  <c r="AX103" i="1"/>
  <c r="AZ103" i="1"/>
  <c r="CB103" i="1"/>
  <c r="CC103" i="1"/>
  <c r="BC103" i="1"/>
  <c r="CE103" i="1"/>
  <c r="CH103" i="1"/>
  <c r="CF103" i="1"/>
  <c r="BI103" i="1"/>
  <c r="BL103" i="1" s="1"/>
  <c r="W103" i="5"/>
  <c r="S103" i="1"/>
  <c r="X103" i="5"/>
  <c r="AR103" i="3"/>
  <c r="BH103" i="3" s="1"/>
  <c r="BE103" i="3"/>
  <c r="K103" i="1"/>
  <c r="BH103" i="1"/>
  <c r="Y103" i="5"/>
  <c r="AP103" i="1"/>
  <c r="AB103" i="5" s="1"/>
  <c r="AC103" i="5"/>
  <c r="AQ107" i="3"/>
  <c r="BF107" i="3" s="1"/>
  <c r="BC107" i="1"/>
  <c r="CC107" i="1"/>
  <c r="S107" i="1"/>
  <c r="BI107" i="1"/>
  <c r="BL107" i="1" s="1"/>
  <c r="CE107" i="1"/>
  <c r="CF107" i="1"/>
  <c r="AI107" i="1"/>
  <c r="AJ107" i="1" s="1"/>
  <c r="CH107" i="1"/>
  <c r="CJ107" i="1"/>
  <c r="AX107" i="1"/>
  <c r="AZ107" i="1"/>
  <c r="CB107" i="1"/>
  <c r="CI107" i="1"/>
  <c r="BO107" i="1"/>
  <c r="BQ107" i="1" s="1"/>
  <c r="BN107" i="1" s="1"/>
  <c r="X107" i="5"/>
  <c r="AR107" i="3"/>
  <c r="BH107" i="3" s="1"/>
  <c r="BE107" i="3"/>
  <c r="K107" i="1"/>
  <c r="BH107" i="1"/>
  <c r="Y107" i="5"/>
  <c r="W107" i="5"/>
  <c r="AC107" i="5"/>
  <c r="AP107" i="1"/>
  <c r="AB107" i="5" s="1"/>
  <c r="AQ108" i="3"/>
  <c r="BF108" i="3" s="1"/>
  <c r="AZ108" i="3"/>
  <c r="AI108" i="1"/>
  <c r="AJ108" i="1" s="1"/>
  <c r="CH108" i="1"/>
  <c r="BO108" i="1"/>
  <c r="BQ108" i="1" s="1"/>
  <c r="BN108" i="1" s="1"/>
  <c r="CI108" i="1"/>
  <c r="CJ108" i="1"/>
  <c r="AZ108" i="1"/>
  <c r="CB108" i="1"/>
  <c r="S108" i="1"/>
  <c r="BI108" i="1"/>
  <c r="BL108" i="1" s="1"/>
  <c r="CE108" i="1"/>
  <c r="CF108" i="1"/>
  <c r="CC108" i="1"/>
  <c r="AX108" i="1"/>
  <c r="BC108" i="1"/>
  <c r="W108" i="5"/>
  <c r="AR108" i="3"/>
  <c r="BH108" i="3" s="1"/>
  <c r="BE108" i="3"/>
  <c r="BH108" i="1"/>
  <c r="K108" i="1"/>
  <c r="AP108" i="1"/>
  <c r="AB108" i="5" s="1"/>
  <c r="AC108" i="5"/>
  <c r="X108" i="5"/>
  <c r="Y108" i="5"/>
  <c r="AV130" i="3"/>
  <c r="AD130" i="1" s="1"/>
  <c r="O130" i="5" s="1"/>
  <c r="P130" i="5" s="1"/>
  <c r="BL130" i="3"/>
  <c r="AN135" i="1"/>
  <c r="BI111" i="1"/>
  <c r="BL111" i="1" s="1"/>
  <c r="CE111" i="1"/>
  <c r="CF111" i="1"/>
  <c r="AI111" i="1"/>
  <c r="AJ111" i="1" s="1"/>
  <c r="CH111" i="1"/>
  <c r="CI111" i="1"/>
  <c r="AX111" i="1"/>
  <c r="N111" i="1"/>
  <c r="CB111" i="1"/>
  <c r="O111" i="1"/>
  <c r="BC111" i="1"/>
  <c r="CC111" i="1"/>
  <c r="BO111" i="1"/>
  <c r="BQ111" i="1" s="1"/>
  <c r="BN111" i="1" s="1"/>
  <c r="CJ111" i="1"/>
  <c r="AC111" i="5"/>
  <c r="AR51" i="3"/>
  <c r="BH51" i="3" s="1"/>
  <c r="CJ51" i="1"/>
  <c r="CC51" i="1"/>
  <c r="BC51" i="1"/>
  <c r="CE51" i="1"/>
  <c r="BI51" i="1"/>
  <c r="BL51" i="1" s="1"/>
  <c r="CH51" i="1"/>
  <c r="BO51" i="1"/>
  <c r="BQ51" i="1" s="1"/>
  <c r="BN51" i="1" s="1"/>
  <c r="N51" i="1"/>
  <c r="O51" i="1"/>
  <c r="AI51" i="1"/>
  <c r="AJ51" i="1" s="1"/>
  <c r="CB51" i="1"/>
  <c r="CF51" i="1"/>
  <c r="CI51" i="1"/>
  <c r="AC51" i="5"/>
  <c r="AX51" i="1"/>
  <c r="AZ105" i="3"/>
  <c r="AQ105" i="3"/>
  <c r="BF105" i="3" s="1"/>
  <c r="S105" i="1"/>
  <c r="CH105" i="1"/>
  <c r="BO105" i="1"/>
  <c r="BQ105" i="1" s="1"/>
  <c r="BN105" i="1" s="1"/>
  <c r="CI105" i="1"/>
  <c r="CJ105" i="1"/>
  <c r="AX105" i="1"/>
  <c r="AZ105" i="1"/>
  <c r="CB105" i="1"/>
  <c r="BC105" i="1"/>
  <c r="CE105" i="1"/>
  <c r="BI105" i="1"/>
  <c r="BL105" i="1" s="1"/>
  <c r="CF105" i="1"/>
  <c r="CC105" i="1"/>
  <c r="AC105" i="5"/>
  <c r="AR105" i="3"/>
  <c r="BH105" i="3" s="1"/>
  <c r="BE105" i="3"/>
  <c r="Y105" i="5"/>
  <c r="AP105" i="1"/>
  <c r="AB105" i="5" s="1"/>
  <c r="K105" i="1"/>
  <c r="BH105" i="1"/>
  <c r="W105" i="5"/>
  <c r="X105" i="5"/>
  <c r="AQ104" i="3"/>
  <c r="BF104" i="3" s="1"/>
  <c r="AZ104" i="1"/>
  <c r="CB104" i="1"/>
  <c r="CC104" i="1"/>
  <c r="BC104" i="1"/>
  <c r="CE104" i="1"/>
  <c r="BI104" i="1"/>
  <c r="BL104" i="1" s="1"/>
  <c r="CF104" i="1"/>
  <c r="CH104" i="1"/>
  <c r="BO104" i="1"/>
  <c r="BQ104" i="1" s="1"/>
  <c r="BN104" i="1" s="1"/>
  <c r="CI104" i="1"/>
  <c r="CJ104" i="1"/>
  <c r="AX104" i="1"/>
  <c r="S104" i="1"/>
  <c r="AR104" i="3"/>
  <c r="BH104" i="3" s="1"/>
  <c r="BE104" i="3"/>
  <c r="K104" i="1"/>
  <c r="AP104" i="1"/>
  <c r="AB104" i="5" s="1"/>
  <c r="BH104" i="1"/>
  <c r="AC104" i="5"/>
  <c r="X104" i="5"/>
  <c r="Y104" i="5"/>
  <c r="W104" i="5"/>
  <c r="AQ127" i="3"/>
  <c r="BF127" i="3" s="1"/>
  <c r="BG127" i="3" s="1"/>
  <c r="BS127" i="3" s="1"/>
  <c r="CC127" i="1"/>
  <c r="S127" i="1"/>
  <c r="BI127" i="1"/>
  <c r="BL127" i="1" s="1"/>
  <c r="CE127" i="1"/>
  <c r="AX127" i="1"/>
  <c r="AZ127" i="1"/>
  <c r="CB127" i="1"/>
  <c r="CF127" i="1"/>
  <c r="BC127" i="1"/>
  <c r="CI127" i="1"/>
  <c r="X127" i="5"/>
  <c r="W127" i="5"/>
  <c r="BO127" i="1"/>
  <c r="BQ127" i="1" s="1"/>
  <c r="BN127" i="1" s="1"/>
  <c r="Y127" i="5"/>
  <c r="CH127" i="1"/>
  <c r="AC127" i="5"/>
  <c r="CJ127" i="1"/>
  <c r="BE127" i="3"/>
  <c r="K127" i="1"/>
  <c r="AR127" i="3"/>
  <c r="BH127" i="3" s="1"/>
  <c r="BH127" i="1"/>
  <c r="AP127" i="1"/>
  <c r="AB127" i="5" s="1"/>
  <c r="AQ80" i="3"/>
  <c r="BF80" i="3" s="1"/>
  <c r="AR80" i="3"/>
  <c r="BH80" i="3" s="1"/>
  <c r="BI80" i="1"/>
  <c r="BL80" i="1" s="1"/>
  <c r="CF80" i="1"/>
  <c r="CH80" i="1"/>
  <c r="CC80" i="1"/>
  <c r="BO80" i="1"/>
  <c r="BQ80" i="1" s="1"/>
  <c r="BN80" i="1" s="1"/>
  <c r="AI80" i="1"/>
  <c r="AJ80" i="1" s="1"/>
  <c r="AX80" i="1"/>
  <c r="CE80" i="1"/>
  <c r="CI80" i="1"/>
  <c r="AZ80" i="1"/>
  <c r="CJ80" i="1"/>
  <c r="BC80" i="1"/>
  <c r="CB80" i="1"/>
  <c r="W80" i="5"/>
  <c r="X80" i="5"/>
  <c r="BE80" i="3"/>
  <c r="K80" i="1"/>
  <c r="AS80" i="3"/>
  <c r="X80" i="1" s="1"/>
  <c r="BH80" i="1"/>
  <c r="AP80" i="1"/>
  <c r="AB80" i="5" s="1"/>
  <c r="Y80" i="5"/>
  <c r="AC80" i="5"/>
  <c r="AL135" i="1"/>
  <c r="S135" i="5"/>
  <c r="AK135" i="1"/>
  <c r="AM135" i="1"/>
  <c r="BD106" i="3"/>
  <c r="AZ106" i="3"/>
  <c r="BN106" i="3" a="1"/>
  <c r="BN106" i="3" s="1"/>
  <c r="BR106" i="3" s="1"/>
  <c r="BD107" i="3"/>
  <c r="AZ107" i="3"/>
  <c r="BN107" i="3" a="1"/>
  <c r="BN107" i="3" s="1"/>
  <c r="BR107" i="3" s="1"/>
  <c r="BD108" i="3"/>
  <c r="BN108" i="3" a="1"/>
  <c r="BN108" i="3" s="1"/>
  <c r="BR108" i="3" s="1"/>
  <c r="BD103" i="3"/>
  <c r="BN103" i="3" a="1"/>
  <c r="BN103" i="3" s="1"/>
  <c r="BR103" i="3" s="1"/>
  <c r="AZ127" i="3"/>
  <c r="BD127" i="3"/>
  <c r="BA127" i="3" s="1"/>
  <c r="BN127" i="3" a="1"/>
  <c r="BN127" i="3" s="1"/>
  <c r="BD105" i="3"/>
  <c r="BN105" i="3" a="1"/>
  <c r="BN105" i="3" s="1"/>
  <c r="BN104" i="3" a="1"/>
  <c r="BN104" i="3" s="1"/>
  <c r="BD104" i="3"/>
  <c r="AZ104" i="3"/>
  <c r="BA80" i="3"/>
  <c r="BO80" i="3"/>
  <c r="BD80" i="3"/>
  <c r="BN80" i="3" a="1"/>
  <c r="BN80" i="3" s="1"/>
  <c r="R101" i="5"/>
  <c r="P101" i="5"/>
  <c r="Q101" i="5"/>
  <c r="R93" i="5"/>
  <c r="P93" i="5"/>
  <c r="Q93" i="5"/>
  <c r="Q137" i="5"/>
  <c r="R137" i="5"/>
  <c r="P137" i="5"/>
  <c r="P117" i="5"/>
  <c r="R117" i="5"/>
  <c r="Q117" i="5"/>
  <c r="P102" i="5"/>
  <c r="Q102" i="5"/>
  <c r="R102" i="5"/>
  <c r="Q81" i="5"/>
  <c r="R81" i="5"/>
  <c r="P81" i="5"/>
  <c r="R77" i="5"/>
  <c r="Q77" i="5"/>
  <c r="P77" i="5"/>
  <c r="P116" i="5"/>
  <c r="R116" i="5"/>
  <c r="Q116" i="5"/>
  <c r="P94" i="5"/>
  <c r="Q94" i="5"/>
  <c r="R94" i="5"/>
  <c r="P79" i="5"/>
  <c r="Q79" i="5"/>
  <c r="R79" i="5"/>
  <c r="Q122" i="5"/>
  <c r="P122" i="5"/>
  <c r="R122" i="5"/>
  <c r="R98" i="5"/>
  <c r="Q98" i="5"/>
  <c r="P98" i="5"/>
  <c r="P118" i="5"/>
  <c r="Q118" i="5"/>
  <c r="R118" i="5"/>
  <c r="P76" i="5"/>
  <c r="Q76" i="5"/>
  <c r="R76" i="5"/>
  <c r="Q131" i="5"/>
  <c r="P131" i="5"/>
  <c r="P110" i="5"/>
  <c r="R110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V123" i="3"/>
  <c r="AD123" i="1" s="1"/>
  <c r="O123" i="5" s="1"/>
  <c r="AG110" i="1"/>
  <c r="AE110" i="1"/>
  <c r="AF110" i="1"/>
  <c r="AH110" i="1"/>
  <c r="AH117" i="1"/>
  <c r="AE117" i="1"/>
  <c r="AF117" i="1"/>
  <c r="AG117" i="1"/>
  <c r="AE122" i="1"/>
  <c r="AF122" i="1"/>
  <c r="AH122" i="1"/>
  <c r="AG122" i="1"/>
  <c r="AE101" i="1"/>
  <c r="AF101" i="1"/>
  <c r="AG101" i="1"/>
  <c r="AH101" i="1"/>
  <c r="AF81" i="1"/>
  <c r="AG81" i="1"/>
  <c r="AH81" i="1"/>
  <c r="AE81" i="1"/>
  <c r="AG76" i="1"/>
  <c r="AH76" i="1"/>
  <c r="AE76" i="1"/>
  <c r="AF76" i="1"/>
  <c r="AV55" i="3"/>
  <c r="AD55" i="1" s="1"/>
  <c r="O55" i="5" s="1"/>
  <c r="AV137" i="3"/>
  <c r="AF94" i="1"/>
  <c r="AH94" i="1"/>
  <c r="AE94" i="1"/>
  <c r="AG94" i="1"/>
  <c r="AH98" i="1"/>
  <c r="AE98" i="1"/>
  <c r="AG98" i="1"/>
  <c r="AF98" i="1"/>
  <c r="AV150" i="3"/>
  <c r="AD150" i="1" s="1"/>
  <c r="O150" i="5" s="1"/>
  <c r="AV102" i="3"/>
  <c r="AV60" i="3"/>
  <c r="AD60" i="1" s="1"/>
  <c r="O60" i="5" s="1"/>
  <c r="AF79" i="1"/>
  <c r="AE79" i="1"/>
  <c r="AG79" i="1"/>
  <c r="AH79" i="1"/>
  <c r="AE93" i="1"/>
  <c r="AF93" i="1"/>
  <c r="AG93" i="1"/>
  <c r="AH93" i="1"/>
  <c r="AV134" i="3"/>
  <c r="AD134" i="1" s="1"/>
  <c r="O134" i="5" s="1"/>
  <c r="AE116" i="1"/>
  <c r="AG116" i="1"/>
  <c r="AF116" i="1"/>
  <c r="AH116" i="1"/>
  <c r="AH77" i="1"/>
  <c r="AE77" i="1"/>
  <c r="AG77" i="1"/>
  <c r="AF77" i="1"/>
  <c r="AV119" i="3"/>
  <c r="AD119" i="1" s="1"/>
  <c r="O119" i="5" s="1"/>
  <c r="AG131" i="1"/>
  <c r="AH131" i="1"/>
  <c r="AE131" i="1"/>
  <c r="AF131" i="1"/>
  <c r="AH102" i="1"/>
  <c r="AF102" i="1"/>
  <c r="AG102" i="1"/>
  <c r="AE102" i="1"/>
  <c r="AG137" i="1"/>
  <c r="AH137" i="1"/>
  <c r="AF137" i="1"/>
  <c r="AE137" i="1"/>
  <c r="AE118" i="1"/>
  <c r="AF118" i="1"/>
  <c r="AG118" i="1"/>
  <c r="AH118" i="1"/>
  <c r="AV104" i="3"/>
  <c r="AV107" i="3"/>
  <c r="AV106" i="3"/>
  <c r="AV103" i="3"/>
  <c r="AV108" i="3"/>
  <c r="AV127" i="3"/>
  <c r="AV105" i="3"/>
  <c r="AV110" i="3"/>
  <c r="AV158" i="3"/>
  <c r="AD158" i="1" s="1"/>
  <c r="O158" i="5" s="1"/>
  <c r="AV138" i="3"/>
  <c r="AD138" i="1" s="1"/>
  <c r="O138" i="5" s="1"/>
  <c r="AV99" i="3"/>
  <c r="AD99" i="1" s="1"/>
  <c r="O99" i="5" s="1"/>
  <c r="AV59" i="3"/>
  <c r="AD59" i="1" s="1"/>
  <c r="O59" i="5" s="1"/>
  <c r="AV114" i="3"/>
  <c r="AD114" i="1" s="1"/>
  <c r="O114" i="5" s="1"/>
  <c r="AV133" i="3"/>
  <c r="AD133" i="1" s="1"/>
  <c r="O133" i="5" s="1"/>
  <c r="AV116" i="3"/>
  <c r="AV109" i="3"/>
  <c r="AD109" i="1" s="1"/>
  <c r="O109" i="5" s="1"/>
  <c r="AV101" i="3"/>
  <c r="AV56" i="3"/>
  <c r="AD56" i="1" s="1"/>
  <c r="O56" i="5" s="1"/>
  <c r="AV57" i="3"/>
  <c r="AD57" i="1" s="1"/>
  <c r="O57" i="5" s="1"/>
  <c r="AV58" i="3"/>
  <c r="AD58" i="1" s="1"/>
  <c r="O58" i="5" s="1"/>
  <c r="AV79" i="3"/>
  <c r="AV89" i="3"/>
  <c r="AV100" i="3"/>
  <c r="AD100" i="1" s="1"/>
  <c r="O100" i="5" s="1"/>
  <c r="AV140" i="3"/>
  <c r="AD140" i="1" s="1"/>
  <c r="O140" i="5" s="1"/>
  <c r="R140" i="5" s="1"/>
  <c r="M2" i="5"/>
  <c r="AN80" i="3"/>
  <c r="AO80" i="3" s="1"/>
  <c r="Z80" i="5" s="1"/>
  <c r="I9" i="12"/>
  <c r="BK127" i="3" l="1"/>
  <c r="AD89" i="1"/>
  <c r="O89" i="5" s="1"/>
  <c r="R89" i="5" s="1"/>
  <c r="AD190" i="1"/>
  <c r="BK80" i="1"/>
  <c r="BZ80" i="1"/>
  <c r="CA80" i="1" s="1"/>
  <c r="BK111" i="1"/>
  <c r="BK104" i="1"/>
  <c r="BZ104" i="1"/>
  <c r="CA104" i="1" s="1"/>
  <c r="BK105" i="1"/>
  <c r="BZ105" i="1"/>
  <c r="CA105" i="1" s="1"/>
  <c r="BK107" i="1"/>
  <c r="BZ107" i="1"/>
  <c r="CA107" i="1" s="1"/>
  <c r="BK51" i="1"/>
  <c r="BK106" i="1"/>
  <c r="BZ106" i="1"/>
  <c r="CA106" i="1" s="1"/>
  <c r="BK127" i="1"/>
  <c r="BZ127" i="1"/>
  <c r="CA127" i="1" s="1"/>
  <c r="BK108" i="1"/>
  <c r="BZ108" i="1"/>
  <c r="CA108" i="1" s="1"/>
  <c r="BK103" i="1"/>
  <c r="BZ103" i="1"/>
  <c r="CA103" i="1" s="1"/>
  <c r="BR104" i="3"/>
  <c r="BR105" i="3"/>
  <c r="AA80" i="5"/>
  <c r="BR80" i="3"/>
  <c r="BR127" i="3"/>
  <c r="AH130" i="1"/>
  <c r="AI105" i="1"/>
  <c r="AI127" i="1"/>
  <c r="AE130" i="1"/>
  <c r="R130" i="5"/>
  <c r="Q130" i="5"/>
  <c r="AG130" i="1"/>
  <c r="AF130" i="1"/>
  <c r="AI104" i="1"/>
  <c r="S80" i="1"/>
  <c r="G80" i="5" s="1"/>
  <c r="AS104" i="3"/>
  <c r="AS103" i="3"/>
  <c r="AS127" i="3"/>
  <c r="X127" i="1" s="1"/>
  <c r="BP127" i="3"/>
  <c r="BT127" i="3" s="1"/>
  <c r="BL127" i="3"/>
  <c r="AQ104" i="1"/>
  <c r="BS104" i="1" s="1"/>
  <c r="CD105" i="1"/>
  <c r="BF105" i="1"/>
  <c r="BU105" i="1"/>
  <c r="BG105" i="1"/>
  <c r="BP105" i="1" s="1" a="1"/>
  <c r="BP105" i="1" s="1"/>
  <c r="CD108" i="1"/>
  <c r="BU108" i="1"/>
  <c r="BF108" i="1"/>
  <c r="BG108" i="1"/>
  <c r="BP108" i="1" s="1" a="1"/>
  <c r="BP108" i="1" s="1"/>
  <c r="W108" i="1"/>
  <c r="G108" i="5"/>
  <c r="U108" i="1"/>
  <c r="V108" i="1"/>
  <c r="T108" i="1"/>
  <c r="BP107" i="3"/>
  <c r="BT107" i="3" s="1"/>
  <c r="BL107" i="3"/>
  <c r="AN107" i="1"/>
  <c r="BQ80" i="3"/>
  <c r="D80" i="5" s="1"/>
  <c r="BI80" i="3"/>
  <c r="F80" i="5" s="1"/>
  <c r="E80" i="5"/>
  <c r="AQ80" i="1"/>
  <c r="BS80" i="1" s="1"/>
  <c r="G104" i="5"/>
  <c r="U104" i="1"/>
  <c r="W104" i="1"/>
  <c r="V104" i="1"/>
  <c r="T104" i="1"/>
  <c r="BU103" i="1"/>
  <c r="CD103" i="1"/>
  <c r="BF103" i="1"/>
  <c r="BG103" i="1"/>
  <c r="BP103" i="1" s="1" a="1"/>
  <c r="BP103" i="1" s="1"/>
  <c r="S103" i="5"/>
  <c r="AK103" i="1"/>
  <c r="AM103" i="1"/>
  <c r="AL103" i="1"/>
  <c r="BI106" i="3"/>
  <c r="F106" i="5" s="1"/>
  <c r="E106" i="5"/>
  <c r="U127" i="1"/>
  <c r="G127" i="5"/>
  <c r="W127" i="1"/>
  <c r="T127" i="1"/>
  <c r="V127" i="1"/>
  <c r="S51" i="5"/>
  <c r="AM51" i="1"/>
  <c r="AL51" i="1"/>
  <c r="AK51" i="1"/>
  <c r="S111" i="5"/>
  <c r="AL111" i="1"/>
  <c r="AK111" i="1"/>
  <c r="AM111" i="1"/>
  <c r="BI108" i="3"/>
  <c r="F108" i="5" s="1"/>
  <c r="E108" i="5"/>
  <c r="BL106" i="3"/>
  <c r="BP106" i="3"/>
  <c r="BT106" i="3" s="1"/>
  <c r="BG80" i="3"/>
  <c r="K80" i="5" s="1"/>
  <c r="L80" i="5" s="1"/>
  <c r="AN127" i="1"/>
  <c r="AQ127" i="1"/>
  <c r="BS127" i="1" s="1"/>
  <c r="BJ104" i="3"/>
  <c r="BM104" i="3"/>
  <c r="AS105" i="3"/>
  <c r="BP51" i="3"/>
  <c r="BT51" i="3"/>
  <c r="BP108" i="3"/>
  <c r="BT108" i="3" s="1"/>
  <c r="BL108" i="3"/>
  <c r="W107" i="1"/>
  <c r="G107" i="5"/>
  <c r="U107" i="1"/>
  <c r="V107" i="1"/>
  <c r="T107" i="1"/>
  <c r="AN103" i="1"/>
  <c r="BM103" i="3"/>
  <c r="BJ103" i="3"/>
  <c r="AN106" i="1"/>
  <c r="AN80" i="1"/>
  <c r="E127" i="5"/>
  <c r="BI127" i="3"/>
  <c r="F127" i="5" s="1"/>
  <c r="BJ127" i="3"/>
  <c r="BM127" i="3"/>
  <c r="BI105" i="3"/>
  <c r="F105" i="5" s="1"/>
  <c r="E105" i="5"/>
  <c r="AQ107" i="1"/>
  <c r="BS107" i="1" s="1"/>
  <c r="BI103" i="3"/>
  <c r="F103" i="5" s="1"/>
  <c r="E103" i="5"/>
  <c r="BU104" i="1"/>
  <c r="BF104" i="1"/>
  <c r="BG104" i="1"/>
  <c r="BP104" i="1" s="1" a="1"/>
  <c r="BP104" i="1" s="1"/>
  <c r="CD104" i="1"/>
  <c r="BL105" i="3"/>
  <c r="BP105" i="3"/>
  <c r="BT105" i="3" s="1"/>
  <c r="AN111" i="1"/>
  <c r="S106" i="5"/>
  <c r="AL106" i="1"/>
  <c r="AK106" i="1"/>
  <c r="AM106" i="1"/>
  <c r="CD127" i="1"/>
  <c r="BU127" i="1"/>
  <c r="BG127" i="1"/>
  <c r="BP127" i="1" s="1" a="1"/>
  <c r="BP127" i="1" s="1"/>
  <c r="BF127" i="1"/>
  <c r="AN51" i="1"/>
  <c r="BF107" i="1"/>
  <c r="BU107" i="1"/>
  <c r="BG107" i="1"/>
  <c r="BP107" i="1" s="1" a="1"/>
  <c r="BP107" i="1" s="1"/>
  <c r="CD107" i="1"/>
  <c r="BJ107" i="3"/>
  <c r="BM107" i="3"/>
  <c r="BP103" i="3"/>
  <c r="BT103" i="3" s="1"/>
  <c r="BL103" i="3"/>
  <c r="AQ103" i="1"/>
  <c r="BS103" i="1" s="1"/>
  <c r="AS106" i="3"/>
  <c r="T106" i="1"/>
  <c r="U106" i="1"/>
  <c r="G106" i="5"/>
  <c r="V106" i="1"/>
  <c r="W106" i="1"/>
  <c r="BT80" i="3"/>
  <c r="BP80" i="3"/>
  <c r="AQ105" i="1"/>
  <c r="BS105" i="1" s="1"/>
  <c r="AQ108" i="1"/>
  <c r="BS108" i="1" s="1"/>
  <c r="AM108" i="1"/>
  <c r="S108" i="5"/>
  <c r="AL108" i="1"/>
  <c r="AK108" i="1"/>
  <c r="AQ106" i="1"/>
  <c r="BS106" i="1" s="1"/>
  <c r="AZ80" i="3"/>
  <c r="BJ80" i="3"/>
  <c r="BM80" i="3"/>
  <c r="BU106" i="1"/>
  <c r="BF106" i="1"/>
  <c r="CD106" i="1"/>
  <c r="BG106" i="1"/>
  <c r="BP106" i="1" s="1" a="1"/>
  <c r="BP106" i="1" s="1"/>
  <c r="U135" i="5"/>
  <c r="T135" i="5"/>
  <c r="V135" i="5"/>
  <c r="BF80" i="1"/>
  <c r="CD80" i="1"/>
  <c r="BU80" i="1"/>
  <c r="BG80" i="1"/>
  <c r="BP80" i="1" s="1" a="1"/>
  <c r="BP80" i="1" s="1"/>
  <c r="BI104" i="3"/>
  <c r="F104" i="5" s="1"/>
  <c r="E104" i="5"/>
  <c r="AN105" i="1"/>
  <c r="AN108" i="1"/>
  <c r="AM107" i="1"/>
  <c r="S107" i="5"/>
  <c r="AK107" i="1"/>
  <c r="AL107" i="1"/>
  <c r="U103" i="1"/>
  <c r="G103" i="5"/>
  <c r="T103" i="1"/>
  <c r="V103" i="1"/>
  <c r="W103" i="1"/>
  <c r="BL104" i="3"/>
  <c r="BP104" i="3"/>
  <c r="BT104" i="3" s="1"/>
  <c r="W105" i="1"/>
  <c r="U105" i="1"/>
  <c r="V105" i="1"/>
  <c r="G105" i="5"/>
  <c r="T105" i="1"/>
  <c r="AS108" i="3"/>
  <c r="BM108" i="3"/>
  <c r="BJ108" i="3"/>
  <c r="AS107" i="3"/>
  <c r="AM80" i="1"/>
  <c r="S80" i="5"/>
  <c r="AL80" i="1"/>
  <c r="AK80" i="1"/>
  <c r="AN104" i="1"/>
  <c r="BJ105" i="3"/>
  <c r="BM105" i="3"/>
  <c r="E107" i="5"/>
  <c r="BI107" i="3"/>
  <c r="F107" i="5" s="1"/>
  <c r="BM106" i="3"/>
  <c r="BJ106" i="3"/>
  <c r="Q109" i="5"/>
  <c r="R109" i="5"/>
  <c r="P109" i="5"/>
  <c r="P114" i="5"/>
  <c r="R114" i="5"/>
  <c r="Q114" i="5"/>
  <c r="P57" i="5"/>
  <c r="Q57" i="5"/>
  <c r="R57" i="5"/>
  <c r="R59" i="5"/>
  <c r="Q59" i="5"/>
  <c r="P59" i="5"/>
  <c r="P123" i="5"/>
  <c r="R123" i="5"/>
  <c r="Q123" i="5"/>
  <c r="P100" i="5"/>
  <c r="Q100" i="5"/>
  <c r="R100" i="5"/>
  <c r="P138" i="5"/>
  <c r="Q138" i="5"/>
  <c r="R138" i="5"/>
  <c r="P60" i="5"/>
  <c r="Q60" i="5"/>
  <c r="R60" i="5"/>
  <c r="Q158" i="5"/>
  <c r="R158" i="5"/>
  <c r="P158" i="5"/>
  <c r="P58" i="5"/>
  <c r="Q58" i="5"/>
  <c r="R58" i="5"/>
  <c r="P134" i="5"/>
  <c r="R134" i="5"/>
  <c r="Q134" i="5"/>
  <c r="P55" i="5"/>
  <c r="Q55" i="5"/>
  <c r="R55" i="5"/>
  <c r="R56" i="5"/>
  <c r="P56" i="5"/>
  <c r="Q56" i="5"/>
  <c r="P133" i="5"/>
  <c r="Q133" i="5"/>
  <c r="R133" i="5"/>
  <c r="Q140" i="5"/>
  <c r="P140" i="5"/>
  <c r="Q99" i="5"/>
  <c r="R99" i="5"/>
  <c r="P99" i="5"/>
  <c r="P119" i="5"/>
  <c r="Q119" i="5"/>
  <c r="R119" i="5"/>
  <c r="R150" i="5"/>
  <c r="P150" i="5"/>
  <c r="Q150" i="5"/>
  <c r="AF114" i="1"/>
  <c r="AE114" i="1"/>
  <c r="AG114" i="1"/>
  <c r="AH114" i="1"/>
  <c r="AD51" i="1"/>
  <c r="O51" i="5" s="1"/>
  <c r="AG134" i="1"/>
  <c r="AH134" i="1"/>
  <c r="AE134" i="1"/>
  <c r="AF134" i="1"/>
  <c r="AF99" i="1"/>
  <c r="AG99" i="1"/>
  <c r="AH99" i="1"/>
  <c r="AE99" i="1"/>
  <c r="AD104" i="1"/>
  <c r="O104" i="5" s="1"/>
  <c r="AH55" i="1"/>
  <c r="AF55" i="1"/>
  <c r="AE55" i="1"/>
  <c r="AG55" i="1"/>
  <c r="AE133" i="1"/>
  <c r="AG133" i="1"/>
  <c r="AH133" i="1"/>
  <c r="AF133" i="1"/>
  <c r="AH140" i="1"/>
  <c r="AE140" i="1"/>
  <c r="AF140" i="1"/>
  <c r="AG140" i="1"/>
  <c r="AH100" i="1"/>
  <c r="AF100" i="1"/>
  <c r="AG100" i="1"/>
  <c r="AE100" i="1"/>
  <c r="AF89" i="1"/>
  <c r="AE89" i="1"/>
  <c r="AH89" i="1"/>
  <c r="AG89" i="1"/>
  <c r="AH138" i="1"/>
  <c r="AE138" i="1"/>
  <c r="AF138" i="1"/>
  <c r="AG138" i="1"/>
  <c r="AD80" i="1"/>
  <c r="O80" i="5" s="1"/>
  <c r="Q80" i="5" s="1"/>
  <c r="AH158" i="1"/>
  <c r="AF158" i="1"/>
  <c r="AE158" i="1"/>
  <c r="AG158" i="1"/>
  <c r="AG58" i="1"/>
  <c r="AE58" i="1"/>
  <c r="AH58" i="1"/>
  <c r="AF58" i="1"/>
  <c r="AG150" i="1"/>
  <c r="AE150" i="1"/>
  <c r="AH150" i="1"/>
  <c r="AF150" i="1"/>
  <c r="AD108" i="1"/>
  <c r="O108" i="5" s="1"/>
  <c r="AH59" i="1"/>
  <c r="AF59" i="1"/>
  <c r="AE59" i="1"/>
  <c r="AG59" i="1"/>
  <c r="AD103" i="1"/>
  <c r="O103" i="5" s="1"/>
  <c r="AG57" i="1"/>
  <c r="AE57" i="1"/>
  <c r="AF57" i="1"/>
  <c r="AH57" i="1"/>
  <c r="AD127" i="1"/>
  <c r="O127" i="5" s="1"/>
  <c r="AF60" i="1"/>
  <c r="AH60" i="1"/>
  <c r="AE60" i="1"/>
  <c r="AG60" i="1"/>
  <c r="Z80" i="1"/>
  <c r="Y80" i="1"/>
  <c r="AA80" i="1"/>
  <c r="AB80" i="1"/>
  <c r="AD105" i="1"/>
  <c r="O105" i="5" s="1"/>
  <c r="AF56" i="1"/>
  <c r="AH56" i="1"/>
  <c r="AE56" i="1"/>
  <c r="AG56" i="1"/>
  <c r="AD106" i="1"/>
  <c r="O106" i="5" s="1"/>
  <c r="AH119" i="1"/>
  <c r="AE119" i="1"/>
  <c r="AF119" i="1"/>
  <c r="AG119" i="1"/>
  <c r="AD107" i="1"/>
  <c r="O107" i="5" s="1"/>
  <c r="AE109" i="1"/>
  <c r="AH109" i="1"/>
  <c r="AF109" i="1"/>
  <c r="AG109" i="1"/>
  <c r="AH123" i="1"/>
  <c r="AE123" i="1"/>
  <c r="AG123" i="1"/>
  <c r="AF123" i="1"/>
  <c r="V51" i="3"/>
  <c r="BL51" i="3" s="1"/>
  <c r="V80" i="3"/>
  <c r="BL80" i="3" s="1"/>
  <c r="U2" i="3"/>
  <c r="AW2" i="3" s="1"/>
  <c r="Y127" i="1" l="1"/>
  <c r="AB127" i="1"/>
  <c r="AA127" i="1"/>
  <c r="K127" i="5"/>
  <c r="Z127" i="1"/>
  <c r="P89" i="5"/>
  <c r="Q89" i="5"/>
  <c r="O190" i="5"/>
  <c r="AG190" i="1"/>
  <c r="AF190" i="1"/>
  <c r="AE190" i="1"/>
  <c r="AH190" i="1"/>
  <c r="AM104" i="1"/>
  <c r="AJ104" i="1"/>
  <c r="AL127" i="1"/>
  <c r="AJ127" i="1"/>
  <c r="AL105" i="1"/>
  <c r="AJ105" i="1"/>
  <c r="AK104" i="1"/>
  <c r="S104" i="5"/>
  <c r="V104" i="5" s="1"/>
  <c r="AM105" i="1"/>
  <c r="AK105" i="1"/>
  <c r="S105" i="5"/>
  <c r="T105" i="5" s="1"/>
  <c r="AM127" i="1"/>
  <c r="S127" i="5"/>
  <c r="V127" i="5" s="1"/>
  <c r="U80" i="1"/>
  <c r="AK127" i="1"/>
  <c r="T80" i="1"/>
  <c r="W80" i="1"/>
  <c r="V80" i="1"/>
  <c r="AL104" i="1"/>
  <c r="BS80" i="3"/>
  <c r="M80" i="5" s="1"/>
  <c r="BK80" i="3"/>
  <c r="N80" i="5" s="1"/>
  <c r="T108" i="5"/>
  <c r="V108" i="5"/>
  <c r="U108" i="5"/>
  <c r="T80" i="5"/>
  <c r="U80" i="5"/>
  <c r="V80" i="5"/>
  <c r="I106" i="5"/>
  <c r="J106" i="5"/>
  <c r="H106" i="5"/>
  <c r="V51" i="5"/>
  <c r="T51" i="5"/>
  <c r="U51" i="5"/>
  <c r="T107" i="5"/>
  <c r="U107" i="5"/>
  <c r="V107" i="5"/>
  <c r="I107" i="5"/>
  <c r="H107" i="5"/>
  <c r="J107" i="5"/>
  <c r="T111" i="5"/>
  <c r="V111" i="5"/>
  <c r="U111" i="5"/>
  <c r="J103" i="5"/>
  <c r="H103" i="5"/>
  <c r="I103" i="5"/>
  <c r="T106" i="5"/>
  <c r="U106" i="5"/>
  <c r="V106" i="5"/>
  <c r="J104" i="5"/>
  <c r="H104" i="5"/>
  <c r="I104" i="5"/>
  <c r="H80" i="5"/>
  <c r="I80" i="5"/>
  <c r="J80" i="5"/>
  <c r="H127" i="5"/>
  <c r="I127" i="5"/>
  <c r="J127" i="5"/>
  <c r="R105" i="5"/>
  <c r="H105" i="5"/>
  <c r="J105" i="5"/>
  <c r="I105" i="5"/>
  <c r="T103" i="5"/>
  <c r="U103" i="5"/>
  <c r="V103" i="5"/>
  <c r="H108" i="5"/>
  <c r="I108" i="5"/>
  <c r="J108" i="5"/>
  <c r="Q51" i="5"/>
  <c r="R51" i="5"/>
  <c r="P51" i="5"/>
  <c r="R106" i="5"/>
  <c r="P106" i="5"/>
  <c r="Q106" i="5"/>
  <c r="P103" i="5"/>
  <c r="Q103" i="5"/>
  <c r="R103" i="5"/>
  <c r="Q127" i="5"/>
  <c r="R127" i="5"/>
  <c r="P127" i="5"/>
  <c r="P108" i="5"/>
  <c r="Q108" i="5"/>
  <c r="R108" i="5"/>
  <c r="P107" i="5"/>
  <c r="R107" i="5"/>
  <c r="Q107" i="5"/>
  <c r="P105" i="5"/>
  <c r="Q105" i="5"/>
  <c r="R80" i="5"/>
  <c r="P80" i="5"/>
  <c r="R104" i="5"/>
  <c r="P104" i="5"/>
  <c r="Q104" i="5"/>
  <c r="AG106" i="1"/>
  <c r="AF106" i="1"/>
  <c r="AE106" i="1"/>
  <c r="AH106" i="1"/>
  <c r="AF107" i="1"/>
  <c r="AG107" i="1"/>
  <c r="AH107" i="1"/>
  <c r="AE107" i="1"/>
  <c r="AE104" i="1"/>
  <c r="AF104" i="1"/>
  <c r="AH104" i="1"/>
  <c r="AG104" i="1"/>
  <c r="AF51" i="1"/>
  <c r="AG51" i="1"/>
  <c r="AE51" i="1"/>
  <c r="AH51" i="1"/>
  <c r="AE105" i="1"/>
  <c r="AF105" i="1"/>
  <c r="AH105" i="1"/>
  <c r="AG105" i="1"/>
  <c r="AG80" i="1"/>
  <c r="AE80" i="1"/>
  <c r="AF80" i="1"/>
  <c r="AH80" i="1"/>
  <c r="AE103" i="1"/>
  <c r="AG103" i="1"/>
  <c r="AH103" i="1"/>
  <c r="AF103" i="1"/>
  <c r="AG127" i="1"/>
  <c r="AE127" i="1"/>
  <c r="AH127" i="1"/>
  <c r="AF127" i="1"/>
  <c r="AH108" i="1"/>
  <c r="AF108" i="1"/>
  <c r="AE108" i="1"/>
  <c r="AG108" i="1"/>
  <c r="AV51" i="3"/>
  <c r="AV80" i="3"/>
  <c r="AU80" i="3"/>
  <c r="G1" i="5"/>
  <c r="BS2" i="3"/>
  <c r="E160" i="3"/>
  <c r="J160" i="1" s="1"/>
  <c r="BW160" i="1" s="1"/>
  <c r="L127" i="5" l="1"/>
  <c r="N127" i="5"/>
  <c r="M127" i="5"/>
  <c r="CG160" i="1"/>
  <c r="AY160" i="1"/>
  <c r="BJ160" i="1"/>
  <c r="BD160" i="1"/>
  <c r="BE160" i="1"/>
  <c r="R190" i="5"/>
  <c r="P190" i="5"/>
  <c r="Q190" i="5"/>
  <c r="BC160" i="3"/>
  <c r="T104" i="5"/>
  <c r="V105" i="5"/>
  <c r="U104" i="5"/>
  <c r="T127" i="5"/>
  <c r="U127" i="5"/>
  <c r="U105" i="5"/>
  <c r="AQ160" i="3"/>
  <c r="BF160" i="3" s="1"/>
  <c r="BO160" i="1"/>
  <c r="BQ160" i="1" s="1"/>
  <c r="BN160" i="1" s="1"/>
  <c r="CE160" i="1"/>
  <c r="AX160" i="1"/>
  <c r="CB160" i="1"/>
  <c r="CC160" i="1"/>
  <c r="AZ160" i="1"/>
  <c r="CF160" i="1"/>
  <c r="BC160" i="1"/>
  <c r="CH160" i="1"/>
  <c r="BI160" i="1"/>
  <c r="BL160" i="1" s="1"/>
  <c r="CI160" i="1"/>
  <c r="S160" i="1"/>
  <c r="CJ160" i="1"/>
  <c r="W160" i="5"/>
  <c r="BE160" i="3"/>
  <c r="AR160" i="3"/>
  <c r="BH160" i="3" s="1"/>
  <c r="AP160" i="1"/>
  <c r="AB160" i="5" s="1"/>
  <c r="K160" i="1"/>
  <c r="AI160" i="1"/>
  <c r="AJ160" i="1" s="1"/>
  <c r="AC160" i="5"/>
  <c r="BH160" i="1"/>
  <c r="Y160" i="5"/>
  <c r="X160" i="5"/>
  <c r="BN160" i="3" a="1"/>
  <c r="BN160" i="3" s="1"/>
  <c r="BD160" i="3"/>
  <c r="AV160" i="3"/>
  <c r="BK160" i="1" l="1"/>
  <c r="BZ160" i="1"/>
  <c r="CA160" i="1" s="1"/>
  <c r="BR160" i="3"/>
  <c r="AS160" i="3"/>
  <c r="BP160" i="3"/>
  <c r="BT160" i="3" s="1"/>
  <c r="E160" i="5"/>
  <c r="BI160" i="3"/>
  <c r="F160" i="5" s="1"/>
  <c r="AQ160" i="1"/>
  <c r="BS160" i="1" s="1"/>
  <c r="AZ160" i="3"/>
  <c r="BL160" i="3" s="1"/>
  <c r="S160" i="5"/>
  <c r="AL160" i="1"/>
  <c r="AM160" i="1"/>
  <c r="AK160" i="1"/>
  <c r="AN160" i="1"/>
  <c r="U160" i="1"/>
  <c r="T160" i="1"/>
  <c r="G160" i="5"/>
  <c r="V160" i="1"/>
  <c r="W160" i="1"/>
  <c r="CD160" i="1"/>
  <c r="BF160" i="1"/>
  <c r="BG160" i="1"/>
  <c r="BP160" i="1" s="1" a="1"/>
  <c r="BP160" i="1" s="1"/>
  <c r="BU160" i="1"/>
  <c r="BM160" i="3"/>
  <c r="BJ160" i="3"/>
  <c r="AD160" i="1"/>
  <c r="O160" i="5" s="1"/>
  <c r="J1" i="5"/>
  <c r="T160" i="5" l="1"/>
  <c r="U160" i="5"/>
  <c r="V160" i="5"/>
  <c r="J160" i="5"/>
  <c r="H160" i="5"/>
  <c r="I160" i="5"/>
  <c r="Q160" i="5"/>
  <c r="R160" i="5"/>
  <c r="P160" i="5"/>
  <c r="AH160" i="1"/>
  <c r="AE160" i="1"/>
  <c r="AG160" i="1"/>
  <c r="AF160" i="1"/>
  <c r="E43" i="3"/>
  <c r="C2" i="5"/>
  <c r="CG43" i="1" l="1"/>
  <c r="BJ43" i="1"/>
  <c r="AY43" i="1"/>
  <c r="AR43" i="3"/>
  <c r="BH43" i="3" s="1"/>
  <c r="AI43" i="1"/>
  <c r="AJ43" i="1" s="1"/>
  <c r="N43" i="1"/>
  <c r="BO43" i="1"/>
  <c r="BQ43" i="1" s="1"/>
  <c r="BN43" i="1" s="1"/>
  <c r="CJ43" i="1"/>
  <c r="O43" i="1"/>
  <c r="AX43" i="1"/>
  <c r="CB43" i="1"/>
  <c r="CC43" i="1"/>
  <c r="BC43" i="1"/>
  <c r="CI43" i="1"/>
  <c r="BI43" i="1"/>
  <c r="BL43" i="1" s="1"/>
  <c r="CE43" i="1"/>
  <c r="CF43" i="1"/>
  <c r="CH43" i="1"/>
  <c r="AC43" i="5"/>
  <c r="E33" i="3"/>
  <c r="J33" i="1" s="1"/>
  <c r="E126" i="3"/>
  <c r="J126" i="1" s="1"/>
  <c r="CG126" i="1" l="1"/>
  <c r="BJ126" i="1"/>
  <c r="AY126" i="1"/>
  <c r="CG33" i="1"/>
  <c r="BJ33" i="1"/>
  <c r="AY33" i="1"/>
  <c r="BD33" i="1"/>
  <c r="BE33" i="1"/>
  <c r="BK43" i="1"/>
  <c r="BC126" i="3"/>
  <c r="BC33" i="3"/>
  <c r="AQ126" i="3"/>
  <c r="BF126" i="3" s="1"/>
  <c r="AX126" i="1"/>
  <c r="AZ126" i="1"/>
  <c r="CC126" i="1"/>
  <c r="CE126" i="1"/>
  <c r="N126" i="1"/>
  <c r="BC126" i="1"/>
  <c r="CF126" i="1"/>
  <c r="O126" i="1"/>
  <c r="BI126" i="1"/>
  <c r="BL126" i="1" s="1"/>
  <c r="CH126" i="1"/>
  <c r="S126" i="1"/>
  <c r="CI126" i="1"/>
  <c r="BO126" i="1"/>
  <c r="BQ126" i="1" s="1"/>
  <c r="BN126" i="1" s="1"/>
  <c r="CJ126" i="1"/>
  <c r="AC126" i="5"/>
  <c r="CB126" i="1"/>
  <c r="AI126" i="1"/>
  <c r="AJ126" i="1" s="1"/>
  <c r="W126" i="5"/>
  <c r="Y126" i="5"/>
  <c r="AR126" i="3"/>
  <c r="BH126" i="3" s="1"/>
  <c r="BP126" i="3" s="1"/>
  <c r="BT126" i="3" s="1"/>
  <c r="BE126" i="3"/>
  <c r="X126" i="5"/>
  <c r="AP126" i="1"/>
  <c r="AB126" i="5" s="1"/>
  <c r="K126" i="1"/>
  <c r="BH126" i="1"/>
  <c r="AK43" i="1"/>
  <c r="S43" i="5"/>
  <c r="AL43" i="1"/>
  <c r="AM43" i="1"/>
  <c r="AN43" i="1"/>
  <c r="BT43" i="3"/>
  <c r="BP43" i="3"/>
  <c r="AQ33" i="3"/>
  <c r="BF33" i="3" s="1"/>
  <c r="AI33" i="1"/>
  <c r="AJ33" i="1" s="1"/>
  <c r="CH33" i="1"/>
  <c r="N33" i="1"/>
  <c r="CC33" i="1"/>
  <c r="O33" i="1"/>
  <c r="BC33" i="1"/>
  <c r="CE33" i="1"/>
  <c r="S33" i="1"/>
  <c r="AX33" i="1"/>
  <c r="CB33" i="1"/>
  <c r="AZ33" i="1"/>
  <c r="CI33" i="1"/>
  <c r="BI33" i="1"/>
  <c r="BL33" i="1" s="1"/>
  <c r="BO33" i="1"/>
  <c r="BQ33" i="1" s="1"/>
  <c r="BN33" i="1" s="1"/>
  <c r="CF33" i="1"/>
  <c r="CJ33" i="1"/>
  <c r="AR33" i="3"/>
  <c r="BH33" i="3" s="1"/>
  <c r="BP33" i="3" s="1"/>
  <c r="BT33" i="3" s="1"/>
  <c r="BE33" i="3"/>
  <c r="Y33" i="5"/>
  <c r="BH33" i="1"/>
  <c r="W33" i="5"/>
  <c r="X33" i="5"/>
  <c r="AP33" i="1"/>
  <c r="AB33" i="5" s="1"/>
  <c r="K33" i="1"/>
  <c r="AC33" i="5"/>
  <c r="BD126" i="3"/>
  <c r="BN126" i="3" a="1"/>
  <c r="BN126" i="3" s="1"/>
  <c r="BR126" i="3" s="1"/>
  <c r="BD33" i="3"/>
  <c r="BN33" i="3" a="1"/>
  <c r="BN33" i="3" s="1"/>
  <c r="BR33" i="3" s="1"/>
  <c r="AD43" i="1"/>
  <c r="O43" i="5" s="1"/>
  <c r="AV126" i="3"/>
  <c r="V43" i="3"/>
  <c r="BL43" i="3" s="1"/>
  <c r="E82" i="3"/>
  <c r="J82" i="1" s="1"/>
  <c r="E121" i="3"/>
  <c r="J121" i="1" s="1"/>
  <c r="E61" i="3"/>
  <c r="E35" i="3"/>
  <c r="J35" i="1" s="1"/>
  <c r="E41" i="3"/>
  <c r="J41" i="1" s="1"/>
  <c r="I49" i="17"/>
  <c r="H49" i="17"/>
  <c r="K36" i="17"/>
  <c r="AN177" i="3" s="1"/>
  <c r="AO177" i="3" s="1"/>
  <c r="Z177" i="5" s="1"/>
  <c r="I36" i="17"/>
  <c r="H36" i="17"/>
  <c r="H35" i="17"/>
  <c r="I35" i="17"/>
  <c r="K35" i="17"/>
  <c r="K10" i="17"/>
  <c r="I10" i="17"/>
  <c r="H10" i="17"/>
  <c r="AU4" i="3"/>
  <c r="AU5" i="3"/>
  <c r="AU8" i="3"/>
  <c r="AU10" i="3"/>
  <c r="AU12" i="3"/>
  <c r="AU17" i="3"/>
  <c r="AU18" i="3"/>
  <c r="AU20" i="3"/>
  <c r="AU21" i="3"/>
  <c r="AU22" i="3"/>
  <c r="AU23" i="3"/>
  <c r="AU24" i="3"/>
  <c r="AU27" i="3"/>
  <c r="AU29" i="3"/>
  <c r="AU32" i="3"/>
  <c r="AU33" i="3"/>
  <c r="AU34" i="3"/>
  <c r="AU35" i="3"/>
  <c r="AU36" i="3"/>
  <c r="AU37" i="3"/>
  <c r="AU38" i="3"/>
  <c r="AU40" i="3"/>
  <c r="AU41" i="3"/>
  <c r="AU42" i="3"/>
  <c r="AU44" i="3"/>
  <c r="AU45" i="3"/>
  <c r="AU47" i="3"/>
  <c r="AU48" i="3"/>
  <c r="AU49" i="3"/>
  <c r="AU50" i="3"/>
  <c r="AU53" i="3"/>
  <c r="AU54" i="3"/>
  <c r="AU55" i="3"/>
  <c r="AU56" i="3"/>
  <c r="AU57" i="3"/>
  <c r="AU58" i="3"/>
  <c r="AU59" i="3"/>
  <c r="AU60" i="3"/>
  <c r="AU61" i="3"/>
  <c r="AU62" i="3"/>
  <c r="AU64" i="3"/>
  <c r="AU65" i="3"/>
  <c r="AU66" i="3"/>
  <c r="AU67" i="3"/>
  <c r="AU68" i="3"/>
  <c r="AU69" i="3"/>
  <c r="AU72" i="3"/>
  <c r="AU73" i="3"/>
  <c r="AU76" i="3"/>
  <c r="AU77" i="3"/>
  <c r="AU81" i="3"/>
  <c r="AU82" i="3"/>
  <c r="AU83" i="3"/>
  <c r="AU84" i="3"/>
  <c r="AU85" i="3"/>
  <c r="AU87" i="3"/>
  <c r="AU88" i="3"/>
  <c r="AU89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4" i="3"/>
  <c r="AU116" i="3"/>
  <c r="AU117" i="3"/>
  <c r="AU118" i="3"/>
  <c r="AU119" i="3"/>
  <c r="AU121" i="3"/>
  <c r="AU122" i="3"/>
  <c r="AU123" i="3"/>
  <c r="AU125" i="3"/>
  <c r="AU126" i="3"/>
  <c r="AU127" i="3"/>
  <c r="AU128" i="3"/>
  <c r="AU129" i="3"/>
  <c r="AU131" i="3"/>
  <c r="AU133" i="3"/>
  <c r="AU134" i="3"/>
  <c r="AU138" i="3"/>
  <c r="AU140" i="3"/>
  <c r="AL118" i="3"/>
  <c r="E86" i="3"/>
  <c r="E87" i="3"/>
  <c r="E88" i="3"/>
  <c r="BY2" i="1"/>
  <c r="BV2" i="1"/>
  <c r="AT55" i="3"/>
  <c r="BB2" i="1"/>
  <c r="BT2" i="1"/>
  <c r="E39" i="3"/>
  <c r="I47" i="17"/>
  <c r="H47" i="17"/>
  <c r="E95" i="3"/>
  <c r="J95" i="1" s="1"/>
  <c r="E78" i="3"/>
  <c r="E129" i="3"/>
  <c r="J129" i="1" s="1"/>
  <c r="I39" i="17"/>
  <c r="E10" i="3"/>
  <c r="J10" i="1" s="1"/>
  <c r="E9" i="3"/>
  <c r="E75" i="3"/>
  <c r="E72" i="3"/>
  <c r="E71" i="3"/>
  <c r="J191" i="1" s="1"/>
  <c r="E70" i="3"/>
  <c r="E69" i="3"/>
  <c r="J69" i="1" s="1"/>
  <c r="E67" i="3"/>
  <c r="E68" i="3"/>
  <c r="E83" i="3"/>
  <c r="J83" i="1" s="1"/>
  <c r="K34" i="17"/>
  <c r="I34" i="17"/>
  <c r="H34" i="17"/>
  <c r="E74" i="3"/>
  <c r="E84" i="3"/>
  <c r="E85" i="3"/>
  <c r="E132" i="3"/>
  <c r="K20" i="17"/>
  <c r="I20" i="17"/>
  <c r="H20" i="17"/>
  <c r="E29" i="3"/>
  <c r="J29" i="1" s="1"/>
  <c r="E66" i="3"/>
  <c r="J66" i="1" s="1"/>
  <c r="E112" i="3"/>
  <c r="E40" i="3"/>
  <c r="J40" i="1" s="1"/>
  <c r="E38" i="3"/>
  <c r="J38" i="1" s="1"/>
  <c r="E37" i="3"/>
  <c r="J37" i="1" s="1"/>
  <c r="E36" i="3"/>
  <c r="J36" i="1" s="1"/>
  <c r="E34" i="3"/>
  <c r="J34" i="1" s="1"/>
  <c r="E54" i="3"/>
  <c r="J54" i="1" s="1"/>
  <c r="E97" i="3"/>
  <c r="E96" i="3"/>
  <c r="E50" i="3"/>
  <c r="J50" i="1" s="1"/>
  <c r="E52" i="3"/>
  <c r="E53" i="3"/>
  <c r="J53" i="1" s="1"/>
  <c r="E49" i="3"/>
  <c r="J49" i="1" s="1"/>
  <c r="E46" i="3"/>
  <c r="E45" i="3"/>
  <c r="J45" i="1" s="1"/>
  <c r="E44" i="3"/>
  <c r="J44" i="1" s="1"/>
  <c r="E42" i="3"/>
  <c r="J42" i="1" s="1"/>
  <c r="I51" i="17"/>
  <c r="H51" i="17"/>
  <c r="E32" i="3"/>
  <c r="J32" i="1" s="1"/>
  <c r="E90" i="3"/>
  <c r="E124" i="3"/>
  <c r="E6" i="3"/>
  <c r="E31" i="3"/>
  <c r="E30" i="3"/>
  <c r="E28" i="3"/>
  <c r="E27" i="3"/>
  <c r="J27" i="1" s="1"/>
  <c r="E26" i="3"/>
  <c r="E25" i="3"/>
  <c r="E22" i="3"/>
  <c r="J22" i="1" s="1"/>
  <c r="E21" i="3"/>
  <c r="J21" i="1" s="1"/>
  <c r="E20" i="3"/>
  <c r="J20" i="1" s="1"/>
  <c r="E19" i="3"/>
  <c r="E18" i="3"/>
  <c r="J18" i="1" s="1"/>
  <c r="E17" i="3"/>
  <c r="J17" i="1" s="1"/>
  <c r="E16" i="3"/>
  <c r="E15" i="3"/>
  <c r="E14" i="3"/>
  <c r="E47" i="3"/>
  <c r="J47" i="1" s="1"/>
  <c r="E48" i="3"/>
  <c r="J48" i="1" s="1"/>
  <c r="E125" i="3"/>
  <c r="J125" i="1" s="1"/>
  <c r="E13" i="3"/>
  <c r="E12" i="3"/>
  <c r="J12" i="1" s="1"/>
  <c r="I44" i="17"/>
  <c r="H44" i="17"/>
  <c r="V128" i="3"/>
  <c r="BL128" i="3" s="1"/>
  <c r="V62" i="3"/>
  <c r="BL62" i="3" s="1"/>
  <c r="AA207" i="5" l="1"/>
  <c r="Z207" i="5"/>
  <c r="J194" i="1"/>
  <c r="J87" i="1"/>
  <c r="J61" i="1"/>
  <c r="BD61" i="1"/>
  <c r="BE61" i="1"/>
  <c r="J195" i="1"/>
  <c r="J88" i="1"/>
  <c r="J183" i="1"/>
  <c r="AZ183" i="1" s="1"/>
  <c r="J68" i="1"/>
  <c r="AZ68" i="1" s="1"/>
  <c r="J184" i="1"/>
  <c r="AZ184" i="1" s="1"/>
  <c r="J72" i="1"/>
  <c r="AZ72" i="1" s="1"/>
  <c r="J193" i="1"/>
  <c r="J85" i="1"/>
  <c r="J182" i="1"/>
  <c r="J67" i="1"/>
  <c r="J187" i="1"/>
  <c r="AZ187" i="1" s="1"/>
  <c r="J96" i="1"/>
  <c r="J188" i="1"/>
  <c r="J97" i="1"/>
  <c r="J189" i="1"/>
  <c r="J84" i="1"/>
  <c r="CG61" i="1"/>
  <c r="AY61" i="1"/>
  <c r="BJ61" i="1"/>
  <c r="BK61" i="1" s="1"/>
  <c r="CG13" i="1"/>
  <c r="AY13" i="1"/>
  <c r="BJ13" i="1"/>
  <c r="CG72" i="1"/>
  <c r="CE184" i="1"/>
  <c r="AX184" i="1"/>
  <c r="CC184" i="1"/>
  <c r="AQ184" i="1" s="1"/>
  <c r="BS184" i="1" s="1"/>
  <c r="AI184" i="1"/>
  <c r="CI184" i="1"/>
  <c r="BO184" i="1"/>
  <c r="BQ184" i="1" s="1"/>
  <c r="BN184" i="1" s="1"/>
  <c r="CJ184" i="1"/>
  <c r="BI184" i="1"/>
  <c r="BL184" i="1" s="1"/>
  <c r="BJ72" i="1"/>
  <c r="O184" i="1"/>
  <c r="N184" i="1"/>
  <c r="BC184" i="1"/>
  <c r="AY72" i="1"/>
  <c r="AY184" i="1"/>
  <c r="CH184" i="1"/>
  <c r="CG184" i="1"/>
  <c r="BJ184" i="1"/>
  <c r="CF184" i="1"/>
  <c r="CB184" i="1"/>
  <c r="AP184" i="1"/>
  <c r="AB184" i="5" s="1"/>
  <c r="AC184" i="5"/>
  <c r="X184" i="5"/>
  <c r="Y184" i="5"/>
  <c r="BH184" i="1"/>
  <c r="K184" i="1"/>
  <c r="W184" i="5"/>
  <c r="CG49" i="1"/>
  <c r="AY49" i="1"/>
  <c r="BJ49" i="1"/>
  <c r="BE49" i="1"/>
  <c r="BD49" i="1"/>
  <c r="CG112" i="1"/>
  <c r="BJ112" i="1"/>
  <c r="AY112" i="1"/>
  <c r="CG129" i="1"/>
  <c r="BJ129" i="1"/>
  <c r="AY129" i="1"/>
  <c r="CG87" i="1"/>
  <c r="BO194" i="1"/>
  <c r="BQ194" i="1" s="1"/>
  <c r="BN194" i="1" s="1"/>
  <c r="BJ87" i="1"/>
  <c r="CJ194" i="1"/>
  <c r="BI194" i="1"/>
  <c r="BL194" i="1" s="1"/>
  <c r="CH194" i="1"/>
  <c r="CG194" i="1"/>
  <c r="AZ194" i="1"/>
  <c r="O194" i="1"/>
  <c r="CF194" i="1"/>
  <c r="AY194" i="1"/>
  <c r="N194" i="1"/>
  <c r="AY87" i="1"/>
  <c r="CE194" i="1"/>
  <c r="AX194" i="1"/>
  <c r="CB194" i="1"/>
  <c r="CC194" i="1"/>
  <c r="AQ194" i="1" s="1"/>
  <c r="BS194" i="1" s="1"/>
  <c r="BJ194" i="1"/>
  <c r="AI194" i="1"/>
  <c r="CI194" i="1"/>
  <c r="S194" i="1"/>
  <c r="BC194" i="1"/>
  <c r="X194" i="5"/>
  <c r="AP194" i="1"/>
  <c r="AB194" i="5" s="1"/>
  <c r="BD194" i="1"/>
  <c r="K194" i="1"/>
  <c r="BH194" i="1"/>
  <c r="AC194" i="5"/>
  <c r="Y194" i="5"/>
  <c r="BE194" i="1"/>
  <c r="W194" i="5"/>
  <c r="BD87" i="1"/>
  <c r="BE87" i="1"/>
  <c r="CG16" i="1"/>
  <c r="BJ16" i="1"/>
  <c r="AY16" i="1"/>
  <c r="CG31" i="1"/>
  <c r="BJ31" i="1"/>
  <c r="AY31" i="1"/>
  <c r="CG53" i="1"/>
  <c r="BJ53" i="1"/>
  <c r="AY53" i="1"/>
  <c r="BD53" i="1"/>
  <c r="BE53" i="1"/>
  <c r="CG66" i="1"/>
  <c r="BJ66" i="1"/>
  <c r="AY66" i="1"/>
  <c r="CG83" i="1"/>
  <c r="AY83" i="1"/>
  <c r="BJ83" i="1"/>
  <c r="BD83" i="1"/>
  <c r="BE83" i="1"/>
  <c r="CG78" i="1"/>
  <c r="BO192" i="1"/>
  <c r="BQ192" i="1" s="1"/>
  <c r="BN192" i="1" s="1"/>
  <c r="CJ192" i="1"/>
  <c r="BI192" i="1"/>
  <c r="BL192" i="1" s="1"/>
  <c r="S192" i="1"/>
  <c r="CH192" i="1"/>
  <c r="O192" i="1"/>
  <c r="BJ78" i="1"/>
  <c r="CG192" i="1"/>
  <c r="AY192" i="1"/>
  <c r="N192" i="1"/>
  <c r="CF192" i="1"/>
  <c r="AX192" i="1"/>
  <c r="CE192" i="1"/>
  <c r="CB192" i="1"/>
  <c r="CC192" i="1"/>
  <c r="BJ192" i="1"/>
  <c r="AI192" i="1"/>
  <c r="CI192" i="1"/>
  <c r="AY78" i="1"/>
  <c r="BC192" i="1"/>
  <c r="AC192" i="5"/>
  <c r="CG86" i="1"/>
  <c r="BJ86" i="1"/>
  <c r="AY86" i="1"/>
  <c r="CG17" i="1"/>
  <c r="BJ17" i="1"/>
  <c r="AY17" i="1"/>
  <c r="BD17" i="1"/>
  <c r="BE17" i="1"/>
  <c r="CG6" i="1"/>
  <c r="BJ6" i="1"/>
  <c r="AY6" i="1"/>
  <c r="CG52" i="1"/>
  <c r="BJ52" i="1"/>
  <c r="AY52" i="1"/>
  <c r="CG29" i="1"/>
  <c r="BJ29" i="1"/>
  <c r="AY29" i="1"/>
  <c r="BD29" i="1"/>
  <c r="BE29" i="1"/>
  <c r="CG68" i="1"/>
  <c r="CE183" i="1"/>
  <c r="AX183" i="1"/>
  <c r="BJ183" i="1"/>
  <c r="CC183" i="1"/>
  <c r="AQ183" i="1" s="1"/>
  <c r="BS183" i="1" s="1"/>
  <c r="AI183" i="1"/>
  <c r="S183" i="1"/>
  <c r="BJ68" i="1"/>
  <c r="BO183" i="1"/>
  <c r="BQ183" i="1" s="1"/>
  <c r="BN183" i="1" s="1"/>
  <c r="CI183" i="1"/>
  <c r="CJ183" i="1"/>
  <c r="BI183" i="1"/>
  <c r="BL183" i="1" s="1"/>
  <c r="O183" i="1"/>
  <c r="N183" i="1"/>
  <c r="BC183" i="1"/>
  <c r="AY183" i="1"/>
  <c r="CH183" i="1"/>
  <c r="CG183" i="1"/>
  <c r="CB183" i="1"/>
  <c r="CF183" i="1"/>
  <c r="AY68" i="1"/>
  <c r="Y183" i="5"/>
  <c r="W183" i="5"/>
  <c r="K183" i="1"/>
  <c r="X183" i="5"/>
  <c r="AP183" i="1"/>
  <c r="AB183" i="5" s="1"/>
  <c r="BH183" i="1"/>
  <c r="AC183" i="5"/>
  <c r="CG95" i="1"/>
  <c r="AY95" i="1"/>
  <c r="BJ95" i="1"/>
  <c r="BD95" i="1"/>
  <c r="BE95" i="1"/>
  <c r="CG121" i="1"/>
  <c r="AY121" i="1"/>
  <c r="BJ121" i="1"/>
  <c r="BD121" i="1"/>
  <c r="BE121" i="1"/>
  <c r="CG30" i="1"/>
  <c r="BJ30" i="1"/>
  <c r="AY30" i="1"/>
  <c r="CG18" i="1"/>
  <c r="BJ18" i="1"/>
  <c r="AY18" i="1"/>
  <c r="BD18" i="1"/>
  <c r="BE18" i="1"/>
  <c r="AA173" i="5"/>
  <c r="Z173" i="5"/>
  <c r="CG19" i="1"/>
  <c r="BJ19" i="1"/>
  <c r="AY19" i="1"/>
  <c r="CG90" i="1"/>
  <c r="BJ90" i="1"/>
  <c r="AY90" i="1"/>
  <c r="CG96" i="1"/>
  <c r="AI187" i="1"/>
  <c r="CJ187" i="1"/>
  <c r="BI187" i="1"/>
  <c r="BL187" i="1" s="1"/>
  <c r="O187" i="1"/>
  <c r="CI187" i="1"/>
  <c r="BC187" i="1"/>
  <c r="N187" i="1"/>
  <c r="BJ187" i="1"/>
  <c r="CH187" i="1"/>
  <c r="CG187" i="1"/>
  <c r="AY187" i="1"/>
  <c r="CF187" i="1"/>
  <c r="AX187" i="1"/>
  <c r="BJ96" i="1"/>
  <c r="CE187" i="1"/>
  <c r="CC187" i="1"/>
  <c r="AQ187" i="1" s="1"/>
  <c r="BS187" i="1" s="1"/>
  <c r="AY96" i="1"/>
  <c r="CB187" i="1"/>
  <c r="Y187" i="5"/>
  <c r="BO187" i="1"/>
  <c r="BQ187" i="1" s="1"/>
  <c r="BN187" i="1" s="1"/>
  <c r="AC187" i="5"/>
  <c r="W187" i="5"/>
  <c r="K187" i="1"/>
  <c r="BH187" i="1"/>
  <c r="X187" i="5"/>
  <c r="BE187" i="1"/>
  <c r="AP187" i="1"/>
  <c r="AB187" i="5" s="1"/>
  <c r="BD187" i="1"/>
  <c r="BD96" i="1"/>
  <c r="BE96" i="1"/>
  <c r="CG69" i="1"/>
  <c r="BJ69" i="1"/>
  <c r="AY69" i="1"/>
  <c r="CG124" i="1"/>
  <c r="BJ124" i="1"/>
  <c r="AY124" i="1"/>
  <c r="CG50" i="1"/>
  <c r="BJ50" i="1"/>
  <c r="AY50" i="1"/>
  <c r="BD50" i="1"/>
  <c r="BE50" i="1"/>
  <c r="CG67" i="1"/>
  <c r="BJ182" i="1"/>
  <c r="BO182" i="1"/>
  <c r="BQ182" i="1" s="1"/>
  <c r="BN182" i="1" s="1"/>
  <c r="CI182" i="1"/>
  <c r="BC182" i="1"/>
  <c r="O182" i="1"/>
  <c r="CH182" i="1"/>
  <c r="N182" i="1"/>
  <c r="BJ67" i="1"/>
  <c r="CG182" i="1"/>
  <c r="AY182" i="1"/>
  <c r="CF182" i="1"/>
  <c r="AX182" i="1"/>
  <c r="CC182" i="1"/>
  <c r="AQ182" i="1" s="1"/>
  <c r="BS182" i="1" s="1"/>
  <c r="CE182" i="1"/>
  <c r="AY67" i="1"/>
  <c r="AI182" i="1"/>
  <c r="CJ182" i="1"/>
  <c r="CB182" i="1"/>
  <c r="BI182" i="1"/>
  <c r="BL182" i="1" s="1"/>
  <c r="AP182" i="1"/>
  <c r="AB182" i="5" s="1"/>
  <c r="Y182" i="5"/>
  <c r="BH182" i="1"/>
  <c r="X182" i="5"/>
  <c r="W182" i="5"/>
  <c r="AC182" i="5"/>
  <c r="K182" i="1"/>
  <c r="CG82" i="1"/>
  <c r="AY82" i="1"/>
  <c r="BJ82" i="1"/>
  <c r="BD82" i="1"/>
  <c r="BE82" i="1"/>
  <c r="CG20" i="1"/>
  <c r="BJ20" i="1"/>
  <c r="AY20" i="1"/>
  <c r="CG32" i="1"/>
  <c r="BJ32" i="1"/>
  <c r="AY32" i="1"/>
  <c r="CG97" i="1"/>
  <c r="CJ188" i="1"/>
  <c r="BI188" i="1"/>
  <c r="BL188" i="1" s="1"/>
  <c r="O188" i="1"/>
  <c r="CI188" i="1"/>
  <c r="BC188" i="1"/>
  <c r="N188" i="1"/>
  <c r="CG188" i="1"/>
  <c r="AY188" i="1"/>
  <c r="AY97" i="1"/>
  <c r="CF188" i="1"/>
  <c r="AX188" i="1"/>
  <c r="CE188" i="1"/>
  <c r="BJ188" i="1"/>
  <c r="CC188" i="1"/>
  <c r="AQ188" i="1" s="1"/>
  <c r="BS188" i="1" s="1"/>
  <c r="CB188" i="1"/>
  <c r="BJ97" i="1"/>
  <c r="BO188" i="1"/>
  <c r="BQ188" i="1" s="1"/>
  <c r="BN188" i="1" s="1"/>
  <c r="AI188" i="1"/>
  <c r="CH188" i="1"/>
  <c r="Y188" i="5"/>
  <c r="BD188" i="1"/>
  <c r="K188" i="1"/>
  <c r="BH188" i="1"/>
  <c r="W188" i="5"/>
  <c r="AP188" i="1"/>
  <c r="AB188" i="5" s="1"/>
  <c r="AC188" i="5"/>
  <c r="X188" i="5"/>
  <c r="BE188" i="1"/>
  <c r="BE97" i="1"/>
  <c r="BD97" i="1"/>
  <c r="CG70" i="1"/>
  <c r="AY70" i="1"/>
  <c r="BJ70" i="1"/>
  <c r="CG39" i="1"/>
  <c r="BJ39" i="1"/>
  <c r="AY39" i="1"/>
  <c r="CG34" i="1"/>
  <c r="AY34" i="1"/>
  <c r="BJ34" i="1"/>
  <c r="BD34" i="1"/>
  <c r="BE34" i="1"/>
  <c r="CG15" i="1"/>
  <c r="BJ15" i="1"/>
  <c r="AY15" i="1"/>
  <c r="CG35" i="1"/>
  <c r="AY35" i="1"/>
  <c r="BJ35" i="1"/>
  <c r="CG12" i="1"/>
  <c r="BJ12" i="1"/>
  <c r="AY12" i="1"/>
  <c r="BD12" i="1"/>
  <c r="BE12" i="1"/>
  <c r="CG21" i="1"/>
  <c r="BJ21" i="1"/>
  <c r="AY21" i="1"/>
  <c r="BD21" i="1"/>
  <c r="BE21" i="1"/>
  <c r="CG54" i="1"/>
  <c r="BJ54" i="1"/>
  <c r="AY54" i="1"/>
  <c r="BD54" i="1"/>
  <c r="BE54" i="1"/>
  <c r="CG132" i="1"/>
  <c r="BJ132" i="1"/>
  <c r="AY132" i="1"/>
  <c r="CG71" i="1"/>
  <c r="X191" i="5"/>
  <c r="BO191" i="1"/>
  <c r="CJ191" i="1"/>
  <c r="BI191" i="1"/>
  <c r="BL191" i="1" s="1"/>
  <c r="S191" i="1"/>
  <c r="AY71" i="1"/>
  <c r="CH191" i="1"/>
  <c r="O191" i="1"/>
  <c r="CG191" i="1"/>
  <c r="AY191" i="1"/>
  <c r="N191" i="1"/>
  <c r="CF191" i="1"/>
  <c r="AX191" i="1"/>
  <c r="CB191" i="1"/>
  <c r="CE191" i="1"/>
  <c r="CC191" i="1"/>
  <c r="AQ191" i="1" s="1"/>
  <c r="BS191" i="1" s="1"/>
  <c r="W191" i="5"/>
  <c r="AI191" i="1"/>
  <c r="CI191" i="1"/>
  <c r="BJ71" i="1"/>
  <c r="BC191" i="1"/>
  <c r="BJ191" i="1"/>
  <c r="AC191" i="5"/>
  <c r="BD191" i="1"/>
  <c r="AZ191" i="1"/>
  <c r="BE191" i="1"/>
  <c r="K191" i="1"/>
  <c r="BH191" i="1"/>
  <c r="Y191" i="5"/>
  <c r="AP191" i="1"/>
  <c r="AB191" i="5" s="1"/>
  <c r="AA177" i="5"/>
  <c r="CG22" i="1"/>
  <c r="AY22" i="1"/>
  <c r="BJ22" i="1"/>
  <c r="BD22" i="1"/>
  <c r="BE22" i="1"/>
  <c r="CG85" i="1"/>
  <c r="CE193" i="1"/>
  <c r="AX193" i="1"/>
  <c r="CC193" i="1"/>
  <c r="AQ193" i="1" s="1"/>
  <c r="BS193" i="1" s="1"/>
  <c r="AY85" i="1"/>
  <c r="CI193" i="1"/>
  <c r="BO193" i="1"/>
  <c r="BJ193" i="1"/>
  <c r="CJ193" i="1"/>
  <c r="BI193" i="1"/>
  <c r="BL193" i="1" s="1"/>
  <c r="S193" i="1"/>
  <c r="BC193" i="1"/>
  <c r="BJ85" i="1"/>
  <c r="N193" i="1"/>
  <c r="AZ193" i="1"/>
  <c r="AY193" i="1"/>
  <c r="CH193" i="1"/>
  <c r="CG193" i="1"/>
  <c r="CF193" i="1"/>
  <c r="CB193" i="1"/>
  <c r="O193" i="1"/>
  <c r="Y193" i="5"/>
  <c r="K193" i="1"/>
  <c r="BH193" i="1"/>
  <c r="AP193" i="1"/>
  <c r="AB193" i="5" s="1"/>
  <c r="W193" i="5"/>
  <c r="X193" i="5"/>
  <c r="AC193" i="5"/>
  <c r="CG48" i="1"/>
  <c r="BJ48" i="1"/>
  <c r="AY48" i="1"/>
  <c r="BE48" i="1"/>
  <c r="BD48" i="1"/>
  <c r="CG26" i="1"/>
  <c r="BJ26" i="1"/>
  <c r="AY26" i="1"/>
  <c r="CG44" i="1"/>
  <c r="BJ44" i="1"/>
  <c r="AY44" i="1"/>
  <c r="BD44" i="1"/>
  <c r="BE44" i="1"/>
  <c r="CG37" i="1"/>
  <c r="AY37" i="1"/>
  <c r="BJ37" i="1"/>
  <c r="CG74" i="1"/>
  <c r="BJ74" i="1"/>
  <c r="CJ185" i="1"/>
  <c r="BI185" i="1"/>
  <c r="BL185" i="1" s="1"/>
  <c r="S185" i="1"/>
  <c r="CI185" i="1"/>
  <c r="BC185" i="1"/>
  <c r="BJ185" i="1"/>
  <c r="CG185" i="1"/>
  <c r="AZ185" i="1"/>
  <c r="N185" i="1"/>
  <c r="CF185" i="1"/>
  <c r="AY185" i="1"/>
  <c r="CE185" i="1"/>
  <c r="AX185" i="1"/>
  <c r="CC185" i="1"/>
  <c r="CB185" i="1"/>
  <c r="BO185" i="1"/>
  <c r="BQ185" i="1" s="1"/>
  <c r="BN185" i="1" s="1"/>
  <c r="AY74" i="1"/>
  <c r="O185" i="1"/>
  <c r="CH185" i="1"/>
  <c r="AC185" i="5"/>
  <c r="CG9" i="1"/>
  <c r="BJ9" i="1"/>
  <c r="AY9" i="1"/>
  <c r="CG38" i="1"/>
  <c r="BJ38" i="1"/>
  <c r="AY38" i="1"/>
  <c r="CG125" i="1"/>
  <c r="BJ125" i="1"/>
  <c r="AY125" i="1"/>
  <c r="BD125" i="1"/>
  <c r="BE125" i="1"/>
  <c r="CG25" i="1"/>
  <c r="AY25" i="1"/>
  <c r="BJ25" i="1"/>
  <c r="CG42" i="1"/>
  <c r="BJ42" i="1"/>
  <c r="AY42" i="1"/>
  <c r="BD42" i="1"/>
  <c r="BE42" i="1"/>
  <c r="CG36" i="1"/>
  <c r="BJ36" i="1"/>
  <c r="AY36" i="1"/>
  <c r="CG84" i="1"/>
  <c r="CE189" i="1"/>
  <c r="AX189" i="1"/>
  <c r="CC189" i="1"/>
  <c r="AQ189" i="1" s="1"/>
  <c r="BS189" i="1" s="1"/>
  <c r="BO189" i="1"/>
  <c r="BQ189" i="1" s="1"/>
  <c r="BN189" i="1" s="1"/>
  <c r="BJ189" i="1"/>
  <c r="CJ189" i="1"/>
  <c r="BI189" i="1"/>
  <c r="BL189" i="1" s="1"/>
  <c r="S189" i="1"/>
  <c r="BJ84" i="1"/>
  <c r="AY189" i="1"/>
  <c r="CI189" i="1"/>
  <c r="CH189" i="1"/>
  <c r="CG189" i="1"/>
  <c r="CF189" i="1"/>
  <c r="CB189" i="1"/>
  <c r="O189" i="1"/>
  <c r="BC189" i="1"/>
  <c r="N189" i="1"/>
  <c r="AY84" i="1"/>
  <c r="AZ189" i="1"/>
  <c r="AP189" i="1"/>
  <c r="AB189" i="5" s="1"/>
  <c r="K189" i="1"/>
  <c r="Y189" i="5"/>
  <c r="W189" i="5"/>
  <c r="BH189" i="1"/>
  <c r="X189" i="5"/>
  <c r="AC189" i="5"/>
  <c r="CG75" i="1"/>
  <c r="BJ75" i="1"/>
  <c r="AY75" i="1"/>
  <c r="CG47" i="1"/>
  <c r="AY47" i="1"/>
  <c r="BJ47" i="1"/>
  <c r="BD47" i="1"/>
  <c r="BE47" i="1"/>
  <c r="CG27" i="1"/>
  <c r="BJ27" i="1"/>
  <c r="AY27" i="1"/>
  <c r="BE27" i="1"/>
  <c r="BD27" i="1"/>
  <c r="CG45" i="1"/>
  <c r="BJ45" i="1"/>
  <c r="AY45" i="1"/>
  <c r="BE45" i="1"/>
  <c r="BD45" i="1"/>
  <c r="CG10" i="1"/>
  <c r="AY10" i="1"/>
  <c r="BJ10" i="1"/>
  <c r="CG14" i="1"/>
  <c r="BJ14" i="1"/>
  <c r="AY14" i="1"/>
  <c r="CG28" i="1"/>
  <c r="BJ28" i="1"/>
  <c r="AY28" i="1"/>
  <c r="CG46" i="1"/>
  <c r="AY46" i="1"/>
  <c r="BJ46" i="1"/>
  <c r="CG40" i="1"/>
  <c r="BJ40" i="1"/>
  <c r="AY40" i="1"/>
  <c r="BD40" i="1"/>
  <c r="BE40" i="1"/>
  <c r="CG88" i="1"/>
  <c r="BJ195" i="1"/>
  <c r="CE195" i="1"/>
  <c r="AY195" i="1"/>
  <c r="CC195" i="1"/>
  <c r="AQ195" i="1" s="1"/>
  <c r="BS195" i="1" s="1"/>
  <c r="AX195" i="1"/>
  <c r="BJ88" i="1"/>
  <c r="BO195" i="1"/>
  <c r="BQ195" i="1" s="1"/>
  <c r="BN195" i="1" s="1"/>
  <c r="AI195" i="1"/>
  <c r="AY88" i="1"/>
  <c r="BI195" i="1"/>
  <c r="BL195" i="1" s="1"/>
  <c r="CJ195" i="1"/>
  <c r="CI195" i="1"/>
  <c r="S195" i="1"/>
  <c r="N195" i="1"/>
  <c r="BC195" i="1"/>
  <c r="AZ195" i="1"/>
  <c r="CH195" i="1"/>
  <c r="CG195" i="1"/>
  <c r="CF195" i="1"/>
  <c r="O195" i="1"/>
  <c r="CB195" i="1"/>
  <c r="X195" i="5"/>
  <c r="W195" i="5"/>
  <c r="BH195" i="1"/>
  <c r="AP195" i="1"/>
  <c r="AB195" i="5" s="1"/>
  <c r="AC195" i="5"/>
  <c r="Y195" i="5"/>
  <c r="BD195" i="1"/>
  <c r="K195" i="1"/>
  <c r="BE195" i="1"/>
  <c r="BD88" i="1"/>
  <c r="BE88" i="1"/>
  <c r="CG41" i="1"/>
  <c r="BJ41" i="1"/>
  <c r="AY41" i="1"/>
  <c r="BK126" i="1"/>
  <c r="BZ126" i="1"/>
  <c r="BK33" i="1"/>
  <c r="BZ33" i="1"/>
  <c r="BC35" i="3"/>
  <c r="AZ53" i="1"/>
  <c r="BC53" i="3"/>
  <c r="BC66" i="3"/>
  <c r="BC83" i="3"/>
  <c r="BC17" i="3"/>
  <c r="BC29" i="3"/>
  <c r="BC68" i="3"/>
  <c r="BC95" i="3"/>
  <c r="BC61" i="3"/>
  <c r="BC84" i="3"/>
  <c r="BC47" i="3"/>
  <c r="BC50" i="3"/>
  <c r="BC121" i="3"/>
  <c r="BW27" i="1"/>
  <c r="BC27" i="3"/>
  <c r="BC38" i="3"/>
  <c r="BC18" i="3"/>
  <c r="AZ67" i="1"/>
  <c r="BC67" i="3"/>
  <c r="AA163" i="5"/>
  <c r="Z163" i="5"/>
  <c r="AZ96" i="1"/>
  <c r="BC96" i="3"/>
  <c r="BC69" i="3"/>
  <c r="BC82" i="3"/>
  <c r="BC20" i="3"/>
  <c r="BC32" i="3"/>
  <c r="BC97" i="3"/>
  <c r="AZ42" i="1"/>
  <c r="BC42" i="3"/>
  <c r="BC12" i="3"/>
  <c r="BC21" i="3"/>
  <c r="BC54" i="3"/>
  <c r="AZ22" i="1"/>
  <c r="BC22" i="3"/>
  <c r="BC34" i="3"/>
  <c r="BC85" i="3"/>
  <c r="BC72" i="3"/>
  <c r="BC48" i="3"/>
  <c r="BC44" i="3"/>
  <c r="BC37" i="3"/>
  <c r="BC40" i="3"/>
  <c r="BC88" i="3"/>
  <c r="BC125" i="3"/>
  <c r="BC36" i="3"/>
  <c r="BC45" i="3"/>
  <c r="BC10" i="3"/>
  <c r="BC49" i="3"/>
  <c r="BC129" i="3"/>
  <c r="BC87" i="3"/>
  <c r="BC41" i="3"/>
  <c r="AQ45" i="3"/>
  <c r="BF45" i="3" s="1"/>
  <c r="BG45" i="3" s="1"/>
  <c r="AR45" i="3"/>
  <c r="BH45" i="3" s="1"/>
  <c r="CH45" i="1"/>
  <c r="CC45" i="1"/>
  <c r="CE45" i="1"/>
  <c r="N45" i="1"/>
  <c r="BI45" i="1"/>
  <c r="BL45" i="1" s="1"/>
  <c r="CJ45" i="1"/>
  <c r="BO45" i="1"/>
  <c r="BQ45" i="1" s="1"/>
  <c r="BN45" i="1" s="1"/>
  <c r="CB45" i="1"/>
  <c r="CF45" i="1"/>
  <c r="AX45" i="1"/>
  <c r="CI45" i="1"/>
  <c r="BC45" i="1"/>
  <c r="AI45" i="1"/>
  <c r="AJ45" i="1" s="1"/>
  <c r="O45" i="1"/>
  <c r="Y45" i="5"/>
  <c r="W45" i="5"/>
  <c r="X45" i="5"/>
  <c r="AC45" i="5"/>
  <c r="BH45" i="1"/>
  <c r="BE45" i="3"/>
  <c r="AP45" i="1"/>
  <c r="AB45" i="5" s="1"/>
  <c r="K45" i="1"/>
  <c r="T43" i="5"/>
  <c r="U43" i="5"/>
  <c r="V43" i="5"/>
  <c r="AQ18" i="3"/>
  <c r="BF18" i="3" s="1"/>
  <c r="AZ18" i="1"/>
  <c r="CB18" i="1"/>
  <c r="N18" i="1"/>
  <c r="BC18" i="1"/>
  <c r="CE18" i="1"/>
  <c r="BO18" i="1"/>
  <c r="BQ18" i="1" s="1"/>
  <c r="BN18" i="1" s="1"/>
  <c r="S18" i="1"/>
  <c r="CC18" i="1"/>
  <c r="AX18" i="1"/>
  <c r="CF18" i="1"/>
  <c r="CH18" i="1"/>
  <c r="CI18" i="1"/>
  <c r="CJ18" i="1"/>
  <c r="BI18" i="1"/>
  <c r="BL18" i="1" s="1"/>
  <c r="O18" i="1"/>
  <c r="X18" i="5"/>
  <c r="AC18" i="5"/>
  <c r="BE18" i="3"/>
  <c r="AR18" i="3"/>
  <c r="AS18" i="3" s="1"/>
  <c r="AP18" i="1"/>
  <c r="AB18" i="5" s="1"/>
  <c r="K18" i="1"/>
  <c r="BH18" i="1"/>
  <c r="W18" i="5"/>
  <c r="Y18" i="5"/>
  <c r="O31" i="1"/>
  <c r="CF31" i="1"/>
  <c r="BO31" i="1"/>
  <c r="BQ31" i="1" s="1"/>
  <c r="BN31" i="1" s="1"/>
  <c r="CI31" i="1"/>
  <c r="AZ31" i="1"/>
  <c r="CE31" i="1"/>
  <c r="CH31" i="1"/>
  <c r="BI31" i="1"/>
  <c r="BL31" i="1" s="1"/>
  <c r="BC31" i="1"/>
  <c r="N31" i="1"/>
  <c r="S31" i="1"/>
  <c r="CB31" i="1"/>
  <c r="CC31" i="1"/>
  <c r="AX31" i="1"/>
  <c r="CJ31" i="1"/>
  <c r="AC31" i="5"/>
  <c r="AR46" i="3"/>
  <c r="BH46" i="3" s="1"/>
  <c r="N46" i="1"/>
  <c r="CH46" i="1"/>
  <c r="CB46" i="1"/>
  <c r="CE46" i="1"/>
  <c r="BC46" i="1"/>
  <c r="BI46" i="1"/>
  <c r="BL46" i="1" s="1"/>
  <c r="CI46" i="1"/>
  <c r="BO46" i="1"/>
  <c r="BQ46" i="1" s="1"/>
  <c r="BN46" i="1" s="1"/>
  <c r="CC46" i="1"/>
  <c r="CF46" i="1"/>
  <c r="O46" i="1"/>
  <c r="CJ46" i="1"/>
  <c r="AX46" i="1"/>
  <c r="AI46" i="1"/>
  <c r="AJ46" i="1" s="1"/>
  <c r="AC46" i="5"/>
  <c r="AQ40" i="3"/>
  <c r="BF40" i="3" s="1"/>
  <c r="BI40" i="1"/>
  <c r="BL40" i="1" s="1"/>
  <c r="CH40" i="1"/>
  <c r="AX40" i="1"/>
  <c r="CC40" i="1"/>
  <c r="N40" i="1"/>
  <c r="CE40" i="1"/>
  <c r="AI40" i="1"/>
  <c r="AJ40" i="1" s="1"/>
  <c r="CB40" i="1"/>
  <c r="CI40" i="1"/>
  <c r="AZ40" i="1"/>
  <c r="CJ40" i="1"/>
  <c r="BC40" i="1"/>
  <c r="O40" i="1"/>
  <c r="BO40" i="1"/>
  <c r="CF40" i="1"/>
  <c r="S40" i="1"/>
  <c r="AC40" i="5"/>
  <c r="AR40" i="3"/>
  <c r="AS40" i="3" s="1"/>
  <c r="BE40" i="3"/>
  <c r="BH40" i="1"/>
  <c r="AP40" i="1"/>
  <c r="AB40" i="5" s="1"/>
  <c r="W40" i="5"/>
  <c r="X40" i="5"/>
  <c r="Y40" i="5"/>
  <c r="K40" i="1"/>
  <c r="AR88" i="3"/>
  <c r="AQ88" i="3"/>
  <c r="BF88" i="3" s="1"/>
  <c r="BG88" i="3" s="1"/>
  <c r="O88" i="1"/>
  <c r="BC88" i="1"/>
  <c r="CH88" i="1"/>
  <c r="N88" i="1"/>
  <c r="BI88" i="1"/>
  <c r="BL88" i="1" s="1"/>
  <c r="CI88" i="1"/>
  <c r="CJ88" i="1"/>
  <c r="S88" i="1"/>
  <c r="BO88" i="1"/>
  <c r="CB88" i="1"/>
  <c r="CE88" i="1"/>
  <c r="AZ88" i="1"/>
  <c r="CF88" i="1"/>
  <c r="AI88" i="1"/>
  <c r="AJ88" i="1" s="1"/>
  <c r="AX88" i="1"/>
  <c r="CC88" i="1"/>
  <c r="X88" i="5"/>
  <c r="Y88" i="5"/>
  <c r="AC88" i="5"/>
  <c r="BE88" i="3"/>
  <c r="E195" i="5" s="1"/>
  <c r="BH88" i="1"/>
  <c r="AP88" i="1"/>
  <c r="AB88" i="5" s="1"/>
  <c r="K88" i="1"/>
  <c r="W88" i="5"/>
  <c r="BU33" i="1"/>
  <c r="BG33" i="1"/>
  <c r="BP33" i="1" s="1" a="1"/>
  <c r="BP33" i="1" s="1"/>
  <c r="CD33" i="1"/>
  <c r="BF33" i="1"/>
  <c r="AL33" i="1"/>
  <c r="S33" i="5"/>
  <c r="AM33" i="1"/>
  <c r="AK33" i="1"/>
  <c r="N19" i="1"/>
  <c r="AZ19" i="1"/>
  <c r="CC19" i="1"/>
  <c r="S19" i="1"/>
  <c r="CI19" i="1"/>
  <c r="CJ19" i="1"/>
  <c r="O19" i="1"/>
  <c r="BO19" i="1"/>
  <c r="BQ19" i="1" s="1"/>
  <c r="BN19" i="1" s="1"/>
  <c r="CB19" i="1"/>
  <c r="BC19" i="1"/>
  <c r="BI19" i="1"/>
  <c r="BL19" i="1" s="1"/>
  <c r="CH19" i="1"/>
  <c r="CF19" i="1"/>
  <c r="AX19" i="1"/>
  <c r="CE19" i="1"/>
  <c r="AC19" i="5"/>
  <c r="AQ64" i="3"/>
  <c r="BF64" i="3" s="1"/>
  <c r="BI64" i="1"/>
  <c r="BL64" i="1" s="1"/>
  <c r="CC64" i="1"/>
  <c r="AX64" i="1"/>
  <c r="CB64" i="1"/>
  <c r="AI64" i="1"/>
  <c r="AJ64" i="1" s="1"/>
  <c r="BO64" i="1"/>
  <c r="BQ64" i="1" s="1"/>
  <c r="BN64" i="1" s="1"/>
  <c r="CI64" i="1"/>
  <c r="CE64" i="1"/>
  <c r="CF64" i="1"/>
  <c r="CH64" i="1"/>
  <c r="CJ64" i="1"/>
  <c r="BC64" i="1"/>
  <c r="BE64" i="3"/>
  <c r="AR64" i="3"/>
  <c r="BH64" i="3" s="1"/>
  <c r="K64" i="1"/>
  <c r="X64" i="5"/>
  <c r="BH64" i="1"/>
  <c r="AP64" i="1"/>
  <c r="AB64" i="5" s="1"/>
  <c r="AZ64" i="1"/>
  <c r="Y64" i="5"/>
  <c r="AC64" i="5"/>
  <c r="W64" i="5"/>
  <c r="AQ66" i="3"/>
  <c r="BF66" i="3" s="1"/>
  <c r="AI66" i="1"/>
  <c r="AJ66" i="1" s="1"/>
  <c r="AZ66" i="1"/>
  <c r="CC66" i="1"/>
  <c r="CI66" i="1"/>
  <c r="AX66" i="1"/>
  <c r="CB66" i="1"/>
  <c r="CF66" i="1"/>
  <c r="BC66" i="1"/>
  <c r="BI66" i="1"/>
  <c r="BL66" i="1" s="1"/>
  <c r="CH66" i="1"/>
  <c r="N66" i="1"/>
  <c r="O66" i="1"/>
  <c r="BO66" i="1"/>
  <c r="BQ66" i="1" s="1"/>
  <c r="BN66" i="1" s="1"/>
  <c r="CE66" i="1"/>
  <c r="CJ66" i="1"/>
  <c r="K66" i="1"/>
  <c r="AR66" i="3"/>
  <c r="BH66" i="3" s="1"/>
  <c r="BE66" i="3"/>
  <c r="BH66" i="1"/>
  <c r="AP66" i="1"/>
  <c r="AB66" i="5" s="1"/>
  <c r="AC66" i="5"/>
  <c r="Y66" i="5"/>
  <c r="X66" i="5"/>
  <c r="W66" i="5"/>
  <c r="AR83" i="3"/>
  <c r="BH83" i="3" s="1"/>
  <c r="BP83" i="3" s="1"/>
  <c r="BT83" i="3" s="1"/>
  <c r="AQ83" i="3"/>
  <c r="BF83" i="3" s="1"/>
  <c r="BI83" i="1"/>
  <c r="BL83" i="1" s="1"/>
  <c r="CI83" i="1"/>
  <c r="O83" i="1"/>
  <c r="BC83" i="1"/>
  <c r="CJ83" i="1"/>
  <c r="S83" i="1"/>
  <c r="BO83" i="1"/>
  <c r="BQ83" i="1" s="1"/>
  <c r="BN83" i="1" s="1"/>
  <c r="CB83" i="1"/>
  <c r="AX83" i="1"/>
  <c r="CC83" i="1"/>
  <c r="AZ83" i="1"/>
  <c r="CF83" i="1"/>
  <c r="N83" i="1"/>
  <c r="CH83" i="1"/>
  <c r="CE83" i="1"/>
  <c r="Y83" i="5"/>
  <c r="X83" i="5"/>
  <c r="BE83" i="3"/>
  <c r="AP83" i="1"/>
  <c r="AB83" i="5" s="1"/>
  <c r="K83" i="1"/>
  <c r="BH83" i="1"/>
  <c r="W83" i="5"/>
  <c r="AC83" i="5"/>
  <c r="O78" i="1"/>
  <c r="BI78" i="1"/>
  <c r="BL78" i="1" s="1"/>
  <c r="CH78" i="1"/>
  <c r="S78" i="1"/>
  <c r="CI78" i="1"/>
  <c r="AI78" i="1"/>
  <c r="AJ78" i="1" s="1"/>
  <c r="CE78" i="1"/>
  <c r="CB78" i="1"/>
  <c r="CC78" i="1"/>
  <c r="CJ78" i="1"/>
  <c r="BC78" i="1"/>
  <c r="BO78" i="1"/>
  <c r="BQ78" i="1" s="1"/>
  <c r="BN78" i="1" s="1"/>
  <c r="N78" i="1"/>
  <c r="CF78" i="1"/>
  <c r="AX78" i="1"/>
  <c r="AC78" i="5"/>
  <c r="BO86" i="1"/>
  <c r="CJ86" i="1"/>
  <c r="N86" i="1"/>
  <c r="AZ86" i="1"/>
  <c r="CF86" i="1"/>
  <c r="O86" i="1"/>
  <c r="BC86" i="1"/>
  <c r="CH86" i="1"/>
  <c r="S86" i="1"/>
  <c r="BI86" i="1"/>
  <c r="BL86" i="1" s="1"/>
  <c r="CI86" i="1"/>
  <c r="AI86" i="1"/>
  <c r="AJ86" i="1" s="1"/>
  <c r="AX86" i="1"/>
  <c r="CC86" i="1"/>
  <c r="CE86" i="1"/>
  <c r="CB86" i="1"/>
  <c r="AC86" i="5"/>
  <c r="AQ35" i="3"/>
  <c r="BF35" i="3" s="1"/>
  <c r="CE35" i="1"/>
  <c r="O35" i="1"/>
  <c r="AZ35" i="1"/>
  <c r="CC35" i="1"/>
  <c r="CF35" i="1"/>
  <c r="BI35" i="1"/>
  <c r="BL35" i="1" s="1"/>
  <c r="CH35" i="1"/>
  <c r="BO35" i="1"/>
  <c r="BQ35" i="1" s="1"/>
  <c r="BN35" i="1" s="1"/>
  <c r="AI35" i="1"/>
  <c r="AJ35" i="1" s="1"/>
  <c r="CB35" i="1"/>
  <c r="AX35" i="1"/>
  <c r="N35" i="1"/>
  <c r="S35" i="1"/>
  <c r="CI35" i="1"/>
  <c r="CJ35" i="1"/>
  <c r="BC35" i="1"/>
  <c r="Y35" i="5"/>
  <c r="W35" i="5"/>
  <c r="AR35" i="3"/>
  <c r="BH35" i="3" s="1"/>
  <c r="BP35" i="3" s="1"/>
  <c r="BT35" i="3" s="1"/>
  <c r="K35" i="1"/>
  <c r="BE35" i="3"/>
  <c r="BH35" i="1"/>
  <c r="AP35" i="1"/>
  <c r="AB35" i="5" s="1"/>
  <c r="X35" i="5"/>
  <c r="AC35" i="5"/>
  <c r="AS33" i="3"/>
  <c r="BM33" i="3"/>
  <c r="BJ33" i="3"/>
  <c r="S126" i="5"/>
  <c r="AM126" i="1"/>
  <c r="AK126" i="1"/>
  <c r="AL126" i="1"/>
  <c r="AQ17" i="3"/>
  <c r="BF17" i="3" s="1"/>
  <c r="CJ17" i="1"/>
  <c r="AX17" i="1"/>
  <c r="AZ17" i="1"/>
  <c r="CB17" i="1"/>
  <c r="BC17" i="1"/>
  <c r="CE17" i="1"/>
  <c r="N17" i="1"/>
  <c r="BI17" i="1"/>
  <c r="BL17" i="1" s="1"/>
  <c r="CF17" i="1"/>
  <c r="S17" i="1"/>
  <c r="CH17" i="1"/>
  <c r="BO17" i="1"/>
  <c r="BQ17" i="1" s="1"/>
  <c r="BN17" i="1" s="1"/>
  <c r="O17" i="1"/>
  <c r="CI17" i="1"/>
  <c r="CC17" i="1"/>
  <c r="Y17" i="5"/>
  <c r="AC17" i="5"/>
  <c r="X17" i="5"/>
  <c r="AR17" i="3"/>
  <c r="BH17" i="3" s="1"/>
  <c r="BE17" i="3"/>
  <c r="BH17" i="1"/>
  <c r="W17" i="5"/>
  <c r="K17" i="1"/>
  <c r="AP17" i="1"/>
  <c r="AB17" i="5" s="1"/>
  <c r="AQ38" i="3"/>
  <c r="BF38" i="3" s="1"/>
  <c r="N38" i="1"/>
  <c r="AZ38" i="1"/>
  <c r="CB38" i="1"/>
  <c r="S38" i="1"/>
  <c r="CH38" i="1"/>
  <c r="CI38" i="1"/>
  <c r="AI38" i="1"/>
  <c r="AJ38" i="1" s="1"/>
  <c r="BC38" i="1"/>
  <c r="BI38" i="1"/>
  <c r="BL38" i="1" s="1"/>
  <c r="CJ38" i="1"/>
  <c r="BO38" i="1"/>
  <c r="BQ38" i="1" s="1"/>
  <c r="BN38" i="1" s="1"/>
  <c r="O38" i="1"/>
  <c r="AX38" i="1"/>
  <c r="CC38" i="1"/>
  <c r="CE38" i="1"/>
  <c r="CF38" i="1"/>
  <c r="X38" i="5"/>
  <c r="Y38" i="5"/>
  <c r="AC38" i="5"/>
  <c r="W38" i="5"/>
  <c r="AP38" i="1"/>
  <c r="AB38" i="5" s="1"/>
  <c r="BE38" i="3"/>
  <c r="AR38" i="3"/>
  <c r="BH38" i="3" s="1"/>
  <c r="BH38" i="1"/>
  <c r="K38" i="1"/>
  <c r="AQ20" i="3"/>
  <c r="BF20" i="3" s="1"/>
  <c r="S20" i="1"/>
  <c r="CH20" i="1"/>
  <c r="AX20" i="1"/>
  <c r="CB20" i="1"/>
  <c r="CC20" i="1"/>
  <c r="CF20" i="1"/>
  <c r="N20" i="1"/>
  <c r="BI20" i="1"/>
  <c r="BL20" i="1" s="1"/>
  <c r="O20" i="1"/>
  <c r="CE20" i="1"/>
  <c r="CI20" i="1"/>
  <c r="AZ20" i="1"/>
  <c r="CJ20" i="1"/>
  <c r="BO20" i="1"/>
  <c r="BQ20" i="1" s="1"/>
  <c r="BN20" i="1" s="1"/>
  <c r="BC20" i="1"/>
  <c r="W20" i="5"/>
  <c r="AR20" i="3"/>
  <c r="BH20" i="3" s="1"/>
  <c r="BP20" i="3" s="1"/>
  <c r="BT20" i="3" s="1"/>
  <c r="BE20" i="3"/>
  <c r="K20" i="1"/>
  <c r="AP20" i="1"/>
  <c r="AB20" i="5" s="1"/>
  <c r="BH20" i="1"/>
  <c r="Y20" i="5"/>
  <c r="X20" i="5"/>
  <c r="AC20" i="5"/>
  <c r="AQ53" i="3"/>
  <c r="BF53" i="3" s="1"/>
  <c r="BG53" i="3" s="1"/>
  <c r="AR53" i="3"/>
  <c r="BH53" i="3" s="1"/>
  <c r="CF53" i="1"/>
  <c r="CB53" i="1"/>
  <c r="N53" i="1"/>
  <c r="BC53" i="1"/>
  <c r="CC53" i="1"/>
  <c r="O53" i="1"/>
  <c r="CI53" i="1"/>
  <c r="CJ53" i="1"/>
  <c r="AX53" i="1"/>
  <c r="CH53" i="1"/>
  <c r="BI53" i="1"/>
  <c r="BL53" i="1" s="1"/>
  <c r="CE53" i="1"/>
  <c r="BO53" i="1"/>
  <c r="BQ53" i="1" s="1"/>
  <c r="BN53" i="1" s="1"/>
  <c r="AI53" i="1"/>
  <c r="AJ53" i="1" s="1"/>
  <c r="AC53" i="5"/>
  <c r="W53" i="5"/>
  <c r="K53" i="1"/>
  <c r="AP53" i="1"/>
  <c r="AB53" i="5" s="1"/>
  <c r="X53" i="5"/>
  <c r="BE53" i="3"/>
  <c r="Y53" i="5"/>
  <c r="BH53" i="1"/>
  <c r="AQ12" i="3"/>
  <c r="BF12" i="3" s="1"/>
  <c r="CH12" i="1"/>
  <c r="BO12" i="1"/>
  <c r="BQ12" i="1" s="1"/>
  <c r="BN12" i="1" s="1"/>
  <c r="AI12" i="1"/>
  <c r="AJ12" i="1" s="1"/>
  <c r="CB12" i="1"/>
  <c r="AX12" i="1"/>
  <c r="CE12" i="1"/>
  <c r="CF12" i="1"/>
  <c r="CC12" i="1"/>
  <c r="CJ12" i="1"/>
  <c r="N12" i="1"/>
  <c r="O12" i="1"/>
  <c r="BC12" i="1"/>
  <c r="BI12" i="1"/>
  <c r="BL12" i="1" s="1"/>
  <c r="CI12" i="1"/>
  <c r="BE12" i="3"/>
  <c r="AP12" i="1"/>
  <c r="AB12" i="5" s="1"/>
  <c r="AR12" i="3"/>
  <c r="BH12" i="3" s="1"/>
  <c r="BP12" i="3" s="1"/>
  <c r="BT12" i="3" s="1"/>
  <c r="K12" i="1"/>
  <c r="X12" i="5"/>
  <c r="W12" i="5"/>
  <c r="BH12" i="1"/>
  <c r="AC12" i="5"/>
  <c r="Y12" i="5"/>
  <c r="AQ21" i="3"/>
  <c r="BF21" i="3" s="1"/>
  <c r="CI21" i="1"/>
  <c r="BO21" i="1"/>
  <c r="BQ21" i="1" s="1"/>
  <c r="BN21" i="1" s="1"/>
  <c r="CJ21" i="1"/>
  <c r="CF21" i="1"/>
  <c r="N21" i="1"/>
  <c r="BC21" i="1"/>
  <c r="AI21" i="1"/>
  <c r="AJ21" i="1" s="1"/>
  <c r="CB21" i="1"/>
  <c r="CC21" i="1"/>
  <c r="CE21" i="1"/>
  <c r="AX21" i="1"/>
  <c r="CH21" i="1"/>
  <c r="BI21" i="1"/>
  <c r="BL21" i="1" s="1"/>
  <c r="O21" i="1"/>
  <c r="W21" i="5"/>
  <c r="AC21" i="5"/>
  <c r="AR21" i="3"/>
  <c r="BH21" i="3" s="1"/>
  <c r="BP21" i="3" s="1"/>
  <c r="BT21" i="3" s="1"/>
  <c r="BE21" i="3"/>
  <c r="AP21" i="1"/>
  <c r="AB21" i="5" s="1"/>
  <c r="K21" i="1"/>
  <c r="Y21" i="5"/>
  <c r="X21" i="5"/>
  <c r="BH21" i="1"/>
  <c r="N6" i="1"/>
  <c r="CC6" i="1"/>
  <c r="CH6" i="1"/>
  <c r="CI6" i="1"/>
  <c r="BO6" i="1"/>
  <c r="BQ6" i="1" s="1"/>
  <c r="BN6" i="1" s="1"/>
  <c r="CJ6" i="1"/>
  <c r="O6" i="1"/>
  <c r="BI6" i="1"/>
  <c r="BL6" i="1" s="1"/>
  <c r="AX6" i="1"/>
  <c r="BC6" i="1"/>
  <c r="CE6" i="1"/>
  <c r="CF6" i="1"/>
  <c r="AI6" i="1"/>
  <c r="AJ6" i="1" s="1"/>
  <c r="CB6" i="1"/>
  <c r="AC6" i="5"/>
  <c r="AR52" i="3"/>
  <c r="BH52" i="3" s="1"/>
  <c r="CC52" i="1"/>
  <c r="AI52" i="1"/>
  <c r="AJ52" i="1" s="1"/>
  <c r="CE52" i="1"/>
  <c r="BC52" i="1"/>
  <c r="CF52" i="1"/>
  <c r="O52" i="1"/>
  <c r="CJ52" i="1"/>
  <c r="AX52" i="1"/>
  <c r="CB52" i="1"/>
  <c r="CH52" i="1"/>
  <c r="N52" i="1"/>
  <c r="BO52" i="1"/>
  <c r="BQ52" i="1" s="1"/>
  <c r="BN52" i="1" s="1"/>
  <c r="CI52" i="1"/>
  <c r="BI52" i="1"/>
  <c r="BL52" i="1" s="1"/>
  <c r="AC52" i="5"/>
  <c r="AQ29" i="3"/>
  <c r="BF29" i="3" s="1"/>
  <c r="AI29" i="1"/>
  <c r="AJ29" i="1" s="1"/>
  <c r="CI29" i="1"/>
  <c r="S29" i="1"/>
  <c r="CJ29" i="1"/>
  <c r="BO29" i="1"/>
  <c r="BQ29" i="1" s="1"/>
  <c r="BN29" i="1" s="1"/>
  <c r="N29" i="1"/>
  <c r="O29" i="1"/>
  <c r="AX29" i="1"/>
  <c r="CB29" i="1"/>
  <c r="CC29" i="1"/>
  <c r="CE29" i="1"/>
  <c r="BC29" i="1"/>
  <c r="CH29" i="1"/>
  <c r="CF29" i="1"/>
  <c r="BI29" i="1"/>
  <c r="BL29" i="1" s="1"/>
  <c r="BE29" i="3"/>
  <c r="AR29" i="3"/>
  <c r="BH29" i="3" s="1"/>
  <c r="AP29" i="1"/>
  <c r="AB29" i="5" s="1"/>
  <c r="X29" i="5"/>
  <c r="AC29" i="5"/>
  <c r="K29" i="1"/>
  <c r="BH29" i="1"/>
  <c r="W29" i="5"/>
  <c r="Y29" i="5"/>
  <c r="BO29" i="3"/>
  <c r="AQ68" i="3"/>
  <c r="BF68" i="3" s="1"/>
  <c r="CI68" i="1"/>
  <c r="BO68" i="1"/>
  <c r="BQ68" i="1" s="1"/>
  <c r="BN68" i="1" s="1"/>
  <c r="AI68" i="1"/>
  <c r="AJ68" i="1" s="1"/>
  <c r="AX68" i="1"/>
  <c r="CB68" i="1"/>
  <c r="S68" i="1"/>
  <c r="CH68" i="1"/>
  <c r="CE68" i="1"/>
  <c r="CF68" i="1"/>
  <c r="CJ68" i="1"/>
  <c r="BC68" i="1"/>
  <c r="N68" i="1"/>
  <c r="O68" i="1"/>
  <c r="CC68" i="1"/>
  <c r="Y68" i="5"/>
  <c r="BI68" i="1"/>
  <c r="BL68" i="1" s="1"/>
  <c r="AR68" i="3"/>
  <c r="BE68" i="3"/>
  <c r="E183" i="5" s="1"/>
  <c r="BH68" i="1"/>
  <c r="K68" i="1"/>
  <c r="AP68" i="1"/>
  <c r="AB68" i="5" s="1"/>
  <c r="W68" i="5"/>
  <c r="X68" i="5"/>
  <c r="AC68" i="5"/>
  <c r="AQ95" i="3"/>
  <c r="BF95" i="3" s="1"/>
  <c r="S95" i="1"/>
  <c r="BI95" i="1"/>
  <c r="BL95" i="1" s="1"/>
  <c r="AX95" i="1"/>
  <c r="CB95" i="1"/>
  <c r="CC95" i="1"/>
  <c r="AZ95" i="1"/>
  <c r="CE95" i="1"/>
  <c r="O95" i="1"/>
  <c r="BC95" i="1"/>
  <c r="CH95" i="1"/>
  <c r="CI95" i="1"/>
  <c r="CJ95" i="1"/>
  <c r="AI95" i="1"/>
  <c r="AJ95" i="1" s="1"/>
  <c r="BO95" i="1"/>
  <c r="BQ95" i="1" s="1"/>
  <c r="BN95" i="1" s="1"/>
  <c r="N95" i="1"/>
  <c r="X95" i="5"/>
  <c r="W95" i="5"/>
  <c r="CF95" i="1"/>
  <c r="BE95" i="3"/>
  <c r="Y95" i="5"/>
  <c r="AR95" i="3"/>
  <c r="BH95" i="3" s="1"/>
  <c r="BH95" i="1"/>
  <c r="AP95" i="1"/>
  <c r="AB95" i="5" s="1"/>
  <c r="AC95" i="5"/>
  <c r="K95" i="1"/>
  <c r="AQ61" i="3"/>
  <c r="BF61" i="3" s="1"/>
  <c r="BO61" i="1"/>
  <c r="BQ61" i="1" s="1"/>
  <c r="BN61" i="1" s="1"/>
  <c r="CJ61" i="1"/>
  <c r="BC61" i="1"/>
  <c r="CH61" i="1"/>
  <c r="S61" i="1"/>
  <c r="BI61" i="1"/>
  <c r="BL61" i="1" s="1"/>
  <c r="CI61" i="1"/>
  <c r="N61" i="1"/>
  <c r="AZ61" i="1"/>
  <c r="CE61" i="1"/>
  <c r="O61" i="1"/>
  <c r="AI61" i="1"/>
  <c r="AJ61" i="1" s="1"/>
  <c r="CB61" i="1"/>
  <c r="CC61" i="1"/>
  <c r="AX61" i="1"/>
  <c r="CF61" i="1"/>
  <c r="X61" i="5"/>
  <c r="Y61" i="5"/>
  <c r="AC61" i="5"/>
  <c r="W61" i="5"/>
  <c r="K61" i="1"/>
  <c r="AR61" i="3"/>
  <c r="BH61" i="3" s="1"/>
  <c r="BP61" i="3" s="1"/>
  <c r="BT61" i="3" s="1"/>
  <c r="BE61" i="3"/>
  <c r="AP61" i="1"/>
  <c r="AB61" i="5" s="1"/>
  <c r="BH61" i="1"/>
  <c r="AZ33" i="3"/>
  <c r="CH16" i="1"/>
  <c r="BC16" i="1"/>
  <c r="CF16" i="1"/>
  <c r="S16" i="1"/>
  <c r="BI16" i="1"/>
  <c r="BL16" i="1" s="1"/>
  <c r="CJ16" i="1"/>
  <c r="CB16" i="1"/>
  <c r="AX16" i="1"/>
  <c r="CC16" i="1"/>
  <c r="AZ16" i="1"/>
  <c r="CI16" i="1"/>
  <c r="O16" i="1"/>
  <c r="N16" i="1"/>
  <c r="AI16" i="1"/>
  <c r="AJ16" i="1" s="1"/>
  <c r="CE16" i="1"/>
  <c r="BO16" i="1"/>
  <c r="BQ16" i="1" s="1"/>
  <c r="BN16" i="1" s="1"/>
  <c r="AC16" i="5"/>
  <c r="AQ10" i="3"/>
  <c r="BF10" i="3" s="1"/>
  <c r="AI10" i="1"/>
  <c r="AJ10" i="1" s="1"/>
  <c r="CI10" i="1"/>
  <c r="CH10" i="1"/>
  <c r="CJ10" i="1"/>
  <c r="AX10" i="1"/>
  <c r="CB10" i="1"/>
  <c r="CE10" i="1"/>
  <c r="O10" i="1"/>
  <c r="BI10" i="1"/>
  <c r="BL10" i="1" s="1"/>
  <c r="CC10" i="1"/>
  <c r="CF10" i="1"/>
  <c r="BC10" i="1"/>
  <c r="N10" i="1"/>
  <c r="S10" i="1"/>
  <c r="Y10" i="5"/>
  <c r="X10" i="5"/>
  <c r="BO10" i="1"/>
  <c r="BQ10" i="1" s="1"/>
  <c r="BN10" i="1" s="1"/>
  <c r="W10" i="5"/>
  <c r="BE10" i="3"/>
  <c r="AR10" i="3"/>
  <c r="BH10" i="3" s="1"/>
  <c r="K10" i="1"/>
  <c r="BH10" i="1"/>
  <c r="AP10" i="1"/>
  <c r="AB10" i="5" s="1"/>
  <c r="AC10" i="5"/>
  <c r="N63" i="1"/>
  <c r="AI63" i="1"/>
  <c r="AJ63" i="1" s="1"/>
  <c r="CH63" i="1"/>
  <c r="CI63" i="1"/>
  <c r="AX63" i="1"/>
  <c r="BI63" i="1"/>
  <c r="BL63" i="1" s="1"/>
  <c r="CE63" i="1"/>
  <c r="BC63" i="1"/>
  <c r="O63" i="1"/>
  <c r="BO63" i="1"/>
  <c r="BQ63" i="1" s="1"/>
  <c r="BN63" i="1" s="1"/>
  <c r="CB63" i="1"/>
  <c r="CF63" i="1"/>
  <c r="CJ63" i="1"/>
  <c r="CC63" i="1"/>
  <c r="AC63" i="5"/>
  <c r="AQ49" i="3"/>
  <c r="BF49" i="3" s="1"/>
  <c r="BG49" i="3" s="1"/>
  <c r="AR49" i="3"/>
  <c r="BH49" i="3" s="1"/>
  <c r="CB49" i="1"/>
  <c r="K49" i="1"/>
  <c r="BC49" i="1"/>
  <c r="CE49" i="1"/>
  <c r="AI49" i="1"/>
  <c r="AJ49" i="1" s="1"/>
  <c r="CH49" i="1"/>
  <c r="BO49" i="1"/>
  <c r="BQ49" i="1" s="1"/>
  <c r="BN49" i="1" s="1"/>
  <c r="BI49" i="1"/>
  <c r="BL49" i="1" s="1"/>
  <c r="N49" i="1"/>
  <c r="CC49" i="1"/>
  <c r="AX49" i="1"/>
  <c r="CI49" i="1"/>
  <c r="CJ49" i="1"/>
  <c r="W49" i="5"/>
  <c r="O49" i="1"/>
  <c r="X49" i="5"/>
  <c r="Y49" i="5"/>
  <c r="CF49" i="1"/>
  <c r="AC49" i="5"/>
  <c r="BE49" i="3"/>
  <c r="AP49" i="1"/>
  <c r="AB49" i="5" s="1"/>
  <c r="BH49" i="1"/>
  <c r="AR112" i="3"/>
  <c r="BH112" i="3" s="1"/>
  <c r="AI112" i="1"/>
  <c r="AJ112" i="1" s="1"/>
  <c r="BO112" i="1"/>
  <c r="BQ112" i="1" s="1"/>
  <c r="BN112" i="1" s="1"/>
  <c r="CJ112" i="1"/>
  <c r="AX112" i="1"/>
  <c r="CC112" i="1"/>
  <c r="BC112" i="1"/>
  <c r="CE112" i="1"/>
  <c r="N112" i="1"/>
  <c r="BI112" i="1"/>
  <c r="BL112" i="1" s="1"/>
  <c r="CF112" i="1"/>
  <c r="CH112" i="1"/>
  <c r="CI112" i="1"/>
  <c r="CB112" i="1"/>
  <c r="O112" i="1"/>
  <c r="AC112" i="5"/>
  <c r="AQ129" i="3"/>
  <c r="BF129" i="3" s="1"/>
  <c r="S129" i="1"/>
  <c r="CH129" i="1"/>
  <c r="CI129" i="1"/>
  <c r="AI129" i="1"/>
  <c r="AJ129" i="1" s="1"/>
  <c r="BO129" i="1"/>
  <c r="BQ129" i="1" s="1"/>
  <c r="BN129" i="1" s="1"/>
  <c r="CJ129" i="1"/>
  <c r="AX129" i="1"/>
  <c r="N129" i="1"/>
  <c r="CC129" i="1"/>
  <c r="BC129" i="1"/>
  <c r="BI129" i="1"/>
  <c r="BL129" i="1" s="1"/>
  <c r="CF129" i="1"/>
  <c r="O129" i="1"/>
  <c r="CB129" i="1"/>
  <c r="CE129" i="1"/>
  <c r="AR129" i="3"/>
  <c r="BH129" i="3" s="1"/>
  <c r="BP129" i="3" s="1"/>
  <c r="BT129" i="3" s="1"/>
  <c r="BE129" i="3"/>
  <c r="AP129" i="1"/>
  <c r="AB129" i="5" s="1"/>
  <c r="K129" i="1"/>
  <c r="BH129" i="1"/>
  <c r="AC129" i="5"/>
  <c r="Y129" i="5"/>
  <c r="X129" i="5"/>
  <c r="W129" i="5"/>
  <c r="AQ87" i="3"/>
  <c r="BF87" i="3" s="1"/>
  <c r="AI87" i="1"/>
  <c r="AJ87" i="1" s="1"/>
  <c r="AX87" i="1"/>
  <c r="CB87" i="1"/>
  <c r="CC87" i="1"/>
  <c r="N87" i="1"/>
  <c r="CF87" i="1"/>
  <c r="O87" i="1"/>
  <c r="BC87" i="1"/>
  <c r="BI87" i="1"/>
  <c r="BL87" i="1" s="1"/>
  <c r="CH87" i="1"/>
  <c r="BO87" i="1"/>
  <c r="CJ87" i="1"/>
  <c r="AZ87" i="1"/>
  <c r="CI87" i="1"/>
  <c r="W87" i="5"/>
  <c r="CE87" i="1"/>
  <c r="S87" i="1"/>
  <c r="BE87" i="3"/>
  <c r="E194" i="5" s="1"/>
  <c r="AR87" i="3"/>
  <c r="BH87" i="1"/>
  <c r="AP87" i="1"/>
  <c r="AB87" i="5" s="1"/>
  <c r="K87" i="1"/>
  <c r="AC87" i="5"/>
  <c r="X87" i="5"/>
  <c r="Y87" i="5"/>
  <c r="CB13" i="1"/>
  <c r="CC13" i="1"/>
  <c r="O13" i="1"/>
  <c r="BI13" i="1"/>
  <c r="BL13" i="1" s="1"/>
  <c r="CF13" i="1"/>
  <c r="BO13" i="1"/>
  <c r="BQ13" i="1" s="1"/>
  <c r="BN13" i="1" s="1"/>
  <c r="AX13" i="1"/>
  <c r="CE13" i="1"/>
  <c r="CI13" i="1"/>
  <c r="CJ13" i="1"/>
  <c r="BC13" i="1"/>
  <c r="N13" i="1"/>
  <c r="AI13" i="1"/>
  <c r="AJ13" i="1" s="1"/>
  <c r="CH13" i="1"/>
  <c r="AC13" i="5"/>
  <c r="AQ22" i="3"/>
  <c r="BF22" i="3" s="1"/>
  <c r="CB22" i="1"/>
  <c r="AX22" i="1"/>
  <c r="N22" i="1"/>
  <c r="CE22" i="1"/>
  <c r="CC22" i="1"/>
  <c r="CF22" i="1"/>
  <c r="BI22" i="1"/>
  <c r="BL22" i="1" s="1"/>
  <c r="CH22" i="1"/>
  <c r="CJ22" i="1"/>
  <c r="BO22" i="1"/>
  <c r="BQ22" i="1" s="1"/>
  <c r="BN22" i="1" s="1"/>
  <c r="BC22" i="1"/>
  <c r="O22" i="1"/>
  <c r="AI22" i="1"/>
  <c r="AJ22" i="1" s="1"/>
  <c r="W22" i="5"/>
  <c r="Y22" i="5"/>
  <c r="X22" i="5"/>
  <c r="CI22" i="1"/>
  <c r="AR22" i="3"/>
  <c r="BH22" i="3" s="1"/>
  <c r="BP22" i="3" s="1"/>
  <c r="BT22" i="3" s="1"/>
  <c r="BE22" i="3"/>
  <c r="AP22" i="1"/>
  <c r="AB22" i="5" s="1"/>
  <c r="BH22" i="1"/>
  <c r="K22" i="1"/>
  <c r="AC22" i="5"/>
  <c r="BO124" i="1"/>
  <c r="BQ124" i="1" s="1"/>
  <c r="BN124" i="1" s="1"/>
  <c r="CJ124" i="1"/>
  <c r="O124" i="1"/>
  <c r="BC124" i="1"/>
  <c r="CE124" i="1"/>
  <c r="BI124" i="1"/>
  <c r="BL124" i="1" s="1"/>
  <c r="CF124" i="1"/>
  <c r="S124" i="1"/>
  <c r="CB124" i="1"/>
  <c r="AX124" i="1"/>
  <c r="CC124" i="1"/>
  <c r="AZ124" i="1"/>
  <c r="CH124" i="1"/>
  <c r="AC124" i="5"/>
  <c r="N124" i="1"/>
  <c r="CI124" i="1"/>
  <c r="AR50" i="3"/>
  <c r="BH50" i="3" s="1"/>
  <c r="AQ50" i="3"/>
  <c r="BF50" i="3" s="1"/>
  <c r="N50" i="1"/>
  <c r="CF50" i="1"/>
  <c r="O50" i="1"/>
  <c r="BO50" i="1"/>
  <c r="BQ50" i="1" s="1"/>
  <c r="BN50" i="1" s="1"/>
  <c r="CB50" i="1"/>
  <c r="AI50" i="1"/>
  <c r="AJ50" i="1" s="1"/>
  <c r="CC50" i="1"/>
  <c r="CE50" i="1"/>
  <c r="CI50" i="1"/>
  <c r="BC50" i="1"/>
  <c r="CJ50" i="1"/>
  <c r="CH50" i="1"/>
  <c r="AX50" i="1"/>
  <c r="BI50" i="1"/>
  <c r="BL50" i="1" s="1"/>
  <c r="Y50" i="5"/>
  <c r="BE50" i="3"/>
  <c r="K50" i="1"/>
  <c r="W50" i="5"/>
  <c r="BH50" i="1"/>
  <c r="X50" i="5"/>
  <c r="AP50" i="1"/>
  <c r="AB50" i="5" s="1"/>
  <c r="AC50" i="5"/>
  <c r="AQ67" i="3"/>
  <c r="N67" i="1"/>
  <c r="BC67" i="1"/>
  <c r="CF67" i="1"/>
  <c r="BI67" i="1"/>
  <c r="BL67" i="1" s="1"/>
  <c r="CH67" i="1"/>
  <c r="O67" i="1"/>
  <c r="CI67" i="1"/>
  <c r="AX67" i="1"/>
  <c r="CC67" i="1"/>
  <c r="AI67" i="1"/>
  <c r="AJ67" i="1" s="1"/>
  <c r="CB67" i="1"/>
  <c r="CE67" i="1"/>
  <c r="CJ67" i="1"/>
  <c r="BO67" i="1"/>
  <c r="BQ67" i="1" s="1"/>
  <c r="BN67" i="1" s="1"/>
  <c r="W67" i="5"/>
  <c r="X67" i="5"/>
  <c r="Y67" i="5"/>
  <c r="AR67" i="3"/>
  <c r="BE67" i="3"/>
  <c r="E182" i="5" s="1"/>
  <c r="BH67" i="1"/>
  <c r="AP67" i="1"/>
  <c r="AB67" i="5" s="1"/>
  <c r="K67" i="1"/>
  <c r="AC67" i="5"/>
  <c r="AQ121" i="3"/>
  <c r="BF121" i="3" s="1"/>
  <c r="S121" i="1"/>
  <c r="BI121" i="1"/>
  <c r="BL121" i="1" s="1"/>
  <c r="AX121" i="1"/>
  <c r="CB121" i="1"/>
  <c r="BC121" i="1"/>
  <c r="CF121" i="1"/>
  <c r="N121" i="1"/>
  <c r="O121" i="1"/>
  <c r="BO121" i="1"/>
  <c r="BQ121" i="1" s="1"/>
  <c r="BN121" i="1" s="1"/>
  <c r="AI121" i="1"/>
  <c r="AJ121" i="1" s="1"/>
  <c r="CC121" i="1"/>
  <c r="CH121" i="1"/>
  <c r="CJ121" i="1"/>
  <c r="AZ121" i="1"/>
  <c r="CI121" i="1"/>
  <c r="X121" i="5"/>
  <c r="CE121" i="1"/>
  <c r="AR121" i="3"/>
  <c r="BH121" i="3" s="1"/>
  <c r="BP121" i="3" s="1"/>
  <c r="BT121" i="3" s="1"/>
  <c r="BE121" i="3"/>
  <c r="AP121" i="1"/>
  <c r="AB121" i="5" s="1"/>
  <c r="K121" i="1"/>
  <c r="BH121" i="1"/>
  <c r="AC121" i="5"/>
  <c r="W121" i="5"/>
  <c r="Y121" i="5"/>
  <c r="AS126" i="3"/>
  <c r="AQ41" i="3"/>
  <c r="BF41" i="3" s="1"/>
  <c r="CJ41" i="1"/>
  <c r="AI41" i="1"/>
  <c r="AJ41" i="1" s="1"/>
  <c r="CH41" i="1"/>
  <c r="BO41" i="1"/>
  <c r="BQ41" i="1" s="1"/>
  <c r="BN41" i="1" s="1"/>
  <c r="AX41" i="1"/>
  <c r="N41" i="1"/>
  <c r="BC41" i="1"/>
  <c r="O41" i="1"/>
  <c r="BI41" i="1"/>
  <c r="BL41" i="1" s="1"/>
  <c r="S41" i="1"/>
  <c r="AZ41" i="1"/>
  <c r="CF41" i="1"/>
  <c r="CB41" i="1"/>
  <c r="CE41" i="1"/>
  <c r="CI41" i="1"/>
  <c r="CC41" i="1"/>
  <c r="X41" i="5"/>
  <c r="Y41" i="5"/>
  <c r="AC41" i="5"/>
  <c r="K41" i="1"/>
  <c r="AP41" i="1"/>
  <c r="AB41" i="5" s="1"/>
  <c r="BE41" i="3"/>
  <c r="AR41" i="3"/>
  <c r="BH41" i="3" s="1"/>
  <c r="BH41" i="1"/>
  <c r="W41" i="5"/>
  <c r="AQ125" i="3"/>
  <c r="BF125" i="3" s="1"/>
  <c r="BO125" i="1"/>
  <c r="BQ125" i="1" s="1"/>
  <c r="BN125" i="1" s="1"/>
  <c r="CI125" i="1"/>
  <c r="AI125" i="1"/>
  <c r="AJ125" i="1" s="1"/>
  <c r="CJ125" i="1"/>
  <c r="O125" i="1"/>
  <c r="CH125" i="1"/>
  <c r="AX125" i="1"/>
  <c r="CB125" i="1"/>
  <c r="CE125" i="1"/>
  <c r="CC125" i="1"/>
  <c r="CF125" i="1"/>
  <c r="W125" i="5"/>
  <c r="Y125" i="5"/>
  <c r="N125" i="1"/>
  <c r="BC125" i="1"/>
  <c r="BI125" i="1"/>
  <c r="BL125" i="1" s="1"/>
  <c r="AP125" i="1"/>
  <c r="AB125" i="5" s="1"/>
  <c r="BE125" i="3"/>
  <c r="AR125" i="3"/>
  <c r="BH125" i="3" s="1"/>
  <c r="BP125" i="3" s="1"/>
  <c r="BT125" i="3" s="1"/>
  <c r="K125" i="1"/>
  <c r="AC125" i="5"/>
  <c r="BH125" i="1"/>
  <c r="X125" i="5"/>
  <c r="AQ23" i="3"/>
  <c r="BF23" i="3" s="1"/>
  <c r="BC23" i="1"/>
  <c r="CC23" i="1"/>
  <c r="O23" i="1"/>
  <c r="CE23" i="1"/>
  <c r="BI23" i="1"/>
  <c r="BL23" i="1" s="1"/>
  <c r="CF23" i="1"/>
  <c r="CH23" i="1"/>
  <c r="BO23" i="1"/>
  <c r="BQ23" i="1" s="1"/>
  <c r="BN23" i="1" s="1"/>
  <c r="AI23" i="1"/>
  <c r="AJ23" i="1" s="1"/>
  <c r="AX23" i="1"/>
  <c r="CB23" i="1"/>
  <c r="N23" i="1"/>
  <c r="S23" i="1"/>
  <c r="CI23" i="1"/>
  <c r="CJ23" i="1"/>
  <c r="AR23" i="3"/>
  <c r="BH23" i="3" s="1"/>
  <c r="BE23" i="3"/>
  <c r="AZ23" i="1"/>
  <c r="AP23" i="1"/>
  <c r="AB23" i="5" s="1"/>
  <c r="K23" i="1"/>
  <c r="BH23" i="1"/>
  <c r="W23" i="5"/>
  <c r="AC23" i="5"/>
  <c r="Y23" i="5"/>
  <c r="X23" i="5"/>
  <c r="AX90" i="1"/>
  <c r="CB90" i="1"/>
  <c r="N90" i="1"/>
  <c r="BC90" i="1"/>
  <c r="CC90" i="1"/>
  <c r="O90" i="1"/>
  <c r="BI90" i="1"/>
  <c r="BL90" i="1" s="1"/>
  <c r="CE90" i="1"/>
  <c r="CF90" i="1"/>
  <c r="S90" i="1"/>
  <c r="CI90" i="1"/>
  <c r="BO90" i="1"/>
  <c r="BQ90" i="1" s="1"/>
  <c r="BN90" i="1" s="1"/>
  <c r="CJ90" i="1"/>
  <c r="AZ90" i="1"/>
  <c r="CH90" i="1"/>
  <c r="AC90" i="5"/>
  <c r="AR96" i="3"/>
  <c r="AQ96" i="3"/>
  <c r="CH96" i="1"/>
  <c r="BO96" i="1"/>
  <c r="BQ96" i="1" s="1"/>
  <c r="BN96" i="1" s="1"/>
  <c r="CI96" i="1"/>
  <c r="AI96" i="1"/>
  <c r="AJ96" i="1" s="1"/>
  <c r="CJ96" i="1"/>
  <c r="CB96" i="1"/>
  <c r="BC96" i="1"/>
  <c r="CC96" i="1"/>
  <c r="N96" i="1"/>
  <c r="CF96" i="1"/>
  <c r="O96" i="1"/>
  <c r="CE96" i="1"/>
  <c r="AX96" i="1"/>
  <c r="BI96" i="1"/>
  <c r="BL96" i="1" s="1"/>
  <c r="W96" i="5"/>
  <c r="Y96" i="5"/>
  <c r="BE96" i="3"/>
  <c r="E187" i="5" s="1"/>
  <c r="X96" i="5"/>
  <c r="K96" i="1"/>
  <c r="AP96" i="1"/>
  <c r="AB96" i="5" s="1"/>
  <c r="BH96" i="1"/>
  <c r="AC96" i="5"/>
  <c r="AQ69" i="3"/>
  <c r="BF69" i="3" s="1"/>
  <c r="CB69" i="1"/>
  <c r="CC69" i="1"/>
  <c r="N69" i="1"/>
  <c r="BC69" i="1"/>
  <c r="CE69" i="1"/>
  <c r="S69" i="1"/>
  <c r="CH69" i="1"/>
  <c r="CJ69" i="1"/>
  <c r="BI69" i="1"/>
  <c r="BL69" i="1" s="1"/>
  <c r="O69" i="1"/>
  <c r="BO69" i="1"/>
  <c r="BQ69" i="1" s="1"/>
  <c r="BN69" i="1" s="1"/>
  <c r="AI69" i="1"/>
  <c r="AJ69" i="1" s="1"/>
  <c r="AX69" i="1"/>
  <c r="CI69" i="1"/>
  <c r="CF69" i="1"/>
  <c r="Y69" i="5"/>
  <c r="AP69" i="1"/>
  <c r="AB69" i="5" s="1"/>
  <c r="AR69" i="3"/>
  <c r="BH69" i="3" s="1"/>
  <c r="BP69" i="3" s="1"/>
  <c r="BT69" i="3" s="1"/>
  <c r="BE69" i="3"/>
  <c r="BH69" i="1"/>
  <c r="K69" i="1"/>
  <c r="W69" i="5"/>
  <c r="AC69" i="5"/>
  <c r="X69" i="5"/>
  <c r="AQ82" i="3"/>
  <c r="BF82" i="3" s="1"/>
  <c r="N82" i="1"/>
  <c r="CB82" i="1"/>
  <c r="AZ82" i="1"/>
  <c r="AX82" i="1"/>
  <c r="CC82" i="1"/>
  <c r="CE82" i="1"/>
  <c r="BC82" i="1"/>
  <c r="CF82" i="1"/>
  <c r="O82" i="1"/>
  <c r="CH82" i="1"/>
  <c r="CI82" i="1"/>
  <c r="S82" i="1"/>
  <c r="BO82" i="1"/>
  <c r="BQ82" i="1" s="1"/>
  <c r="BN82" i="1" s="1"/>
  <c r="CJ82" i="1"/>
  <c r="AC82" i="5"/>
  <c r="BI82" i="1"/>
  <c r="BL82" i="1" s="1"/>
  <c r="W82" i="5"/>
  <c r="X82" i="5"/>
  <c r="Y82" i="5"/>
  <c r="BE82" i="3"/>
  <c r="AR82" i="3"/>
  <c r="BH82" i="3" s="1"/>
  <c r="BP82" i="3" s="1"/>
  <c r="BT82" i="3" s="1"/>
  <c r="AP82" i="1"/>
  <c r="AB82" i="5" s="1"/>
  <c r="K82" i="1"/>
  <c r="BH82" i="1"/>
  <c r="AN33" i="1"/>
  <c r="AQ48" i="3"/>
  <c r="BF48" i="3" s="1"/>
  <c r="BO48" i="1"/>
  <c r="BQ48" i="1" s="1"/>
  <c r="BN48" i="1" s="1"/>
  <c r="CI48" i="1"/>
  <c r="BK48" i="1"/>
  <c r="CE48" i="1"/>
  <c r="N48" i="1"/>
  <c r="BC48" i="1"/>
  <c r="CF48" i="1"/>
  <c r="CJ48" i="1"/>
  <c r="AI48" i="1"/>
  <c r="AJ48" i="1" s="1"/>
  <c r="CC48" i="1"/>
  <c r="AX48" i="1"/>
  <c r="CH48" i="1"/>
  <c r="O48" i="1"/>
  <c r="CB48" i="1"/>
  <c r="BI48" i="1"/>
  <c r="BL48" i="1" s="1"/>
  <c r="AC48" i="5"/>
  <c r="AR48" i="3"/>
  <c r="AS48" i="3" s="1"/>
  <c r="BE48" i="3"/>
  <c r="W48" i="5"/>
  <c r="K48" i="1"/>
  <c r="AP48" i="1"/>
  <c r="AB48" i="5" s="1"/>
  <c r="X48" i="5"/>
  <c r="Y48" i="5"/>
  <c r="BH48" i="1"/>
  <c r="AQ24" i="3"/>
  <c r="BF24" i="3" s="1"/>
  <c r="CH24" i="1"/>
  <c r="BO24" i="1"/>
  <c r="BQ24" i="1" s="1"/>
  <c r="BN24" i="1" s="1"/>
  <c r="CJ24" i="1"/>
  <c r="AI24" i="1"/>
  <c r="AJ24" i="1" s="1"/>
  <c r="O24" i="1"/>
  <c r="CI24" i="1"/>
  <c r="S24" i="1"/>
  <c r="AX24" i="1"/>
  <c r="CC24" i="1"/>
  <c r="CE24" i="1"/>
  <c r="BI24" i="1"/>
  <c r="BL24" i="1" s="1"/>
  <c r="N24" i="1"/>
  <c r="CB24" i="1"/>
  <c r="CF24" i="1"/>
  <c r="BC24" i="1"/>
  <c r="Y24" i="5"/>
  <c r="W24" i="5"/>
  <c r="AC24" i="5"/>
  <c r="K24" i="1"/>
  <c r="AR24" i="3"/>
  <c r="BH24" i="3" s="1"/>
  <c r="BP24" i="3" s="1"/>
  <c r="BT24" i="3" s="1"/>
  <c r="BE24" i="3"/>
  <c r="AP24" i="1"/>
  <c r="AB24" i="5" s="1"/>
  <c r="AZ24" i="1"/>
  <c r="BH24" i="1"/>
  <c r="X24" i="5"/>
  <c r="AQ97" i="3"/>
  <c r="AR97" i="3"/>
  <c r="N97" i="1"/>
  <c r="BI97" i="1"/>
  <c r="BL97" i="1" s="1"/>
  <c r="CF97" i="1"/>
  <c r="CC97" i="1"/>
  <c r="CE97" i="1"/>
  <c r="BC97" i="1"/>
  <c r="CH97" i="1"/>
  <c r="O97" i="1"/>
  <c r="CI97" i="1"/>
  <c r="AI97" i="1"/>
  <c r="AJ97" i="1" s="1"/>
  <c r="AX97" i="1"/>
  <c r="CB97" i="1"/>
  <c r="CJ97" i="1"/>
  <c r="BO97" i="1"/>
  <c r="BQ97" i="1" s="1"/>
  <c r="BN97" i="1" s="1"/>
  <c r="AC97" i="5"/>
  <c r="Y97" i="5"/>
  <c r="BE97" i="3"/>
  <c r="E188" i="5" s="1"/>
  <c r="BH97" i="1"/>
  <c r="AP97" i="1"/>
  <c r="AB97" i="5" s="1"/>
  <c r="K97" i="1"/>
  <c r="X97" i="5"/>
  <c r="W97" i="5"/>
  <c r="N70" i="1"/>
  <c r="CB70" i="1"/>
  <c r="CH70" i="1"/>
  <c r="CI70" i="1"/>
  <c r="AI70" i="1"/>
  <c r="AJ70" i="1" s="1"/>
  <c r="BO70" i="1"/>
  <c r="BQ70" i="1" s="1"/>
  <c r="BN70" i="1" s="1"/>
  <c r="CJ70" i="1"/>
  <c r="BC70" i="1"/>
  <c r="CF70" i="1"/>
  <c r="BI70" i="1"/>
  <c r="BL70" i="1" s="1"/>
  <c r="O70" i="1"/>
  <c r="S70" i="1"/>
  <c r="CC70" i="1"/>
  <c r="AX70" i="1"/>
  <c r="CE70" i="1"/>
  <c r="AC70" i="5"/>
  <c r="BC39" i="1"/>
  <c r="CE39" i="1"/>
  <c r="AX39" i="1"/>
  <c r="AZ39" i="1"/>
  <c r="CC39" i="1"/>
  <c r="CF39" i="1"/>
  <c r="N39" i="1"/>
  <c r="CH39" i="1"/>
  <c r="BO39" i="1"/>
  <c r="BQ39" i="1" s="1"/>
  <c r="BN39" i="1" s="1"/>
  <c r="CJ39" i="1"/>
  <c r="S39" i="1"/>
  <c r="CB39" i="1"/>
  <c r="AI39" i="1"/>
  <c r="AJ39" i="1" s="1"/>
  <c r="O39" i="1"/>
  <c r="BI39" i="1"/>
  <c r="BL39" i="1" s="1"/>
  <c r="AC39" i="5"/>
  <c r="CI39" i="1"/>
  <c r="BI33" i="3"/>
  <c r="F33" i="5" s="1"/>
  <c r="E33" i="5"/>
  <c r="G33" i="5"/>
  <c r="W33" i="1"/>
  <c r="T33" i="1"/>
  <c r="U33" i="1"/>
  <c r="V33" i="1"/>
  <c r="BF126" i="1"/>
  <c r="BG126" i="1"/>
  <c r="CD126" i="1"/>
  <c r="BU126" i="1"/>
  <c r="AQ126" i="1"/>
  <c r="BS126" i="1" s="1"/>
  <c r="AQ44" i="3"/>
  <c r="BF44" i="3" s="1"/>
  <c r="AR44" i="3"/>
  <c r="BH44" i="3" s="1"/>
  <c r="CB44" i="1"/>
  <c r="N44" i="1"/>
  <c r="BC44" i="1"/>
  <c r="CF44" i="1"/>
  <c r="CH44" i="1"/>
  <c r="BI44" i="1"/>
  <c r="BL44" i="1" s="1"/>
  <c r="CJ44" i="1"/>
  <c r="O44" i="1"/>
  <c r="BO44" i="1"/>
  <c r="BQ44" i="1" s="1"/>
  <c r="BN44" i="1" s="1"/>
  <c r="AI44" i="1"/>
  <c r="AJ44" i="1" s="1"/>
  <c r="CC44" i="1"/>
  <c r="CE44" i="1"/>
  <c r="CI44" i="1"/>
  <c r="AX44" i="1"/>
  <c r="AC44" i="5"/>
  <c r="W44" i="5"/>
  <c r="BH44" i="1"/>
  <c r="BE44" i="3"/>
  <c r="K44" i="1"/>
  <c r="Y44" i="5"/>
  <c r="AP44" i="1"/>
  <c r="AB44" i="5" s="1"/>
  <c r="X44" i="5"/>
  <c r="AQ37" i="3"/>
  <c r="BF37" i="3" s="1"/>
  <c r="AZ37" i="1"/>
  <c r="CB37" i="1"/>
  <c r="O37" i="1"/>
  <c r="BC37" i="1"/>
  <c r="CE37" i="1"/>
  <c r="N37" i="1"/>
  <c r="CJ37" i="1"/>
  <c r="AI37" i="1"/>
  <c r="AJ37" i="1" s="1"/>
  <c r="AX37" i="1"/>
  <c r="CH37" i="1"/>
  <c r="CI37" i="1"/>
  <c r="BI37" i="1"/>
  <c r="BL37" i="1" s="1"/>
  <c r="BO37" i="1"/>
  <c r="BQ37" i="1" s="1"/>
  <c r="BN37" i="1" s="1"/>
  <c r="CC37" i="1"/>
  <c r="S37" i="1"/>
  <c r="W37" i="5"/>
  <c r="X37" i="5"/>
  <c r="Y37" i="5"/>
  <c r="AC37" i="5"/>
  <c r="CF37" i="1"/>
  <c r="AR37" i="3"/>
  <c r="BH37" i="3" s="1"/>
  <c r="BE37" i="3"/>
  <c r="AP37" i="1"/>
  <c r="AB37" i="5" s="1"/>
  <c r="K37" i="1"/>
  <c r="BH37" i="1"/>
  <c r="AQ32" i="3"/>
  <c r="BF32" i="3" s="1"/>
  <c r="BI32" i="1"/>
  <c r="BL32" i="1" s="1"/>
  <c r="AX32" i="1"/>
  <c r="CB32" i="1"/>
  <c r="CE32" i="1"/>
  <c r="AZ32" i="1"/>
  <c r="CF32" i="1"/>
  <c r="BC32" i="1"/>
  <c r="CI32" i="1"/>
  <c r="O32" i="1"/>
  <c r="BO32" i="1"/>
  <c r="BQ32" i="1" s="1"/>
  <c r="BN32" i="1" s="1"/>
  <c r="S32" i="1"/>
  <c r="CC32" i="1"/>
  <c r="CH32" i="1"/>
  <c r="CJ32" i="1"/>
  <c r="N32" i="1"/>
  <c r="AR32" i="3"/>
  <c r="BH32" i="3" s="1"/>
  <c r="BP32" i="3" s="1"/>
  <c r="BT32" i="3" s="1"/>
  <c r="BE32" i="3"/>
  <c r="AP32" i="1"/>
  <c r="AB32" i="5" s="1"/>
  <c r="W32" i="5"/>
  <c r="BH32" i="1"/>
  <c r="K32" i="1"/>
  <c r="X32" i="5"/>
  <c r="Y32" i="5"/>
  <c r="AC32" i="5"/>
  <c r="AQ47" i="3"/>
  <c r="BF47" i="3" s="1"/>
  <c r="AX47" i="1"/>
  <c r="CC47" i="1"/>
  <c r="AI47" i="1"/>
  <c r="AJ47" i="1" s="1"/>
  <c r="CF47" i="1"/>
  <c r="CH47" i="1"/>
  <c r="O47" i="1"/>
  <c r="BO47" i="1"/>
  <c r="BQ47" i="1" s="1"/>
  <c r="BN47" i="1" s="1"/>
  <c r="BC47" i="1"/>
  <c r="BI47" i="1"/>
  <c r="BL47" i="1" s="1"/>
  <c r="N47" i="1"/>
  <c r="CB47" i="1"/>
  <c r="CE47" i="1"/>
  <c r="CJ47" i="1"/>
  <c r="CI47" i="1"/>
  <c r="BE47" i="3"/>
  <c r="AR47" i="3"/>
  <c r="BH47" i="3" s="1"/>
  <c r="BP47" i="3" s="1"/>
  <c r="BT47" i="3" s="1"/>
  <c r="AP47" i="1"/>
  <c r="AB47" i="5" s="1"/>
  <c r="AC47" i="5"/>
  <c r="K47" i="1"/>
  <c r="BH47" i="1"/>
  <c r="W47" i="5"/>
  <c r="X47" i="5"/>
  <c r="Y47" i="5"/>
  <c r="CC25" i="1"/>
  <c r="CE25" i="1"/>
  <c r="N25" i="1"/>
  <c r="BI25" i="1"/>
  <c r="BL25" i="1" s="1"/>
  <c r="BC25" i="1"/>
  <c r="CJ25" i="1"/>
  <c r="BO25" i="1"/>
  <c r="BQ25" i="1" s="1"/>
  <c r="BN25" i="1" s="1"/>
  <c r="AI25" i="1"/>
  <c r="AJ25" i="1" s="1"/>
  <c r="CF25" i="1"/>
  <c r="CH25" i="1"/>
  <c r="CI25" i="1"/>
  <c r="AX25" i="1"/>
  <c r="S25" i="1"/>
  <c r="O25" i="1"/>
  <c r="AC25" i="5"/>
  <c r="CB25" i="1"/>
  <c r="AR54" i="3"/>
  <c r="BH54" i="3" s="1"/>
  <c r="AQ54" i="3"/>
  <c r="BF54" i="3" s="1"/>
  <c r="AI54" i="1"/>
  <c r="AJ54" i="1" s="1"/>
  <c r="CJ54" i="1"/>
  <c r="BC54" i="1"/>
  <c r="CE54" i="1"/>
  <c r="BI54" i="1"/>
  <c r="BL54" i="1" s="1"/>
  <c r="CF54" i="1"/>
  <c r="BO54" i="1"/>
  <c r="BQ54" i="1" s="1"/>
  <c r="BN54" i="1" s="1"/>
  <c r="CB54" i="1"/>
  <c r="N54" i="1"/>
  <c r="O54" i="1"/>
  <c r="CC54" i="1"/>
  <c r="CI54" i="1"/>
  <c r="AX54" i="1"/>
  <c r="CH54" i="1"/>
  <c r="X54" i="5"/>
  <c r="BE54" i="3"/>
  <c r="K54" i="1"/>
  <c r="AP54" i="1"/>
  <c r="AB54" i="5" s="1"/>
  <c r="BH54" i="1"/>
  <c r="W54" i="5"/>
  <c r="Y54" i="5"/>
  <c r="AC54" i="5"/>
  <c r="BI132" i="1"/>
  <c r="BL132" i="1" s="1"/>
  <c r="S132" i="1"/>
  <c r="CH132" i="1"/>
  <c r="CI132" i="1"/>
  <c r="BO132" i="1"/>
  <c r="BQ132" i="1" s="1"/>
  <c r="BN132" i="1" s="1"/>
  <c r="CJ132" i="1"/>
  <c r="AX132" i="1"/>
  <c r="AZ132" i="1"/>
  <c r="CC132" i="1"/>
  <c r="N132" i="1"/>
  <c r="O132" i="1"/>
  <c r="CB132" i="1"/>
  <c r="CE132" i="1"/>
  <c r="CF132" i="1"/>
  <c r="BC132" i="1"/>
  <c r="AC132" i="5"/>
  <c r="BI71" i="1"/>
  <c r="BL71" i="1" s="1"/>
  <c r="CF71" i="1"/>
  <c r="N71" i="1"/>
  <c r="CE71" i="1"/>
  <c r="BO71" i="1"/>
  <c r="O71" i="1"/>
  <c r="S71" i="1"/>
  <c r="AI71" i="1"/>
  <c r="AJ71" i="1" s="1"/>
  <c r="CB71" i="1"/>
  <c r="AX71" i="1"/>
  <c r="CC71" i="1"/>
  <c r="BC71" i="1"/>
  <c r="CI71" i="1"/>
  <c r="CJ71" i="1"/>
  <c r="CH71" i="1"/>
  <c r="AC71" i="5"/>
  <c r="CB14" i="1"/>
  <c r="CI14" i="1"/>
  <c r="CJ14" i="1"/>
  <c r="O14" i="1"/>
  <c r="BC14" i="1"/>
  <c r="CH14" i="1"/>
  <c r="BI14" i="1"/>
  <c r="BL14" i="1" s="1"/>
  <c r="BO14" i="1"/>
  <c r="BQ14" i="1" s="1"/>
  <c r="BN14" i="1" s="1"/>
  <c r="AI14" i="1"/>
  <c r="AJ14" i="1" s="1"/>
  <c r="N14" i="1"/>
  <c r="CC14" i="1"/>
  <c r="CE14" i="1"/>
  <c r="AZ14" i="1"/>
  <c r="AX14" i="1"/>
  <c r="CF14" i="1"/>
  <c r="S14" i="1"/>
  <c r="AC14" i="5"/>
  <c r="AR26" i="3"/>
  <c r="BH26" i="3" s="1"/>
  <c r="N26" i="1"/>
  <c r="BC26" i="1"/>
  <c r="CF26" i="1"/>
  <c r="AI26" i="1"/>
  <c r="AJ26" i="1" s="1"/>
  <c r="CI26" i="1"/>
  <c r="CJ26" i="1"/>
  <c r="O26" i="1"/>
  <c r="BO26" i="1"/>
  <c r="BQ26" i="1" s="1"/>
  <c r="BN26" i="1" s="1"/>
  <c r="CB26" i="1"/>
  <c r="AX26" i="1"/>
  <c r="CC26" i="1"/>
  <c r="BI26" i="1"/>
  <c r="BL26" i="1" s="1"/>
  <c r="AZ26" i="1"/>
  <c r="CE26" i="1"/>
  <c r="CH26" i="1"/>
  <c r="AC26" i="5"/>
  <c r="AQ34" i="3"/>
  <c r="BF34" i="3" s="1"/>
  <c r="AX34" i="1"/>
  <c r="CC34" i="1"/>
  <c r="CB34" i="1"/>
  <c r="CE34" i="1"/>
  <c r="BC34" i="1"/>
  <c r="CI34" i="1"/>
  <c r="CJ34" i="1"/>
  <c r="BI34" i="1"/>
  <c r="BL34" i="1" s="1"/>
  <c r="BO34" i="1"/>
  <c r="BQ34" i="1" s="1"/>
  <c r="BN34" i="1" s="1"/>
  <c r="CF34" i="1"/>
  <c r="S34" i="1"/>
  <c r="CH34" i="1"/>
  <c r="AI34" i="1"/>
  <c r="AJ34" i="1" s="1"/>
  <c r="Y34" i="5"/>
  <c r="X34" i="5"/>
  <c r="W34" i="5"/>
  <c r="BE34" i="3"/>
  <c r="AR34" i="3"/>
  <c r="BH34" i="3" s="1"/>
  <c r="K34" i="1"/>
  <c r="BH34" i="1"/>
  <c r="AC34" i="5"/>
  <c r="AP34" i="1"/>
  <c r="AB34" i="5" s="1"/>
  <c r="AQ85" i="3"/>
  <c r="N85" i="1"/>
  <c r="CF85" i="1"/>
  <c r="AX85" i="1"/>
  <c r="CB85" i="1"/>
  <c r="CC85" i="1"/>
  <c r="O85" i="1"/>
  <c r="BC85" i="1"/>
  <c r="CH85" i="1"/>
  <c r="BI85" i="1"/>
  <c r="BL85" i="1" s="1"/>
  <c r="CI85" i="1"/>
  <c r="BO85" i="1"/>
  <c r="S85" i="1"/>
  <c r="CE85" i="1"/>
  <c r="CJ85" i="1"/>
  <c r="AC85" i="5"/>
  <c r="AZ85" i="1"/>
  <c r="X85" i="5"/>
  <c r="Y85" i="5"/>
  <c r="W85" i="5"/>
  <c r="AR85" i="3"/>
  <c r="BE85" i="3"/>
  <c r="E193" i="5" s="1"/>
  <c r="BH85" i="1"/>
  <c r="K85" i="1"/>
  <c r="AP85" i="1"/>
  <c r="AB85" i="5" s="1"/>
  <c r="AQ72" i="3"/>
  <c r="AI72" i="1"/>
  <c r="AJ72" i="1" s="1"/>
  <c r="BO72" i="1"/>
  <c r="BQ72" i="1" s="1"/>
  <c r="BN72" i="1" s="1"/>
  <c r="CJ72" i="1"/>
  <c r="N72" i="1"/>
  <c r="BI72" i="1"/>
  <c r="BL72" i="1" s="1"/>
  <c r="O72" i="1"/>
  <c r="CH72" i="1"/>
  <c r="CI72" i="1"/>
  <c r="CE72" i="1"/>
  <c r="CB72" i="1"/>
  <c r="CF72" i="1"/>
  <c r="AX72" i="1"/>
  <c r="BC72" i="1"/>
  <c r="CC72" i="1"/>
  <c r="AC72" i="5"/>
  <c r="W72" i="5"/>
  <c r="Y72" i="5"/>
  <c r="X72" i="5"/>
  <c r="BE72" i="3"/>
  <c r="E184" i="5" s="1"/>
  <c r="AR72" i="3"/>
  <c r="AP72" i="1"/>
  <c r="AB72" i="5" s="1"/>
  <c r="K72" i="1"/>
  <c r="BH72" i="1"/>
  <c r="AZ126" i="3"/>
  <c r="BL126" i="3" s="1"/>
  <c r="T126" i="1"/>
  <c r="G126" i="5"/>
  <c r="W126" i="1"/>
  <c r="U126" i="1"/>
  <c r="V126" i="1"/>
  <c r="BC28" i="1"/>
  <c r="CF28" i="1"/>
  <c r="AX28" i="1"/>
  <c r="CB28" i="1"/>
  <c r="CC28" i="1"/>
  <c r="S28" i="1"/>
  <c r="BO28" i="1"/>
  <c r="BQ28" i="1" s="1"/>
  <c r="BN28" i="1" s="1"/>
  <c r="CE28" i="1"/>
  <c r="BI28" i="1"/>
  <c r="BL28" i="1" s="1"/>
  <c r="CJ28" i="1"/>
  <c r="CH28" i="1"/>
  <c r="CI28" i="1"/>
  <c r="AZ28" i="1"/>
  <c r="AC28" i="5"/>
  <c r="S74" i="1"/>
  <c r="BO74" i="1"/>
  <c r="BQ74" i="1" s="1"/>
  <c r="BN74" i="1" s="1"/>
  <c r="CJ74" i="1"/>
  <c r="AX74" i="1"/>
  <c r="O74" i="1"/>
  <c r="BI74" i="1"/>
  <c r="BL74" i="1" s="1"/>
  <c r="CH74" i="1"/>
  <c r="AZ74" i="1"/>
  <c r="CI74" i="1"/>
  <c r="BC74" i="1"/>
  <c r="CB74" i="1"/>
  <c r="CE74" i="1"/>
  <c r="CF74" i="1"/>
  <c r="N74" i="1"/>
  <c r="CC74" i="1"/>
  <c r="AC74" i="5"/>
  <c r="O9" i="1"/>
  <c r="BC9" i="1"/>
  <c r="CF9" i="1"/>
  <c r="CB9" i="1"/>
  <c r="AX9" i="1"/>
  <c r="CC9" i="1"/>
  <c r="CH9" i="1"/>
  <c r="CI9" i="1"/>
  <c r="BI9" i="1"/>
  <c r="BL9" i="1" s="1"/>
  <c r="N9" i="1"/>
  <c r="BO9" i="1"/>
  <c r="BQ9" i="1" s="1"/>
  <c r="BN9" i="1" s="1"/>
  <c r="S9" i="1"/>
  <c r="CE9" i="1"/>
  <c r="AI9" i="1"/>
  <c r="AJ9" i="1" s="1"/>
  <c r="CJ9" i="1"/>
  <c r="AC9" i="5"/>
  <c r="CB30" i="1"/>
  <c r="CC30" i="1"/>
  <c r="O30" i="1"/>
  <c r="BI30" i="1"/>
  <c r="BL30" i="1" s="1"/>
  <c r="CF30" i="1"/>
  <c r="N30" i="1"/>
  <c r="CJ30" i="1"/>
  <c r="BO30" i="1"/>
  <c r="BQ30" i="1" s="1"/>
  <c r="BN30" i="1" s="1"/>
  <c r="AI30" i="1"/>
  <c r="AJ30" i="1" s="1"/>
  <c r="AX30" i="1"/>
  <c r="CI30" i="1"/>
  <c r="BC30" i="1"/>
  <c r="CE30" i="1"/>
  <c r="CH30" i="1"/>
  <c r="S30" i="1"/>
  <c r="AC30" i="5"/>
  <c r="S15" i="1"/>
  <c r="BI15" i="1"/>
  <c r="BL15" i="1" s="1"/>
  <c r="CF15" i="1"/>
  <c r="AX15" i="1"/>
  <c r="CB15" i="1"/>
  <c r="N15" i="1"/>
  <c r="CE15" i="1"/>
  <c r="CI15" i="1"/>
  <c r="BC15" i="1"/>
  <c r="CJ15" i="1"/>
  <c r="AI15" i="1"/>
  <c r="AJ15" i="1" s="1"/>
  <c r="CC15" i="1"/>
  <c r="AZ15" i="1"/>
  <c r="CH15" i="1"/>
  <c r="BO15" i="1"/>
  <c r="BQ15" i="1" s="1"/>
  <c r="BN15" i="1" s="1"/>
  <c r="O15" i="1"/>
  <c r="AC15" i="5"/>
  <c r="AQ27" i="3"/>
  <c r="BF27" i="3" s="1"/>
  <c r="AR27" i="3"/>
  <c r="BH27" i="3" s="1"/>
  <c r="BI27" i="1"/>
  <c r="BL27" i="1" s="1"/>
  <c r="CF27" i="1"/>
  <c r="AI27" i="1"/>
  <c r="AJ27" i="1" s="1"/>
  <c r="BO27" i="1"/>
  <c r="BQ27" i="1" s="1"/>
  <c r="BN27" i="1" s="1"/>
  <c r="CI27" i="1"/>
  <c r="BC27" i="1"/>
  <c r="CB27" i="1"/>
  <c r="CC27" i="1"/>
  <c r="AX27" i="1"/>
  <c r="CE27" i="1"/>
  <c r="AZ27" i="1"/>
  <c r="CJ27" i="1"/>
  <c r="CH27" i="1"/>
  <c r="AS27" i="3"/>
  <c r="BE27" i="3"/>
  <c r="BG27" i="3" s="1"/>
  <c r="K27" i="1"/>
  <c r="BH27" i="1"/>
  <c r="AP27" i="1"/>
  <c r="AB27" i="5" s="1"/>
  <c r="AC27" i="5"/>
  <c r="W27" i="5"/>
  <c r="Y27" i="5"/>
  <c r="X27" i="5"/>
  <c r="AQ42" i="3"/>
  <c r="BF42" i="3" s="1"/>
  <c r="AR42" i="3"/>
  <c r="BH42" i="3" s="1"/>
  <c r="CE42" i="1"/>
  <c r="AX42" i="1"/>
  <c r="CB42" i="1"/>
  <c r="CC42" i="1"/>
  <c r="BC42" i="1"/>
  <c r="N42" i="1"/>
  <c r="O42" i="1"/>
  <c r="BO42" i="1"/>
  <c r="BQ42" i="1" s="1"/>
  <c r="BN42" i="1" s="1"/>
  <c r="CF42" i="1"/>
  <c r="AI42" i="1"/>
  <c r="AJ42" i="1" s="1"/>
  <c r="CH42" i="1"/>
  <c r="CI42" i="1"/>
  <c r="CJ42" i="1"/>
  <c r="BI42" i="1"/>
  <c r="BL42" i="1" s="1"/>
  <c r="X42" i="5"/>
  <c r="AC42" i="5"/>
  <c r="W42" i="5"/>
  <c r="BE42" i="3"/>
  <c r="AP42" i="1"/>
  <c r="AB42" i="5" s="1"/>
  <c r="BH42" i="1"/>
  <c r="K42" i="1"/>
  <c r="Y42" i="5"/>
  <c r="AQ36" i="3"/>
  <c r="BF36" i="3" s="1"/>
  <c r="CI36" i="1"/>
  <c r="CJ36" i="1"/>
  <c r="AI36" i="1"/>
  <c r="AJ36" i="1" s="1"/>
  <c r="BO36" i="1"/>
  <c r="BQ36" i="1" s="1"/>
  <c r="BN36" i="1" s="1"/>
  <c r="S36" i="1"/>
  <c r="AX36" i="1"/>
  <c r="CB36" i="1"/>
  <c r="CC36" i="1"/>
  <c r="CE36" i="1"/>
  <c r="CF36" i="1"/>
  <c r="CH36" i="1"/>
  <c r="BC36" i="1"/>
  <c r="O36" i="1"/>
  <c r="BI36" i="1"/>
  <c r="BL36" i="1" s="1"/>
  <c r="AZ36" i="1"/>
  <c r="AC36" i="5"/>
  <c r="N36" i="1"/>
  <c r="W36" i="5"/>
  <c r="Y36" i="5"/>
  <c r="AR36" i="3"/>
  <c r="BH36" i="3" s="1"/>
  <c r="BP36" i="3" s="1"/>
  <c r="BT36" i="3" s="1"/>
  <c r="BE36" i="3"/>
  <c r="X36" i="5"/>
  <c r="K36" i="1"/>
  <c r="AP36" i="1"/>
  <c r="AB36" i="5" s="1"/>
  <c r="BH36" i="1"/>
  <c r="AQ84" i="3"/>
  <c r="CB84" i="1"/>
  <c r="AZ84" i="1"/>
  <c r="CE84" i="1"/>
  <c r="CF84" i="1"/>
  <c r="N84" i="1"/>
  <c r="BC84" i="1"/>
  <c r="O84" i="1"/>
  <c r="BI84" i="1"/>
  <c r="BL84" i="1" s="1"/>
  <c r="CH84" i="1"/>
  <c r="CI84" i="1"/>
  <c r="BO84" i="1"/>
  <c r="BQ84" i="1" s="1"/>
  <c r="BN84" i="1" s="1"/>
  <c r="AX84" i="1"/>
  <c r="CC84" i="1"/>
  <c r="S84" i="1"/>
  <c r="CJ84" i="1"/>
  <c r="Y84" i="5"/>
  <c r="AC84" i="5"/>
  <c r="BE84" i="3"/>
  <c r="E189" i="5" s="1"/>
  <c r="AR84" i="3"/>
  <c r="BH84" i="1"/>
  <c r="AP84" i="1"/>
  <c r="AB84" i="5" s="1"/>
  <c r="K84" i="1"/>
  <c r="W84" i="5"/>
  <c r="X84" i="5"/>
  <c r="CJ75" i="1"/>
  <c r="AZ75" i="1"/>
  <c r="CB75" i="1"/>
  <c r="CC75" i="1"/>
  <c r="BI75" i="1"/>
  <c r="BL75" i="1" s="1"/>
  <c r="N75" i="1"/>
  <c r="O75" i="1"/>
  <c r="BO75" i="1"/>
  <c r="BQ75" i="1" s="1"/>
  <c r="BN75" i="1" s="1"/>
  <c r="S75" i="1"/>
  <c r="AX75" i="1"/>
  <c r="CE75" i="1"/>
  <c r="CH75" i="1"/>
  <c r="BC75" i="1"/>
  <c r="CI75" i="1"/>
  <c r="CF75" i="1"/>
  <c r="AC75" i="5"/>
  <c r="BM126" i="3"/>
  <c r="BJ126" i="3"/>
  <c r="AQ33" i="1"/>
  <c r="BS33" i="1" s="1"/>
  <c r="BI126" i="3"/>
  <c r="F126" i="5" s="1"/>
  <c r="E126" i="5"/>
  <c r="AN126" i="1"/>
  <c r="BP126" i="1" a="1"/>
  <c r="BP126" i="1" s="1"/>
  <c r="BD12" i="3"/>
  <c r="BN12" i="3" a="1"/>
  <c r="BN12" i="3" s="1"/>
  <c r="BR12" i="3" s="1"/>
  <c r="BD125" i="3"/>
  <c r="BN125" i="3" a="1"/>
  <c r="BN125" i="3" s="1"/>
  <c r="BD48" i="3"/>
  <c r="BN48" i="3" a="1"/>
  <c r="BN48" i="3" s="1"/>
  <c r="BD47" i="3"/>
  <c r="BN47" i="3" a="1"/>
  <c r="BN47" i="3" s="1"/>
  <c r="BN14" i="3" a="1"/>
  <c r="BN14" i="3" s="1"/>
  <c r="BR14" i="3" s="1"/>
  <c r="BN15" i="3" a="1"/>
  <c r="BN15" i="3" s="1"/>
  <c r="BR15" i="3" s="1"/>
  <c r="BN16" i="3" a="1"/>
  <c r="BN16" i="3" s="1"/>
  <c r="BR16" i="3" s="1"/>
  <c r="BD17" i="3"/>
  <c r="BD18" i="3"/>
  <c r="BD20" i="3"/>
  <c r="BD21" i="3"/>
  <c r="BN21" i="3" a="1"/>
  <c r="BN21" i="3" s="1"/>
  <c r="BR21" i="3" s="1"/>
  <c r="BD22" i="3"/>
  <c r="BN22" i="3" a="1"/>
  <c r="BN22" i="3" s="1"/>
  <c r="BD23" i="3"/>
  <c r="BN23" i="3" a="1"/>
  <c r="BN23" i="3" s="1"/>
  <c r="BR23" i="3" s="1"/>
  <c r="BD24" i="3"/>
  <c r="BN24" i="3" a="1"/>
  <c r="BN24" i="3" s="1"/>
  <c r="BR24" i="3" s="1"/>
  <c r="BN25" i="3" a="1"/>
  <c r="BN25" i="3" s="1"/>
  <c r="BR25" i="3" s="1"/>
  <c r="BO27" i="3"/>
  <c r="BD27" i="3"/>
  <c r="BA27" i="3"/>
  <c r="BN27" i="3" a="1"/>
  <c r="BN27" i="3" s="1"/>
  <c r="BN30" i="3" a="1"/>
  <c r="BN30" i="3" s="1"/>
  <c r="BR30" i="3" s="1"/>
  <c r="BD64" i="3"/>
  <c r="BN64" i="3" a="1"/>
  <c r="BN64" i="3" s="1"/>
  <c r="BR64" i="3" s="1"/>
  <c r="BD32" i="3"/>
  <c r="BN32" i="3" a="1"/>
  <c r="BN32" i="3" s="1"/>
  <c r="BD42" i="3"/>
  <c r="BN42" i="3" a="1"/>
  <c r="BN42" i="3" s="1"/>
  <c r="BO44" i="3"/>
  <c r="BD44" i="3"/>
  <c r="BA44" i="3" s="1"/>
  <c r="BN44" i="3" a="1"/>
  <c r="BN44" i="3" s="1"/>
  <c r="BG44" i="3"/>
  <c r="BO45" i="3"/>
  <c r="BD45" i="3"/>
  <c r="BA45" i="3" s="1"/>
  <c r="BN45" i="3" a="1"/>
  <c r="BN45" i="3" s="1"/>
  <c r="BR45" i="3" s="1"/>
  <c r="BO49" i="3"/>
  <c r="BD49" i="3"/>
  <c r="BA49" i="3" s="1"/>
  <c r="BN49" i="3" a="1"/>
  <c r="BN49" i="3" s="1"/>
  <c r="BR49" i="3" s="1"/>
  <c r="BO53" i="3"/>
  <c r="BD53" i="3"/>
  <c r="BA53" i="3" s="1"/>
  <c r="BN53" i="3" a="1"/>
  <c r="BN53" i="3" s="1"/>
  <c r="BR53" i="3" s="1"/>
  <c r="BD50" i="3"/>
  <c r="BA50" i="3"/>
  <c r="BG50" i="3"/>
  <c r="BN50" i="3" a="1"/>
  <c r="BN50" i="3" s="1"/>
  <c r="BR50" i="3" s="1"/>
  <c r="BD96" i="3"/>
  <c r="BN96" i="3" a="1"/>
  <c r="BN96" i="3" s="1"/>
  <c r="BD97" i="3"/>
  <c r="BN97" i="3" a="1"/>
  <c r="BN97" i="3" s="1"/>
  <c r="BD54" i="3"/>
  <c r="BN54" i="3" a="1"/>
  <c r="BN54" i="3" s="1"/>
  <c r="BD34" i="3"/>
  <c r="BN34" i="3" a="1"/>
  <c r="BN34" i="3" s="1"/>
  <c r="BR34" i="3" s="1"/>
  <c r="BD36" i="3"/>
  <c r="BN36" i="3" a="1"/>
  <c r="BN36" i="3" s="1"/>
  <c r="BR36" i="3" s="1"/>
  <c r="BD37" i="3"/>
  <c r="BN37" i="3" a="1"/>
  <c r="BN37" i="3" s="1"/>
  <c r="BR37" i="3" s="1"/>
  <c r="BD38" i="3"/>
  <c r="BM38" i="3" s="1"/>
  <c r="BN38" i="3" a="1"/>
  <c r="BN38" i="3" s="1"/>
  <c r="BR38" i="3" s="1"/>
  <c r="BD40" i="3"/>
  <c r="BN40" i="3" a="1"/>
  <c r="BN40" i="3" s="1"/>
  <c r="BR40" i="3" s="1"/>
  <c r="BD66" i="3"/>
  <c r="BN66" i="3" a="1"/>
  <c r="BN66" i="3" s="1"/>
  <c r="BR66" i="3" s="1"/>
  <c r="BD29" i="3"/>
  <c r="BN29" i="3" a="1"/>
  <c r="BN29" i="3" s="1"/>
  <c r="BR29" i="3" s="1"/>
  <c r="BD85" i="3"/>
  <c r="BN85" i="3" a="1"/>
  <c r="BN85" i="3" s="1"/>
  <c r="BD84" i="3"/>
  <c r="BD83" i="3"/>
  <c r="BN83" i="3" a="1"/>
  <c r="BN83" i="3" s="1"/>
  <c r="BD68" i="3"/>
  <c r="BN68" i="3" a="1"/>
  <c r="BN68" i="3" s="1"/>
  <c r="BR68" i="3" s="1"/>
  <c r="BD67" i="3"/>
  <c r="BN67" i="3" a="1"/>
  <c r="BN67" i="3" s="1"/>
  <c r="BD69" i="3"/>
  <c r="BN69" i="3" a="1"/>
  <c r="BN69" i="3" s="1"/>
  <c r="BR69" i="3" s="1"/>
  <c r="BN70" i="3" a="1"/>
  <c r="BN70" i="3" s="1"/>
  <c r="BR70" i="3" s="1"/>
  <c r="BN71" i="3" a="1"/>
  <c r="BN71" i="3" s="1"/>
  <c r="BR71" i="3" s="1"/>
  <c r="BD72" i="3"/>
  <c r="BN72" i="3" a="1"/>
  <c r="BN72" i="3" s="1"/>
  <c r="BN9" i="3" a="1"/>
  <c r="BN9" i="3" s="1"/>
  <c r="BR9" i="3" s="1"/>
  <c r="BN10" i="3" a="1"/>
  <c r="BN10" i="3" s="1"/>
  <c r="BR10" i="3" s="1"/>
  <c r="BD10" i="3"/>
  <c r="BN129" i="3" a="1"/>
  <c r="BN129" i="3" s="1"/>
  <c r="BR129" i="3" s="1"/>
  <c r="BD129" i="3"/>
  <c r="BN78" i="3" a="1"/>
  <c r="BN78" i="3" s="1"/>
  <c r="BR78" i="3" s="1"/>
  <c r="BD95" i="3"/>
  <c r="BN95" i="3" a="1"/>
  <c r="BN95" i="3" s="1"/>
  <c r="BR95" i="3" s="1"/>
  <c r="BN39" i="3" a="1"/>
  <c r="BN39" i="3" s="1"/>
  <c r="BR39" i="3" s="1"/>
  <c r="BO88" i="3"/>
  <c r="BD88" i="3"/>
  <c r="BA88" i="3" s="1"/>
  <c r="BN88" i="3" a="1"/>
  <c r="BN88" i="3" s="1"/>
  <c r="BR88" i="3" s="1"/>
  <c r="BD87" i="3"/>
  <c r="BN87" i="3" a="1"/>
  <c r="BN87" i="3" s="1"/>
  <c r="BR87" i="3" s="1"/>
  <c r="BN86" i="3" a="1"/>
  <c r="BN86" i="3" s="1"/>
  <c r="BR86" i="3" s="1"/>
  <c r="BD41" i="3"/>
  <c r="BN41" i="3" a="1"/>
  <c r="BN41" i="3" s="1"/>
  <c r="BR41" i="3" s="1"/>
  <c r="BD35" i="3"/>
  <c r="BN35" i="3" a="1"/>
  <c r="BN35" i="3" s="1"/>
  <c r="BR35" i="3" s="1"/>
  <c r="BD61" i="3"/>
  <c r="BN61" i="3" a="1"/>
  <c r="BN61" i="3" s="1"/>
  <c r="BR61" i="3" s="1"/>
  <c r="BD121" i="3"/>
  <c r="BN121" i="3" a="1"/>
  <c r="BN121" i="3" s="1"/>
  <c r="BR121" i="3" s="1"/>
  <c r="BD82" i="3"/>
  <c r="BN82" i="3" a="1"/>
  <c r="BN82" i="3" s="1"/>
  <c r="BR82" i="3" s="1"/>
  <c r="P43" i="5"/>
  <c r="Q43" i="5"/>
  <c r="R43" i="5"/>
  <c r="AD126" i="1"/>
  <c r="O126" i="5" s="1"/>
  <c r="AV43" i="3"/>
  <c r="AH43" i="1"/>
  <c r="AF43" i="1"/>
  <c r="AE43" i="1"/>
  <c r="AG43" i="1"/>
  <c r="AV38" i="3"/>
  <c r="AV63" i="3"/>
  <c r="AV64" i="3"/>
  <c r="AV41" i="3"/>
  <c r="AV47" i="3"/>
  <c r="AV70" i="3"/>
  <c r="AV10" i="3"/>
  <c r="AV78" i="3"/>
  <c r="AV40" i="3"/>
  <c r="AV124" i="3"/>
  <c r="AV29" i="3"/>
  <c r="AV95" i="3"/>
  <c r="AV23" i="3"/>
  <c r="AV90" i="3"/>
  <c r="AV67" i="3"/>
  <c r="AV61" i="3"/>
  <c r="AV72" i="3"/>
  <c r="AV48" i="3"/>
  <c r="AV24" i="3"/>
  <c r="AV32" i="3"/>
  <c r="AV34" i="3"/>
  <c r="AV71" i="3"/>
  <c r="AV28" i="3"/>
  <c r="AV37" i="3"/>
  <c r="AV75" i="3"/>
  <c r="AV62" i="3"/>
  <c r="AV128" i="3"/>
  <c r="AD128" i="1" s="1"/>
  <c r="O128" i="5" s="1"/>
  <c r="AU130" i="3"/>
  <c r="AU160" i="3"/>
  <c r="AU158" i="3"/>
  <c r="AU150" i="3"/>
  <c r="AT119" i="3"/>
  <c r="BR119" i="1" s="1"/>
  <c r="AT116" i="3"/>
  <c r="BR116" i="1" s="1"/>
  <c r="AT77" i="3"/>
  <c r="BR77" i="1" s="1"/>
  <c r="AT146" i="3"/>
  <c r="AT134" i="3"/>
  <c r="AT79" i="3"/>
  <c r="AT99" i="3"/>
  <c r="AT93" i="3"/>
  <c r="AT57" i="3"/>
  <c r="BR57" i="1" s="1"/>
  <c r="AT149" i="3"/>
  <c r="AT150" i="3"/>
  <c r="AT131" i="3"/>
  <c r="AT115" i="3"/>
  <c r="AT76" i="3"/>
  <c r="BR76" i="1" s="1"/>
  <c r="AT123" i="3"/>
  <c r="BR203" i="1" s="1"/>
  <c r="AT109" i="3"/>
  <c r="BR109" i="1" s="1"/>
  <c r="AT59" i="3"/>
  <c r="AT158" i="3"/>
  <c r="AT142" i="3"/>
  <c r="AT137" i="3"/>
  <c r="AT120" i="3"/>
  <c r="AT111" i="3"/>
  <c r="AT89" i="3"/>
  <c r="AT151" i="3"/>
  <c r="AT141" i="3"/>
  <c r="AT110" i="3"/>
  <c r="AT62" i="3"/>
  <c r="AT144" i="3"/>
  <c r="AT130" i="3"/>
  <c r="AT126" i="3"/>
  <c r="AT139" i="3"/>
  <c r="AT136" i="3"/>
  <c r="AT117" i="3"/>
  <c r="AT114" i="3"/>
  <c r="AT100" i="3"/>
  <c r="AT157" i="3"/>
  <c r="AT154" i="3"/>
  <c r="AT148" i="3"/>
  <c r="AT128" i="3"/>
  <c r="AT94" i="3"/>
  <c r="AT60" i="3"/>
  <c r="AT58" i="3"/>
  <c r="BR200" i="1" s="1"/>
  <c r="AT56" i="3"/>
  <c r="BR56" i="1" s="1"/>
  <c r="AT159" i="3"/>
  <c r="AT156" i="3"/>
  <c r="AT153" i="3"/>
  <c r="AT143" i="3"/>
  <c r="AT145" i="3"/>
  <c r="AT138" i="3"/>
  <c r="AT133" i="3"/>
  <c r="AT155" i="3"/>
  <c r="AT152" i="3"/>
  <c r="AT147" i="3"/>
  <c r="AT140" i="3"/>
  <c r="AT118" i="3"/>
  <c r="BW203" i="1" l="1"/>
  <c r="BW200" i="1"/>
  <c r="AN192" i="1"/>
  <c r="BK192" i="1"/>
  <c r="BU194" i="1"/>
  <c r="CD194" i="1"/>
  <c r="BF194" i="1"/>
  <c r="BG194" i="1" s="1"/>
  <c r="BP194" i="1" s="1" a="1"/>
  <c r="BP194" i="1" s="1"/>
  <c r="BK184" i="1"/>
  <c r="AN184" i="1"/>
  <c r="BZ184" i="1"/>
  <c r="AM191" i="1"/>
  <c r="AK191" i="1"/>
  <c r="AL191" i="1"/>
  <c r="S191" i="5"/>
  <c r="AJ191" i="1"/>
  <c r="AM184" i="1"/>
  <c r="AJ184" i="1"/>
  <c r="AK184" i="1"/>
  <c r="S184" i="5"/>
  <c r="AL184" i="1"/>
  <c r="V185" i="1"/>
  <c r="T185" i="1"/>
  <c r="W185" i="1"/>
  <c r="U185" i="1"/>
  <c r="G185" i="5"/>
  <c r="W191" i="1"/>
  <c r="T191" i="1"/>
  <c r="G191" i="5"/>
  <c r="V191" i="1"/>
  <c r="U191" i="1"/>
  <c r="CD183" i="1"/>
  <c r="BF183" i="1"/>
  <c r="BU183" i="1"/>
  <c r="BG183" i="1"/>
  <c r="BP183" i="1" s="1" a="1"/>
  <c r="BP183" i="1" s="1"/>
  <c r="W192" i="1"/>
  <c r="V192" i="1"/>
  <c r="T192" i="1"/>
  <c r="U192" i="1"/>
  <c r="G192" i="5"/>
  <c r="BU189" i="1"/>
  <c r="CD189" i="1"/>
  <c r="BG189" i="1"/>
  <c r="BP189" i="1" s="1" a="1"/>
  <c r="BP189" i="1" s="1"/>
  <c r="BF189" i="1"/>
  <c r="BZ188" i="1"/>
  <c r="AN188" i="1"/>
  <c r="BK188" i="1"/>
  <c r="BU195" i="1"/>
  <c r="BG195" i="1"/>
  <c r="BP195" i="1" s="1" a="1"/>
  <c r="BP195" i="1" s="1"/>
  <c r="CD195" i="1"/>
  <c r="BF195" i="1"/>
  <c r="W189" i="1"/>
  <c r="U189" i="1"/>
  <c r="G189" i="5"/>
  <c r="T189" i="1"/>
  <c r="V189" i="1"/>
  <c r="AK182" i="1"/>
  <c r="AM182" i="1"/>
  <c r="AL182" i="1"/>
  <c r="S182" i="5"/>
  <c r="AJ182" i="1"/>
  <c r="AM187" i="1"/>
  <c r="AK187" i="1"/>
  <c r="AJ187" i="1"/>
  <c r="AL187" i="1"/>
  <c r="S187" i="5"/>
  <c r="W194" i="1"/>
  <c r="V194" i="1"/>
  <c r="T194" i="1"/>
  <c r="G194" i="5"/>
  <c r="U194" i="1"/>
  <c r="BU191" i="1"/>
  <c r="CD191" i="1"/>
  <c r="BG191" i="1"/>
  <c r="BP191" i="1" s="1" a="1"/>
  <c r="BP191" i="1" s="1"/>
  <c r="BF191" i="1"/>
  <c r="W195" i="1"/>
  <c r="T195" i="1"/>
  <c r="G195" i="5"/>
  <c r="U195" i="1"/>
  <c r="V195" i="1"/>
  <c r="BK195" i="1"/>
  <c r="AN195" i="1"/>
  <c r="BZ195" i="1"/>
  <c r="V193" i="1"/>
  <c r="G193" i="5"/>
  <c r="T193" i="1"/>
  <c r="U193" i="1"/>
  <c r="W193" i="1"/>
  <c r="AZ182" i="1"/>
  <c r="BG182" i="1"/>
  <c r="BP182" i="1" s="1" a="1"/>
  <c r="BP182" i="1" s="1"/>
  <c r="BU182" i="1"/>
  <c r="BF182" i="1"/>
  <c r="CD182" i="1"/>
  <c r="BU187" i="1"/>
  <c r="CD187" i="1"/>
  <c r="BG187" i="1"/>
  <c r="BP187" i="1" s="1" a="1"/>
  <c r="BP187" i="1" s="1"/>
  <c r="BF187" i="1"/>
  <c r="AL194" i="1"/>
  <c r="S194" i="5"/>
  <c r="AK194" i="1"/>
  <c r="AJ194" i="1"/>
  <c r="AM194" i="1"/>
  <c r="AN189" i="1"/>
  <c r="BK189" i="1"/>
  <c r="BZ189" i="1"/>
  <c r="BK182" i="1"/>
  <c r="BZ182" i="1"/>
  <c r="AN182" i="1"/>
  <c r="BZ194" i="1"/>
  <c r="AN194" i="1"/>
  <c r="BK194" i="1"/>
  <c r="BU184" i="1"/>
  <c r="BG184" i="1"/>
  <c r="BP184" i="1" s="1" a="1"/>
  <c r="BP184" i="1" s="1"/>
  <c r="BF184" i="1"/>
  <c r="CD184" i="1"/>
  <c r="CD188" i="1"/>
  <c r="BF188" i="1"/>
  <c r="BG188" i="1"/>
  <c r="BP188" i="1" s="1" a="1"/>
  <c r="BP188" i="1" s="1"/>
  <c r="BU188" i="1"/>
  <c r="V183" i="1"/>
  <c r="U183" i="1"/>
  <c r="G183" i="5"/>
  <c r="T183" i="1"/>
  <c r="W183" i="1"/>
  <c r="BK193" i="1"/>
  <c r="AN193" i="1"/>
  <c r="BZ193" i="1"/>
  <c r="BK191" i="1"/>
  <c r="BZ191" i="1"/>
  <c r="AN191" i="1"/>
  <c r="AZ188" i="1"/>
  <c r="AN187" i="1"/>
  <c r="BK187" i="1"/>
  <c r="BZ187" i="1"/>
  <c r="AM183" i="1"/>
  <c r="AL183" i="1"/>
  <c r="S183" i="5"/>
  <c r="AK183" i="1"/>
  <c r="AJ183" i="1"/>
  <c r="AK188" i="1"/>
  <c r="AL188" i="1"/>
  <c r="AJ188" i="1"/>
  <c r="S188" i="5"/>
  <c r="AM188" i="1"/>
  <c r="AJ195" i="1"/>
  <c r="AK195" i="1"/>
  <c r="AL195" i="1"/>
  <c r="S195" i="5"/>
  <c r="AM195" i="1"/>
  <c r="BU193" i="1"/>
  <c r="BG193" i="1"/>
  <c r="BP193" i="1" s="1" a="1"/>
  <c r="BP193" i="1" s="1"/>
  <c r="BF193" i="1"/>
  <c r="CD193" i="1"/>
  <c r="BK183" i="1"/>
  <c r="AN183" i="1"/>
  <c r="BZ183" i="1"/>
  <c r="AL192" i="1"/>
  <c r="S192" i="5"/>
  <c r="AM192" i="1"/>
  <c r="AK192" i="1"/>
  <c r="AJ192" i="1"/>
  <c r="CA48" i="1"/>
  <c r="CA61" i="1"/>
  <c r="BF84" i="3"/>
  <c r="BJ84" i="3" s="1"/>
  <c r="BF72" i="3"/>
  <c r="BR72" i="3" s="1"/>
  <c r="S184" i="1"/>
  <c r="BF85" i="3"/>
  <c r="BR85" i="3" s="1"/>
  <c r="AI193" i="1"/>
  <c r="BJ38" i="3"/>
  <c r="BH72" i="3"/>
  <c r="BP72" i="3" s="1"/>
  <c r="BT72" i="3" s="1"/>
  <c r="AD184" i="1"/>
  <c r="BH84" i="3"/>
  <c r="BP84" i="3" s="1"/>
  <c r="BT84" i="3" s="1"/>
  <c r="BH85" i="3"/>
  <c r="BP85" i="3" s="1"/>
  <c r="BT85" i="3" s="1"/>
  <c r="BH68" i="3"/>
  <c r="BP68" i="3" s="1"/>
  <c r="BT68" i="3" s="1"/>
  <c r="AD62" i="1"/>
  <c r="O62" i="5" s="1"/>
  <c r="R62" i="5" s="1"/>
  <c r="AD181" i="1"/>
  <c r="BH97" i="3"/>
  <c r="BP97" i="3" s="1"/>
  <c r="AD188" i="1"/>
  <c r="O188" i="5" s="1"/>
  <c r="BF97" i="3"/>
  <c r="BR97" i="3" s="1"/>
  <c r="S188" i="1"/>
  <c r="BF96" i="3"/>
  <c r="BJ96" i="3" s="1"/>
  <c r="S187" i="1"/>
  <c r="BH96" i="3"/>
  <c r="AD187" i="1"/>
  <c r="O187" i="5" s="1"/>
  <c r="BH88" i="3"/>
  <c r="BP88" i="3" s="1"/>
  <c r="AD195" i="1"/>
  <c r="O195" i="5" s="1"/>
  <c r="BH87" i="3"/>
  <c r="BP87" i="3" s="1"/>
  <c r="BT87" i="3" s="1"/>
  <c r="BF67" i="3"/>
  <c r="BM67" i="3" s="1"/>
  <c r="S182" i="1"/>
  <c r="AS67" i="3"/>
  <c r="AD182" i="1"/>
  <c r="BW109" i="1"/>
  <c r="BW77" i="1"/>
  <c r="BW116" i="1"/>
  <c r="BW76" i="1"/>
  <c r="BW119" i="1"/>
  <c r="BW57" i="1"/>
  <c r="BW56" i="1"/>
  <c r="BR89" i="1"/>
  <c r="BR190" i="1"/>
  <c r="BK112" i="1"/>
  <c r="BK42" i="1"/>
  <c r="BZ42" i="1"/>
  <c r="BK25" i="1"/>
  <c r="BZ25" i="1"/>
  <c r="BK39" i="1"/>
  <c r="BK69" i="1"/>
  <c r="BZ69" i="1"/>
  <c r="BK96" i="1"/>
  <c r="BZ96" i="1"/>
  <c r="BK63" i="1"/>
  <c r="BK10" i="1"/>
  <c r="BZ10" i="1"/>
  <c r="BK95" i="1"/>
  <c r="BZ95" i="1"/>
  <c r="BK6" i="1"/>
  <c r="BK46" i="1"/>
  <c r="BZ46" i="1"/>
  <c r="BK27" i="1"/>
  <c r="BZ27" i="1"/>
  <c r="CA27" i="1" s="1"/>
  <c r="BK50" i="1"/>
  <c r="BZ50" i="1"/>
  <c r="BK22" i="1"/>
  <c r="BZ22" i="1"/>
  <c r="BK29" i="1"/>
  <c r="BZ29" i="1"/>
  <c r="CA29" i="1" s="1"/>
  <c r="BK26" i="1"/>
  <c r="BK23" i="1"/>
  <c r="BZ23" i="1"/>
  <c r="BK12" i="1"/>
  <c r="BZ12" i="1"/>
  <c r="BZ19" i="1"/>
  <c r="BK13" i="1"/>
  <c r="BK64" i="1"/>
  <c r="BZ64" i="1"/>
  <c r="BK84" i="1"/>
  <c r="BZ84" i="1"/>
  <c r="BK72" i="1"/>
  <c r="BZ72" i="1"/>
  <c r="BK54" i="1"/>
  <c r="BZ54" i="1"/>
  <c r="BK32" i="1"/>
  <c r="BZ32" i="1"/>
  <c r="CA32" i="1" s="1"/>
  <c r="BK37" i="1"/>
  <c r="BZ37" i="1"/>
  <c r="BK97" i="1"/>
  <c r="BZ97" i="1"/>
  <c r="BK40" i="1"/>
  <c r="BZ40" i="1"/>
  <c r="BK71" i="1"/>
  <c r="BZ71" i="1"/>
  <c r="BK47" i="1"/>
  <c r="BZ47" i="1"/>
  <c r="CA47" i="1" s="1"/>
  <c r="BK87" i="1"/>
  <c r="BZ87" i="1"/>
  <c r="BK49" i="1"/>
  <c r="BZ49" i="1"/>
  <c r="BK20" i="1"/>
  <c r="BZ20" i="1"/>
  <c r="BK38" i="1"/>
  <c r="BZ38" i="1"/>
  <c r="BZ86" i="1"/>
  <c r="BK31" i="1"/>
  <c r="BK44" i="1"/>
  <c r="BZ44" i="1"/>
  <c r="BK121" i="1"/>
  <c r="BZ121" i="1"/>
  <c r="BK68" i="1"/>
  <c r="BZ68" i="1"/>
  <c r="BK18" i="1"/>
  <c r="BZ18" i="1"/>
  <c r="BK85" i="1"/>
  <c r="BZ85" i="1"/>
  <c r="BK125" i="1"/>
  <c r="BZ125" i="1"/>
  <c r="BK28" i="1"/>
  <c r="BZ28" i="1"/>
  <c r="BK34" i="1"/>
  <c r="BZ34" i="1"/>
  <c r="BZ90" i="1"/>
  <c r="BK129" i="1"/>
  <c r="BZ129" i="1"/>
  <c r="BK21" i="1"/>
  <c r="BZ21" i="1"/>
  <c r="BK78" i="1"/>
  <c r="BK41" i="1"/>
  <c r="BZ41" i="1"/>
  <c r="CA41" i="1" s="1"/>
  <c r="BK83" i="1"/>
  <c r="BZ83" i="1"/>
  <c r="BK36" i="1"/>
  <c r="BZ36" i="1"/>
  <c r="BK30" i="1"/>
  <c r="BK9" i="1"/>
  <c r="BZ132" i="1"/>
  <c r="BK70" i="1"/>
  <c r="BK24" i="1"/>
  <c r="BZ24" i="1"/>
  <c r="BK82" i="1"/>
  <c r="BZ82" i="1"/>
  <c r="BK67" i="1"/>
  <c r="BZ67" i="1"/>
  <c r="BK53" i="1"/>
  <c r="BZ53" i="1"/>
  <c r="BK17" i="1"/>
  <c r="BZ17" i="1"/>
  <c r="BK66" i="1"/>
  <c r="BZ66" i="1"/>
  <c r="BK88" i="1"/>
  <c r="BZ88" i="1"/>
  <c r="BK52" i="1"/>
  <c r="BK35" i="1"/>
  <c r="BZ35" i="1"/>
  <c r="CA35" i="1" s="1"/>
  <c r="BK45" i="1"/>
  <c r="BZ45" i="1"/>
  <c r="AZ69" i="1"/>
  <c r="AZ48" i="1"/>
  <c r="AZ21" i="1"/>
  <c r="AZ129" i="1"/>
  <c r="AZ49" i="1"/>
  <c r="AZ10" i="1"/>
  <c r="AZ45" i="1"/>
  <c r="AZ125" i="1"/>
  <c r="AZ44" i="1"/>
  <c r="AZ12" i="1"/>
  <c r="AZ97" i="1"/>
  <c r="BR22" i="3"/>
  <c r="BR125" i="3"/>
  <c r="BJ41" i="3"/>
  <c r="BJ53" i="3"/>
  <c r="J206" i="5" s="1"/>
  <c r="S45" i="1"/>
  <c r="W45" i="1" s="1"/>
  <c r="AZ45" i="3"/>
  <c r="BR83" i="3"/>
  <c r="BR42" i="3"/>
  <c r="BR32" i="3"/>
  <c r="BR54" i="3"/>
  <c r="BR44" i="3"/>
  <c r="BR27" i="3"/>
  <c r="BR47" i="3"/>
  <c r="BR48" i="3"/>
  <c r="S54" i="1"/>
  <c r="S27" i="1"/>
  <c r="T27" i="1" s="1"/>
  <c r="S125" i="1"/>
  <c r="T125" i="1" s="1"/>
  <c r="AT165" i="3"/>
  <c r="AT162" i="3"/>
  <c r="AZ50" i="3"/>
  <c r="BM50" i="3"/>
  <c r="S66" i="1"/>
  <c r="W66" i="1" s="1"/>
  <c r="AZ85" i="3"/>
  <c r="S67" i="1"/>
  <c r="U67" i="1" s="1"/>
  <c r="BJ17" i="3"/>
  <c r="BU45" i="1"/>
  <c r="S44" i="1"/>
  <c r="U44" i="1" s="1"/>
  <c r="AS66" i="3"/>
  <c r="AS61" i="3"/>
  <c r="AZ97" i="3"/>
  <c r="AZ96" i="3"/>
  <c r="AZ88" i="3"/>
  <c r="AZ66" i="3"/>
  <c r="AZ68" i="3"/>
  <c r="AZ64" i="3"/>
  <c r="BL64" i="3" s="1"/>
  <c r="BJ50" i="3"/>
  <c r="AS36" i="3"/>
  <c r="AZ53" i="3"/>
  <c r="AS83" i="3"/>
  <c r="AS29" i="3"/>
  <c r="AS125" i="3"/>
  <c r="AS85" i="3"/>
  <c r="AZ34" i="3"/>
  <c r="BL34" i="3" s="1"/>
  <c r="AS49" i="3"/>
  <c r="BU48" i="1"/>
  <c r="S42" i="1"/>
  <c r="U42" i="1" s="1"/>
  <c r="AS121" i="3"/>
  <c r="AS129" i="3"/>
  <c r="AS10" i="3"/>
  <c r="AZ36" i="3"/>
  <c r="AZ42" i="3"/>
  <c r="S97" i="1"/>
  <c r="W97" i="1" s="1"/>
  <c r="AS24" i="3"/>
  <c r="AI82" i="1"/>
  <c r="AS12" i="3"/>
  <c r="AZ83" i="3"/>
  <c r="BJ125" i="3"/>
  <c r="AZ21" i="3"/>
  <c r="AS84" i="3"/>
  <c r="AI85" i="1"/>
  <c r="AJ85" i="1" s="1"/>
  <c r="AI32" i="1"/>
  <c r="AM32" i="1" s="1"/>
  <c r="AZ121" i="3"/>
  <c r="AS68" i="3"/>
  <c r="AS21" i="3"/>
  <c r="AZ32" i="3"/>
  <c r="BL32" i="3" s="1"/>
  <c r="BU44" i="1"/>
  <c r="BU12" i="1"/>
  <c r="AS35" i="3"/>
  <c r="AS54" i="3"/>
  <c r="AS69" i="3"/>
  <c r="S49" i="1"/>
  <c r="W49" i="1" s="1"/>
  <c r="AZ12" i="3"/>
  <c r="AZ38" i="3"/>
  <c r="BL38" i="3" s="1"/>
  <c r="S47" i="1"/>
  <c r="AS82" i="3"/>
  <c r="AZ69" i="3"/>
  <c r="AZ129" i="3"/>
  <c r="AS42" i="3"/>
  <c r="AS32" i="3"/>
  <c r="AZ82" i="3"/>
  <c r="AZ87" i="3"/>
  <c r="AZ95" i="3"/>
  <c r="BL95" i="3" s="1"/>
  <c r="BK45" i="3"/>
  <c r="BS45" i="3"/>
  <c r="BT27" i="3"/>
  <c r="BP27" i="3"/>
  <c r="AN9" i="1"/>
  <c r="AL34" i="1"/>
  <c r="S34" i="5"/>
  <c r="AK34" i="1"/>
  <c r="AM34" i="1"/>
  <c r="AN26" i="1"/>
  <c r="AL14" i="1"/>
  <c r="S14" i="5"/>
  <c r="AM14" i="1"/>
  <c r="AK14" i="1"/>
  <c r="BU54" i="1"/>
  <c r="BF54" i="1"/>
  <c r="BG54" i="1"/>
  <c r="BP54" i="1" s="1" a="1"/>
  <c r="BP54" i="1" s="1"/>
  <c r="CD54" i="1"/>
  <c r="AN25" i="1"/>
  <c r="BF47" i="1"/>
  <c r="BG47" i="1"/>
  <c r="CD47" i="1"/>
  <c r="AN32" i="1"/>
  <c r="E37" i="5"/>
  <c r="BI37" i="3"/>
  <c r="F37" i="5" s="1"/>
  <c r="BP44" i="3"/>
  <c r="BT44" i="3"/>
  <c r="H33" i="5"/>
  <c r="I33" i="5"/>
  <c r="J33" i="5"/>
  <c r="BI97" i="3"/>
  <c r="E97" i="5"/>
  <c r="AN97" i="1"/>
  <c r="S125" i="5"/>
  <c r="AK125" i="1"/>
  <c r="AL125" i="1"/>
  <c r="AM125" i="1"/>
  <c r="V41" i="1"/>
  <c r="G41" i="5"/>
  <c r="W41" i="1"/>
  <c r="U41" i="1"/>
  <c r="T41" i="1"/>
  <c r="BM41" i="3"/>
  <c r="BI121" i="3"/>
  <c r="F121" i="5" s="1"/>
  <c r="E121" i="5"/>
  <c r="AK121" i="1"/>
  <c r="AL121" i="1"/>
  <c r="AM121" i="1"/>
  <c r="S121" i="5"/>
  <c r="BM121" i="3"/>
  <c r="BJ121" i="3"/>
  <c r="AN67" i="1"/>
  <c r="BI22" i="3"/>
  <c r="F22" i="5" s="1"/>
  <c r="E22" i="5"/>
  <c r="AL87" i="1"/>
  <c r="S87" i="5"/>
  <c r="AM87" i="1"/>
  <c r="AK87" i="1"/>
  <c r="AN49" i="1"/>
  <c r="BU29" i="1"/>
  <c r="BF29" i="1"/>
  <c r="BG29" i="1"/>
  <c r="BP29" i="1" s="1" a="1"/>
  <c r="BP29" i="1" s="1"/>
  <c r="CD29" i="1"/>
  <c r="E21" i="5"/>
  <c r="BI21" i="3"/>
  <c r="F21" i="5" s="1"/>
  <c r="AQ12" i="1"/>
  <c r="BS12" i="1" s="1"/>
  <c r="BG17" i="1"/>
  <c r="BP17" i="1" s="1" a="1"/>
  <c r="BP17" i="1" s="1"/>
  <c r="CD17" i="1"/>
  <c r="BF17" i="1"/>
  <c r="U86" i="1"/>
  <c r="G86" i="5"/>
  <c r="V86" i="1"/>
  <c r="T86" i="1"/>
  <c r="W86" i="1"/>
  <c r="BG64" i="1"/>
  <c r="BP64" i="1" s="1" a="1"/>
  <c r="BP64" i="1" s="1"/>
  <c r="BU64" i="1"/>
  <c r="BF64" i="1"/>
  <c r="CD64" i="1"/>
  <c r="V33" i="5"/>
  <c r="T33" i="5"/>
  <c r="U33" i="5"/>
  <c r="S46" i="5"/>
  <c r="AM46" i="1"/>
  <c r="AL46" i="1"/>
  <c r="AK46" i="1"/>
  <c r="AQ18" i="1"/>
  <c r="BS18" i="1" s="1"/>
  <c r="AL36" i="1"/>
  <c r="S36" i="5"/>
  <c r="AM36" i="1"/>
  <c r="AK36" i="1"/>
  <c r="BJ27" i="3"/>
  <c r="BM27" i="3"/>
  <c r="AN72" i="1"/>
  <c r="BU85" i="1"/>
  <c r="BG85" i="1"/>
  <c r="BP85" i="1" s="1" a="1"/>
  <c r="BP85" i="1" s="1"/>
  <c r="CD85" i="1"/>
  <c r="BF85" i="1"/>
  <c r="AQ85" i="1"/>
  <c r="BS85" i="1" s="1"/>
  <c r="BG34" i="1"/>
  <c r="BP34" i="1" s="1" a="1"/>
  <c r="BP34" i="1" s="1"/>
  <c r="BF34" i="1"/>
  <c r="CD34" i="1"/>
  <c r="BU34" i="1"/>
  <c r="AQ34" i="1"/>
  <c r="BS34" i="1" s="1"/>
  <c r="S26" i="5"/>
  <c r="AK26" i="1"/>
  <c r="AM26" i="1"/>
  <c r="AL26" i="1"/>
  <c r="BP37" i="3"/>
  <c r="BT37" i="3" s="1"/>
  <c r="AZ44" i="3"/>
  <c r="BJ44" i="3"/>
  <c r="J207" i="5" s="1"/>
  <c r="BM44" i="3"/>
  <c r="AN24" i="1"/>
  <c r="BF82" i="1"/>
  <c r="BU82" i="1"/>
  <c r="BG82" i="1"/>
  <c r="BP82" i="1" s="1" a="1"/>
  <c r="BP82" i="1" s="1"/>
  <c r="CD82" i="1"/>
  <c r="AQ69" i="1"/>
  <c r="BS69" i="1" s="1"/>
  <c r="AN50" i="1"/>
  <c r="S13" i="5"/>
  <c r="AL13" i="1"/>
  <c r="AK13" i="1"/>
  <c r="AM13" i="1"/>
  <c r="BJ87" i="3"/>
  <c r="BM87" i="3"/>
  <c r="BP112" i="3"/>
  <c r="BT112" i="3"/>
  <c r="BT49" i="3"/>
  <c r="BP49" i="3"/>
  <c r="S10" i="5"/>
  <c r="AL10" i="1"/>
  <c r="AK10" i="1"/>
  <c r="AM10" i="1"/>
  <c r="AK61" i="1"/>
  <c r="AM61" i="1"/>
  <c r="AL61" i="1"/>
  <c r="S61" i="5"/>
  <c r="S29" i="5"/>
  <c r="AL29" i="1"/>
  <c r="AK29" i="1"/>
  <c r="AM29" i="1"/>
  <c r="CD21" i="1"/>
  <c r="BF21" i="1"/>
  <c r="BG21" i="1"/>
  <c r="BP21" i="1" s="1" a="1"/>
  <c r="BP21" i="1" s="1"/>
  <c r="S21" i="5"/>
  <c r="AL21" i="1"/>
  <c r="AK21" i="1"/>
  <c r="AM21" i="1"/>
  <c r="AQ53" i="1"/>
  <c r="BS53" i="1" s="1"/>
  <c r="BI38" i="3"/>
  <c r="F38" i="5" s="1"/>
  <c r="E38" i="5"/>
  <c r="AZ17" i="3"/>
  <c r="BM17" i="3"/>
  <c r="BI83" i="3"/>
  <c r="F83" i="5" s="1"/>
  <c r="E83" i="5"/>
  <c r="T83" i="1"/>
  <c r="V83" i="1"/>
  <c r="W83" i="1"/>
  <c r="G83" i="5"/>
  <c r="U83" i="1"/>
  <c r="CD88" i="1"/>
  <c r="BF88" i="1"/>
  <c r="BG88" i="1"/>
  <c r="BP88" i="1" s="1" a="1"/>
  <c r="BP88" i="1" s="1"/>
  <c r="BU88" i="1"/>
  <c r="G18" i="5"/>
  <c r="V18" i="1"/>
  <c r="T18" i="1"/>
  <c r="U18" i="1"/>
  <c r="W18" i="1"/>
  <c r="AL42" i="1"/>
  <c r="S42" i="5"/>
  <c r="AM42" i="1"/>
  <c r="AK42" i="1"/>
  <c r="BT42" i="3"/>
  <c r="BP42" i="3"/>
  <c r="AQ27" i="1"/>
  <c r="BS27" i="1" s="1"/>
  <c r="AN30" i="1"/>
  <c r="S72" i="1"/>
  <c r="G34" i="5"/>
  <c r="V34" i="1"/>
  <c r="U34" i="1"/>
  <c r="W34" i="1"/>
  <c r="T34" i="1"/>
  <c r="AQ54" i="1"/>
  <c r="BS54" i="1" s="1"/>
  <c r="AM54" i="1"/>
  <c r="S54" i="5"/>
  <c r="AK54" i="1"/>
  <c r="AL54" i="1"/>
  <c r="BI47" i="3"/>
  <c r="F47" i="5" s="1"/>
  <c r="E47" i="5"/>
  <c r="AZ37" i="3"/>
  <c r="BL37" i="3" s="1"/>
  <c r="BM37" i="3"/>
  <c r="BJ37" i="3"/>
  <c r="BG44" i="1"/>
  <c r="BP44" i="1" s="1" a="1"/>
  <c r="BP44" i="1" s="1"/>
  <c r="CD44" i="1"/>
  <c r="BF44" i="1"/>
  <c r="BU24" i="1"/>
  <c r="BF24" i="1"/>
  <c r="BG24" i="1" s="1"/>
  <c r="BP24" i="1" s="1" a="1"/>
  <c r="BP24" i="1" s="1"/>
  <c r="CD24" i="1"/>
  <c r="S48" i="1"/>
  <c r="AN48" i="1"/>
  <c r="AQ82" i="1"/>
  <c r="BS82" i="1" s="1"/>
  <c r="S69" i="5"/>
  <c r="AK69" i="1"/>
  <c r="AM69" i="1"/>
  <c r="AL69" i="1"/>
  <c r="BT96" i="3"/>
  <c r="BP96" i="3"/>
  <c r="G23" i="5"/>
  <c r="U23" i="1"/>
  <c r="W23" i="1"/>
  <c r="T23" i="1"/>
  <c r="V23" i="1"/>
  <c r="AQ23" i="1"/>
  <c r="BS23" i="1" s="1"/>
  <c r="S22" i="1"/>
  <c r="BI87" i="3"/>
  <c r="E87" i="5"/>
  <c r="BI129" i="3"/>
  <c r="F129" i="5" s="1"/>
  <c r="E129" i="5"/>
  <c r="BJ49" i="3"/>
  <c r="BM49" i="3"/>
  <c r="AK63" i="1"/>
  <c r="S63" i="5"/>
  <c r="AM63" i="1"/>
  <c r="AL63" i="1"/>
  <c r="AZ10" i="3"/>
  <c r="BL10" i="3" s="1"/>
  <c r="AQ10" i="1"/>
  <c r="BS10" i="1" s="1"/>
  <c r="BJ10" i="3"/>
  <c r="BM10" i="3"/>
  <c r="AM16" i="1"/>
  <c r="S16" i="5"/>
  <c r="AK16" i="1"/>
  <c r="AL16" i="1"/>
  <c r="V16" i="1"/>
  <c r="G16" i="5"/>
  <c r="U16" i="1"/>
  <c r="T16" i="1"/>
  <c r="W16" i="1"/>
  <c r="AS95" i="3"/>
  <c r="AM95" i="1"/>
  <c r="S95" i="5"/>
  <c r="AK95" i="1"/>
  <c r="AL95" i="1"/>
  <c r="BM68" i="3"/>
  <c r="BJ68" i="3"/>
  <c r="BJ29" i="3"/>
  <c r="BM29" i="3"/>
  <c r="AN21" i="1"/>
  <c r="S53" i="1"/>
  <c r="AK53" i="1"/>
  <c r="AM53" i="1"/>
  <c r="AL53" i="1"/>
  <c r="S53" i="5"/>
  <c r="AS20" i="3"/>
  <c r="BF35" i="1"/>
  <c r="BG35" i="1" s="1"/>
  <c r="BP35" i="1" s="1" a="1"/>
  <c r="BP35" i="1" s="1"/>
  <c r="BU35" i="1"/>
  <c r="CD35" i="1"/>
  <c r="AQ35" i="1"/>
  <c r="BS35" i="1" s="1"/>
  <c r="AN66" i="1"/>
  <c r="AQ64" i="1"/>
  <c r="BS64" i="1" s="1"/>
  <c r="BI88" i="3"/>
  <c r="E88" i="5"/>
  <c r="BM88" i="3"/>
  <c r="BJ88" i="3"/>
  <c r="E40" i="5"/>
  <c r="BI40" i="3"/>
  <c r="F40" i="5" s="1"/>
  <c r="BM40" i="3"/>
  <c r="BJ40" i="3"/>
  <c r="AN46" i="1"/>
  <c r="BF18" i="1"/>
  <c r="CD18" i="1"/>
  <c r="BG18" i="1"/>
  <c r="BP18" i="1" s="1" a="1"/>
  <c r="BP18" i="1" s="1"/>
  <c r="BU18" i="1"/>
  <c r="BK53" i="3"/>
  <c r="N206" i="5" s="1"/>
  <c r="BS53" i="3"/>
  <c r="V84" i="1"/>
  <c r="G84" i="5"/>
  <c r="U84" i="1"/>
  <c r="T84" i="1"/>
  <c r="W84" i="1"/>
  <c r="BM42" i="3"/>
  <c r="BJ42" i="3"/>
  <c r="W74" i="1"/>
  <c r="T74" i="1"/>
  <c r="G74" i="5"/>
  <c r="U74" i="1"/>
  <c r="V74" i="1"/>
  <c r="BP34" i="3"/>
  <c r="BT34" i="3" s="1"/>
  <c r="BJ34" i="3"/>
  <c r="BM34" i="3"/>
  <c r="U132" i="1"/>
  <c r="T132" i="1"/>
  <c r="W132" i="1"/>
  <c r="G132" i="5"/>
  <c r="V132" i="1"/>
  <c r="BJ54" i="3"/>
  <c r="BM54" i="3"/>
  <c r="AZ47" i="3"/>
  <c r="BL47" i="3" s="1"/>
  <c r="S47" i="5"/>
  <c r="AM47" i="1"/>
  <c r="AL47" i="1"/>
  <c r="AK47" i="1"/>
  <c r="S32" i="5"/>
  <c r="AL24" i="1"/>
  <c r="S24" i="5"/>
  <c r="AK24" i="1"/>
  <c r="AM24" i="1"/>
  <c r="AN96" i="1"/>
  <c r="AS96" i="3"/>
  <c r="AZ125" i="3"/>
  <c r="BM125" i="3"/>
  <c r="AN121" i="1"/>
  <c r="T124" i="1"/>
  <c r="U124" i="1"/>
  <c r="G124" i="5"/>
  <c r="V124" i="1"/>
  <c r="W124" i="1"/>
  <c r="BP10" i="3"/>
  <c r="BT10" i="3" s="1"/>
  <c r="AN10" i="1"/>
  <c r="AZ61" i="3"/>
  <c r="BL61" i="3" s="1"/>
  <c r="AN61" i="1"/>
  <c r="BP95" i="3"/>
  <c r="BT95" i="3" s="1"/>
  <c r="S52" i="5"/>
  <c r="AM52" i="1"/>
  <c r="AK52" i="1"/>
  <c r="AL52" i="1"/>
  <c r="BU21" i="1"/>
  <c r="BI12" i="3"/>
  <c r="F12" i="5" s="1"/>
  <c r="E12" i="5"/>
  <c r="AN20" i="1"/>
  <c r="BI17" i="3"/>
  <c r="F17" i="5" s="1"/>
  <c r="E17" i="5"/>
  <c r="V17" i="1"/>
  <c r="G17" i="5"/>
  <c r="T17" i="1"/>
  <c r="U17" i="1"/>
  <c r="W17" i="1"/>
  <c r="G35" i="5"/>
  <c r="U35" i="1"/>
  <c r="V35" i="1"/>
  <c r="T35" i="1"/>
  <c r="W35" i="1"/>
  <c r="AN64" i="1"/>
  <c r="AS88" i="3"/>
  <c r="X195" i="1" s="1"/>
  <c r="K195" i="5" s="1"/>
  <c r="AQ84" i="1"/>
  <c r="BS84" i="1" s="1"/>
  <c r="BI36" i="3"/>
  <c r="F36" i="5" s="1"/>
  <c r="E36" i="5"/>
  <c r="BM36" i="3"/>
  <c r="BJ36" i="3"/>
  <c r="E42" i="5"/>
  <c r="BI42" i="3"/>
  <c r="F42" i="5" s="1"/>
  <c r="BK27" i="3"/>
  <c r="BS27" i="3"/>
  <c r="BF27" i="1"/>
  <c r="BU27" i="1"/>
  <c r="BG27" i="1"/>
  <c r="BP27" i="1" s="1" a="1"/>
  <c r="BP27" i="1" s="1"/>
  <c r="CD27" i="1"/>
  <c r="G15" i="5"/>
  <c r="U15" i="1"/>
  <c r="T15" i="1"/>
  <c r="W15" i="1"/>
  <c r="V15" i="1"/>
  <c r="V30" i="1"/>
  <c r="U30" i="1"/>
  <c r="G30" i="5"/>
  <c r="T30" i="1"/>
  <c r="W30" i="1"/>
  <c r="W85" i="1"/>
  <c r="G85" i="5"/>
  <c r="U85" i="1"/>
  <c r="V85" i="1"/>
  <c r="T85" i="1"/>
  <c r="V14" i="1"/>
  <c r="G14" i="5"/>
  <c r="T14" i="1"/>
  <c r="W14" i="1"/>
  <c r="U14" i="1"/>
  <c r="AQ47" i="1"/>
  <c r="BS47" i="1" s="1"/>
  <c r="AQ32" i="1"/>
  <c r="BS32" i="1" s="1"/>
  <c r="AQ97" i="1"/>
  <c r="BS97" i="1" s="1"/>
  <c r="BM69" i="3"/>
  <c r="BJ69" i="3"/>
  <c r="BJ23" i="3"/>
  <c r="BM23" i="3"/>
  <c r="AQ125" i="1"/>
  <c r="BS125" i="1" s="1"/>
  <c r="BU50" i="1"/>
  <c r="BF50" i="1"/>
  <c r="BG50" i="1"/>
  <c r="BP50" i="1" s="1" a="1"/>
  <c r="BP50" i="1" s="1"/>
  <c r="CD50" i="1"/>
  <c r="U87" i="1"/>
  <c r="G87" i="5"/>
  <c r="V87" i="1"/>
  <c r="W87" i="1"/>
  <c r="T87" i="1"/>
  <c r="AK129" i="1"/>
  <c r="S129" i="5"/>
  <c r="AM129" i="1"/>
  <c r="AL129" i="1"/>
  <c r="E10" i="5"/>
  <c r="BI10" i="3"/>
  <c r="F10" i="5" s="1"/>
  <c r="BM61" i="3"/>
  <c r="BJ61" i="3"/>
  <c r="BF95" i="1"/>
  <c r="BG95" i="1"/>
  <c r="BP95" i="1" s="1" a="1"/>
  <c r="BP95" i="1" s="1"/>
  <c r="CD95" i="1"/>
  <c r="T95" i="1"/>
  <c r="W95" i="1"/>
  <c r="G95" i="5"/>
  <c r="V95" i="1"/>
  <c r="U95" i="1"/>
  <c r="CD68" i="1"/>
  <c r="BU68" i="1"/>
  <c r="BG68" i="1"/>
  <c r="BP68" i="1" s="1" a="1"/>
  <c r="BP68" i="1" s="1"/>
  <c r="BF68" i="1"/>
  <c r="AZ29" i="1"/>
  <c r="AQ29" i="1"/>
  <c r="BS29" i="1" s="1"/>
  <c r="G20" i="5"/>
  <c r="T20" i="1"/>
  <c r="W20" i="1"/>
  <c r="V20" i="1"/>
  <c r="U20" i="1"/>
  <c r="BP17" i="3"/>
  <c r="BT17" i="3" s="1"/>
  <c r="BU66" i="1"/>
  <c r="CD66" i="1"/>
  <c r="BF66" i="1"/>
  <c r="BG66" i="1"/>
  <c r="BP66" i="1" s="1" a="1"/>
  <c r="BP66" i="1" s="1"/>
  <c r="AQ66" i="1"/>
  <c r="BS66" i="1" s="1"/>
  <c r="BM64" i="3"/>
  <c r="BJ64" i="3"/>
  <c r="V19" i="1"/>
  <c r="G19" i="5"/>
  <c r="T19" i="1"/>
  <c r="U19" i="1"/>
  <c r="W19" i="1"/>
  <c r="V88" i="1"/>
  <c r="G88" i="5"/>
  <c r="W88" i="1"/>
  <c r="U88" i="1"/>
  <c r="T88" i="1"/>
  <c r="BT88" i="3"/>
  <c r="AZ40" i="3"/>
  <c r="BH40" i="3"/>
  <c r="BS88" i="3"/>
  <c r="BK88" i="3"/>
  <c r="E27" i="5"/>
  <c r="BI27" i="3"/>
  <c r="F27" i="5" s="1"/>
  <c r="AS72" i="3"/>
  <c r="AQ72" i="1"/>
  <c r="BS72" i="1" s="1"/>
  <c r="E85" i="5"/>
  <c r="BI85" i="3"/>
  <c r="AN85" i="1"/>
  <c r="AS34" i="3"/>
  <c r="BT54" i="3"/>
  <c r="BP54" i="3"/>
  <c r="G25" i="5"/>
  <c r="W25" i="1"/>
  <c r="V25" i="1"/>
  <c r="T25" i="1"/>
  <c r="U25" i="1"/>
  <c r="AZ47" i="1"/>
  <c r="U32" i="1"/>
  <c r="V32" i="1"/>
  <c r="G32" i="5"/>
  <c r="W32" i="1"/>
  <c r="T32" i="1"/>
  <c r="BM32" i="3"/>
  <c r="BJ32" i="3"/>
  <c r="S37" i="5"/>
  <c r="AM37" i="1"/>
  <c r="AK37" i="1"/>
  <c r="AL37" i="1"/>
  <c r="S39" i="5"/>
  <c r="AL39" i="1"/>
  <c r="AM39" i="1"/>
  <c r="AK39" i="1"/>
  <c r="S70" i="5"/>
  <c r="AM70" i="1"/>
  <c r="AK70" i="1"/>
  <c r="AL70" i="1"/>
  <c r="BI24" i="3"/>
  <c r="F24" i="5" s="1"/>
  <c r="E24" i="5"/>
  <c r="BM48" i="3"/>
  <c r="BJ48" i="3"/>
  <c r="AN69" i="1"/>
  <c r="BI96" i="3"/>
  <c r="E96" i="5"/>
  <c r="AQ96" i="1"/>
  <c r="BS96" i="1" s="1"/>
  <c r="AS23" i="3"/>
  <c r="BI125" i="3"/>
  <c r="F125" i="5" s="1"/>
  <c r="E125" i="5"/>
  <c r="AZ41" i="3"/>
  <c r="BL41" i="3" s="1"/>
  <c r="AQ41" i="1"/>
  <c r="BS41" i="1" s="1"/>
  <c r="AS22" i="3"/>
  <c r="AQ22" i="1"/>
  <c r="BS22" i="1" s="1"/>
  <c r="AN95" i="1"/>
  <c r="BM95" i="3"/>
  <c r="BJ95" i="3"/>
  <c r="BI68" i="3"/>
  <c r="E68" i="5"/>
  <c r="AN52" i="1"/>
  <c r="AK12" i="1"/>
  <c r="AM12" i="1"/>
  <c r="AL12" i="1"/>
  <c r="S12" i="5"/>
  <c r="BI53" i="3"/>
  <c r="F53" i="5" s="1"/>
  <c r="E53" i="5"/>
  <c r="CD20" i="1"/>
  <c r="BF20" i="1"/>
  <c r="BG20" i="1" s="1"/>
  <c r="BP20" i="1" s="1" a="1"/>
  <c r="BP20" i="1" s="1"/>
  <c r="BU20" i="1"/>
  <c r="BM20" i="3"/>
  <c r="BJ20" i="3"/>
  <c r="BI35" i="3"/>
  <c r="F35" i="5" s="1"/>
  <c r="E35" i="5"/>
  <c r="AN35" i="1"/>
  <c r="S78" i="5"/>
  <c r="AL78" i="1"/>
  <c r="AM78" i="1"/>
  <c r="AK78" i="1"/>
  <c r="BP46" i="3"/>
  <c r="BT46" i="3"/>
  <c r="AL45" i="1"/>
  <c r="S45" i="5"/>
  <c r="AK45" i="1"/>
  <c r="AM45" i="1"/>
  <c r="BK50" i="3"/>
  <c r="AZ27" i="3"/>
  <c r="S15" i="5"/>
  <c r="AM15" i="1"/>
  <c r="AK15" i="1"/>
  <c r="AL15" i="1"/>
  <c r="BI34" i="3"/>
  <c r="F34" i="5" s="1"/>
  <c r="E34" i="5"/>
  <c r="BT26" i="3"/>
  <c r="BP26" i="3"/>
  <c r="S71" i="5"/>
  <c r="AM71" i="1"/>
  <c r="AK71" i="1"/>
  <c r="AL71" i="1"/>
  <c r="AZ54" i="3"/>
  <c r="AN44" i="1"/>
  <c r="AZ24" i="3"/>
  <c r="BL24" i="3" s="1"/>
  <c r="AQ48" i="1"/>
  <c r="BS48" i="1" s="1"/>
  <c r="V82" i="1"/>
  <c r="T82" i="1"/>
  <c r="G82" i="5"/>
  <c r="W82" i="1"/>
  <c r="U82" i="1"/>
  <c r="BI69" i="3"/>
  <c r="F69" i="5" s="1"/>
  <c r="E69" i="5"/>
  <c r="AZ23" i="3"/>
  <c r="BL23" i="3" s="1"/>
  <c r="AS41" i="3"/>
  <c r="AS50" i="3"/>
  <c r="BF49" i="1"/>
  <c r="BU49" i="1"/>
  <c r="BG49" i="1"/>
  <c r="BP49" i="1" s="1" a="1"/>
  <c r="BP49" i="1" s="1"/>
  <c r="CD49" i="1"/>
  <c r="S49" i="5"/>
  <c r="AK49" i="1"/>
  <c r="AL49" i="1"/>
  <c r="AM49" i="1"/>
  <c r="BI95" i="3"/>
  <c r="F95" i="5" s="1"/>
  <c r="E95" i="5"/>
  <c r="AZ29" i="3"/>
  <c r="BA29" i="3" s="1"/>
  <c r="BG53" i="1"/>
  <c r="BP53" i="1" s="1" a="1"/>
  <c r="BP53" i="1" s="1"/>
  <c r="CD53" i="1"/>
  <c r="BU53" i="1"/>
  <c r="BF53" i="1"/>
  <c r="AS53" i="3"/>
  <c r="AZ20" i="3"/>
  <c r="S38" i="5"/>
  <c r="AL38" i="1"/>
  <c r="AM38" i="1"/>
  <c r="AK38" i="1"/>
  <c r="U126" i="5"/>
  <c r="T126" i="5"/>
  <c r="V126" i="5"/>
  <c r="AZ35" i="3"/>
  <c r="BM35" i="3"/>
  <c r="BJ35" i="3"/>
  <c r="AN83" i="1"/>
  <c r="AK66" i="1"/>
  <c r="S66" i="5"/>
  <c r="AM66" i="1"/>
  <c r="AL66" i="1"/>
  <c r="BP64" i="3"/>
  <c r="BT64" i="3" s="1"/>
  <c r="AN88" i="1"/>
  <c r="S40" i="5"/>
  <c r="AM40" i="1"/>
  <c r="AK40" i="1"/>
  <c r="AL40" i="1"/>
  <c r="AN18" i="1"/>
  <c r="BF45" i="1"/>
  <c r="BG45" i="1"/>
  <c r="BP45" i="1" s="1" a="1"/>
  <c r="BP45" i="1" s="1"/>
  <c r="CD45" i="1"/>
  <c r="AN45" i="1"/>
  <c r="AQ45" i="1"/>
  <c r="BS45" i="1" s="1"/>
  <c r="AQ36" i="1"/>
  <c r="BS36" i="1" s="1"/>
  <c r="AK27" i="1"/>
  <c r="S27" i="5"/>
  <c r="AM27" i="1"/>
  <c r="AL27" i="1"/>
  <c r="AN28" i="1"/>
  <c r="AZ72" i="3"/>
  <c r="G71" i="5"/>
  <c r="T71" i="1"/>
  <c r="V71" i="1"/>
  <c r="W71" i="1"/>
  <c r="U71" i="1"/>
  <c r="AZ54" i="1"/>
  <c r="BI54" i="3"/>
  <c r="F54" i="5" s="1"/>
  <c r="E54" i="5"/>
  <c r="BU47" i="1"/>
  <c r="AN47" i="1"/>
  <c r="BP47" i="1" a="1"/>
  <c r="BP47" i="1" s="1"/>
  <c r="CD32" i="1"/>
  <c r="BF32" i="1"/>
  <c r="BG32" i="1"/>
  <c r="BP32" i="1" s="1" a="1"/>
  <c r="BP32" i="1" s="1"/>
  <c r="BU32" i="1"/>
  <c r="AN37" i="1"/>
  <c r="T39" i="1"/>
  <c r="G39" i="5"/>
  <c r="V39" i="1"/>
  <c r="W39" i="1"/>
  <c r="U39" i="1"/>
  <c r="BM24" i="3"/>
  <c r="BJ24" i="3"/>
  <c r="S48" i="5"/>
  <c r="AL48" i="1"/>
  <c r="AK48" i="1"/>
  <c r="AM48" i="1"/>
  <c r="BI82" i="3"/>
  <c r="F82" i="5" s="1"/>
  <c r="E82" i="5"/>
  <c r="BM82" i="3"/>
  <c r="BJ82" i="3"/>
  <c r="CD96" i="1"/>
  <c r="BF96" i="1"/>
  <c r="BG96" i="1"/>
  <c r="BP96" i="1" s="1" a="1"/>
  <c r="BP96" i="1" s="1"/>
  <c r="BU96" i="1"/>
  <c r="BF23" i="1"/>
  <c r="BG23" i="1" s="1"/>
  <c r="BP23" i="1" s="1" a="1"/>
  <c r="BP23" i="1" s="1"/>
  <c r="CD23" i="1"/>
  <c r="BU23" i="1"/>
  <c r="AL23" i="1"/>
  <c r="S23" i="5"/>
  <c r="AM23" i="1"/>
  <c r="AK23" i="1"/>
  <c r="CD41" i="1"/>
  <c r="BF41" i="1"/>
  <c r="BG41" i="1" s="1"/>
  <c r="BP41" i="1" s="1" a="1"/>
  <c r="BP41" i="1" s="1"/>
  <c r="BU41" i="1"/>
  <c r="BG121" i="1"/>
  <c r="BP121" i="1" s="1" a="1"/>
  <c r="BP121" i="1" s="1"/>
  <c r="CD121" i="1"/>
  <c r="BU121" i="1"/>
  <c r="BF121" i="1"/>
  <c r="BT50" i="3"/>
  <c r="BP50" i="3"/>
  <c r="S22" i="5"/>
  <c r="AM22" i="1"/>
  <c r="AL22" i="1"/>
  <c r="AK22" i="1"/>
  <c r="AN63" i="1"/>
  <c r="AN68" i="1"/>
  <c r="BG29" i="3"/>
  <c r="BS29" i="3" s="1"/>
  <c r="BP29" i="3"/>
  <c r="BT29" i="3" s="1"/>
  <c r="BT52" i="3"/>
  <c r="BP52" i="3"/>
  <c r="BP53" i="3"/>
  <c r="BT53" i="3"/>
  <c r="BU38" i="1"/>
  <c r="BF38" i="1"/>
  <c r="BG38" i="1" s="1"/>
  <c r="BP38" i="1" s="1" a="1"/>
  <c r="BP38" i="1" s="1"/>
  <c r="CD38" i="1"/>
  <c r="U78" i="1"/>
  <c r="G78" i="5"/>
  <c r="W78" i="1"/>
  <c r="T78" i="1"/>
  <c r="V78" i="1"/>
  <c r="BJ66" i="3"/>
  <c r="BM66" i="3"/>
  <c r="BI64" i="3"/>
  <c r="F64" i="5" s="1"/>
  <c r="E64" i="5"/>
  <c r="E45" i="5"/>
  <c r="BI45" i="3"/>
  <c r="F45" i="5" s="1"/>
  <c r="BU84" i="1"/>
  <c r="BG84" i="1"/>
  <c r="BP84" i="1" s="1" a="1"/>
  <c r="BP84" i="1" s="1"/>
  <c r="BF84" i="1"/>
  <c r="CD84" i="1"/>
  <c r="AN84" i="1"/>
  <c r="BU36" i="1"/>
  <c r="BF36" i="1"/>
  <c r="BG36" i="1" s="1"/>
  <c r="BP36" i="1" s="1" a="1"/>
  <c r="BP36" i="1" s="1"/>
  <c r="CD36" i="1"/>
  <c r="S72" i="5"/>
  <c r="AK72" i="1"/>
  <c r="AM72" i="1"/>
  <c r="AL72" i="1"/>
  <c r="AZ34" i="1"/>
  <c r="AN34" i="1"/>
  <c r="AN54" i="1"/>
  <c r="BJ47" i="3"/>
  <c r="BM47" i="3"/>
  <c r="E32" i="5"/>
  <c r="BI32" i="3"/>
  <c r="F32" i="5" s="1"/>
  <c r="AN70" i="1"/>
  <c r="S97" i="5"/>
  <c r="AL97" i="1"/>
  <c r="AK97" i="1"/>
  <c r="AM97" i="1"/>
  <c r="AS97" i="3"/>
  <c r="BI48" i="3"/>
  <c r="F48" i="5" s="1"/>
  <c r="E48" i="5"/>
  <c r="S96" i="1"/>
  <c r="W90" i="1"/>
  <c r="G90" i="5"/>
  <c r="U90" i="1"/>
  <c r="V90" i="1"/>
  <c r="T90" i="1"/>
  <c r="E23" i="5"/>
  <c r="BI23" i="3"/>
  <c r="F23" i="5" s="1"/>
  <c r="S41" i="5"/>
  <c r="AK41" i="1"/>
  <c r="AL41" i="1"/>
  <c r="AM41" i="1"/>
  <c r="S67" i="5"/>
  <c r="AL67" i="1"/>
  <c r="AM67" i="1"/>
  <c r="AK67" i="1"/>
  <c r="BJ67" i="3"/>
  <c r="AZ22" i="3"/>
  <c r="AN129" i="1"/>
  <c r="T68" i="1"/>
  <c r="G68" i="5"/>
  <c r="V68" i="1"/>
  <c r="W68" i="1"/>
  <c r="U68" i="1"/>
  <c r="BI29" i="3"/>
  <c r="F29" i="5" s="1"/>
  <c r="E29" i="5"/>
  <c r="S6" i="5"/>
  <c r="AL6" i="1"/>
  <c r="AM6" i="1"/>
  <c r="AK6" i="1"/>
  <c r="AN6" i="1"/>
  <c r="S21" i="1"/>
  <c r="S12" i="1"/>
  <c r="AN12" i="1"/>
  <c r="BM53" i="3"/>
  <c r="E20" i="5"/>
  <c r="BI20" i="3"/>
  <c r="F20" i="5" s="1"/>
  <c r="BU17" i="1"/>
  <c r="AQ17" i="1"/>
  <c r="BS17" i="1" s="1"/>
  <c r="S86" i="5"/>
  <c r="AL86" i="1"/>
  <c r="AK86" i="1"/>
  <c r="AM86" i="1"/>
  <c r="AI83" i="1"/>
  <c r="AJ83" i="1" s="1"/>
  <c r="AS64" i="3"/>
  <c r="AQ88" i="1"/>
  <c r="BS88" i="1" s="1"/>
  <c r="BF40" i="1"/>
  <c r="BG40" i="1" s="1"/>
  <c r="BP40" i="1" s="1" a="1"/>
  <c r="BP40" i="1" s="1"/>
  <c r="CD40" i="1"/>
  <c r="BU40" i="1"/>
  <c r="V40" i="1"/>
  <c r="G40" i="5"/>
  <c r="W40" i="1"/>
  <c r="T40" i="1"/>
  <c r="U40" i="1"/>
  <c r="AN31" i="1"/>
  <c r="BM18" i="3"/>
  <c r="BJ18" i="3"/>
  <c r="AS45" i="3"/>
  <c r="AN42" i="1"/>
  <c r="AQ42" i="1"/>
  <c r="BS42" i="1" s="1"/>
  <c r="AN27" i="1"/>
  <c r="AL9" i="1"/>
  <c r="S9" i="5"/>
  <c r="AM9" i="1"/>
  <c r="AK9" i="1"/>
  <c r="BU72" i="1"/>
  <c r="BG72" i="1"/>
  <c r="BP72" i="1" s="1" a="1"/>
  <c r="BP72" i="1" s="1"/>
  <c r="CD72" i="1"/>
  <c r="BF72" i="1"/>
  <c r="T37" i="1"/>
  <c r="G37" i="5"/>
  <c r="U37" i="1"/>
  <c r="W37" i="1"/>
  <c r="V37" i="1"/>
  <c r="CD97" i="1"/>
  <c r="BG97" i="1"/>
  <c r="BP97" i="1" s="1" a="1"/>
  <c r="BP97" i="1" s="1"/>
  <c r="BF97" i="1"/>
  <c r="BU97" i="1"/>
  <c r="AQ24" i="1"/>
  <c r="BS24" i="1" s="1"/>
  <c r="AZ48" i="3"/>
  <c r="BH48" i="3"/>
  <c r="AN82" i="1"/>
  <c r="BF69" i="1"/>
  <c r="BG69" i="1"/>
  <c r="BP69" i="1" s="1" a="1"/>
  <c r="BP69" i="1" s="1"/>
  <c r="CD69" i="1"/>
  <c r="BU69" i="1"/>
  <c r="T69" i="1"/>
  <c r="G69" i="5"/>
  <c r="U69" i="1"/>
  <c r="V69" i="1"/>
  <c r="W69" i="1"/>
  <c r="S96" i="5"/>
  <c r="AL96" i="1"/>
  <c r="AK96" i="1"/>
  <c r="AM96" i="1"/>
  <c r="BP23" i="3"/>
  <c r="BT23" i="3" s="1"/>
  <c r="AN125" i="1"/>
  <c r="BP41" i="3"/>
  <c r="BT41" i="3" s="1"/>
  <c r="CD67" i="1"/>
  <c r="BU67" i="1"/>
  <c r="BG67" i="1"/>
  <c r="BP67" i="1" s="1" a="1"/>
  <c r="BP67" i="1" s="1"/>
  <c r="BF67" i="1"/>
  <c r="AQ67" i="1"/>
  <c r="BS67" i="1" s="1"/>
  <c r="AZ50" i="1"/>
  <c r="AQ50" i="1"/>
  <c r="BS50" i="1" s="1"/>
  <c r="CD22" i="1"/>
  <c r="BG22" i="1"/>
  <c r="BP22" i="1" s="1" a="1"/>
  <c r="BP22" i="1" s="1"/>
  <c r="BF22" i="1"/>
  <c r="BU22" i="1"/>
  <c r="AQ87" i="1"/>
  <c r="BS87" i="1" s="1"/>
  <c r="U129" i="1"/>
  <c r="G129" i="5"/>
  <c r="V129" i="1"/>
  <c r="W129" i="1"/>
  <c r="T129" i="1"/>
  <c r="BI49" i="3"/>
  <c r="F49" i="5" s="1"/>
  <c r="E49" i="5"/>
  <c r="AQ49" i="1"/>
  <c r="BS49" i="1" s="1"/>
  <c r="BF10" i="1"/>
  <c r="BU10" i="1"/>
  <c r="BG10" i="1"/>
  <c r="BP10" i="1" s="1" a="1"/>
  <c r="BP10" i="1" s="1"/>
  <c r="CD10" i="1"/>
  <c r="T61" i="1"/>
  <c r="G61" i="5"/>
  <c r="U61" i="1"/>
  <c r="V61" i="1"/>
  <c r="W61" i="1"/>
  <c r="BU95" i="1"/>
  <c r="AN29" i="1"/>
  <c r="BF12" i="1"/>
  <c r="BG12" i="1"/>
  <c r="BP12" i="1" s="1" a="1"/>
  <c r="BP12" i="1" s="1"/>
  <c r="CD12" i="1"/>
  <c r="BM12" i="3"/>
  <c r="BJ12" i="3"/>
  <c r="AN38" i="1"/>
  <c r="AN17" i="1"/>
  <c r="AK35" i="1"/>
  <c r="S35" i="5"/>
  <c r="AL35" i="1"/>
  <c r="AM35" i="1"/>
  <c r="AN78" i="1"/>
  <c r="AQ83" i="1"/>
  <c r="BS83" i="1" s="1"/>
  <c r="BJ83" i="3"/>
  <c r="BM83" i="3"/>
  <c r="E66" i="5"/>
  <c r="BI66" i="3"/>
  <c r="F66" i="5" s="1"/>
  <c r="AN40" i="1"/>
  <c r="G31" i="5"/>
  <c r="U31" i="1"/>
  <c r="W31" i="1"/>
  <c r="T31" i="1"/>
  <c r="V31" i="1"/>
  <c r="BT45" i="3"/>
  <c r="BP45" i="3"/>
  <c r="BK44" i="3"/>
  <c r="N207" i="5" s="1"/>
  <c r="BS44" i="3"/>
  <c r="G75" i="5"/>
  <c r="U75" i="1"/>
  <c r="V75" i="1"/>
  <c r="T75" i="1"/>
  <c r="W75" i="1"/>
  <c r="AZ84" i="3"/>
  <c r="T36" i="1"/>
  <c r="W36" i="1"/>
  <c r="G36" i="5"/>
  <c r="V36" i="1"/>
  <c r="U36" i="1"/>
  <c r="BF42" i="1"/>
  <c r="BG42" i="1"/>
  <c r="BP42" i="1" s="1" a="1"/>
  <c r="BP42" i="1" s="1"/>
  <c r="CD42" i="1"/>
  <c r="BU42" i="1"/>
  <c r="H126" i="5"/>
  <c r="I126" i="5"/>
  <c r="J126" i="5"/>
  <c r="S25" i="5"/>
  <c r="AM25" i="1"/>
  <c r="AL25" i="1"/>
  <c r="AK25" i="1"/>
  <c r="AS47" i="3"/>
  <c r="AS37" i="3"/>
  <c r="AQ37" i="1"/>
  <c r="BS37" i="1" s="1"/>
  <c r="BI44" i="3"/>
  <c r="F44" i="5" s="1"/>
  <c r="E44" i="5"/>
  <c r="AQ44" i="1"/>
  <c r="BS44" i="1" s="1"/>
  <c r="U70" i="1"/>
  <c r="T70" i="1"/>
  <c r="G70" i="5"/>
  <c r="W70" i="1"/>
  <c r="V70" i="1"/>
  <c r="AN23" i="1"/>
  <c r="BG125" i="1"/>
  <c r="BP125" i="1" s="1" a="1"/>
  <c r="BP125" i="1" s="1"/>
  <c r="CD125" i="1"/>
  <c r="BU125" i="1"/>
  <c r="BF125" i="1"/>
  <c r="BI41" i="3"/>
  <c r="F41" i="5" s="1"/>
  <c r="E41" i="5"/>
  <c r="AN41" i="1"/>
  <c r="E67" i="5"/>
  <c r="BI67" i="3"/>
  <c r="AL50" i="1"/>
  <c r="S50" i="5"/>
  <c r="AM50" i="1"/>
  <c r="AK50" i="1"/>
  <c r="AN22" i="1"/>
  <c r="BM22" i="3"/>
  <c r="BJ22" i="3"/>
  <c r="AS87" i="3"/>
  <c r="AN87" i="1"/>
  <c r="BG129" i="1"/>
  <c r="BP129" i="1" s="1" a="1"/>
  <c r="BP129" i="1" s="1"/>
  <c r="BU129" i="1"/>
  <c r="CD129" i="1"/>
  <c r="BF129" i="1"/>
  <c r="BJ129" i="3"/>
  <c r="BM129" i="3"/>
  <c r="AZ49" i="3"/>
  <c r="G10" i="5"/>
  <c r="T10" i="1"/>
  <c r="V10" i="1"/>
  <c r="U10" i="1"/>
  <c r="W10" i="1"/>
  <c r="BI61" i="3"/>
  <c r="F61" i="5" s="1"/>
  <c r="E61" i="5"/>
  <c r="AQ68" i="1"/>
  <c r="BS68" i="1" s="1"/>
  <c r="BJ21" i="3"/>
  <c r="BM21" i="3"/>
  <c r="AS38" i="3"/>
  <c r="AQ38" i="1"/>
  <c r="BS38" i="1" s="1"/>
  <c r="U38" i="1"/>
  <c r="G38" i="5"/>
  <c r="W38" i="1"/>
  <c r="T38" i="1"/>
  <c r="V38" i="1"/>
  <c r="BP66" i="3"/>
  <c r="BT66" i="3" s="1"/>
  <c r="S64" i="1"/>
  <c r="AL64" i="1"/>
  <c r="S64" i="5"/>
  <c r="AM64" i="1"/>
  <c r="AK64" i="1"/>
  <c r="S88" i="5"/>
  <c r="AK88" i="1"/>
  <c r="AL88" i="1"/>
  <c r="AM88" i="1"/>
  <c r="AQ40" i="1"/>
  <c r="BS40" i="1" s="1"/>
  <c r="AZ18" i="3"/>
  <c r="BH18" i="3"/>
  <c r="BP18" i="3" s="1"/>
  <c r="BT18" i="3" s="1"/>
  <c r="E84" i="5"/>
  <c r="BI84" i="3"/>
  <c r="AN36" i="1"/>
  <c r="S30" i="5"/>
  <c r="AM30" i="1"/>
  <c r="AL30" i="1"/>
  <c r="AK30" i="1"/>
  <c r="T9" i="1"/>
  <c r="G9" i="5"/>
  <c r="U9" i="1"/>
  <c r="V9" i="1"/>
  <c r="W9" i="1"/>
  <c r="V28" i="1"/>
  <c r="G28" i="5"/>
  <c r="U28" i="1"/>
  <c r="T28" i="1"/>
  <c r="W28" i="1"/>
  <c r="E72" i="5"/>
  <c r="BI72" i="3"/>
  <c r="AN71" i="1"/>
  <c r="CD37" i="1"/>
  <c r="BU37" i="1"/>
  <c r="BF37" i="1"/>
  <c r="BG37" i="1" s="1"/>
  <c r="BP37" i="1" s="1" a="1"/>
  <c r="BP37" i="1" s="1"/>
  <c r="S44" i="5"/>
  <c r="AL44" i="1"/>
  <c r="AM44" i="1"/>
  <c r="AK44" i="1"/>
  <c r="AS44" i="3"/>
  <c r="AN39" i="1"/>
  <c r="V24" i="1"/>
  <c r="G24" i="5"/>
  <c r="T24" i="1"/>
  <c r="W24" i="1"/>
  <c r="U24" i="1"/>
  <c r="BG48" i="1"/>
  <c r="BP48" i="1" s="1" a="1"/>
  <c r="BP48" i="1" s="1"/>
  <c r="BF48" i="1"/>
  <c r="CD48" i="1"/>
  <c r="AQ121" i="1"/>
  <c r="BS121" i="1" s="1"/>
  <c r="G121" i="5"/>
  <c r="V121" i="1"/>
  <c r="W121" i="1"/>
  <c r="U121" i="1"/>
  <c r="T121" i="1"/>
  <c r="AZ67" i="3"/>
  <c r="BH67" i="3"/>
  <c r="S50" i="1"/>
  <c r="E50" i="5"/>
  <c r="BI50" i="3"/>
  <c r="F50" i="5" s="1"/>
  <c r="AN13" i="1"/>
  <c r="BF87" i="1"/>
  <c r="BG87" i="1" s="1"/>
  <c r="BP87" i="1" s="1" a="1"/>
  <c r="BP87" i="1" s="1"/>
  <c r="CD87" i="1"/>
  <c r="BU87" i="1"/>
  <c r="AQ129" i="1"/>
  <c r="BS129" i="1" s="1"/>
  <c r="AN112" i="1"/>
  <c r="S112" i="5"/>
  <c r="AK112" i="1"/>
  <c r="AL112" i="1"/>
  <c r="AM112" i="1"/>
  <c r="BK49" i="3"/>
  <c r="BS49" i="3"/>
  <c r="CD61" i="1"/>
  <c r="BF61" i="1"/>
  <c r="BG61" i="1" s="1"/>
  <c r="BP61" i="1" s="1" a="1"/>
  <c r="BP61" i="1" s="1"/>
  <c r="BU61" i="1"/>
  <c r="AQ61" i="1"/>
  <c r="BS61" i="1" s="1"/>
  <c r="AQ95" i="1"/>
  <c r="BS95" i="1" s="1"/>
  <c r="AK68" i="1"/>
  <c r="S68" i="5"/>
  <c r="AM68" i="1"/>
  <c r="AL68" i="1"/>
  <c r="T29" i="1"/>
  <c r="G29" i="5"/>
  <c r="U29" i="1"/>
  <c r="V29" i="1"/>
  <c r="W29" i="1"/>
  <c r="AQ21" i="1"/>
  <c r="BS21" i="1" s="1"/>
  <c r="AN53" i="1"/>
  <c r="AQ20" i="1"/>
  <c r="BS20" i="1" s="1"/>
  <c r="BP38" i="3"/>
  <c r="BT38" i="3" s="1"/>
  <c r="AS17" i="3"/>
  <c r="CD83" i="1"/>
  <c r="BF83" i="1"/>
  <c r="BG83" i="1" s="1"/>
  <c r="BP83" i="1" s="1" a="1"/>
  <c r="BP83" i="1" s="1"/>
  <c r="BU83" i="1"/>
  <c r="BI18" i="3"/>
  <c r="F18" i="5" s="1"/>
  <c r="E18" i="5"/>
  <c r="BM45" i="3"/>
  <c r="BJ45" i="3"/>
  <c r="P126" i="5"/>
  <c r="Q126" i="5"/>
  <c r="R126" i="5"/>
  <c r="Q128" i="5"/>
  <c r="P128" i="5"/>
  <c r="R128" i="5"/>
  <c r="AD44" i="1"/>
  <c r="O44" i="5" s="1"/>
  <c r="Q44" i="5" s="1"/>
  <c r="AD23" i="1"/>
  <c r="O23" i="5" s="1"/>
  <c r="P23" i="5" s="1"/>
  <c r="AD61" i="1"/>
  <c r="O61" i="5" s="1"/>
  <c r="AD37" i="1"/>
  <c r="O37" i="5" s="1"/>
  <c r="AD27" i="1"/>
  <c r="O27" i="5" s="1"/>
  <c r="AD42" i="1"/>
  <c r="O42" i="5" s="1"/>
  <c r="AD112" i="1"/>
  <c r="O112" i="5" s="1"/>
  <c r="AD46" i="1"/>
  <c r="O46" i="5" s="1"/>
  <c r="AD54" i="1"/>
  <c r="O54" i="5" s="1"/>
  <c r="AD40" i="1"/>
  <c r="O40" i="5" s="1"/>
  <c r="AD53" i="1"/>
  <c r="O53" i="5" s="1"/>
  <c r="AD88" i="1"/>
  <c r="O88" i="5" s="1"/>
  <c r="AG128" i="1"/>
  <c r="AH128" i="1"/>
  <c r="AE128" i="1"/>
  <c r="AF128" i="1"/>
  <c r="AD67" i="1"/>
  <c r="AD72" i="1"/>
  <c r="AD52" i="1"/>
  <c r="O52" i="5" s="1"/>
  <c r="AD49" i="1"/>
  <c r="O49" i="5" s="1"/>
  <c r="AD10" i="1"/>
  <c r="O10" i="5" s="1"/>
  <c r="AD96" i="1"/>
  <c r="O96" i="5" s="1"/>
  <c r="R96" i="5" s="1"/>
  <c r="AD64" i="1"/>
  <c r="O64" i="5" s="1"/>
  <c r="AD95" i="1"/>
  <c r="O95" i="5" s="1"/>
  <c r="AD38" i="1"/>
  <c r="O38" i="5" s="1"/>
  <c r="AD47" i="1"/>
  <c r="O47" i="5" s="1"/>
  <c r="P47" i="5" s="1"/>
  <c r="AD32" i="1"/>
  <c r="O32" i="5" s="1"/>
  <c r="P32" i="5" s="1"/>
  <c r="AD45" i="1"/>
  <c r="O45" i="5" s="1"/>
  <c r="AD34" i="1"/>
  <c r="O34" i="5" s="1"/>
  <c r="AD26" i="1"/>
  <c r="O26" i="5" s="1"/>
  <c r="AD97" i="1"/>
  <c r="O97" i="5" s="1"/>
  <c r="AD24" i="1"/>
  <c r="O24" i="5" s="1"/>
  <c r="AD29" i="1"/>
  <c r="O29" i="5" s="1"/>
  <c r="AD41" i="1"/>
  <c r="O41" i="5" s="1"/>
  <c r="AD48" i="1"/>
  <c r="AD50" i="1"/>
  <c r="O50" i="5" s="1"/>
  <c r="AE126" i="1"/>
  <c r="AF126" i="1"/>
  <c r="AH126" i="1"/>
  <c r="AG126" i="1"/>
  <c r="V121" i="3"/>
  <c r="V112" i="3"/>
  <c r="BL112" i="3" s="1"/>
  <c r="V27" i="3"/>
  <c r="BL27" i="3" s="1"/>
  <c r="V26" i="3"/>
  <c r="BL26" i="3" s="1"/>
  <c r="V97" i="3"/>
  <c r="BL97" i="3" s="1"/>
  <c r="V96" i="3"/>
  <c r="BL96" i="3" s="1"/>
  <c r="V46" i="3"/>
  <c r="BL46" i="3" s="1"/>
  <c r="V50" i="3"/>
  <c r="BL50" i="3" s="1"/>
  <c r="V18" i="3"/>
  <c r="V83" i="3"/>
  <c r="BL83" i="3" s="1"/>
  <c r="V52" i="3"/>
  <c r="BL52" i="3" s="1"/>
  <c r="V87" i="3"/>
  <c r="V53" i="3"/>
  <c r="BL53" i="3" s="1"/>
  <c r="V20" i="3"/>
  <c r="V54" i="3"/>
  <c r="BL54" i="3" s="1"/>
  <c r="V88" i="3"/>
  <c r="BL88" i="3" s="1"/>
  <c r="V49" i="3"/>
  <c r="BL49" i="3" s="1"/>
  <c r="V45" i="3"/>
  <c r="BL45" i="3" s="1"/>
  <c r="V17" i="3"/>
  <c r="V84" i="3"/>
  <c r="V44" i="3"/>
  <c r="BL44" i="3" s="1"/>
  <c r="V85" i="3"/>
  <c r="V42" i="3"/>
  <c r="BL42" i="3" s="1"/>
  <c r="V82" i="3"/>
  <c r="BL82" i="3" s="1"/>
  <c r="AT85" i="3"/>
  <c r="AT96" i="3"/>
  <c r="AT45" i="3"/>
  <c r="AT121" i="3"/>
  <c r="AT53" i="3"/>
  <c r="BR206" i="1" s="1"/>
  <c r="AT74" i="3"/>
  <c r="AT87" i="3"/>
  <c r="AT61" i="3"/>
  <c r="AT9" i="3"/>
  <c r="AT17" i="3"/>
  <c r="AT132" i="3"/>
  <c r="AT52" i="3"/>
  <c r="AT36" i="3"/>
  <c r="AT88" i="3"/>
  <c r="AT86" i="3"/>
  <c r="AT95" i="3"/>
  <c r="AT43" i="3"/>
  <c r="AT68" i="3"/>
  <c r="AT70" i="3"/>
  <c r="AT23" i="3"/>
  <c r="AT13" i="3"/>
  <c r="AT10" i="3"/>
  <c r="AT42" i="3"/>
  <c r="AT46" i="3"/>
  <c r="AT31" i="3"/>
  <c r="AT16" i="3"/>
  <c r="AT37" i="3"/>
  <c r="AT65" i="3"/>
  <c r="AT78" i="3"/>
  <c r="AT41" i="3"/>
  <c r="AT75" i="3"/>
  <c r="AT14" i="3"/>
  <c r="AT33" i="3"/>
  <c r="AT112" i="3"/>
  <c r="AT25" i="3"/>
  <c r="AT48" i="3"/>
  <c r="AT15" i="3"/>
  <c r="AT12" i="3"/>
  <c r="AT72" i="3"/>
  <c r="AT83" i="3"/>
  <c r="AT66" i="3"/>
  <c r="AT40" i="3"/>
  <c r="AT38" i="3"/>
  <c r="AT49" i="3"/>
  <c r="AT18" i="3"/>
  <c r="AT24" i="3"/>
  <c r="AT69" i="3"/>
  <c r="AT47" i="3"/>
  <c r="AT44" i="3"/>
  <c r="BR207" i="1" s="1"/>
  <c r="AT30" i="3"/>
  <c r="AT73" i="3"/>
  <c r="AT50" i="3"/>
  <c r="AT84" i="3"/>
  <c r="AT67" i="3"/>
  <c r="AT63" i="3"/>
  <c r="AT125" i="3"/>
  <c r="AT29" i="3"/>
  <c r="BR205" i="1" s="1"/>
  <c r="AT124" i="3"/>
  <c r="AT82" i="3"/>
  <c r="AT32" i="3"/>
  <c r="BR202" i="1" s="1"/>
  <c r="AT90" i="3"/>
  <c r="AT97" i="3"/>
  <c r="AT129" i="3"/>
  <c r="AT54" i="3"/>
  <c r="AT35" i="3"/>
  <c r="AT71" i="3"/>
  <c r="AT22" i="3"/>
  <c r="AT19" i="3"/>
  <c r="AT20" i="3"/>
  <c r="AT39" i="3"/>
  <c r="AT6" i="3"/>
  <c r="AT21" i="3"/>
  <c r="AT26" i="3"/>
  <c r="AT135" i="3"/>
  <c r="I23" i="17"/>
  <c r="H23" i="17"/>
  <c r="E11" i="3"/>
  <c r="E8" i="3"/>
  <c r="J8" i="1" s="1"/>
  <c r="E7" i="3"/>
  <c r="E5" i="3"/>
  <c r="J5" i="1" s="1"/>
  <c r="I48" i="17"/>
  <c r="H48" i="17"/>
  <c r="E4" i="3"/>
  <c r="J4" i="1" s="1"/>
  <c r="E3" i="3"/>
  <c r="E2" i="3"/>
  <c r="K67" i="17"/>
  <c r="I67" i="17"/>
  <c r="H67" i="17"/>
  <c r="I41" i="17"/>
  <c r="Y2" i="1"/>
  <c r="AC2" i="1"/>
  <c r="I55" i="17"/>
  <c r="H55" i="17"/>
  <c r="I54" i="17"/>
  <c r="H54" i="17"/>
  <c r="W137" i="3"/>
  <c r="W112" i="3"/>
  <c r="W97" i="3"/>
  <c r="W96" i="3"/>
  <c r="W54" i="3"/>
  <c r="W51" i="3"/>
  <c r="W42" i="3"/>
  <c r="I24" i="17"/>
  <c r="H24" i="17"/>
  <c r="I38" i="17"/>
  <c r="H38" i="17"/>
  <c r="I57" i="17"/>
  <c r="H57" i="17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V129" i="3"/>
  <c r="V125" i="3"/>
  <c r="V113" i="3"/>
  <c r="V111" i="3"/>
  <c r="V91" i="3"/>
  <c r="AV91" i="3" s="1"/>
  <c r="V73" i="3"/>
  <c r="V69" i="3"/>
  <c r="V68" i="3"/>
  <c r="AV68" i="3" s="1"/>
  <c r="AD68" i="1" s="1"/>
  <c r="O68" i="5" s="1"/>
  <c r="P68" i="5" s="1"/>
  <c r="V66" i="3"/>
  <c r="V65" i="3"/>
  <c r="V39" i="3"/>
  <c r="V36" i="3"/>
  <c r="AV36" i="3" s="1"/>
  <c r="AD36" i="1" s="1"/>
  <c r="O36" i="5" s="1"/>
  <c r="V35" i="3"/>
  <c r="AV35" i="3" s="1"/>
  <c r="AD35" i="1" s="1"/>
  <c r="O35" i="5" s="1"/>
  <c r="P35" i="5" s="1"/>
  <c r="V33" i="3"/>
  <c r="V25" i="3"/>
  <c r="V22" i="3"/>
  <c r="AV22" i="3" s="1"/>
  <c r="AD22" i="1" s="1"/>
  <c r="O22" i="5" s="1"/>
  <c r="V21" i="3"/>
  <c r="V13" i="3"/>
  <c r="V12" i="3"/>
  <c r="AV12" i="3" s="1"/>
  <c r="AD12" i="1" s="1"/>
  <c r="O12" i="5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W11" i="3" s="1"/>
  <c r="U8" i="3"/>
  <c r="AW8" i="3" s="1"/>
  <c r="U7" i="3"/>
  <c r="AW7" i="3" s="1"/>
  <c r="U6" i="3"/>
  <c r="U5" i="3"/>
  <c r="AW5" i="3" s="1"/>
  <c r="U4" i="3"/>
  <c r="AW4" i="3" s="1"/>
  <c r="U3" i="3"/>
  <c r="AW3" i="3" s="1"/>
  <c r="P2" i="1"/>
  <c r="CA2" i="1" s="1"/>
  <c r="R18" i="16"/>
  <c r="Q38" i="16"/>
  <c r="P40" i="16"/>
  <c r="O33" i="16"/>
  <c r="N15" i="16"/>
  <c r="M32" i="16"/>
  <c r="L35" i="16"/>
  <c r="K38" i="16"/>
  <c r="J40" i="16"/>
  <c r="I48" i="16"/>
  <c r="H39" i="16"/>
  <c r="G36" i="16"/>
  <c r="S5" i="16"/>
  <c r="R17" i="16"/>
  <c r="Q37" i="16"/>
  <c r="P39" i="16"/>
  <c r="N14" i="16"/>
  <c r="O32" i="16"/>
  <c r="M31" i="16"/>
  <c r="L34" i="16"/>
  <c r="K37" i="16"/>
  <c r="J39" i="16"/>
  <c r="I47" i="16"/>
  <c r="H38" i="16"/>
  <c r="G35" i="16"/>
  <c r="F30" i="16"/>
  <c r="F29" i="16"/>
  <c r="I37" i="17"/>
  <c r="H37" i="17"/>
  <c r="I65" i="17"/>
  <c r="H65" i="17"/>
  <c r="I11" i="17"/>
  <c r="H11" i="17"/>
  <c r="I19" i="17"/>
  <c r="H19" i="17"/>
  <c r="AM4" i="3"/>
  <c r="AM5" i="3"/>
  <c r="AM8" i="3"/>
  <c r="AM10" i="3"/>
  <c r="BQ10" i="3" s="1"/>
  <c r="D10" i="5" s="1"/>
  <c r="AN10" i="3"/>
  <c r="AM12" i="3"/>
  <c r="BQ12" i="3" s="1"/>
  <c r="D12" i="5" s="1"/>
  <c r="AN12" i="3"/>
  <c r="AM17" i="3"/>
  <c r="BQ17" i="3" s="1"/>
  <c r="D17" i="5" s="1"/>
  <c r="AM20" i="3"/>
  <c r="BQ20" i="3" s="1"/>
  <c r="D20" i="5" s="1"/>
  <c r="AM21" i="3"/>
  <c r="BQ21" i="3" s="1"/>
  <c r="D21" i="5" s="1"/>
  <c r="AN21" i="3"/>
  <c r="AM22" i="3"/>
  <c r="BQ22" i="3" s="1"/>
  <c r="D22" i="5" s="1"/>
  <c r="AN22" i="3"/>
  <c r="AM23" i="3"/>
  <c r="BQ23" i="3" s="1"/>
  <c r="D23" i="5" s="1"/>
  <c r="AN23" i="3"/>
  <c r="AM24" i="3"/>
  <c r="BQ24" i="3" s="1"/>
  <c r="D24" i="5" s="1"/>
  <c r="AN24" i="3"/>
  <c r="AM27" i="3"/>
  <c r="BQ27" i="3" s="1"/>
  <c r="D27" i="5" s="1"/>
  <c r="AN27" i="3"/>
  <c r="AM29" i="3"/>
  <c r="BQ29" i="3" s="1"/>
  <c r="D29" i="5" s="1"/>
  <c r="AN29" i="3"/>
  <c r="AM32" i="3"/>
  <c r="BQ32" i="3" s="1"/>
  <c r="D32" i="5" s="1"/>
  <c r="AN32" i="3"/>
  <c r="AM33" i="3"/>
  <c r="BQ33" i="3" s="1"/>
  <c r="D33" i="5" s="1"/>
  <c r="AN33" i="3"/>
  <c r="AM34" i="3"/>
  <c r="BQ34" i="3" s="1"/>
  <c r="D34" i="5" s="1"/>
  <c r="AN34" i="3"/>
  <c r="AM35" i="3"/>
  <c r="BQ35" i="3" s="1"/>
  <c r="D35" i="5" s="1"/>
  <c r="AN35" i="3"/>
  <c r="AM36" i="3"/>
  <c r="BQ36" i="3" s="1"/>
  <c r="D36" i="5" s="1"/>
  <c r="AN36" i="3"/>
  <c r="AM37" i="3"/>
  <c r="BQ37" i="3" s="1"/>
  <c r="D37" i="5" s="1"/>
  <c r="AN37" i="3"/>
  <c r="AM38" i="3"/>
  <c r="BQ38" i="3" s="1"/>
  <c r="D38" i="5" s="1"/>
  <c r="AN38" i="3"/>
  <c r="AM40" i="3"/>
  <c r="BQ40" i="3" s="1"/>
  <c r="D40" i="5" s="1"/>
  <c r="AN40" i="3"/>
  <c r="AM41" i="3"/>
  <c r="BQ41" i="3" s="1"/>
  <c r="D41" i="5" s="1"/>
  <c r="AN41" i="3"/>
  <c r="AM42" i="3"/>
  <c r="BQ42" i="3" s="1"/>
  <c r="D42" i="5" s="1"/>
  <c r="AN42" i="3"/>
  <c r="AM44" i="3"/>
  <c r="BQ44" i="3" s="1"/>
  <c r="D44" i="5" s="1"/>
  <c r="AN44" i="3"/>
  <c r="AM45" i="3"/>
  <c r="BQ45" i="3" s="1"/>
  <c r="D45" i="5" s="1"/>
  <c r="AN45" i="3"/>
  <c r="AM47" i="3"/>
  <c r="BQ47" i="3" s="1"/>
  <c r="D47" i="5" s="1"/>
  <c r="AN47" i="3"/>
  <c r="AM48" i="3"/>
  <c r="BQ48" i="3" s="1"/>
  <c r="D48" i="5" s="1"/>
  <c r="AN48" i="3"/>
  <c r="AM49" i="3"/>
  <c r="BQ49" i="3" s="1"/>
  <c r="D49" i="5" s="1"/>
  <c r="AN49" i="3"/>
  <c r="AM50" i="3"/>
  <c r="BO50" i="3" s="1"/>
  <c r="BS50" i="3" s="1"/>
  <c r="AN50" i="3"/>
  <c r="AM53" i="3"/>
  <c r="BQ53" i="3" s="1"/>
  <c r="D53" i="5" s="1"/>
  <c r="AN53" i="3"/>
  <c r="AM54" i="3"/>
  <c r="BQ54" i="3" s="1"/>
  <c r="D54" i="5" s="1"/>
  <c r="AN54" i="3"/>
  <c r="AM55" i="3"/>
  <c r="BQ55" i="3" s="1"/>
  <c r="D55" i="5" s="1"/>
  <c r="AM56" i="3"/>
  <c r="BQ56" i="3" s="1"/>
  <c r="D56" i="5" s="1"/>
  <c r="AM57" i="3"/>
  <c r="BQ57" i="3" s="1"/>
  <c r="D57" i="5" s="1"/>
  <c r="AM58" i="3"/>
  <c r="BQ58" i="3" s="1"/>
  <c r="D58" i="5" s="1"/>
  <c r="AM59" i="3"/>
  <c r="BQ59" i="3" s="1"/>
  <c r="D59" i="5" s="1"/>
  <c r="AM60" i="3"/>
  <c r="BQ60" i="3" s="1"/>
  <c r="D60" i="5" s="1"/>
  <c r="AM61" i="3"/>
  <c r="BQ61" i="3" s="1"/>
  <c r="D61" i="5" s="1"/>
  <c r="AN61" i="3"/>
  <c r="AM62" i="3"/>
  <c r="BQ62" i="3" s="1"/>
  <c r="AM64" i="3"/>
  <c r="BQ64" i="3" s="1"/>
  <c r="D64" i="5" s="1"/>
  <c r="AN64" i="3"/>
  <c r="AM65" i="3"/>
  <c r="BQ65" i="3" s="1"/>
  <c r="D65" i="5" s="1"/>
  <c r="AN65" i="3"/>
  <c r="AM66" i="3"/>
  <c r="BQ66" i="3" s="1"/>
  <c r="D66" i="5" s="1"/>
  <c r="AN66" i="3"/>
  <c r="AM67" i="3"/>
  <c r="BQ67" i="3" s="1"/>
  <c r="AN67" i="3"/>
  <c r="AM68" i="3"/>
  <c r="BQ68" i="3" s="1"/>
  <c r="AN68" i="3"/>
  <c r="AM69" i="3"/>
  <c r="BQ69" i="3" s="1"/>
  <c r="D69" i="5" s="1"/>
  <c r="AN69" i="3"/>
  <c r="AM72" i="3"/>
  <c r="BQ72" i="3" s="1"/>
  <c r="AN72" i="3"/>
  <c r="AM73" i="3"/>
  <c r="BQ73" i="3" s="1"/>
  <c r="D73" i="5" s="1"/>
  <c r="AN73" i="3"/>
  <c r="AM76" i="3"/>
  <c r="BQ76" i="3" s="1"/>
  <c r="D76" i="5" s="1"/>
  <c r="AN76" i="3"/>
  <c r="AM77" i="3"/>
  <c r="BQ77" i="3" s="1"/>
  <c r="D77" i="5" s="1"/>
  <c r="AN77" i="3"/>
  <c r="AM81" i="3"/>
  <c r="BQ81" i="3" s="1"/>
  <c r="D81" i="5" s="1"/>
  <c r="AN81" i="3"/>
  <c r="AM82" i="3"/>
  <c r="BQ82" i="3" s="1"/>
  <c r="D82" i="5" s="1"/>
  <c r="AM83" i="3"/>
  <c r="BQ83" i="3" s="1"/>
  <c r="D83" i="5" s="1"/>
  <c r="AM84" i="3"/>
  <c r="BQ84" i="3" s="1"/>
  <c r="AM85" i="3"/>
  <c r="BQ85" i="3" s="1"/>
  <c r="AM87" i="3"/>
  <c r="BQ87" i="3" s="1"/>
  <c r="AN87" i="3"/>
  <c r="AM88" i="3"/>
  <c r="BQ88" i="3" s="1"/>
  <c r="AN88" i="3"/>
  <c r="AM89" i="3"/>
  <c r="BQ89" i="3" s="1"/>
  <c r="AN89" i="3"/>
  <c r="AM93" i="3"/>
  <c r="BQ93" i="3" s="1"/>
  <c r="D93" i="5" s="1"/>
  <c r="AN93" i="3"/>
  <c r="AM94" i="3"/>
  <c r="BQ94" i="3" s="1"/>
  <c r="AN94" i="3"/>
  <c r="AM95" i="3"/>
  <c r="BQ95" i="3" s="1"/>
  <c r="D95" i="5" s="1"/>
  <c r="AN95" i="3"/>
  <c r="AM96" i="3"/>
  <c r="BQ96" i="3" s="1"/>
  <c r="AN96" i="3"/>
  <c r="AM97" i="3"/>
  <c r="BQ97" i="3" s="1"/>
  <c r="AN97" i="3"/>
  <c r="AM98" i="3"/>
  <c r="BQ98" i="3" s="1"/>
  <c r="D98" i="5" s="1"/>
  <c r="AN98" i="3"/>
  <c r="AM99" i="3"/>
  <c r="BQ99" i="3" s="1"/>
  <c r="D99" i="5" s="1"/>
  <c r="AM100" i="3"/>
  <c r="BQ100" i="3" s="1"/>
  <c r="D100" i="5" s="1"/>
  <c r="AM101" i="3"/>
  <c r="BQ101" i="3" s="1"/>
  <c r="D101" i="5" s="1"/>
  <c r="AN101" i="3"/>
  <c r="AM102" i="3"/>
  <c r="BQ102" i="3" s="1"/>
  <c r="D102" i="5" s="1"/>
  <c r="AN102" i="3"/>
  <c r="AM103" i="3"/>
  <c r="BQ103" i="3" s="1"/>
  <c r="D103" i="5" s="1"/>
  <c r="AN103" i="3"/>
  <c r="AM104" i="3"/>
  <c r="BQ104" i="3" s="1"/>
  <c r="D104" i="5" s="1"/>
  <c r="AN104" i="3"/>
  <c r="AM105" i="3"/>
  <c r="BQ105" i="3" s="1"/>
  <c r="D105" i="5" s="1"/>
  <c r="AN105" i="3"/>
  <c r="AM106" i="3"/>
  <c r="BQ106" i="3" s="1"/>
  <c r="D106" i="5" s="1"/>
  <c r="AN106" i="3"/>
  <c r="AM107" i="3"/>
  <c r="BQ107" i="3" s="1"/>
  <c r="D107" i="5" s="1"/>
  <c r="AN107" i="3"/>
  <c r="AM108" i="3"/>
  <c r="BQ108" i="3" s="1"/>
  <c r="D108" i="5" s="1"/>
  <c r="AN108" i="3"/>
  <c r="AM109" i="3"/>
  <c r="BQ109" i="3" s="1"/>
  <c r="D109" i="5" s="1"/>
  <c r="AM114" i="3"/>
  <c r="BQ114" i="3" s="1"/>
  <c r="D114" i="5" s="1"/>
  <c r="AM116" i="3"/>
  <c r="BQ116" i="3" s="1"/>
  <c r="D116" i="5" s="1"/>
  <c r="AN116" i="3"/>
  <c r="AM117" i="3"/>
  <c r="BQ117" i="3" s="1"/>
  <c r="D117" i="5" s="1"/>
  <c r="AN117" i="3"/>
  <c r="AM118" i="3"/>
  <c r="BQ118" i="3" s="1"/>
  <c r="D118" i="5" s="1"/>
  <c r="AN118" i="3"/>
  <c r="AM119" i="3"/>
  <c r="BQ119" i="3" s="1"/>
  <c r="D119" i="5" s="1"/>
  <c r="AM121" i="3"/>
  <c r="BQ121" i="3" s="1"/>
  <c r="D121" i="5" s="1"/>
  <c r="AM122" i="3"/>
  <c r="BQ122" i="3" s="1"/>
  <c r="D122" i="5" s="1"/>
  <c r="AN122" i="3"/>
  <c r="AM123" i="3"/>
  <c r="BQ123" i="3" s="1"/>
  <c r="D123" i="5" s="1"/>
  <c r="AM125" i="3"/>
  <c r="BQ125" i="3" s="1"/>
  <c r="D125" i="5" s="1"/>
  <c r="AN125" i="3"/>
  <c r="AM126" i="3"/>
  <c r="BQ126" i="3" s="1"/>
  <c r="D126" i="5" s="1"/>
  <c r="AN126" i="3"/>
  <c r="AM127" i="3"/>
  <c r="BQ127" i="3" s="1"/>
  <c r="D127" i="5" s="1"/>
  <c r="AN127" i="3"/>
  <c r="AM128" i="3"/>
  <c r="BQ128" i="3" s="1"/>
  <c r="D128" i="5" s="1"/>
  <c r="AM129" i="3"/>
  <c r="BQ129" i="3" s="1"/>
  <c r="D129" i="5" s="1"/>
  <c r="AN129" i="3"/>
  <c r="AM130" i="3"/>
  <c r="BQ130" i="3" s="1"/>
  <c r="D130" i="5" s="1"/>
  <c r="AN130" i="3"/>
  <c r="AM131" i="3"/>
  <c r="BQ131" i="3" s="1"/>
  <c r="D131" i="5" s="1"/>
  <c r="AN131" i="3"/>
  <c r="AM133" i="3"/>
  <c r="BQ133" i="3" s="1"/>
  <c r="D133" i="5" s="1"/>
  <c r="AN133" i="3"/>
  <c r="AM134" i="3"/>
  <c r="BQ134" i="3" s="1"/>
  <c r="D134" i="5" s="1"/>
  <c r="AN134" i="3"/>
  <c r="AM138" i="3"/>
  <c r="BQ138" i="3" s="1"/>
  <c r="D138" i="5" s="1"/>
  <c r="AM140" i="3"/>
  <c r="BQ140" i="3" s="1"/>
  <c r="D140" i="5" s="1"/>
  <c r="AM150" i="3"/>
  <c r="BQ150" i="3" s="1"/>
  <c r="D150" i="5" s="1"/>
  <c r="AM158" i="3"/>
  <c r="BQ158" i="3" s="1"/>
  <c r="D158" i="5" s="1"/>
  <c r="AM160" i="3"/>
  <c r="BQ160" i="3" s="1"/>
  <c r="D160" i="5" s="1"/>
  <c r="AN160" i="3"/>
  <c r="AM18" i="3"/>
  <c r="BQ18" i="3" s="1"/>
  <c r="D18" i="5" s="1"/>
  <c r="K37" i="17"/>
  <c r="K11" i="17"/>
  <c r="AN184" i="3" s="1"/>
  <c r="AO184" i="3" s="1"/>
  <c r="K19" i="17"/>
  <c r="AN187" i="3" s="1"/>
  <c r="AO187" i="3" s="1"/>
  <c r="K65" i="17"/>
  <c r="I22" i="17"/>
  <c r="H22" i="17"/>
  <c r="I64" i="17"/>
  <c r="J64" i="17"/>
  <c r="I16" i="17"/>
  <c r="H16" i="17"/>
  <c r="H58" i="17"/>
  <c r="I58" i="17"/>
  <c r="I32" i="17"/>
  <c r="H32" i="17"/>
  <c r="I59" i="17"/>
  <c r="I14" i="17"/>
  <c r="I2" i="17"/>
  <c r="I15" i="17"/>
  <c r="I53" i="17"/>
  <c r="H53" i="17"/>
  <c r="I50" i="17"/>
  <c r="H50" i="17"/>
  <c r="I45" i="17"/>
  <c r="H45" i="17"/>
  <c r="I43" i="17"/>
  <c r="H43" i="17"/>
  <c r="I42" i="17"/>
  <c r="I40" i="17"/>
  <c r="H40" i="17"/>
  <c r="I31" i="17"/>
  <c r="H31" i="17"/>
  <c r="I30" i="17"/>
  <c r="H30" i="17"/>
  <c r="I29" i="17"/>
  <c r="H29" i="17"/>
  <c r="I26" i="17"/>
  <c r="H26" i="17"/>
  <c r="I18" i="17"/>
  <c r="H18" i="17"/>
  <c r="G119" i="3"/>
  <c r="F44" i="3"/>
  <c r="AS44" i="1" s="1"/>
  <c r="F41" i="3"/>
  <c r="AS41" i="1" s="1"/>
  <c r="L138" i="3"/>
  <c r="I138" i="1" s="1"/>
  <c r="BR138" i="1" s="1"/>
  <c r="L134" i="3"/>
  <c r="I134" i="1" s="1"/>
  <c r="BR134" i="1" s="1"/>
  <c r="L133" i="3"/>
  <c r="I133" i="1" s="1"/>
  <c r="BR133" i="1" s="1"/>
  <c r="L131" i="3"/>
  <c r="I131" i="1" s="1"/>
  <c r="BR131" i="1" s="1"/>
  <c r="L130" i="3"/>
  <c r="I130" i="1" s="1"/>
  <c r="L128" i="3"/>
  <c r="I128" i="1" s="1"/>
  <c r="F160" i="3"/>
  <c r="AS160" i="1" s="1"/>
  <c r="L160" i="3"/>
  <c r="I160" i="1" s="1"/>
  <c r="L158" i="3"/>
  <c r="I158" i="1" s="1"/>
  <c r="L150" i="3"/>
  <c r="I150" i="1" s="1"/>
  <c r="C159" i="3"/>
  <c r="BZ159" i="1" s="1"/>
  <c r="C157" i="3"/>
  <c r="BZ157" i="1" s="1"/>
  <c r="C156" i="3"/>
  <c r="BZ156" i="1" s="1"/>
  <c r="C155" i="3"/>
  <c r="BZ155" i="1" s="1"/>
  <c r="C154" i="3"/>
  <c r="BZ154" i="1" s="1"/>
  <c r="C153" i="3"/>
  <c r="BZ153" i="1" s="1"/>
  <c r="C152" i="3"/>
  <c r="BZ152" i="1" s="1"/>
  <c r="C151" i="3"/>
  <c r="BZ151" i="1" s="1"/>
  <c r="G152" i="3"/>
  <c r="G153" i="3"/>
  <c r="G154" i="3"/>
  <c r="G155" i="3"/>
  <c r="G156" i="3"/>
  <c r="G157" i="3"/>
  <c r="G158" i="3"/>
  <c r="G159" i="3"/>
  <c r="G151" i="3"/>
  <c r="G150" i="3"/>
  <c r="L140" i="3"/>
  <c r="I140" i="1" s="1"/>
  <c r="BR140" i="1" s="1"/>
  <c r="C149" i="3"/>
  <c r="BZ149" i="1" s="1"/>
  <c r="C148" i="3"/>
  <c r="BZ148" i="1" s="1"/>
  <c r="C147" i="3"/>
  <c r="BZ147" i="1" s="1"/>
  <c r="C146" i="3"/>
  <c r="BZ146" i="1" s="1"/>
  <c r="C145" i="3"/>
  <c r="BZ145" i="1" s="1"/>
  <c r="C144" i="3"/>
  <c r="BZ144" i="1" s="1"/>
  <c r="C143" i="3"/>
  <c r="BZ143" i="1" s="1"/>
  <c r="C142" i="3"/>
  <c r="BZ142" i="1" s="1"/>
  <c r="C141" i="3"/>
  <c r="BZ141" i="1" s="1"/>
  <c r="C139" i="3"/>
  <c r="BZ139" i="1" s="1"/>
  <c r="G141" i="3"/>
  <c r="G142" i="3"/>
  <c r="G143" i="3"/>
  <c r="G144" i="3"/>
  <c r="G145" i="3"/>
  <c r="G146" i="3"/>
  <c r="G147" i="3"/>
  <c r="G148" i="3"/>
  <c r="G149" i="3"/>
  <c r="G140" i="3"/>
  <c r="G139" i="3"/>
  <c r="C137" i="3"/>
  <c r="BZ137" i="1" s="1"/>
  <c r="C136" i="3"/>
  <c r="BZ136" i="1" s="1"/>
  <c r="C135" i="3"/>
  <c r="BZ135" i="1" s="1"/>
  <c r="L118" i="3"/>
  <c r="I118" i="1" s="1"/>
  <c r="BM118" i="1" s="1"/>
  <c r="L117" i="3"/>
  <c r="I117" i="1" s="1"/>
  <c r="BR117" i="1" s="1"/>
  <c r="C124" i="3"/>
  <c r="BZ124" i="1" s="1"/>
  <c r="C120" i="3"/>
  <c r="BZ120" i="1" s="1"/>
  <c r="C115" i="3"/>
  <c r="BZ115" i="1" s="1"/>
  <c r="CA115" i="1" s="1"/>
  <c r="C113" i="3"/>
  <c r="BZ113" i="1" s="1"/>
  <c r="C112" i="3"/>
  <c r="BZ112" i="1" s="1"/>
  <c r="C111" i="3"/>
  <c r="BZ111" i="1" s="1"/>
  <c r="C110" i="3"/>
  <c r="BZ110" i="1" s="1"/>
  <c r="F95" i="3"/>
  <c r="AS95" i="1" s="1"/>
  <c r="L100" i="3"/>
  <c r="I100" i="1" s="1"/>
  <c r="BR100" i="1" s="1"/>
  <c r="L99" i="3"/>
  <c r="I99" i="1" s="1"/>
  <c r="BR99" i="1" s="1"/>
  <c r="L97" i="3"/>
  <c r="L95" i="3"/>
  <c r="I95" i="1" s="1"/>
  <c r="L94" i="3"/>
  <c r="L93" i="3"/>
  <c r="I93" i="1" s="1"/>
  <c r="BR93" i="1" s="1"/>
  <c r="L82" i="3"/>
  <c r="I82" i="1" s="1"/>
  <c r="L83" i="3"/>
  <c r="I83" i="1" s="1"/>
  <c r="L84" i="3"/>
  <c r="L85" i="3"/>
  <c r="L81" i="3"/>
  <c r="I81" i="1" s="1"/>
  <c r="C92" i="3"/>
  <c r="BZ92" i="1" s="1"/>
  <c r="C91" i="3"/>
  <c r="BZ91" i="1" s="1"/>
  <c r="L61" i="3"/>
  <c r="I61" i="1" s="1"/>
  <c r="C79" i="3"/>
  <c r="BZ79" i="1" s="1"/>
  <c r="C78" i="3"/>
  <c r="BZ192" i="1" s="1"/>
  <c r="C75" i="3"/>
  <c r="BZ75" i="1" s="1"/>
  <c r="C74" i="3"/>
  <c r="C70" i="3"/>
  <c r="BZ70" i="1" s="1"/>
  <c r="C63" i="3"/>
  <c r="BZ63" i="1" s="1"/>
  <c r="CA63" i="1" s="1"/>
  <c r="F61" i="3"/>
  <c r="AS61" i="1" s="1"/>
  <c r="L59" i="3"/>
  <c r="I59" i="1" s="1"/>
  <c r="BR59" i="1" s="1"/>
  <c r="L60" i="3"/>
  <c r="I60" i="1" s="1"/>
  <c r="BR60" i="1" s="1"/>
  <c r="L58" i="3"/>
  <c r="I58" i="1" s="1"/>
  <c r="BR58" i="1" s="1"/>
  <c r="L55" i="3"/>
  <c r="I55" i="1" s="1"/>
  <c r="BR55" i="1" s="1"/>
  <c r="G57" i="3"/>
  <c r="F48" i="3"/>
  <c r="AS48" i="1" s="1"/>
  <c r="F47" i="3"/>
  <c r="AS47" i="1" s="1"/>
  <c r="C52" i="3"/>
  <c r="BZ52" i="1" s="1"/>
  <c r="C51" i="3"/>
  <c r="BZ51" i="1" s="1"/>
  <c r="G58" i="3"/>
  <c r="G59" i="3"/>
  <c r="G60" i="3"/>
  <c r="G62" i="3"/>
  <c r="F63" i="3"/>
  <c r="AS63" i="1" s="1"/>
  <c r="G63" i="3"/>
  <c r="J63" i="3"/>
  <c r="AV63" i="1" s="1"/>
  <c r="L63" i="3"/>
  <c r="I63" i="1" s="1"/>
  <c r="F64" i="3"/>
  <c r="AS64" i="1" s="1"/>
  <c r="G64" i="3"/>
  <c r="J64" i="3"/>
  <c r="AV64" i="1" s="1"/>
  <c r="L64" i="3"/>
  <c r="I64" i="1" s="1"/>
  <c r="F65" i="3"/>
  <c r="AS65" i="1" s="1"/>
  <c r="G65" i="3"/>
  <c r="J65" i="3"/>
  <c r="AV65" i="1" s="1"/>
  <c r="L65" i="3"/>
  <c r="I65" i="1" s="1"/>
  <c r="F66" i="3"/>
  <c r="AS66" i="1" s="1"/>
  <c r="G66" i="3"/>
  <c r="J66" i="3"/>
  <c r="AV66" i="1" s="1"/>
  <c r="L66" i="3"/>
  <c r="I66" i="1" s="1"/>
  <c r="L44" i="3"/>
  <c r="I44" i="1" s="1"/>
  <c r="L37" i="3"/>
  <c r="I37" i="1" s="1"/>
  <c r="L41" i="3"/>
  <c r="I41" i="1" s="1"/>
  <c r="L40" i="3"/>
  <c r="I40" i="1" s="1"/>
  <c r="BM40" i="1" s="1"/>
  <c r="C43" i="3"/>
  <c r="BZ43" i="1" s="1"/>
  <c r="C39" i="3"/>
  <c r="BZ39" i="1" s="1"/>
  <c r="C31" i="3"/>
  <c r="BZ31" i="1" s="1"/>
  <c r="C30" i="3"/>
  <c r="BZ30" i="1" s="1"/>
  <c r="C28" i="3"/>
  <c r="C26" i="3"/>
  <c r="BZ26" i="1" s="1"/>
  <c r="G23" i="3"/>
  <c r="G16" i="3"/>
  <c r="G15" i="3"/>
  <c r="L20" i="3"/>
  <c r="I20" i="1" s="1"/>
  <c r="C16" i="3"/>
  <c r="BZ16" i="1" s="1"/>
  <c r="C15" i="3"/>
  <c r="BZ15" i="1" s="1"/>
  <c r="C14" i="3"/>
  <c r="BZ14" i="1" s="1"/>
  <c r="C13" i="3"/>
  <c r="BZ13" i="1" s="1"/>
  <c r="C11" i="3"/>
  <c r="C9" i="3"/>
  <c r="BZ9" i="1" s="1"/>
  <c r="C6" i="3"/>
  <c r="BZ6" i="1" s="1"/>
  <c r="C3" i="3"/>
  <c r="C2" i="3"/>
  <c r="Q31" i="16"/>
  <c r="P32" i="16"/>
  <c r="P35" i="16"/>
  <c r="Q2" i="16"/>
  <c r="Q6" i="16"/>
  <c r="Q32" i="16"/>
  <c r="Q13" i="16"/>
  <c r="Q12" i="16"/>
  <c r="Q8" i="16"/>
  <c r="M25" i="16"/>
  <c r="M24" i="16"/>
  <c r="M18" i="16"/>
  <c r="M17" i="16"/>
  <c r="S4" i="16"/>
  <c r="S3" i="16"/>
  <c r="S2" i="16"/>
  <c r="Q27" i="16"/>
  <c r="Q28" i="16"/>
  <c r="Q19" i="16"/>
  <c r="Q15" i="16"/>
  <c r="Q14" i="16"/>
  <c r="Q7" i="16"/>
  <c r="R15" i="16"/>
  <c r="R8" i="16"/>
  <c r="R12" i="16"/>
  <c r="R10" i="16"/>
  <c r="R11" i="16"/>
  <c r="L9" i="16"/>
  <c r="L3" i="16"/>
  <c r="Q23" i="16"/>
  <c r="Q35" i="16"/>
  <c r="M27" i="16"/>
  <c r="D2" i="16"/>
  <c r="D3" i="16"/>
  <c r="R9" i="16"/>
  <c r="R16" i="16"/>
  <c r="R7" i="16"/>
  <c r="R13" i="16"/>
  <c r="R14" i="16"/>
  <c r="R5" i="16"/>
  <c r="R6" i="16"/>
  <c r="R4" i="16"/>
  <c r="R3" i="16"/>
  <c r="R2" i="16"/>
  <c r="E31" i="16"/>
  <c r="E30" i="16"/>
  <c r="E29" i="16"/>
  <c r="E28" i="16"/>
  <c r="E27" i="16"/>
  <c r="E26" i="16"/>
  <c r="E25" i="16"/>
  <c r="E24" i="16"/>
  <c r="E23" i="16"/>
  <c r="E21" i="16"/>
  <c r="E22" i="16"/>
  <c r="E20" i="16"/>
  <c r="E19" i="16"/>
  <c r="E18" i="16"/>
  <c r="E17" i="16"/>
  <c r="E16" i="16"/>
  <c r="E15" i="16"/>
  <c r="E13" i="16"/>
  <c r="E14" i="16"/>
  <c r="E11" i="16"/>
  <c r="E12" i="16"/>
  <c r="E10" i="16"/>
  <c r="E9" i="16"/>
  <c r="E8" i="16"/>
  <c r="E7" i="16"/>
  <c r="E6" i="16"/>
  <c r="E5" i="16"/>
  <c r="E4" i="16"/>
  <c r="E3" i="16"/>
  <c r="E2" i="16"/>
  <c r="L33" i="16"/>
  <c r="L32" i="16"/>
  <c r="L31" i="16"/>
  <c r="L30" i="16"/>
  <c r="Q29" i="16"/>
  <c r="K36" i="16"/>
  <c r="K35" i="16"/>
  <c r="K34" i="16"/>
  <c r="K33" i="16"/>
  <c r="O31" i="16"/>
  <c r="O30" i="16"/>
  <c r="P30" i="16"/>
  <c r="O29" i="16"/>
  <c r="P29" i="16"/>
  <c r="P28" i="16"/>
  <c r="O28" i="16"/>
  <c r="O27" i="16"/>
  <c r="I37" i="16"/>
  <c r="H37" i="16"/>
  <c r="N13" i="16"/>
  <c r="N12" i="16"/>
  <c r="M30" i="16"/>
  <c r="M29" i="16"/>
  <c r="M28" i="16"/>
  <c r="J38" i="16"/>
  <c r="J36" i="16"/>
  <c r="J37" i="16"/>
  <c r="J35" i="16"/>
  <c r="I36" i="16"/>
  <c r="I35" i="16"/>
  <c r="D18" i="16"/>
  <c r="G113" i="3"/>
  <c r="H36" i="16"/>
  <c r="H35" i="16"/>
  <c r="G28" i="16"/>
  <c r="G27" i="16"/>
  <c r="F27" i="16"/>
  <c r="F28" i="16"/>
  <c r="C8" i="16"/>
  <c r="D16" i="16"/>
  <c r="D17" i="16"/>
  <c r="D15" i="16"/>
  <c r="C6" i="16"/>
  <c r="C7" i="16"/>
  <c r="C5" i="16"/>
  <c r="B8" i="16"/>
  <c r="B6" i="16"/>
  <c r="B7" i="16"/>
  <c r="B5" i="16"/>
  <c r="Q17" i="16"/>
  <c r="L22" i="16"/>
  <c r="L23" i="16"/>
  <c r="L24" i="16"/>
  <c r="L25" i="16"/>
  <c r="L26" i="16"/>
  <c r="L27" i="16"/>
  <c r="L28" i="16"/>
  <c r="L29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8" i="16"/>
  <c r="L7" i="16"/>
  <c r="L6" i="16"/>
  <c r="L5" i="16"/>
  <c r="L4" i="16"/>
  <c r="L2" i="16"/>
  <c r="Q30" i="16"/>
  <c r="P38" i="16"/>
  <c r="Q36" i="16"/>
  <c r="Q34" i="16"/>
  <c r="Q33" i="16"/>
  <c r="Q26" i="16"/>
  <c r="Q25" i="16"/>
  <c r="Q24" i="16"/>
  <c r="Q22" i="16"/>
  <c r="Q21" i="16"/>
  <c r="Q20" i="16"/>
  <c r="Q18" i="16"/>
  <c r="Q16" i="16"/>
  <c r="Q11" i="16"/>
  <c r="Q10" i="16"/>
  <c r="Q9" i="16"/>
  <c r="Q5" i="16"/>
  <c r="Q4" i="16"/>
  <c r="Q3" i="16"/>
  <c r="K26" i="16"/>
  <c r="K23" i="16"/>
  <c r="K10" i="16"/>
  <c r="K19" i="16"/>
  <c r="K30" i="16"/>
  <c r="K27" i="16"/>
  <c r="K25" i="16"/>
  <c r="K24" i="16"/>
  <c r="K22" i="16"/>
  <c r="K32" i="16"/>
  <c r="K31" i="16"/>
  <c r="K28" i="16"/>
  <c r="K29" i="16"/>
  <c r="K20" i="16"/>
  <c r="K21" i="16"/>
  <c r="K18" i="16"/>
  <c r="K17" i="16"/>
  <c r="K16" i="16"/>
  <c r="K15" i="16"/>
  <c r="K14" i="16"/>
  <c r="K13" i="16"/>
  <c r="K12" i="16"/>
  <c r="K11" i="16"/>
  <c r="K9" i="16"/>
  <c r="K8" i="16"/>
  <c r="K7" i="16"/>
  <c r="K6" i="16"/>
  <c r="K5" i="16"/>
  <c r="K4" i="16"/>
  <c r="K3" i="16"/>
  <c r="K2" i="16"/>
  <c r="P18" i="16"/>
  <c r="O18" i="16"/>
  <c r="P27" i="16"/>
  <c r="P26" i="16"/>
  <c r="P25" i="16"/>
  <c r="P37" i="16"/>
  <c r="P24" i="16"/>
  <c r="P23" i="16"/>
  <c r="P22" i="16"/>
  <c r="P21" i="16"/>
  <c r="P20" i="16"/>
  <c r="P19" i="16"/>
  <c r="P17" i="16"/>
  <c r="P16" i="16"/>
  <c r="P15" i="16"/>
  <c r="P14" i="16"/>
  <c r="P13" i="16"/>
  <c r="P12" i="16"/>
  <c r="P11" i="16"/>
  <c r="P10" i="16"/>
  <c r="P9" i="16"/>
  <c r="P8" i="16"/>
  <c r="P7" i="16"/>
  <c r="P6" i="16"/>
  <c r="P5" i="16"/>
  <c r="P4" i="16"/>
  <c r="P3" i="16"/>
  <c r="O3" i="16"/>
  <c r="P2" i="16"/>
  <c r="O10" i="16"/>
  <c r="O20" i="16"/>
  <c r="O12" i="16"/>
  <c r="O11" i="16"/>
  <c r="O21" i="16"/>
  <c r="O19" i="16"/>
  <c r="O25" i="16"/>
  <c r="O5" i="16"/>
  <c r="O15" i="16"/>
  <c r="O24" i="16"/>
  <c r="O9" i="16"/>
  <c r="O26" i="16"/>
  <c r="O8" i="16"/>
  <c r="O16" i="16"/>
  <c r="O22" i="16"/>
  <c r="O23" i="16"/>
  <c r="O2" i="16"/>
  <c r="O6" i="16"/>
  <c r="O7" i="16"/>
  <c r="P33" i="16"/>
  <c r="P34" i="16"/>
  <c r="O13" i="16"/>
  <c r="O4" i="16"/>
  <c r="N11" i="16"/>
  <c r="N10" i="16"/>
  <c r="N9" i="16"/>
  <c r="N8" i="16"/>
  <c r="N7" i="16"/>
  <c r="N6" i="16"/>
  <c r="N5" i="16"/>
  <c r="N4" i="16"/>
  <c r="N3" i="16"/>
  <c r="N2" i="16"/>
  <c r="M2" i="16"/>
  <c r="M3" i="16"/>
  <c r="M4" i="16"/>
  <c r="M5" i="16"/>
  <c r="M13" i="16"/>
  <c r="M14" i="16"/>
  <c r="M23" i="16"/>
  <c r="M26" i="16"/>
  <c r="M10" i="16"/>
  <c r="M22" i="16"/>
  <c r="M21" i="16"/>
  <c r="M20" i="16"/>
  <c r="M19" i="16"/>
  <c r="M16" i="16"/>
  <c r="M15" i="16"/>
  <c r="M12" i="16"/>
  <c r="M11" i="16"/>
  <c r="M9" i="16"/>
  <c r="M8" i="16"/>
  <c r="M7" i="16"/>
  <c r="M6" i="16"/>
  <c r="H21" i="16"/>
  <c r="I21" i="16"/>
  <c r="J3" i="16"/>
  <c r="J21" i="16"/>
  <c r="J27" i="16"/>
  <c r="J26" i="16"/>
  <c r="J32" i="16"/>
  <c r="J13" i="16"/>
  <c r="J34" i="16"/>
  <c r="J9" i="16"/>
  <c r="J23" i="16"/>
  <c r="J20" i="16"/>
  <c r="J19" i="16"/>
  <c r="P31" i="16"/>
  <c r="J30" i="16"/>
  <c r="J11" i="16"/>
  <c r="J15" i="16"/>
  <c r="J29" i="16"/>
  <c r="J31" i="16"/>
  <c r="J7" i="16"/>
  <c r="J17" i="16"/>
  <c r="J18" i="16"/>
  <c r="J12" i="16"/>
  <c r="J10" i="16"/>
  <c r="O14" i="16"/>
  <c r="J25" i="16"/>
  <c r="J24" i="16"/>
  <c r="J28" i="16"/>
  <c r="J33" i="16"/>
  <c r="J22" i="16"/>
  <c r="O17" i="16"/>
  <c r="J14" i="16"/>
  <c r="J16" i="16"/>
  <c r="I46" i="16"/>
  <c r="J8" i="16"/>
  <c r="P36" i="16"/>
  <c r="J6" i="16"/>
  <c r="J5" i="16"/>
  <c r="J4" i="16"/>
  <c r="J2" i="16"/>
  <c r="G32" i="16"/>
  <c r="I44" i="16"/>
  <c r="I43" i="16"/>
  <c r="I42" i="16"/>
  <c r="I41" i="16"/>
  <c r="I40" i="16"/>
  <c r="I38" i="16"/>
  <c r="I39" i="16"/>
  <c r="I15" i="16"/>
  <c r="I18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0" i="16"/>
  <c r="I19" i="16"/>
  <c r="I17" i="16"/>
  <c r="I16" i="16"/>
  <c r="I14" i="16"/>
  <c r="I11" i="16"/>
  <c r="I45" i="16"/>
  <c r="I13" i="16"/>
  <c r="I12" i="16"/>
  <c r="I10" i="16"/>
  <c r="I9" i="16"/>
  <c r="I8" i="16"/>
  <c r="I7" i="16"/>
  <c r="I6" i="16"/>
  <c r="I5" i="16"/>
  <c r="I4" i="16"/>
  <c r="I3" i="16"/>
  <c r="I2" i="16"/>
  <c r="G34" i="16"/>
  <c r="H7" i="16"/>
  <c r="H11" i="16"/>
  <c r="H33" i="16"/>
  <c r="H18" i="16"/>
  <c r="H15" i="16"/>
  <c r="H12" i="16"/>
  <c r="G29" i="16"/>
  <c r="H34" i="16"/>
  <c r="H32" i="16"/>
  <c r="H31" i="16"/>
  <c r="H30" i="16"/>
  <c r="H29" i="16"/>
  <c r="H28" i="16"/>
  <c r="H27" i="16"/>
  <c r="H26" i="16"/>
  <c r="H24" i="16"/>
  <c r="H23" i="16"/>
  <c r="H22" i="16"/>
  <c r="H20" i="16"/>
  <c r="H19" i="16"/>
  <c r="H17" i="16"/>
  <c r="H16" i="16"/>
  <c r="H9" i="16"/>
  <c r="H14" i="16"/>
  <c r="H13" i="16"/>
  <c r="H10" i="16"/>
  <c r="H8" i="16"/>
  <c r="H25" i="16"/>
  <c r="H6" i="16"/>
  <c r="H5" i="16"/>
  <c r="H4" i="16"/>
  <c r="H3" i="16"/>
  <c r="H2" i="16"/>
  <c r="D10" i="16"/>
  <c r="G33" i="16"/>
  <c r="G31" i="16"/>
  <c r="G30" i="16"/>
  <c r="G24" i="16"/>
  <c r="F24" i="16"/>
  <c r="G26" i="16"/>
  <c r="G25" i="16"/>
  <c r="G23" i="16"/>
  <c r="G20" i="16"/>
  <c r="G22" i="16"/>
  <c r="G21" i="16"/>
  <c r="G19" i="16"/>
  <c r="G18" i="16"/>
  <c r="G10" i="16"/>
  <c r="G8" i="16"/>
  <c r="G17" i="16"/>
  <c r="G16" i="16"/>
  <c r="G15" i="16"/>
  <c r="G14" i="16"/>
  <c r="G13" i="16"/>
  <c r="G12" i="16"/>
  <c r="G11" i="16"/>
  <c r="F9" i="16"/>
  <c r="G9" i="16"/>
  <c r="G7" i="16"/>
  <c r="G6" i="16"/>
  <c r="G5" i="16"/>
  <c r="G4" i="16"/>
  <c r="G3" i="16"/>
  <c r="G2" i="16"/>
  <c r="F20" i="16"/>
  <c r="F25" i="16"/>
  <c r="F26" i="16"/>
  <c r="F15" i="16"/>
  <c r="F18" i="16"/>
  <c r="F10" i="16"/>
  <c r="F4" i="16"/>
  <c r="F2" i="16"/>
  <c r="F6" i="16"/>
  <c r="F3" i="16"/>
  <c r="F19" i="16"/>
  <c r="F11" i="16"/>
  <c r="F13" i="16"/>
  <c r="F14" i="16"/>
  <c r="F16" i="16"/>
  <c r="F5" i="16"/>
  <c r="F12" i="16"/>
  <c r="F17" i="16"/>
  <c r="F7" i="16"/>
  <c r="F8" i="16"/>
  <c r="F23" i="16"/>
  <c r="F22" i="16"/>
  <c r="F21" i="16"/>
  <c r="Z200" i="5" l="1"/>
  <c r="BR67" i="3"/>
  <c r="AH62" i="1"/>
  <c r="V49" i="1"/>
  <c r="U49" i="1"/>
  <c r="AL85" i="1"/>
  <c r="T67" i="1"/>
  <c r="AO185" i="1"/>
  <c r="Q185" i="1" s="1"/>
  <c r="R185" i="1" s="1"/>
  <c r="X185" i="5"/>
  <c r="Y185" i="5"/>
  <c r="W185" i="5"/>
  <c r="AO192" i="1"/>
  <c r="W192" i="5"/>
  <c r="X192" i="5"/>
  <c r="Y192" i="5"/>
  <c r="BZ74" i="1"/>
  <c r="BZ185" i="1"/>
  <c r="BZ78" i="1"/>
  <c r="AO186" i="1"/>
  <c r="X186" i="5"/>
  <c r="W186" i="5"/>
  <c r="BZ186" i="1"/>
  <c r="Y186" i="5"/>
  <c r="I85" i="1"/>
  <c r="BM85" i="1" s="1"/>
  <c r="I193" i="1"/>
  <c r="BM193" i="1" s="1"/>
  <c r="BQ193" i="1" s="1"/>
  <c r="BN193" i="1" s="1"/>
  <c r="I84" i="1"/>
  <c r="I189" i="1"/>
  <c r="I94" i="1"/>
  <c r="BR94" i="1" s="1"/>
  <c r="BW94" i="1" s="1"/>
  <c r="I196" i="1"/>
  <c r="BR196" i="1" s="1"/>
  <c r="BW196" i="1" s="1"/>
  <c r="AA203" i="5"/>
  <c r="Z202" i="5"/>
  <c r="Z203" i="5"/>
  <c r="Z205" i="5"/>
  <c r="AA205" i="5"/>
  <c r="Z206" i="5"/>
  <c r="AA206" i="5"/>
  <c r="BW207" i="1"/>
  <c r="BW205" i="1"/>
  <c r="BW206" i="1"/>
  <c r="BW202" i="1"/>
  <c r="AA200" i="5"/>
  <c r="O72" i="5"/>
  <c r="P72" i="5" s="1"/>
  <c r="BM97" i="3"/>
  <c r="BL87" i="3"/>
  <c r="BJ72" i="3"/>
  <c r="BJ85" i="3"/>
  <c r="BT97" i="3"/>
  <c r="BM72" i="3"/>
  <c r="AG62" i="1"/>
  <c r="AF62" i="1"/>
  <c r="AE62" i="1"/>
  <c r="BR62" i="1" s="1"/>
  <c r="T49" i="1"/>
  <c r="BM85" i="3"/>
  <c r="BM84" i="3"/>
  <c r="G49" i="5"/>
  <c r="H49" i="5" s="1"/>
  <c r="G54" i="5"/>
  <c r="J54" i="5" s="1"/>
  <c r="BM96" i="3"/>
  <c r="BJ97" i="3"/>
  <c r="H185" i="5"/>
  <c r="I185" i="5"/>
  <c r="J185" i="5"/>
  <c r="CG2" i="1"/>
  <c r="BJ2" i="1"/>
  <c r="AY2" i="1"/>
  <c r="V192" i="5"/>
  <c r="U192" i="5"/>
  <c r="T192" i="5"/>
  <c r="H193" i="5"/>
  <c r="I193" i="5"/>
  <c r="J193" i="5"/>
  <c r="V182" i="5"/>
  <c r="T182" i="5"/>
  <c r="U182" i="5"/>
  <c r="V67" i="1"/>
  <c r="G182" i="5"/>
  <c r="H182" i="5" s="1"/>
  <c r="H194" i="5"/>
  <c r="J194" i="5"/>
  <c r="I194" i="5"/>
  <c r="CG5" i="1"/>
  <c r="BJ5" i="1"/>
  <c r="AY5" i="1"/>
  <c r="BD5" i="1"/>
  <c r="BE5" i="1"/>
  <c r="V183" i="5"/>
  <c r="T183" i="5"/>
  <c r="U183" i="5"/>
  <c r="CG3" i="1"/>
  <c r="BJ3" i="1"/>
  <c r="AY3" i="1"/>
  <c r="CG4" i="1"/>
  <c r="BJ4" i="1"/>
  <c r="AY4" i="1"/>
  <c r="T195" i="5"/>
  <c r="V195" i="5"/>
  <c r="U195" i="5"/>
  <c r="T184" i="5"/>
  <c r="U184" i="5"/>
  <c r="V184" i="5"/>
  <c r="CG11" i="1"/>
  <c r="AY11" i="1"/>
  <c r="BJ11" i="1"/>
  <c r="AA180" i="5"/>
  <c r="Z180" i="5"/>
  <c r="AN60" i="3"/>
  <c r="AN179" i="3"/>
  <c r="AO179" i="3" s="1"/>
  <c r="Z179" i="5" s="1"/>
  <c r="AN178" i="3"/>
  <c r="AO178" i="3" s="1"/>
  <c r="Z178" i="5" s="1"/>
  <c r="CG7" i="1"/>
  <c r="BJ7" i="1"/>
  <c r="AY7" i="1"/>
  <c r="AN82" i="3"/>
  <c r="AN171" i="3"/>
  <c r="AO171" i="3" s="1"/>
  <c r="Z171" i="5" s="1"/>
  <c r="AA179" i="5"/>
  <c r="CG8" i="1"/>
  <c r="BJ8" i="1"/>
  <c r="AY8" i="1"/>
  <c r="BL72" i="3"/>
  <c r="H183" i="5"/>
  <c r="I183" i="5"/>
  <c r="J183" i="5"/>
  <c r="H195" i="5"/>
  <c r="J195" i="5"/>
  <c r="I195" i="5"/>
  <c r="T187" i="5"/>
  <c r="V187" i="5"/>
  <c r="U187" i="5"/>
  <c r="J189" i="5"/>
  <c r="H189" i="5"/>
  <c r="I189" i="5"/>
  <c r="H191" i="5"/>
  <c r="J191" i="5"/>
  <c r="I191" i="5"/>
  <c r="I192" i="5"/>
  <c r="J192" i="5"/>
  <c r="H192" i="5"/>
  <c r="V188" i="5"/>
  <c r="T188" i="5"/>
  <c r="U188" i="5"/>
  <c r="V194" i="5"/>
  <c r="T194" i="5"/>
  <c r="U194" i="5"/>
  <c r="T191" i="5"/>
  <c r="U191" i="5"/>
  <c r="V191" i="5"/>
  <c r="Q62" i="5"/>
  <c r="P62" i="5"/>
  <c r="D84" i="5"/>
  <c r="D189" i="5"/>
  <c r="D72" i="5"/>
  <c r="D184" i="5"/>
  <c r="F67" i="5"/>
  <c r="F182" i="5"/>
  <c r="F72" i="5"/>
  <c r="F184" i="5"/>
  <c r="D85" i="5"/>
  <c r="D193" i="5"/>
  <c r="D62" i="5"/>
  <c r="D181" i="5"/>
  <c r="F87" i="5"/>
  <c r="F194" i="5"/>
  <c r="D94" i="5"/>
  <c r="D196" i="5"/>
  <c r="BR96" i="3"/>
  <c r="G187" i="5" s="1"/>
  <c r="O182" i="5"/>
  <c r="G188" i="5"/>
  <c r="I188" i="5" s="1"/>
  <c r="F68" i="5"/>
  <c r="F183" i="5"/>
  <c r="AH184" i="1"/>
  <c r="O184" i="5"/>
  <c r="AG184" i="1"/>
  <c r="AE184" i="1"/>
  <c r="AF184" i="1"/>
  <c r="D68" i="5"/>
  <c r="D183" i="5"/>
  <c r="F88" i="5"/>
  <c r="F195" i="5"/>
  <c r="F85" i="5"/>
  <c r="F193" i="5"/>
  <c r="D89" i="5"/>
  <c r="D190" i="5"/>
  <c r="D67" i="5"/>
  <c r="D182" i="5"/>
  <c r="F96" i="5"/>
  <c r="F187" i="5"/>
  <c r="AH181" i="1"/>
  <c r="AG181" i="1"/>
  <c r="AF181" i="1"/>
  <c r="AE181" i="1"/>
  <c r="O181" i="5"/>
  <c r="S193" i="5"/>
  <c r="AM193" i="1"/>
  <c r="AL193" i="1"/>
  <c r="AK193" i="1"/>
  <c r="AJ193" i="1"/>
  <c r="F97" i="5"/>
  <c r="F188" i="5"/>
  <c r="F84" i="5"/>
  <c r="F189" i="5"/>
  <c r="G184" i="5"/>
  <c r="T184" i="1"/>
  <c r="W184" i="1"/>
  <c r="V184" i="1"/>
  <c r="U184" i="1"/>
  <c r="AD183" i="1"/>
  <c r="D97" i="5"/>
  <c r="D188" i="5"/>
  <c r="D88" i="5"/>
  <c r="D195" i="5"/>
  <c r="D96" i="5"/>
  <c r="D187" i="5"/>
  <c r="D87" i="5"/>
  <c r="D194" i="5"/>
  <c r="P195" i="5"/>
  <c r="R195" i="5"/>
  <c r="Q195" i="5"/>
  <c r="R187" i="5"/>
  <c r="P187" i="5"/>
  <c r="Q187" i="5"/>
  <c r="P182" i="5"/>
  <c r="H188" i="5"/>
  <c r="M195" i="5"/>
  <c r="L195" i="5"/>
  <c r="N195" i="5"/>
  <c r="Q188" i="5"/>
  <c r="P188" i="5"/>
  <c r="R188" i="5"/>
  <c r="I97" i="1"/>
  <c r="I188" i="1"/>
  <c r="W188" i="1"/>
  <c r="V188" i="1"/>
  <c r="T188" i="1"/>
  <c r="U188" i="1"/>
  <c r="AE188" i="1"/>
  <c r="AH188" i="1"/>
  <c r="AF188" i="1"/>
  <c r="AG188" i="1"/>
  <c r="AH187" i="1"/>
  <c r="AE187" i="1"/>
  <c r="AG187" i="1"/>
  <c r="AF187" i="1"/>
  <c r="W187" i="1"/>
  <c r="V187" i="1"/>
  <c r="U187" i="1"/>
  <c r="T187" i="1"/>
  <c r="Y195" i="1"/>
  <c r="Z195" i="1"/>
  <c r="AB195" i="1"/>
  <c r="AA195" i="1"/>
  <c r="AH195" i="1"/>
  <c r="AE195" i="1"/>
  <c r="AG195" i="1"/>
  <c r="AF195" i="1"/>
  <c r="BR130" i="1"/>
  <c r="BW130" i="1" s="1"/>
  <c r="BM130" i="1"/>
  <c r="AH182" i="1"/>
  <c r="AF182" i="1"/>
  <c r="AG182" i="1"/>
  <c r="AE182" i="1"/>
  <c r="W182" i="1"/>
  <c r="U182" i="1"/>
  <c r="T182" i="1"/>
  <c r="V182" i="1"/>
  <c r="BW60" i="1"/>
  <c r="BW93" i="1"/>
  <c r="BW117" i="1"/>
  <c r="BW58" i="1"/>
  <c r="BW99" i="1"/>
  <c r="BW140" i="1"/>
  <c r="BW100" i="1"/>
  <c r="BW131" i="1"/>
  <c r="BW55" i="1"/>
  <c r="BW134" i="1"/>
  <c r="BW138" i="1"/>
  <c r="BW89" i="1"/>
  <c r="BW133" i="1"/>
  <c r="BW59" i="1"/>
  <c r="BW190" i="1"/>
  <c r="W67" i="1"/>
  <c r="G67" i="5"/>
  <c r="J67" i="5" s="1"/>
  <c r="U45" i="1"/>
  <c r="T45" i="1"/>
  <c r="G45" i="5"/>
  <c r="I45" i="5" s="1"/>
  <c r="V45" i="1"/>
  <c r="BL85" i="3"/>
  <c r="AL32" i="1"/>
  <c r="AJ32" i="1"/>
  <c r="S82" i="5"/>
  <c r="T82" i="5" s="1"/>
  <c r="AJ82" i="1"/>
  <c r="G47" i="5"/>
  <c r="H47" i="5" s="1"/>
  <c r="AK32" i="1"/>
  <c r="BC5" i="3"/>
  <c r="BC8" i="3"/>
  <c r="BC4" i="3"/>
  <c r="AA166" i="5"/>
  <c r="Z166" i="5"/>
  <c r="W27" i="1"/>
  <c r="W125" i="1"/>
  <c r="V27" i="1"/>
  <c r="U27" i="1"/>
  <c r="W54" i="1"/>
  <c r="G27" i="5"/>
  <c r="H27" i="5" s="1"/>
  <c r="T54" i="1"/>
  <c r="U54" i="1"/>
  <c r="U125" i="1"/>
  <c r="T44" i="1"/>
  <c r="V54" i="1"/>
  <c r="G66" i="5"/>
  <c r="H66" i="5" s="1"/>
  <c r="U66" i="1"/>
  <c r="V125" i="1"/>
  <c r="G125" i="5"/>
  <c r="H125" i="5" s="1"/>
  <c r="G42" i="5"/>
  <c r="H42" i="5" s="1"/>
  <c r="T42" i="1"/>
  <c r="W42" i="1"/>
  <c r="V42" i="1"/>
  <c r="T66" i="1"/>
  <c r="V66" i="1"/>
  <c r="BL121" i="3"/>
  <c r="BR162" i="1"/>
  <c r="BR165" i="1"/>
  <c r="BR126" i="1"/>
  <c r="BR128" i="1"/>
  <c r="BL20" i="3"/>
  <c r="W44" i="1"/>
  <c r="BL17" i="3"/>
  <c r="AM85" i="1"/>
  <c r="AK85" i="1"/>
  <c r="G97" i="5"/>
  <c r="S85" i="5"/>
  <c r="U85" i="5" s="1"/>
  <c r="AN18" i="3"/>
  <c r="AN161" i="3"/>
  <c r="AO161" i="3" s="1"/>
  <c r="Z161" i="5" s="1"/>
  <c r="T47" i="1"/>
  <c r="V97" i="1"/>
  <c r="V47" i="1"/>
  <c r="G44" i="5"/>
  <c r="J44" i="5" s="1"/>
  <c r="U47" i="1"/>
  <c r="AM82" i="1"/>
  <c r="AK82" i="1"/>
  <c r="AL82" i="1"/>
  <c r="W47" i="1"/>
  <c r="T97" i="1"/>
  <c r="V44" i="1"/>
  <c r="U97" i="1"/>
  <c r="BL29" i="3"/>
  <c r="R29" i="5" s="1"/>
  <c r="BL84" i="3"/>
  <c r="O67" i="5"/>
  <c r="P67" i="5" s="1"/>
  <c r="AP11" i="3"/>
  <c r="BE11" i="3" s="1"/>
  <c r="AO11" i="1"/>
  <c r="J11" i="1" s="1"/>
  <c r="AY11" i="3"/>
  <c r="AP75" i="3"/>
  <c r="BE75" i="3" s="1"/>
  <c r="AO75" i="1"/>
  <c r="AY75" i="3"/>
  <c r="W75" i="5"/>
  <c r="AQ75" i="3"/>
  <c r="AR75" i="3"/>
  <c r="Y75" i="5"/>
  <c r="X75" i="5"/>
  <c r="AP115" i="3"/>
  <c r="BE115" i="3" s="1"/>
  <c r="AQ115" i="3"/>
  <c r="AO115" i="1"/>
  <c r="J115" i="1" s="1"/>
  <c r="Y115" i="5"/>
  <c r="AY115" i="3"/>
  <c r="W115" i="5"/>
  <c r="X115" i="5"/>
  <c r="AR115" i="3"/>
  <c r="AQ146" i="3"/>
  <c r="BF146" i="3" s="1"/>
  <c r="AP146" i="3"/>
  <c r="BE146" i="3" s="1"/>
  <c r="AO146" i="1"/>
  <c r="W146" i="5"/>
  <c r="AY146" i="3"/>
  <c r="X146" i="5"/>
  <c r="AR146" i="3"/>
  <c r="Y146" i="5"/>
  <c r="AW74" i="3"/>
  <c r="BN74" i="3" a="1"/>
  <c r="BN74" i="3" s="1"/>
  <c r="BN154" i="3" a="1"/>
  <c r="BN154" i="3" s="1"/>
  <c r="AW154" i="3"/>
  <c r="AV13" i="3"/>
  <c r="BL73" i="3"/>
  <c r="AV73" i="3"/>
  <c r="AD73" i="1" s="1"/>
  <c r="O73" i="5" s="1"/>
  <c r="Q73" i="5" s="1"/>
  <c r="AQ3" i="3"/>
  <c r="BF3" i="3" s="1"/>
  <c r="N3" i="1"/>
  <c r="CB3" i="1"/>
  <c r="AX3" i="1"/>
  <c r="CC3" i="1"/>
  <c r="BO3" i="1"/>
  <c r="BQ3" i="1" s="1"/>
  <c r="BN3" i="1" s="1"/>
  <c r="AZ3" i="1"/>
  <c r="CE3" i="1"/>
  <c r="BI3" i="1"/>
  <c r="BL3" i="1" s="1"/>
  <c r="CJ3" i="1"/>
  <c r="O3" i="1"/>
  <c r="S3" i="1"/>
  <c r="CH3" i="1"/>
  <c r="CF3" i="1"/>
  <c r="CI3" i="1"/>
  <c r="BC3" i="1"/>
  <c r="W3" i="5"/>
  <c r="AC3" i="5"/>
  <c r="X3" i="5"/>
  <c r="AR3" i="3"/>
  <c r="BH3" i="3" s="1"/>
  <c r="BP3" i="3" s="1"/>
  <c r="BT3" i="3" s="1"/>
  <c r="Y3" i="5"/>
  <c r="T30" i="5"/>
  <c r="V30" i="5"/>
  <c r="U30" i="5"/>
  <c r="I75" i="5"/>
  <c r="H75" i="5"/>
  <c r="J75" i="5"/>
  <c r="T96" i="5"/>
  <c r="V96" i="5"/>
  <c r="U96" i="5"/>
  <c r="AP13" i="3"/>
  <c r="BE13" i="3" s="1"/>
  <c r="AO13" i="1"/>
  <c r="J13" i="1" s="1"/>
  <c r="AY13" i="3"/>
  <c r="W13" i="5"/>
  <c r="Y13" i="5"/>
  <c r="X13" i="5"/>
  <c r="BN13" i="3" a="1"/>
  <c r="BN13" i="3" s="1"/>
  <c r="AR13" i="3"/>
  <c r="AQ13" i="3"/>
  <c r="AP78" i="3"/>
  <c r="BE78" i="3" s="1"/>
  <c r="E192" i="5" s="1"/>
  <c r="AO78" i="1"/>
  <c r="J78" i="1" s="1"/>
  <c r="AY78" i="3"/>
  <c r="X78" i="5"/>
  <c r="Y78" i="5"/>
  <c r="AR78" i="3"/>
  <c r="AQ78" i="3"/>
  <c r="BF78" i="3" s="1"/>
  <c r="W78" i="5"/>
  <c r="AQ120" i="3"/>
  <c r="AP120" i="3"/>
  <c r="BE120" i="3" s="1"/>
  <c r="AO120" i="1"/>
  <c r="AY120" i="3"/>
  <c r="AR120" i="3"/>
  <c r="X120" i="5"/>
  <c r="Y120" i="5"/>
  <c r="W120" i="5"/>
  <c r="AQ147" i="3"/>
  <c r="BF147" i="3" s="1"/>
  <c r="AP147" i="3"/>
  <c r="BE147" i="3" s="1"/>
  <c r="AO147" i="1"/>
  <c r="X147" i="5"/>
  <c r="Y147" i="5"/>
  <c r="AY147" i="3"/>
  <c r="AR147" i="3"/>
  <c r="W147" i="5"/>
  <c r="AP151" i="3"/>
  <c r="BE151" i="3" s="1"/>
  <c r="AQ151" i="3"/>
  <c r="Y151" i="5"/>
  <c r="AY151" i="3"/>
  <c r="AO151" i="1"/>
  <c r="W151" i="5"/>
  <c r="X151" i="5"/>
  <c r="AR151" i="3"/>
  <c r="AW75" i="3"/>
  <c r="BN75" i="3" a="1"/>
  <c r="BN75" i="3" s="1"/>
  <c r="BN155" i="3" a="1"/>
  <c r="BN155" i="3" s="1"/>
  <c r="AW155" i="3"/>
  <c r="BL21" i="3"/>
  <c r="AV21" i="3"/>
  <c r="AD21" i="1" s="1"/>
  <c r="O21" i="5" s="1"/>
  <c r="AQ4" i="3"/>
  <c r="BF4" i="3" s="1"/>
  <c r="S4" i="1"/>
  <c r="CH4" i="1"/>
  <c r="O4" i="1"/>
  <c r="BI4" i="1"/>
  <c r="BL4" i="1" s="1"/>
  <c r="CI4" i="1"/>
  <c r="CJ4" i="1"/>
  <c r="BC4" i="1"/>
  <c r="N4" i="1"/>
  <c r="CC4" i="1"/>
  <c r="AX4" i="1"/>
  <c r="CE4" i="1"/>
  <c r="BO4" i="1"/>
  <c r="BQ4" i="1" s="1"/>
  <c r="BN4" i="1" s="1"/>
  <c r="CF4" i="1"/>
  <c r="AZ4" i="1"/>
  <c r="AC4" i="5"/>
  <c r="CB4" i="1"/>
  <c r="X4" i="5"/>
  <c r="Y4" i="5"/>
  <c r="W4" i="5"/>
  <c r="K4" i="1"/>
  <c r="BE4" i="3"/>
  <c r="AR4" i="3"/>
  <c r="BH4" i="3" s="1"/>
  <c r="BP4" i="3" s="1"/>
  <c r="BT4" i="3" s="1"/>
  <c r="BH4" i="1"/>
  <c r="AP4" i="1"/>
  <c r="AB4" i="5" s="1"/>
  <c r="H121" i="5"/>
  <c r="I121" i="5"/>
  <c r="J121" i="5"/>
  <c r="V64" i="5"/>
  <c r="T64" i="5"/>
  <c r="U64" i="5"/>
  <c r="H10" i="5"/>
  <c r="I10" i="5"/>
  <c r="J10" i="5"/>
  <c r="AP132" i="3"/>
  <c r="BE132" i="3" s="1"/>
  <c r="AO132" i="1"/>
  <c r="AY132" i="3"/>
  <c r="AR132" i="3"/>
  <c r="W132" i="5"/>
  <c r="AQ132" i="3"/>
  <c r="Y132" i="5"/>
  <c r="X132" i="5"/>
  <c r="AP26" i="3"/>
  <c r="BE26" i="3" s="1"/>
  <c r="AO26" i="1"/>
  <c r="J26" i="1" s="1"/>
  <c r="AY26" i="3"/>
  <c r="BO26" i="3"/>
  <c r="Y26" i="5"/>
  <c r="X26" i="5"/>
  <c r="BN26" i="3" a="1"/>
  <c r="BN26" i="3" s="1"/>
  <c r="AQ26" i="3"/>
  <c r="W26" i="5"/>
  <c r="AP90" i="3"/>
  <c r="BE90" i="3" s="1"/>
  <c r="AO90" i="1"/>
  <c r="AY90" i="3"/>
  <c r="Y90" i="5"/>
  <c r="BN90" i="3" a="1"/>
  <c r="BN90" i="3" s="1"/>
  <c r="AR90" i="3"/>
  <c r="AQ90" i="3"/>
  <c r="W90" i="5"/>
  <c r="X90" i="5"/>
  <c r="AP135" i="3"/>
  <c r="BE135" i="3" s="1"/>
  <c r="AO135" i="1"/>
  <c r="J135" i="1" s="1"/>
  <c r="AY135" i="3"/>
  <c r="AQ135" i="3"/>
  <c r="Y135" i="5"/>
  <c r="BN135" i="3" a="1"/>
  <c r="BN135" i="3" s="1"/>
  <c r="X135" i="5"/>
  <c r="W135" i="5"/>
  <c r="AR135" i="3"/>
  <c r="AQ155" i="3"/>
  <c r="AP155" i="3"/>
  <c r="BE155" i="3" s="1"/>
  <c r="AO155" i="1"/>
  <c r="AY155" i="3"/>
  <c r="W155" i="5"/>
  <c r="Y155" i="5"/>
  <c r="AR155" i="3"/>
  <c r="X155" i="5"/>
  <c r="BN120" i="3" a="1"/>
  <c r="BN120" i="3" s="1"/>
  <c r="AW120" i="3"/>
  <c r="BN159" i="3" a="1"/>
  <c r="BN159" i="3" s="1"/>
  <c r="AW159" i="3"/>
  <c r="BL129" i="3"/>
  <c r="AV129" i="3"/>
  <c r="AD129" i="1" s="1"/>
  <c r="O129" i="5" s="1"/>
  <c r="P129" i="5" s="1"/>
  <c r="AQ7" i="3"/>
  <c r="BF7" i="3" s="1"/>
  <c r="BO7" i="1"/>
  <c r="BQ7" i="1" s="1"/>
  <c r="BN7" i="1" s="1"/>
  <c r="CI7" i="1"/>
  <c r="AX7" i="1"/>
  <c r="CB7" i="1"/>
  <c r="CE7" i="1"/>
  <c r="BC7" i="1"/>
  <c r="CJ7" i="1"/>
  <c r="BI7" i="1"/>
  <c r="BL7" i="1" s="1"/>
  <c r="O7" i="1"/>
  <c r="N7" i="1"/>
  <c r="CC7" i="1"/>
  <c r="CH7" i="1"/>
  <c r="CF7" i="1"/>
  <c r="AI7" i="1"/>
  <c r="AJ7" i="1" s="1"/>
  <c r="AR7" i="3"/>
  <c r="BH7" i="3" s="1"/>
  <c r="BP7" i="3" s="1"/>
  <c r="BT7" i="3" s="1"/>
  <c r="W7" i="5"/>
  <c r="AC7" i="5"/>
  <c r="Y7" i="5"/>
  <c r="X7" i="5"/>
  <c r="BL18" i="3"/>
  <c r="H29" i="5"/>
  <c r="J29" i="5"/>
  <c r="I29" i="5"/>
  <c r="I49" i="5"/>
  <c r="J61" i="5"/>
  <c r="H61" i="5"/>
  <c r="I61" i="5"/>
  <c r="H40" i="5"/>
  <c r="I40" i="5"/>
  <c r="J40" i="5"/>
  <c r="T86" i="5"/>
  <c r="U86" i="5"/>
  <c r="V86" i="5"/>
  <c r="V12" i="1"/>
  <c r="T12" i="1"/>
  <c r="U12" i="1"/>
  <c r="W12" i="1"/>
  <c r="G12" i="5"/>
  <c r="W96" i="1"/>
  <c r="T96" i="1"/>
  <c r="U96" i="1"/>
  <c r="G96" i="5"/>
  <c r="V96" i="1"/>
  <c r="V39" i="5"/>
  <c r="T39" i="5"/>
  <c r="U39" i="5"/>
  <c r="T46" i="5"/>
  <c r="U46" i="5"/>
  <c r="V46" i="5"/>
  <c r="H9" i="5"/>
  <c r="I9" i="5"/>
  <c r="J9" i="5"/>
  <c r="BL36" i="3"/>
  <c r="R36" i="5" s="1"/>
  <c r="T35" i="5"/>
  <c r="U35" i="5"/>
  <c r="V35" i="5"/>
  <c r="V48" i="5"/>
  <c r="T48" i="5"/>
  <c r="U48" i="5"/>
  <c r="I83" i="5"/>
  <c r="H83" i="5"/>
  <c r="J83" i="5"/>
  <c r="T10" i="5"/>
  <c r="U10" i="5"/>
  <c r="V10" i="5"/>
  <c r="T13" i="5"/>
  <c r="U13" i="5"/>
  <c r="V13" i="5"/>
  <c r="T14" i="5"/>
  <c r="U14" i="5"/>
  <c r="V14" i="5"/>
  <c r="AP19" i="3"/>
  <c r="BE19" i="3" s="1"/>
  <c r="AO19" i="1"/>
  <c r="AY19" i="3"/>
  <c r="AQ19" i="3"/>
  <c r="Y19" i="5"/>
  <c r="W19" i="5"/>
  <c r="X19" i="5"/>
  <c r="AR19" i="3"/>
  <c r="AP28" i="3"/>
  <c r="BE28" i="3" s="1"/>
  <c r="AO28" i="1"/>
  <c r="J28" i="1" s="1"/>
  <c r="AY28" i="3"/>
  <c r="AR28" i="3"/>
  <c r="W28" i="5"/>
  <c r="AQ28" i="3"/>
  <c r="X28" i="5"/>
  <c r="Y28" i="5"/>
  <c r="AP91" i="3"/>
  <c r="BE91" i="3" s="1"/>
  <c r="E186" i="5" s="1"/>
  <c r="AQ91" i="3"/>
  <c r="BF91" i="3" s="1"/>
  <c r="AO91" i="1"/>
  <c r="X91" i="5"/>
  <c r="W91" i="5"/>
  <c r="AY91" i="3"/>
  <c r="AR91" i="3"/>
  <c r="AD186" i="1" s="1"/>
  <c r="Y91" i="5"/>
  <c r="AQ136" i="3"/>
  <c r="BF136" i="3" s="1"/>
  <c r="AP136" i="3"/>
  <c r="BE136" i="3" s="1"/>
  <c r="AO136" i="1"/>
  <c r="AY136" i="3"/>
  <c r="X136" i="5"/>
  <c r="Y136" i="5"/>
  <c r="AR136" i="3"/>
  <c r="W136" i="5"/>
  <c r="AQ139" i="3"/>
  <c r="BF139" i="3" s="1"/>
  <c r="AP139" i="3"/>
  <c r="BE139" i="3" s="1"/>
  <c r="AO139" i="1"/>
  <c r="AY139" i="3"/>
  <c r="W139" i="5"/>
  <c r="AR139" i="3"/>
  <c r="X139" i="5"/>
  <c r="Y139" i="5"/>
  <c r="AQ156" i="3"/>
  <c r="AP156" i="3"/>
  <c r="BE156" i="3" s="1"/>
  <c r="AO156" i="1"/>
  <c r="AY156" i="3"/>
  <c r="AR156" i="3"/>
  <c r="X156" i="5"/>
  <c r="W156" i="5"/>
  <c r="Y156" i="5"/>
  <c r="BN123" i="3" a="1"/>
  <c r="BN123" i="3" s="1"/>
  <c r="BR123" i="3" s="1"/>
  <c r="AW123" i="3"/>
  <c r="AI123" i="1" s="1"/>
  <c r="AJ123" i="1" s="1"/>
  <c r="AV6" i="3"/>
  <c r="AQ8" i="3"/>
  <c r="BF8" i="3" s="1"/>
  <c r="CI8" i="1"/>
  <c r="BO8" i="1"/>
  <c r="BQ8" i="1" s="1"/>
  <c r="BN8" i="1" s="1"/>
  <c r="CJ8" i="1"/>
  <c r="CE8" i="1"/>
  <c r="CF8" i="1"/>
  <c r="O8" i="1"/>
  <c r="BI8" i="1"/>
  <c r="BL8" i="1" s="1"/>
  <c r="CH8" i="1"/>
  <c r="CB8" i="1"/>
  <c r="CC8" i="1"/>
  <c r="AX8" i="1"/>
  <c r="BC8" i="1"/>
  <c r="N8" i="1"/>
  <c r="AI8" i="1"/>
  <c r="AJ8" i="1" s="1"/>
  <c r="W8" i="5"/>
  <c r="K8" i="1"/>
  <c r="X8" i="5"/>
  <c r="BE8" i="3"/>
  <c r="AR8" i="3"/>
  <c r="BH8" i="3" s="1"/>
  <c r="AP8" i="1"/>
  <c r="AB8" i="5" s="1"/>
  <c r="AC8" i="5"/>
  <c r="BH8" i="1"/>
  <c r="Y8" i="5"/>
  <c r="BL48" i="3"/>
  <c r="BP48" i="3"/>
  <c r="BT48" i="3" s="1"/>
  <c r="V21" i="1"/>
  <c r="T21" i="1"/>
  <c r="G21" i="5"/>
  <c r="W21" i="1"/>
  <c r="U21" i="1"/>
  <c r="T129" i="5"/>
  <c r="V129" i="5"/>
  <c r="U129" i="5"/>
  <c r="BD2" i="3"/>
  <c r="AY2" i="3"/>
  <c r="BB2" i="3"/>
  <c r="AP30" i="3"/>
  <c r="BE30" i="3" s="1"/>
  <c r="AO30" i="1"/>
  <c r="J30" i="1" s="1"/>
  <c r="AY30" i="3"/>
  <c r="Y30" i="5"/>
  <c r="W30" i="5"/>
  <c r="AQ30" i="3"/>
  <c r="BF30" i="3" s="1"/>
  <c r="X30" i="5"/>
  <c r="AR30" i="3"/>
  <c r="AP92" i="3"/>
  <c r="BE92" i="3" s="1"/>
  <c r="AQ92" i="3"/>
  <c r="BF92" i="3" s="1"/>
  <c r="AO92" i="1"/>
  <c r="J92" i="1" s="1"/>
  <c r="AY92" i="3"/>
  <c r="Y92" i="5"/>
  <c r="AR92" i="3"/>
  <c r="W92" i="5"/>
  <c r="X92" i="5"/>
  <c r="AP137" i="3"/>
  <c r="BE137" i="3" s="1"/>
  <c r="AQ137" i="3"/>
  <c r="AO137" i="1"/>
  <c r="J137" i="1" s="1"/>
  <c r="AY137" i="3"/>
  <c r="X137" i="5"/>
  <c r="Y137" i="5"/>
  <c r="W137" i="5"/>
  <c r="AQ141" i="3"/>
  <c r="BF141" i="3" s="1"/>
  <c r="AP141" i="3"/>
  <c r="BE141" i="3" s="1"/>
  <c r="AO141" i="1"/>
  <c r="AY141" i="3"/>
  <c r="AR141" i="3"/>
  <c r="W141" i="5"/>
  <c r="Y141" i="5"/>
  <c r="X141" i="5"/>
  <c r="AP157" i="3"/>
  <c r="BE157" i="3" s="1"/>
  <c r="AQ157" i="3"/>
  <c r="AO157" i="1"/>
  <c r="W157" i="5"/>
  <c r="AY157" i="3"/>
  <c r="X157" i="5"/>
  <c r="AR157" i="3"/>
  <c r="Y157" i="5"/>
  <c r="AW17" i="3"/>
  <c r="AI17" i="1" s="1"/>
  <c r="AJ17" i="1" s="1"/>
  <c r="BN17" i="3" a="1"/>
  <c r="BN17" i="3" s="1"/>
  <c r="BR17" i="3" s="1"/>
  <c r="AW132" i="3"/>
  <c r="BN132" i="3" a="1"/>
  <c r="BN132" i="3" s="1"/>
  <c r="AV39" i="3"/>
  <c r="BG97" i="3"/>
  <c r="AQ11" i="3"/>
  <c r="BF11" i="3" s="1"/>
  <c r="AX11" i="1"/>
  <c r="CB11" i="1"/>
  <c r="CC11" i="1"/>
  <c r="N11" i="1"/>
  <c r="BI11" i="1"/>
  <c r="BL11" i="1" s="1"/>
  <c r="CF11" i="1"/>
  <c r="BC11" i="1"/>
  <c r="CI11" i="1"/>
  <c r="CJ11" i="1"/>
  <c r="BO11" i="1"/>
  <c r="BQ11" i="1" s="1"/>
  <c r="BN11" i="1" s="1"/>
  <c r="CH11" i="1"/>
  <c r="AI11" i="1"/>
  <c r="AJ11" i="1" s="1"/>
  <c r="O11" i="1"/>
  <c r="CE11" i="1"/>
  <c r="W11" i="5"/>
  <c r="Y11" i="5"/>
  <c r="X11" i="5"/>
  <c r="AR11" i="3"/>
  <c r="BH11" i="3" s="1"/>
  <c r="BP11" i="3" s="1"/>
  <c r="BT11" i="3" s="1"/>
  <c r="AC11" i="5"/>
  <c r="O48" i="5"/>
  <c r="BP67" i="3"/>
  <c r="BT67" i="3" s="1"/>
  <c r="BL67" i="3"/>
  <c r="T25" i="5"/>
  <c r="U25" i="5"/>
  <c r="V25" i="5"/>
  <c r="H129" i="5"/>
  <c r="I129" i="5"/>
  <c r="J129" i="5"/>
  <c r="V66" i="5"/>
  <c r="U66" i="5"/>
  <c r="T66" i="5"/>
  <c r="BK29" i="3"/>
  <c r="N205" i="5" s="1"/>
  <c r="T71" i="5"/>
  <c r="U71" i="5"/>
  <c r="V71" i="5"/>
  <c r="I30" i="5"/>
  <c r="H30" i="5"/>
  <c r="J30" i="5"/>
  <c r="T52" i="5"/>
  <c r="U52" i="5"/>
  <c r="V52" i="5"/>
  <c r="I16" i="5"/>
  <c r="J16" i="5"/>
  <c r="H16" i="5"/>
  <c r="T29" i="5"/>
  <c r="U29" i="5"/>
  <c r="V29" i="5"/>
  <c r="T41" i="5"/>
  <c r="U41" i="5"/>
  <c r="V41" i="5"/>
  <c r="T50" i="1"/>
  <c r="U50" i="1"/>
  <c r="W50" i="1"/>
  <c r="V50" i="1"/>
  <c r="G50" i="5"/>
  <c r="AP3" i="3"/>
  <c r="BE3" i="3" s="1"/>
  <c r="AO3" i="1"/>
  <c r="J3" i="1" s="1"/>
  <c r="AY3" i="3"/>
  <c r="AP31" i="3"/>
  <c r="BE31" i="3" s="1"/>
  <c r="AO31" i="1"/>
  <c r="J31" i="1" s="1"/>
  <c r="AY31" i="3"/>
  <c r="AQ31" i="3"/>
  <c r="BN31" i="3" a="1"/>
  <c r="BN31" i="3" s="1"/>
  <c r="W31" i="5"/>
  <c r="X31" i="5"/>
  <c r="AR31" i="3"/>
  <c r="Y31" i="5"/>
  <c r="AP51" i="3"/>
  <c r="BE51" i="3" s="1"/>
  <c r="AO51" i="1"/>
  <c r="J51" i="1" s="1"/>
  <c r="AY51" i="3"/>
  <c r="X51" i="5"/>
  <c r="BN51" i="3" a="1"/>
  <c r="BN51" i="3" s="1"/>
  <c r="AQ51" i="3"/>
  <c r="W51" i="5"/>
  <c r="Y51" i="5"/>
  <c r="AP63" i="3"/>
  <c r="BE63" i="3" s="1"/>
  <c r="AO63" i="1"/>
  <c r="J63" i="1" s="1"/>
  <c r="AY63" i="3"/>
  <c r="X63" i="5"/>
  <c r="AR63" i="3"/>
  <c r="BN63" i="3" a="1"/>
  <c r="BN63" i="3" s="1"/>
  <c r="W63" i="5"/>
  <c r="AQ63" i="3"/>
  <c r="Y63" i="5"/>
  <c r="AQ110" i="3"/>
  <c r="AP110" i="3"/>
  <c r="BE110" i="3" s="1"/>
  <c r="AO110" i="1"/>
  <c r="J110" i="1" s="1"/>
  <c r="AY110" i="3"/>
  <c r="W110" i="5"/>
  <c r="X110" i="5"/>
  <c r="Y110" i="5"/>
  <c r="AP142" i="3"/>
  <c r="BE142" i="3" s="1"/>
  <c r="AQ142" i="3"/>
  <c r="BF142" i="3" s="1"/>
  <c r="AO142" i="1"/>
  <c r="Y142" i="5"/>
  <c r="AY142" i="3"/>
  <c r="W142" i="5"/>
  <c r="X142" i="5"/>
  <c r="AR142" i="3"/>
  <c r="AP159" i="3"/>
  <c r="BE159" i="3" s="1"/>
  <c r="AQ159" i="3"/>
  <c r="W159" i="5"/>
  <c r="X159" i="5"/>
  <c r="Y159" i="5"/>
  <c r="AO159" i="1"/>
  <c r="AY159" i="3"/>
  <c r="AR159" i="3"/>
  <c r="AW18" i="3"/>
  <c r="AI18" i="1" s="1"/>
  <c r="AJ18" i="1" s="1"/>
  <c r="BN18" i="3" a="1"/>
  <c r="BN18" i="3" s="1"/>
  <c r="BR18" i="3" s="1"/>
  <c r="BN150" i="3" a="1"/>
  <c r="BN150" i="3" s="1"/>
  <c r="BR150" i="3" s="1"/>
  <c r="AW150" i="3"/>
  <c r="AI150" i="1" s="1"/>
  <c r="AJ150" i="1" s="1"/>
  <c r="BL65" i="3"/>
  <c r="AV65" i="3"/>
  <c r="AD65" i="1" s="1"/>
  <c r="O65" i="5" s="1"/>
  <c r="Q65" i="5" s="1"/>
  <c r="H37" i="5"/>
  <c r="J37" i="5"/>
  <c r="I37" i="5"/>
  <c r="T9" i="5"/>
  <c r="U9" i="5"/>
  <c r="V9" i="5"/>
  <c r="H68" i="5"/>
  <c r="I68" i="5"/>
  <c r="J68" i="5"/>
  <c r="I78" i="5"/>
  <c r="H78" i="5"/>
  <c r="J78" i="5"/>
  <c r="T40" i="5"/>
  <c r="U40" i="5"/>
  <c r="V40" i="5"/>
  <c r="T15" i="5"/>
  <c r="U15" i="5"/>
  <c r="V15" i="5"/>
  <c r="BL68" i="3"/>
  <c r="R68" i="5" s="1"/>
  <c r="G22" i="5"/>
  <c r="W22" i="1"/>
  <c r="T22" i="1"/>
  <c r="U22" i="1"/>
  <c r="V22" i="1"/>
  <c r="T61" i="5"/>
  <c r="U61" i="5"/>
  <c r="V61" i="5"/>
  <c r="T26" i="5"/>
  <c r="U26" i="5"/>
  <c r="V26" i="5"/>
  <c r="U36" i="5"/>
  <c r="V36" i="5"/>
  <c r="T36" i="5"/>
  <c r="T22" i="5"/>
  <c r="U22" i="5"/>
  <c r="V22" i="5"/>
  <c r="T12" i="5"/>
  <c r="U12" i="5"/>
  <c r="V12" i="5"/>
  <c r="T37" i="5"/>
  <c r="U37" i="5"/>
  <c r="V37" i="5"/>
  <c r="H35" i="5"/>
  <c r="I35" i="5"/>
  <c r="J35" i="5"/>
  <c r="T32" i="5"/>
  <c r="U32" i="5"/>
  <c r="V32" i="5"/>
  <c r="J84" i="5"/>
  <c r="I84" i="5"/>
  <c r="H84" i="5"/>
  <c r="V63" i="5"/>
  <c r="T63" i="5"/>
  <c r="U63" i="5"/>
  <c r="J34" i="5"/>
  <c r="H34" i="5"/>
  <c r="I34" i="5"/>
  <c r="T125" i="5"/>
  <c r="U125" i="5"/>
  <c r="V125" i="5"/>
  <c r="BP40" i="3"/>
  <c r="BT40" i="3" s="1"/>
  <c r="Q40" i="5" s="1"/>
  <c r="BL40" i="3"/>
  <c r="R40" i="5" s="1"/>
  <c r="I19" i="5"/>
  <c r="J19" i="5"/>
  <c r="H19" i="5"/>
  <c r="J14" i="5"/>
  <c r="H14" i="5"/>
  <c r="I14" i="5"/>
  <c r="J124" i="5"/>
  <c r="H124" i="5"/>
  <c r="I124" i="5"/>
  <c r="T53" i="5"/>
  <c r="U53" i="5"/>
  <c r="V53" i="5"/>
  <c r="AP6" i="3"/>
  <c r="BE6" i="3" s="1"/>
  <c r="AO6" i="1"/>
  <c r="J6" i="1" s="1"/>
  <c r="AY6" i="3"/>
  <c r="AQ6" i="3"/>
  <c r="Y6" i="5"/>
  <c r="X6" i="5"/>
  <c r="AR6" i="3"/>
  <c r="W6" i="5"/>
  <c r="AP39" i="3"/>
  <c r="BE39" i="3" s="1"/>
  <c r="AO39" i="1"/>
  <c r="J39" i="1" s="1"/>
  <c r="AY39" i="3"/>
  <c r="Y39" i="5"/>
  <c r="AR39" i="3"/>
  <c r="AQ39" i="3"/>
  <c r="BF39" i="3" s="1"/>
  <c r="X39" i="5"/>
  <c r="W39" i="5"/>
  <c r="AP52" i="3"/>
  <c r="BE52" i="3" s="1"/>
  <c r="AO52" i="1"/>
  <c r="J52" i="1" s="1"/>
  <c r="AY52" i="3"/>
  <c r="BN52" i="3" a="1"/>
  <c r="BN52" i="3" s="1"/>
  <c r="AQ52" i="3"/>
  <c r="W52" i="5"/>
  <c r="X52" i="5"/>
  <c r="Y52" i="5"/>
  <c r="AP70" i="3"/>
  <c r="BE70" i="3" s="1"/>
  <c r="AO70" i="1"/>
  <c r="J70" i="1" s="1"/>
  <c r="AY70" i="3"/>
  <c r="AQ70" i="3"/>
  <c r="BF70" i="3" s="1"/>
  <c r="AR70" i="3"/>
  <c r="Y70" i="5"/>
  <c r="W70" i="5"/>
  <c r="X70" i="5"/>
  <c r="AP111" i="3"/>
  <c r="BE111" i="3" s="1"/>
  <c r="AO111" i="1"/>
  <c r="J111" i="1" s="1"/>
  <c r="AY111" i="3"/>
  <c r="AR111" i="3"/>
  <c r="AQ111" i="3"/>
  <c r="BN111" i="3" a="1"/>
  <c r="BN111" i="3" s="1"/>
  <c r="W111" i="5"/>
  <c r="X111" i="5"/>
  <c r="Y111" i="5"/>
  <c r="AQ143" i="3"/>
  <c r="BF143" i="3" s="1"/>
  <c r="AP143" i="3"/>
  <c r="BE143" i="3" s="1"/>
  <c r="AO143" i="1"/>
  <c r="AY143" i="3"/>
  <c r="X143" i="5"/>
  <c r="AR143" i="3"/>
  <c r="Y143" i="5"/>
  <c r="W143" i="5"/>
  <c r="AW19" i="3"/>
  <c r="BN19" i="3" a="1"/>
  <c r="BN19" i="3" s="1"/>
  <c r="BN151" i="3" a="1"/>
  <c r="BN151" i="3" s="1"/>
  <c r="AW151" i="3"/>
  <c r="AV9" i="3"/>
  <c r="BL66" i="3"/>
  <c r="AV66" i="3"/>
  <c r="AD66" i="1" s="1"/>
  <c r="O66" i="5" s="1"/>
  <c r="U44" i="5"/>
  <c r="V44" i="5"/>
  <c r="T44" i="5"/>
  <c r="T88" i="5"/>
  <c r="U88" i="5"/>
  <c r="V88" i="5"/>
  <c r="I38" i="5"/>
  <c r="H38" i="5"/>
  <c r="J38" i="5"/>
  <c r="H31" i="5"/>
  <c r="J31" i="5"/>
  <c r="I31" i="5"/>
  <c r="AP7" i="3"/>
  <c r="BE7" i="3" s="1"/>
  <c r="AO7" i="1"/>
  <c r="J7" i="1" s="1"/>
  <c r="AY7" i="3"/>
  <c r="AP43" i="3"/>
  <c r="BE43" i="3" s="1"/>
  <c r="AO43" i="1"/>
  <c r="J43" i="1" s="1"/>
  <c r="AY43" i="3"/>
  <c r="AQ43" i="3"/>
  <c r="Y43" i="5"/>
  <c r="BO43" i="3"/>
  <c r="X43" i="5"/>
  <c r="BN43" i="3" a="1"/>
  <c r="BN43" i="3" s="1"/>
  <c r="W43" i="5"/>
  <c r="AP71" i="3"/>
  <c r="AO71" i="1"/>
  <c r="J71" i="1" s="1"/>
  <c r="AY71" i="3"/>
  <c r="W71" i="5"/>
  <c r="AR71" i="3"/>
  <c r="X71" i="5"/>
  <c r="AQ71" i="3"/>
  <c r="BF71" i="3" s="1"/>
  <c r="Y71" i="5"/>
  <c r="AP112" i="3"/>
  <c r="BE112" i="3" s="1"/>
  <c r="AO112" i="1"/>
  <c r="J112" i="1" s="1"/>
  <c r="AY112" i="3"/>
  <c r="Y112" i="5"/>
  <c r="X112" i="5"/>
  <c r="AQ112" i="3"/>
  <c r="BN112" i="3" a="1"/>
  <c r="BN112" i="3" s="1"/>
  <c r="W112" i="5"/>
  <c r="AQ144" i="3"/>
  <c r="BF144" i="3" s="1"/>
  <c r="AP144" i="3"/>
  <c r="BE144" i="3" s="1"/>
  <c r="AY144" i="3"/>
  <c r="W144" i="5"/>
  <c r="AO144" i="1"/>
  <c r="X144" i="5"/>
  <c r="AR144" i="3"/>
  <c r="Y144" i="5"/>
  <c r="AW20" i="3"/>
  <c r="AI20" i="1" s="1"/>
  <c r="AJ20" i="1" s="1"/>
  <c r="BN20" i="3" a="1"/>
  <c r="BN20" i="3" s="1"/>
  <c r="BR20" i="3" s="1"/>
  <c r="BN152" i="3" a="1"/>
  <c r="BN152" i="3" s="1"/>
  <c r="AW152" i="3"/>
  <c r="V68" i="5"/>
  <c r="T68" i="5"/>
  <c r="U68" i="5"/>
  <c r="H24" i="5"/>
  <c r="I24" i="5"/>
  <c r="J24" i="5"/>
  <c r="AP9" i="3"/>
  <c r="BE9" i="3" s="1"/>
  <c r="AO9" i="1"/>
  <c r="J9" i="1" s="1"/>
  <c r="AY9" i="3"/>
  <c r="W9" i="5"/>
  <c r="X9" i="5"/>
  <c r="Y9" i="5"/>
  <c r="AR9" i="3"/>
  <c r="AQ9" i="3"/>
  <c r="BF9" i="3" s="1"/>
  <c r="AP46" i="3"/>
  <c r="BE46" i="3" s="1"/>
  <c r="AO46" i="1"/>
  <c r="J46" i="1" s="1"/>
  <c r="AY46" i="3"/>
  <c r="Y46" i="5"/>
  <c r="AQ46" i="3"/>
  <c r="W46" i="5"/>
  <c r="X46" i="5"/>
  <c r="BO46" i="3"/>
  <c r="BN46" i="3" a="1"/>
  <c r="BN46" i="3" s="1"/>
  <c r="AP74" i="3"/>
  <c r="BE74" i="3" s="1"/>
  <c r="E185" i="5" s="1"/>
  <c r="AO74" i="1"/>
  <c r="AY74" i="3"/>
  <c r="AR74" i="3"/>
  <c r="W74" i="5"/>
  <c r="AQ74" i="3"/>
  <c r="X74" i="5"/>
  <c r="Y74" i="5"/>
  <c r="AP113" i="3"/>
  <c r="BE113" i="3" s="1"/>
  <c r="AQ113" i="3"/>
  <c r="BF113" i="3" s="1"/>
  <c r="AO113" i="1"/>
  <c r="W113" i="5"/>
  <c r="X113" i="5"/>
  <c r="Y113" i="5"/>
  <c r="AY113" i="3"/>
  <c r="AR113" i="3"/>
  <c r="AP145" i="3"/>
  <c r="BE145" i="3" s="1"/>
  <c r="AQ145" i="3"/>
  <c r="BF145" i="3" s="1"/>
  <c r="AO145" i="1"/>
  <c r="W145" i="5"/>
  <c r="X145" i="5"/>
  <c r="Y145" i="5"/>
  <c r="AY145" i="3"/>
  <c r="AR145" i="3"/>
  <c r="AW28" i="3"/>
  <c r="BN28" i="3" a="1"/>
  <c r="BN28" i="3" s="1"/>
  <c r="BN153" i="3" a="1"/>
  <c r="BN153" i="3" s="1"/>
  <c r="AW153" i="3"/>
  <c r="BL69" i="3"/>
  <c r="AV69" i="3"/>
  <c r="AD69" i="1" s="1"/>
  <c r="O69" i="5" s="1"/>
  <c r="P69" i="5" s="1"/>
  <c r="AR2" i="3"/>
  <c r="BH2" i="3" s="1"/>
  <c r="BP2" i="3" s="1"/>
  <c r="H28" i="5"/>
  <c r="I28" i="5"/>
  <c r="J28" i="5"/>
  <c r="T23" i="5"/>
  <c r="U23" i="5"/>
  <c r="V23" i="5"/>
  <c r="I25" i="5"/>
  <c r="H25" i="5"/>
  <c r="J25" i="5"/>
  <c r="H87" i="5"/>
  <c r="J87" i="5"/>
  <c r="I87" i="5"/>
  <c r="V24" i="5"/>
  <c r="U24" i="5"/>
  <c r="T24" i="5"/>
  <c r="V69" i="5"/>
  <c r="T69" i="5"/>
  <c r="U69" i="5"/>
  <c r="U54" i="5"/>
  <c r="V54" i="5"/>
  <c r="T54" i="5"/>
  <c r="T72" i="1"/>
  <c r="U72" i="1"/>
  <c r="V72" i="1"/>
  <c r="W72" i="1"/>
  <c r="G72" i="5"/>
  <c r="I39" i="5"/>
  <c r="H39" i="5"/>
  <c r="J39" i="5"/>
  <c r="I71" i="5"/>
  <c r="H71" i="5"/>
  <c r="J71" i="5"/>
  <c r="V27" i="5"/>
  <c r="T27" i="5"/>
  <c r="U27" i="5"/>
  <c r="T38" i="5"/>
  <c r="U38" i="5"/>
  <c r="V38" i="5"/>
  <c r="T70" i="5"/>
  <c r="U70" i="5"/>
  <c r="V70" i="5"/>
  <c r="H20" i="5"/>
  <c r="J20" i="5"/>
  <c r="I20" i="5"/>
  <c r="BG54" i="3"/>
  <c r="T16" i="5"/>
  <c r="V16" i="5"/>
  <c r="U16" i="5"/>
  <c r="H18" i="5"/>
  <c r="J18" i="5"/>
  <c r="I18" i="5"/>
  <c r="V21" i="5"/>
  <c r="U21" i="5"/>
  <c r="T21" i="5"/>
  <c r="BL12" i="3"/>
  <c r="R12" i="5" s="1"/>
  <c r="H95" i="5"/>
  <c r="J95" i="5"/>
  <c r="I95" i="5"/>
  <c r="T53" i="1"/>
  <c r="W53" i="1"/>
  <c r="U53" i="1"/>
  <c r="G53" i="5"/>
  <c r="V53" i="1"/>
  <c r="T95" i="5"/>
  <c r="U95" i="5"/>
  <c r="V95" i="5"/>
  <c r="V42" i="5"/>
  <c r="U42" i="5"/>
  <c r="T42" i="5"/>
  <c r="S83" i="5"/>
  <c r="AL83" i="1"/>
  <c r="AM83" i="1"/>
  <c r="AK83" i="1"/>
  <c r="AP14" i="3"/>
  <c r="BE14" i="3" s="1"/>
  <c r="AO14" i="1"/>
  <c r="AY14" i="3"/>
  <c r="AQ14" i="3"/>
  <c r="BF14" i="3" s="1"/>
  <c r="AR14" i="3"/>
  <c r="W14" i="5"/>
  <c r="X14" i="5"/>
  <c r="Y14" i="5"/>
  <c r="AQ79" i="3"/>
  <c r="AP79" i="3"/>
  <c r="BE79" i="3" s="1"/>
  <c r="AO79" i="1"/>
  <c r="J79" i="1" s="1"/>
  <c r="W79" i="5"/>
  <c r="Y79" i="5"/>
  <c r="AY79" i="3"/>
  <c r="X79" i="5"/>
  <c r="AP124" i="3"/>
  <c r="BE124" i="3" s="1"/>
  <c r="AO124" i="1"/>
  <c r="AY124" i="3"/>
  <c r="AQ124" i="3"/>
  <c r="W124" i="5"/>
  <c r="X124" i="5"/>
  <c r="Y124" i="5"/>
  <c r="AR124" i="3"/>
  <c r="BN124" i="3" a="1"/>
  <c r="BN124" i="3" s="1"/>
  <c r="AQ148" i="3"/>
  <c r="BF148" i="3" s="1"/>
  <c r="AP148" i="3"/>
  <c r="BE148" i="3" s="1"/>
  <c r="AO148" i="1"/>
  <c r="AY148" i="3"/>
  <c r="W148" i="5"/>
  <c r="AR148" i="3"/>
  <c r="X148" i="5"/>
  <c r="Y148" i="5"/>
  <c r="AQ152" i="3"/>
  <c r="AP152" i="3"/>
  <c r="BE152" i="3" s="1"/>
  <c r="AO152" i="1"/>
  <c r="AY152" i="3"/>
  <c r="Y152" i="5"/>
  <c r="AR152" i="3"/>
  <c r="X152" i="5"/>
  <c r="W152" i="5"/>
  <c r="AW84" i="3"/>
  <c r="BN84" i="3" a="1"/>
  <c r="BN84" i="3" s="1"/>
  <c r="BR84" i="3" s="1"/>
  <c r="BN156" i="3" a="1"/>
  <c r="BN156" i="3" s="1"/>
  <c r="AW156" i="3"/>
  <c r="T6" i="5"/>
  <c r="U6" i="5"/>
  <c r="V6" i="5"/>
  <c r="U97" i="5"/>
  <c r="T97" i="5"/>
  <c r="V97" i="5"/>
  <c r="J15" i="5"/>
  <c r="I15" i="5"/>
  <c r="H15" i="5"/>
  <c r="J17" i="5"/>
  <c r="H17" i="5"/>
  <c r="I17" i="5"/>
  <c r="J132" i="5"/>
  <c r="I132" i="5"/>
  <c r="H132" i="5"/>
  <c r="J74" i="5"/>
  <c r="H74" i="5"/>
  <c r="I74" i="5"/>
  <c r="V87" i="5"/>
  <c r="T87" i="5"/>
  <c r="U87" i="5"/>
  <c r="V34" i="5"/>
  <c r="T34" i="5"/>
  <c r="U34" i="5"/>
  <c r="T112" i="5"/>
  <c r="V112" i="5"/>
  <c r="U112" i="5"/>
  <c r="T50" i="5"/>
  <c r="U50" i="5"/>
  <c r="V50" i="5"/>
  <c r="AP15" i="3"/>
  <c r="BE15" i="3" s="1"/>
  <c r="AO15" i="1"/>
  <c r="AY15" i="3"/>
  <c r="X15" i="5"/>
  <c r="W15" i="5"/>
  <c r="Y15" i="5"/>
  <c r="AQ15" i="3"/>
  <c r="BF15" i="3" s="1"/>
  <c r="AR15" i="3"/>
  <c r="AQ149" i="3"/>
  <c r="BF149" i="3" s="1"/>
  <c r="AP149" i="3"/>
  <c r="BE149" i="3" s="1"/>
  <c r="W149" i="5"/>
  <c r="X149" i="5"/>
  <c r="Y149" i="5"/>
  <c r="AO149" i="1"/>
  <c r="AY149" i="3"/>
  <c r="AR149" i="3"/>
  <c r="AQ153" i="3"/>
  <c r="AP153" i="3"/>
  <c r="BE153" i="3" s="1"/>
  <c r="AO153" i="1"/>
  <c r="AY153" i="3"/>
  <c r="W153" i="5"/>
  <c r="Y153" i="5"/>
  <c r="X153" i="5"/>
  <c r="AR153" i="3"/>
  <c r="AW6" i="3"/>
  <c r="BN6" i="3" a="1"/>
  <c r="BN6" i="3" s="1"/>
  <c r="BN114" i="3" a="1"/>
  <c r="BN114" i="3" s="1"/>
  <c r="BR114" i="3" s="1"/>
  <c r="AW114" i="3"/>
  <c r="AI114" i="1" s="1"/>
  <c r="AJ114" i="1" s="1"/>
  <c r="BN157" i="3" a="1"/>
  <c r="BN157" i="3" s="1"/>
  <c r="AW157" i="3"/>
  <c r="AV25" i="3"/>
  <c r="BG42" i="3"/>
  <c r="BQ50" i="3"/>
  <c r="D50" i="5" s="1"/>
  <c r="G64" i="5"/>
  <c r="W64" i="1"/>
  <c r="T64" i="1"/>
  <c r="V64" i="1"/>
  <c r="U64" i="1"/>
  <c r="H70" i="5"/>
  <c r="I70" i="5"/>
  <c r="J70" i="5"/>
  <c r="I36" i="5"/>
  <c r="H36" i="5"/>
  <c r="J36" i="5"/>
  <c r="T67" i="5"/>
  <c r="U67" i="5"/>
  <c r="V67" i="5"/>
  <c r="J90" i="5"/>
  <c r="H90" i="5"/>
  <c r="I90" i="5"/>
  <c r="U49" i="5"/>
  <c r="V49" i="5"/>
  <c r="T49" i="5"/>
  <c r="I32" i="5"/>
  <c r="J32" i="5"/>
  <c r="H32" i="5"/>
  <c r="H88" i="5"/>
  <c r="J88" i="5"/>
  <c r="I88" i="5"/>
  <c r="J85" i="5"/>
  <c r="I85" i="5"/>
  <c r="H85" i="5"/>
  <c r="T47" i="5"/>
  <c r="U47" i="5"/>
  <c r="V47" i="5"/>
  <c r="AP16" i="3"/>
  <c r="BE16" i="3" s="1"/>
  <c r="AO16" i="1"/>
  <c r="AY16" i="3"/>
  <c r="Y16" i="5"/>
  <c r="X16" i="5"/>
  <c r="W16" i="5"/>
  <c r="AQ16" i="3"/>
  <c r="BF16" i="3" s="1"/>
  <c r="AR16" i="3"/>
  <c r="AP25" i="3"/>
  <c r="AO25" i="1"/>
  <c r="J25" i="1" s="1"/>
  <c r="AY25" i="3"/>
  <c r="AQ25" i="3"/>
  <c r="BF25" i="3" s="1"/>
  <c r="AR25" i="3"/>
  <c r="W25" i="5"/>
  <c r="X25" i="5"/>
  <c r="Y25" i="5"/>
  <c r="AP86" i="3"/>
  <c r="BE86" i="3" s="1"/>
  <c r="AO86" i="1"/>
  <c r="AY86" i="3"/>
  <c r="Y86" i="5"/>
  <c r="AQ86" i="3"/>
  <c r="BF86" i="3" s="1"/>
  <c r="AR86" i="3"/>
  <c r="W86" i="5"/>
  <c r="X86" i="5"/>
  <c r="AP154" i="3"/>
  <c r="BE154" i="3" s="1"/>
  <c r="AQ154" i="3"/>
  <c r="AY154" i="3"/>
  <c r="AO154" i="1"/>
  <c r="AR154" i="3"/>
  <c r="X154" i="5"/>
  <c r="W154" i="5"/>
  <c r="Y154" i="5"/>
  <c r="BN118" i="3" a="1"/>
  <c r="BN118" i="3" s="1"/>
  <c r="BR118" i="3" s="1"/>
  <c r="AW118" i="3"/>
  <c r="S118" i="1" s="1"/>
  <c r="BN158" i="3" a="1"/>
  <c r="BN158" i="3" s="1"/>
  <c r="BR158" i="3" s="1"/>
  <c r="AW158" i="3"/>
  <c r="AI158" i="1" s="1"/>
  <c r="AJ158" i="1" s="1"/>
  <c r="BL33" i="3"/>
  <c r="AV33" i="3"/>
  <c r="AD33" i="1" s="1"/>
  <c r="BL125" i="3"/>
  <c r="AV125" i="3"/>
  <c r="AD125" i="1" s="1"/>
  <c r="O125" i="5" s="1"/>
  <c r="P125" i="5" s="1"/>
  <c r="AQ5" i="3"/>
  <c r="BF5" i="3" s="1"/>
  <c r="AX5" i="1"/>
  <c r="CB5" i="1"/>
  <c r="BC5" i="1"/>
  <c r="CE5" i="1"/>
  <c r="CI5" i="1"/>
  <c r="N5" i="1"/>
  <c r="CJ5" i="1"/>
  <c r="AI5" i="1"/>
  <c r="AJ5" i="1" s="1"/>
  <c r="CC5" i="1"/>
  <c r="CF5" i="1"/>
  <c r="CH5" i="1"/>
  <c r="BI5" i="1"/>
  <c r="BL5" i="1" s="1"/>
  <c r="BO5" i="1"/>
  <c r="BQ5" i="1" s="1"/>
  <c r="BN5" i="1" s="1"/>
  <c r="O5" i="1"/>
  <c r="Y5" i="5"/>
  <c r="BE5" i="3"/>
  <c r="AR5" i="3"/>
  <c r="BH5" i="3" s="1"/>
  <c r="W5" i="5"/>
  <c r="AC5" i="5"/>
  <c r="BH5" i="1"/>
  <c r="X5" i="5"/>
  <c r="K5" i="1"/>
  <c r="AP5" i="1"/>
  <c r="AB5" i="5" s="1"/>
  <c r="I69" i="5"/>
  <c r="H69" i="5"/>
  <c r="J69" i="5"/>
  <c r="BL22" i="3"/>
  <c r="R22" i="5" s="1"/>
  <c r="V72" i="5"/>
  <c r="U72" i="5"/>
  <c r="T72" i="5"/>
  <c r="BL35" i="3"/>
  <c r="R35" i="5" s="1"/>
  <c r="J82" i="5"/>
  <c r="I82" i="5"/>
  <c r="H82" i="5"/>
  <c r="U45" i="5"/>
  <c r="V45" i="5"/>
  <c r="T45" i="5"/>
  <c r="T78" i="5"/>
  <c r="V78" i="5"/>
  <c r="U78" i="5"/>
  <c r="H23" i="5"/>
  <c r="I23" i="5"/>
  <c r="J23" i="5"/>
  <c r="G48" i="5"/>
  <c r="U48" i="1"/>
  <c r="T48" i="1"/>
  <c r="V48" i="1"/>
  <c r="W48" i="1"/>
  <c r="H54" i="5"/>
  <c r="I54" i="5"/>
  <c r="I86" i="5"/>
  <c r="H86" i="5"/>
  <c r="J86" i="5"/>
  <c r="T121" i="5"/>
  <c r="U121" i="5"/>
  <c r="V121" i="5"/>
  <c r="J41" i="5"/>
  <c r="H41" i="5"/>
  <c r="I41" i="5"/>
  <c r="BD3" i="3"/>
  <c r="BB3" i="3"/>
  <c r="BD6" i="3"/>
  <c r="BB6" i="3"/>
  <c r="BD7" i="3"/>
  <c r="BB7" i="3"/>
  <c r="BD9" i="3"/>
  <c r="BB9" i="3"/>
  <c r="BD11" i="3"/>
  <c r="BB11" i="3"/>
  <c r="BD13" i="3"/>
  <c r="BB13" i="3"/>
  <c r="BD14" i="3"/>
  <c r="BB14" i="3"/>
  <c r="BD15" i="3"/>
  <c r="BB15" i="3"/>
  <c r="BD16" i="3"/>
  <c r="BB16" i="3"/>
  <c r="BD132" i="3"/>
  <c r="BB132" i="3"/>
  <c r="BD19" i="3"/>
  <c r="BB19" i="3"/>
  <c r="BD25" i="3"/>
  <c r="BB25" i="3"/>
  <c r="BA25" i="3" s="1"/>
  <c r="BD26" i="3"/>
  <c r="BB26" i="3"/>
  <c r="BD28" i="3"/>
  <c r="BB28" i="3"/>
  <c r="BD30" i="3"/>
  <c r="BB30" i="3"/>
  <c r="BD31" i="3"/>
  <c r="BB31" i="3"/>
  <c r="BD39" i="3"/>
  <c r="BB39" i="3"/>
  <c r="BD43" i="3"/>
  <c r="BB43" i="3"/>
  <c r="AZ43" i="3" s="1"/>
  <c r="BD46" i="3"/>
  <c r="BB46" i="3"/>
  <c r="BD51" i="3"/>
  <c r="BB51" i="3"/>
  <c r="AZ51" i="3" s="1"/>
  <c r="BD52" i="3"/>
  <c r="BB52" i="3"/>
  <c r="BD63" i="3"/>
  <c r="BB63" i="3"/>
  <c r="BD70" i="3"/>
  <c r="BB70" i="3"/>
  <c r="BD71" i="3"/>
  <c r="BB71" i="3"/>
  <c r="BD74" i="3"/>
  <c r="BB74" i="3"/>
  <c r="BD75" i="3"/>
  <c r="BB75" i="3"/>
  <c r="BD78" i="3"/>
  <c r="BB78" i="3"/>
  <c r="BO79" i="3"/>
  <c r="BD79" i="3"/>
  <c r="BN79" i="3" a="1"/>
  <c r="BN79" i="3" s="1"/>
  <c r="BB79" i="3"/>
  <c r="AZ79" i="3" s="1"/>
  <c r="BD86" i="3"/>
  <c r="BB86" i="3"/>
  <c r="BB90" i="3"/>
  <c r="BD90" i="3"/>
  <c r="BD91" i="3"/>
  <c r="BB91" i="3"/>
  <c r="BD92" i="3"/>
  <c r="BB92" i="3"/>
  <c r="BD110" i="3"/>
  <c r="BN110" i="3" a="1"/>
  <c r="BN110" i="3" s="1"/>
  <c r="BB110" i="3"/>
  <c r="AZ110" i="3" s="1"/>
  <c r="BB111" i="3"/>
  <c r="BD111" i="3"/>
  <c r="BD112" i="3"/>
  <c r="BB112" i="3"/>
  <c r="BD113" i="3"/>
  <c r="BB113" i="3"/>
  <c r="BB115" i="3"/>
  <c r="BD115" i="3"/>
  <c r="BN115" i="3" a="1"/>
  <c r="BN115" i="3" s="1"/>
  <c r="BD120" i="3"/>
  <c r="BB120" i="3"/>
  <c r="BD124" i="3"/>
  <c r="BB124" i="3"/>
  <c r="BD135" i="3"/>
  <c r="BB135" i="3"/>
  <c r="BD136" i="3"/>
  <c r="BB136" i="3"/>
  <c r="BD137" i="3"/>
  <c r="BN137" i="3" a="1"/>
  <c r="BN137" i="3" s="1"/>
  <c r="BB137" i="3"/>
  <c r="AZ137" i="3" s="1"/>
  <c r="BB139" i="3"/>
  <c r="BD139" i="3"/>
  <c r="BD141" i="3"/>
  <c r="BB141" i="3"/>
  <c r="BD142" i="3"/>
  <c r="BB142" i="3"/>
  <c r="BB143" i="3"/>
  <c r="BD143" i="3"/>
  <c r="BD144" i="3"/>
  <c r="BB144" i="3"/>
  <c r="BD145" i="3"/>
  <c r="BB145" i="3"/>
  <c r="BD146" i="3"/>
  <c r="BB146" i="3"/>
  <c r="BB147" i="3"/>
  <c r="BD147" i="3"/>
  <c r="BD148" i="3"/>
  <c r="BB148" i="3"/>
  <c r="BD149" i="3"/>
  <c r="BB149" i="3"/>
  <c r="BB151" i="3"/>
  <c r="BD151" i="3"/>
  <c r="BD152" i="3"/>
  <c r="BB152" i="3"/>
  <c r="BD153" i="3"/>
  <c r="BB153" i="3"/>
  <c r="BB154" i="3"/>
  <c r="BD154" i="3"/>
  <c r="BB155" i="3"/>
  <c r="BD155" i="3"/>
  <c r="BD156" i="3"/>
  <c r="BB156" i="3"/>
  <c r="BD157" i="3"/>
  <c r="BB157" i="3"/>
  <c r="BD159" i="3"/>
  <c r="BB159" i="3"/>
  <c r="BO25" i="3"/>
  <c r="BO42" i="3"/>
  <c r="BA42" i="3"/>
  <c r="BO51" i="3"/>
  <c r="BO54" i="3"/>
  <c r="BA54" i="3"/>
  <c r="BO96" i="3"/>
  <c r="BA96" i="3"/>
  <c r="BG96" i="3"/>
  <c r="BO97" i="3"/>
  <c r="BA97" i="3"/>
  <c r="BO112" i="3"/>
  <c r="BO137" i="3"/>
  <c r="BN2" i="3" a="1"/>
  <c r="BN2" i="3" s="1"/>
  <c r="BN3" i="3" a="1"/>
  <c r="BN3" i="3" s="1"/>
  <c r="BR3" i="3" s="1"/>
  <c r="BD4" i="3"/>
  <c r="BN4" i="3" a="1"/>
  <c r="BN4" i="3" s="1"/>
  <c r="BD5" i="3"/>
  <c r="BN5" i="3" a="1"/>
  <c r="BN5" i="3" s="1"/>
  <c r="BN7" i="3" a="1"/>
  <c r="BN7" i="3" s="1"/>
  <c r="BR7" i="3" s="1"/>
  <c r="BD8" i="3"/>
  <c r="BN8" i="3" a="1"/>
  <c r="BN8" i="3" s="1"/>
  <c r="BR8" i="3" s="1"/>
  <c r="BN11" i="3" a="1"/>
  <c r="BN11" i="3" s="1"/>
  <c r="P54" i="5"/>
  <c r="Q54" i="5"/>
  <c r="R54" i="5"/>
  <c r="P27" i="5"/>
  <c r="Q27" i="5"/>
  <c r="R27" i="5"/>
  <c r="R41" i="5"/>
  <c r="Q41" i="5"/>
  <c r="P41" i="5"/>
  <c r="P46" i="5"/>
  <c r="Q46" i="5"/>
  <c r="R46" i="5"/>
  <c r="P29" i="5"/>
  <c r="Q29" i="5"/>
  <c r="R72" i="5"/>
  <c r="P36" i="5"/>
  <c r="Q36" i="5"/>
  <c r="R38" i="5"/>
  <c r="P38" i="5"/>
  <c r="Q38" i="5"/>
  <c r="R97" i="5"/>
  <c r="P97" i="5"/>
  <c r="Q97" i="5"/>
  <c r="R26" i="5"/>
  <c r="P26" i="5"/>
  <c r="Q26" i="5"/>
  <c r="P34" i="5"/>
  <c r="Q34" i="5"/>
  <c r="R34" i="5"/>
  <c r="P37" i="5"/>
  <c r="Q37" i="5"/>
  <c r="R37" i="5"/>
  <c r="Q64" i="5"/>
  <c r="R64" i="5"/>
  <c r="P64" i="5"/>
  <c r="P10" i="5"/>
  <c r="Q10" i="5"/>
  <c r="R10" i="5"/>
  <c r="P45" i="5"/>
  <c r="Q45" i="5"/>
  <c r="R45" i="5"/>
  <c r="P24" i="5"/>
  <c r="Q24" i="5"/>
  <c r="R24" i="5"/>
  <c r="P12" i="5"/>
  <c r="Q12" i="5"/>
  <c r="P88" i="5"/>
  <c r="Q88" i="5"/>
  <c r="R88" i="5"/>
  <c r="P112" i="5"/>
  <c r="Q112" i="5"/>
  <c r="R112" i="5"/>
  <c r="P22" i="5"/>
  <c r="Q22" i="5"/>
  <c r="P42" i="5"/>
  <c r="Q42" i="5"/>
  <c r="R42" i="5"/>
  <c r="P61" i="5"/>
  <c r="Q61" i="5"/>
  <c r="R61" i="5"/>
  <c r="Q49" i="5"/>
  <c r="R49" i="5"/>
  <c r="P49" i="5"/>
  <c r="R53" i="5"/>
  <c r="P53" i="5"/>
  <c r="Q53" i="5"/>
  <c r="R50" i="5"/>
  <c r="Q50" i="5"/>
  <c r="P50" i="5"/>
  <c r="P52" i="5"/>
  <c r="Q52" i="5"/>
  <c r="R52" i="5"/>
  <c r="P40" i="5"/>
  <c r="Q68" i="5"/>
  <c r="R32" i="5"/>
  <c r="Q32" i="5"/>
  <c r="R47" i="5"/>
  <c r="Q47" i="5"/>
  <c r="R95" i="5"/>
  <c r="P95" i="5"/>
  <c r="Q95" i="5"/>
  <c r="P96" i="5"/>
  <c r="Q96" i="5"/>
  <c r="Q35" i="5"/>
  <c r="Q23" i="5"/>
  <c r="R23" i="5"/>
  <c r="R44" i="5"/>
  <c r="P44" i="5"/>
  <c r="AV18" i="3"/>
  <c r="AD18" i="1" s="1"/>
  <c r="O18" i="5" s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H41" i="1"/>
  <c r="AG41" i="1"/>
  <c r="AE41" i="1"/>
  <c r="AF41" i="1"/>
  <c r="AE52" i="1"/>
  <c r="AH52" i="1"/>
  <c r="AF52" i="1"/>
  <c r="AG52" i="1"/>
  <c r="AV84" i="3"/>
  <c r="AV54" i="3"/>
  <c r="AV27" i="3"/>
  <c r="AH68" i="1"/>
  <c r="AG68" i="1"/>
  <c r="AE68" i="1"/>
  <c r="AF68" i="1"/>
  <c r="AF40" i="1"/>
  <c r="AE40" i="1"/>
  <c r="AH40" i="1"/>
  <c r="AG40" i="1"/>
  <c r="AF22" i="1"/>
  <c r="AH22" i="1"/>
  <c r="AE22" i="1"/>
  <c r="AG22" i="1"/>
  <c r="AE46" i="1"/>
  <c r="AG46" i="1"/>
  <c r="AF46" i="1"/>
  <c r="AH46" i="1"/>
  <c r="AF61" i="1"/>
  <c r="AG61" i="1"/>
  <c r="AH61" i="1"/>
  <c r="AE61" i="1"/>
  <c r="AV52" i="3"/>
  <c r="AF50" i="1"/>
  <c r="AE50" i="1"/>
  <c r="AH50" i="1"/>
  <c r="AG50" i="1"/>
  <c r="AG29" i="1"/>
  <c r="AH29" i="1"/>
  <c r="AE29" i="1"/>
  <c r="AF29" i="1"/>
  <c r="AF88" i="1"/>
  <c r="AG88" i="1"/>
  <c r="AH88" i="1"/>
  <c r="AE88" i="1"/>
  <c r="AH72" i="1"/>
  <c r="AG72" i="1"/>
  <c r="AE72" i="1"/>
  <c r="AF72" i="1"/>
  <c r="AF36" i="1"/>
  <c r="AG36" i="1"/>
  <c r="AH36" i="1"/>
  <c r="AE36" i="1"/>
  <c r="AG49" i="1"/>
  <c r="AH49" i="1"/>
  <c r="AF49" i="1"/>
  <c r="AE49" i="1"/>
  <c r="AV44" i="3"/>
  <c r="AG34" i="1"/>
  <c r="AE34" i="1"/>
  <c r="AF34" i="1"/>
  <c r="AH34" i="1"/>
  <c r="AF32" i="1"/>
  <c r="AE32" i="1"/>
  <c r="AG32" i="1"/>
  <c r="AH32" i="1"/>
  <c r="AG10" i="1"/>
  <c r="AF10" i="1"/>
  <c r="AE10" i="1"/>
  <c r="AH10" i="1"/>
  <c r="AF35" i="1"/>
  <c r="AG35" i="1"/>
  <c r="AE35" i="1"/>
  <c r="AH35" i="1"/>
  <c r="AG37" i="1"/>
  <c r="AH37" i="1"/>
  <c r="AE37" i="1"/>
  <c r="AF37" i="1"/>
  <c r="AF23" i="1"/>
  <c r="AE23" i="1"/>
  <c r="AG23" i="1"/>
  <c r="AH23" i="1"/>
  <c r="AG53" i="1"/>
  <c r="AE53" i="1"/>
  <c r="AF53" i="1"/>
  <c r="AH53" i="1"/>
  <c r="AE95" i="1"/>
  <c r="AF95" i="1"/>
  <c r="AH95" i="1"/>
  <c r="AG95" i="1"/>
  <c r="AE38" i="1"/>
  <c r="AG38" i="1"/>
  <c r="AF38" i="1"/>
  <c r="AH38" i="1"/>
  <c r="AV50" i="3"/>
  <c r="AV46" i="3"/>
  <c r="AG24" i="1"/>
  <c r="AF24" i="1"/>
  <c r="AH24" i="1"/>
  <c r="AE24" i="1"/>
  <c r="AE67" i="1"/>
  <c r="AG67" i="1"/>
  <c r="AF67" i="1"/>
  <c r="AH67" i="1"/>
  <c r="AE112" i="1"/>
  <c r="AF112" i="1"/>
  <c r="AG112" i="1"/>
  <c r="AH112" i="1"/>
  <c r="AH26" i="1"/>
  <c r="AE26" i="1"/>
  <c r="AG26" i="1"/>
  <c r="AF26" i="1"/>
  <c r="AE45" i="1"/>
  <c r="AF45" i="1"/>
  <c r="AG45" i="1"/>
  <c r="AH45" i="1"/>
  <c r="AF47" i="1"/>
  <c r="AG47" i="1"/>
  <c r="AE47" i="1"/>
  <c r="AH47" i="1"/>
  <c r="AV49" i="3"/>
  <c r="AV97" i="3"/>
  <c r="AE64" i="1"/>
  <c r="AG64" i="1"/>
  <c r="AH64" i="1"/>
  <c r="AF64" i="1"/>
  <c r="AE54" i="1"/>
  <c r="AH54" i="1"/>
  <c r="AF54" i="1"/>
  <c r="AG54" i="1"/>
  <c r="AE96" i="1"/>
  <c r="AF96" i="1"/>
  <c r="AH96" i="1"/>
  <c r="AG96" i="1"/>
  <c r="AE48" i="1"/>
  <c r="AG48" i="1"/>
  <c r="AF48" i="1"/>
  <c r="AH48" i="1"/>
  <c r="AF97" i="1"/>
  <c r="AE97" i="1"/>
  <c r="AH97" i="1"/>
  <c r="AG97" i="1"/>
  <c r="AF12" i="1"/>
  <c r="AG12" i="1"/>
  <c r="AE12" i="1"/>
  <c r="AH12" i="1"/>
  <c r="AF42" i="1"/>
  <c r="AE42" i="1"/>
  <c r="AG42" i="1"/>
  <c r="AH42" i="1"/>
  <c r="AG27" i="1"/>
  <c r="AE27" i="1"/>
  <c r="AF27" i="1"/>
  <c r="AH27" i="1"/>
  <c r="AF44" i="1"/>
  <c r="AH44" i="1"/>
  <c r="AE44" i="1"/>
  <c r="AG44" i="1"/>
  <c r="AV111" i="3"/>
  <c r="AV7" i="3"/>
  <c r="AV5" i="3"/>
  <c r="AV121" i="3"/>
  <c r="AD121" i="1" s="1"/>
  <c r="O121" i="5" s="1"/>
  <c r="AV8" i="3"/>
  <c r="AV11" i="3"/>
  <c r="S2" i="1"/>
  <c r="G2" i="5" s="1"/>
  <c r="AV112" i="3"/>
  <c r="AV113" i="3"/>
  <c r="AV85" i="3"/>
  <c r="AV17" i="3"/>
  <c r="AD17" i="1" s="1"/>
  <c r="O17" i="5" s="1"/>
  <c r="AV83" i="3"/>
  <c r="AD83" i="1" s="1"/>
  <c r="O83" i="5" s="1"/>
  <c r="P83" i="5" s="1"/>
  <c r="AV82" i="3"/>
  <c r="AD82" i="1" s="1"/>
  <c r="O82" i="5" s="1"/>
  <c r="AV45" i="3"/>
  <c r="AV53" i="3"/>
  <c r="AV88" i="3"/>
  <c r="AV42" i="3"/>
  <c r="AV20" i="3"/>
  <c r="AD20" i="1" s="1"/>
  <c r="O20" i="5" s="1"/>
  <c r="AV87" i="3"/>
  <c r="AV96" i="3"/>
  <c r="AV26" i="3"/>
  <c r="CJ2" i="1"/>
  <c r="CI2" i="1"/>
  <c r="X27" i="1"/>
  <c r="X88" i="1"/>
  <c r="X53" i="1"/>
  <c r="X50" i="1"/>
  <c r="X49" i="1"/>
  <c r="X45" i="1"/>
  <c r="X44" i="1"/>
  <c r="AX25" i="3"/>
  <c r="AX29" i="3"/>
  <c r="X29" i="1" s="1"/>
  <c r="AB29" i="1" s="1"/>
  <c r="AX42" i="3"/>
  <c r="X42" i="1" s="1"/>
  <c r="AX51" i="3"/>
  <c r="AX54" i="3"/>
  <c r="X54" i="1" s="1"/>
  <c r="AX96" i="3"/>
  <c r="X96" i="1" s="1"/>
  <c r="AX97" i="3"/>
  <c r="X97" i="1" s="1"/>
  <c r="AX112" i="3"/>
  <c r="AX137" i="3"/>
  <c r="AP2" i="3"/>
  <c r="BE2" i="3" s="1"/>
  <c r="A39" i="14"/>
  <c r="A75" i="14"/>
  <c r="A87" i="14"/>
  <c r="A99" i="14"/>
  <c r="A103" i="14"/>
  <c r="A94" i="14"/>
  <c r="A60" i="14"/>
  <c r="A72" i="14"/>
  <c r="A96" i="14"/>
  <c r="A112" i="14"/>
  <c r="AN5" i="3"/>
  <c r="AO5" i="3" s="1"/>
  <c r="Z5" i="5" s="1"/>
  <c r="A63" i="14"/>
  <c r="V30" i="3"/>
  <c r="A15" i="14"/>
  <c r="CH2" i="1"/>
  <c r="CC2" i="1"/>
  <c r="CF2" i="1"/>
  <c r="CB2" i="1"/>
  <c r="CE2" i="1"/>
  <c r="A10" i="14"/>
  <c r="AM9" i="3"/>
  <c r="A8" i="14"/>
  <c r="A80" i="14"/>
  <c r="A57" i="14"/>
  <c r="A18" i="9"/>
  <c r="A11" i="14"/>
  <c r="A111" i="14"/>
  <c r="A12" i="14"/>
  <c r="A97" i="14"/>
  <c r="A101" i="14"/>
  <c r="V31" i="3"/>
  <c r="A102" i="14"/>
  <c r="A48" i="14"/>
  <c r="A12" i="9"/>
  <c r="A115" i="14"/>
  <c r="A40" i="14"/>
  <c r="AM3" i="3"/>
  <c r="A14" i="9"/>
  <c r="A106" i="14"/>
  <c r="AM7" i="3"/>
  <c r="N2" i="1"/>
  <c r="AZ2" i="1"/>
  <c r="AX2" i="1"/>
  <c r="O2" i="1"/>
  <c r="AN4" i="3"/>
  <c r="AO4" i="3" s="1"/>
  <c r="Z4" i="5" s="1"/>
  <c r="AN8" i="3"/>
  <c r="AO8" i="3" s="1"/>
  <c r="Z8" i="5" s="1"/>
  <c r="BO2" i="1"/>
  <c r="BQ2" i="1" s="1"/>
  <c r="BI2" i="1"/>
  <c r="L153" i="3"/>
  <c r="I153" i="1" s="1"/>
  <c r="L139" i="3"/>
  <c r="I139" i="1" s="1"/>
  <c r="L141" i="3"/>
  <c r="I141" i="1" s="1"/>
  <c r="AO2" i="1"/>
  <c r="J2" i="1" s="1"/>
  <c r="L144" i="3"/>
  <c r="I144" i="1" s="1"/>
  <c r="L145" i="3"/>
  <c r="I145" i="1" s="1"/>
  <c r="L152" i="3"/>
  <c r="I152" i="1" s="1"/>
  <c r="L147" i="3"/>
  <c r="I147" i="1" s="1"/>
  <c r="AM14" i="3"/>
  <c r="L149" i="3"/>
  <c r="I149" i="1" s="1"/>
  <c r="BC2" i="1"/>
  <c r="A21" i="14"/>
  <c r="A13" i="14"/>
  <c r="A85" i="14"/>
  <c r="A9" i="14"/>
  <c r="A22" i="9"/>
  <c r="A73" i="14"/>
  <c r="A6" i="9"/>
  <c r="A113" i="14"/>
  <c r="A49" i="14"/>
  <c r="L75" i="3"/>
  <c r="I75" i="1" s="1"/>
  <c r="L115" i="3"/>
  <c r="I115" i="1" s="1"/>
  <c r="L31" i="3"/>
  <c r="I31" i="1" s="1"/>
  <c r="L148" i="3"/>
  <c r="I148" i="1" s="1"/>
  <c r="L154" i="3"/>
  <c r="I154" i="1" s="1"/>
  <c r="L39" i="3"/>
  <c r="I39" i="1" s="1"/>
  <c r="L156" i="3"/>
  <c r="I156" i="1" s="1"/>
  <c r="L19" i="3"/>
  <c r="I19" i="1" s="1"/>
  <c r="L159" i="3"/>
  <c r="I159" i="1" s="1"/>
  <c r="L142" i="3"/>
  <c r="I142" i="1" s="1"/>
  <c r="L143" i="3"/>
  <c r="I143" i="1" s="1"/>
  <c r="L151" i="3"/>
  <c r="I151" i="1" s="1"/>
  <c r="L146" i="3"/>
  <c r="I146" i="1" s="1"/>
  <c r="AB2" i="1"/>
  <c r="AA2" i="1"/>
  <c r="Z2" i="1"/>
  <c r="AN121" i="3"/>
  <c r="AO121" i="3" s="1"/>
  <c r="AN59" i="3"/>
  <c r="AO59" i="3" s="1"/>
  <c r="Z59" i="5" s="1"/>
  <c r="AN158" i="3"/>
  <c r="AO158" i="3" s="1"/>
  <c r="Z158" i="5" s="1"/>
  <c r="AN99" i="3"/>
  <c r="AO99" i="3" s="1"/>
  <c r="Z99" i="5" s="1"/>
  <c r="AN83" i="3"/>
  <c r="AO83" i="3" s="1"/>
  <c r="AN123" i="3"/>
  <c r="AO123" i="3" s="1"/>
  <c r="Z123" i="5" s="1"/>
  <c r="AN150" i="3"/>
  <c r="AO150" i="3" s="1"/>
  <c r="Z150" i="5" s="1"/>
  <c r="AN114" i="3"/>
  <c r="AO114" i="3" s="1"/>
  <c r="Z114" i="5" s="1"/>
  <c r="AN62" i="3"/>
  <c r="AO62" i="3" s="1"/>
  <c r="AN20" i="3"/>
  <c r="AO20" i="3" s="1"/>
  <c r="Z20" i="5" s="1"/>
  <c r="AN109" i="3"/>
  <c r="AO109" i="3" s="1"/>
  <c r="Z109" i="5" s="1"/>
  <c r="AN138" i="3"/>
  <c r="AO138" i="3" s="1"/>
  <c r="Z138" i="5" s="1"/>
  <c r="AN128" i="3"/>
  <c r="AO128" i="3" s="1"/>
  <c r="Z128" i="5" s="1"/>
  <c r="AN17" i="3"/>
  <c r="AO17" i="3" s="1"/>
  <c r="Z17" i="5" s="1"/>
  <c r="AN85" i="3"/>
  <c r="AO85" i="3" s="1"/>
  <c r="AN100" i="3"/>
  <c r="AO100" i="3" s="1"/>
  <c r="Z100" i="5" s="1"/>
  <c r="AN84" i="3"/>
  <c r="AO84" i="3" s="1"/>
  <c r="AN58" i="3"/>
  <c r="AO58" i="3" s="1"/>
  <c r="Z58" i="5" s="1"/>
  <c r="A90" i="14"/>
  <c r="A18" i="14"/>
  <c r="A13" i="9"/>
  <c r="A64" i="14"/>
  <c r="A51" i="14"/>
  <c r="A3" i="14"/>
  <c r="A93" i="14"/>
  <c r="A36" i="14"/>
  <c r="A84" i="14"/>
  <c r="A27" i="14"/>
  <c r="A23" i="14"/>
  <c r="A82" i="14"/>
  <c r="A110" i="14"/>
  <c r="A34" i="14"/>
  <c r="A70" i="14"/>
  <c r="A22" i="14"/>
  <c r="A7" i="9"/>
  <c r="A88" i="14"/>
  <c r="A16" i="14"/>
  <c r="A66" i="14"/>
  <c r="A15" i="9"/>
  <c r="L157" i="3"/>
  <c r="I157" i="1" s="1"/>
  <c r="A4" i="14"/>
  <c r="A28" i="14"/>
  <c r="A52" i="14"/>
  <c r="A76" i="14"/>
  <c r="A26" i="9"/>
  <c r="A104" i="14"/>
  <c r="A116" i="14"/>
  <c r="A2" i="9"/>
  <c r="A29" i="14"/>
  <c r="A53" i="14"/>
  <c r="A77" i="14"/>
  <c r="L155" i="3"/>
  <c r="I155" i="1" s="1"/>
  <c r="A6" i="14"/>
  <c r="A3" i="9"/>
  <c r="A30" i="14"/>
  <c r="A42" i="14"/>
  <c r="A54" i="14"/>
  <c r="A78" i="14"/>
  <c r="A23" i="9"/>
  <c r="A118" i="14"/>
  <c r="A7" i="14"/>
  <c r="A79" i="14"/>
  <c r="A41" i="14"/>
  <c r="A9" i="9"/>
  <c r="A21" i="9"/>
  <c r="A25" i="14"/>
  <c r="A61" i="14"/>
  <c r="A109" i="14"/>
  <c r="A65" i="14"/>
  <c r="A46" i="14"/>
  <c r="A24" i="14"/>
  <c r="A5" i="14"/>
  <c r="A11" i="9"/>
  <c r="A100" i="14"/>
  <c r="A17" i="14"/>
  <c r="A58" i="14"/>
  <c r="A20" i="14"/>
  <c r="A37" i="14"/>
  <c r="A25" i="9"/>
  <c r="A10" i="9"/>
  <c r="A33" i="14"/>
  <c r="A45" i="14"/>
  <c r="A69" i="14"/>
  <c r="A81" i="14"/>
  <c r="A19" i="9"/>
  <c r="A108" i="14"/>
  <c r="A92" i="14"/>
  <c r="A32" i="14"/>
  <c r="A19" i="14"/>
  <c r="A107" i="14"/>
  <c r="A91" i="14"/>
  <c r="A31" i="14"/>
  <c r="A5" i="9"/>
  <c r="A44" i="14"/>
  <c r="A17" i="9"/>
  <c r="A4" i="9"/>
  <c r="A43" i="14"/>
  <c r="A16" i="9"/>
  <c r="A56" i="14"/>
  <c r="A55" i="14"/>
  <c r="A68" i="14"/>
  <c r="A67" i="14"/>
  <c r="A24" i="9"/>
  <c r="A35" i="14"/>
  <c r="A47" i="14"/>
  <c r="A59" i="14"/>
  <c r="A71" i="14"/>
  <c r="A20" i="9"/>
  <c r="A8" i="9"/>
  <c r="A83" i="14"/>
  <c r="A95" i="14"/>
  <c r="A98" i="14"/>
  <c r="A86" i="14"/>
  <c r="A74" i="14"/>
  <c r="A62" i="14"/>
  <c r="A50" i="14"/>
  <c r="A38" i="14"/>
  <c r="A26" i="14"/>
  <c r="A14" i="14"/>
  <c r="A117" i="14"/>
  <c r="A105" i="14"/>
  <c r="A114" i="14"/>
  <c r="A89" i="14"/>
  <c r="AO44" i="3"/>
  <c r="AO36" i="3"/>
  <c r="Z36" i="5" s="1"/>
  <c r="AO27" i="3"/>
  <c r="AO48" i="3"/>
  <c r="Z48" i="5" s="1"/>
  <c r="AO33" i="3"/>
  <c r="AO69" i="3"/>
  <c r="AN140" i="3"/>
  <c r="AO140" i="3" s="1"/>
  <c r="Z140" i="5" s="1"/>
  <c r="AN57" i="3"/>
  <c r="AO57" i="3" s="1"/>
  <c r="Z57" i="5" s="1"/>
  <c r="AN56" i="3"/>
  <c r="AO56" i="3" s="1"/>
  <c r="Z56" i="5" s="1"/>
  <c r="AN119" i="3"/>
  <c r="AO119" i="3" s="1"/>
  <c r="Z119" i="5" s="1"/>
  <c r="AN55" i="3"/>
  <c r="AO55" i="3" s="1"/>
  <c r="Z55" i="5" s="1"/>
  <c r="AO131" i="3"/>
  <c r="Z131" i="5" s="1"/>
  <c r="AO125" i="3"/>
  <c r="Z125" i="5" s="1"/>
  <c r="AO117" i="3"/>
  <c r="Z117" i="5" s="1"/>
  <c r="AO118" i="3"/>
  <c r="Z118" i="5" s="1"/>
  <c r="AO107" i="3"/>
  <c r="Z107" i="5" s="1"/>
  <c r="AO95" i="3"/>
  <c r="Z95" i="5" s="1"/>
  <c r="AO73" i="3"/>
  <c r="AO65" i="3"/>
  <c r="AO50" i="3"/>
  <c r="Z50" i="5" s="1"/>
  <c r="AO24" i="3"/>
  <c r="Z24" i="5" s="1"/>
  <c r="AO12" i="3"/>
  <c r="Z12" i="5" s="1"/>
  <c r="AO89" i="3"/>
  <c r="AO82" i="3"/>
  <c r="AO49" i="3"/>
  <c r="Z49" i="5" s="1"/>
  <c r="AO41" i="3"/>
  <c r="AQ2" i="3"/>
  <c r="BF2" i="3" s="1"/>
  <c r="AO23" i="3"/>
  <c r="Z23" i="5" s="1"/>
  <c r="AO61" i="3"/>
  <c r="AN156" i="3"/>
  <c r="AO67" i="3"/>
  <c r="AO60" i="3"/>
  <c r="Z60" i="5" s="1"/>
  <c r="AO54" i="3"/>
  <c r="Z54" i="5" s="1"/>
  <c r="AO37" i="3"/>
  <c r="Z37" i="5" s="1"/>
  <c r="AO29" i="3"/>
  <c r="Z29" i="5" s="1"/>
  <c r="AM143" i="3"/>
  <c r="AO130" i="3"/>
  <c r="Z130" i="5" s="1"/>
  <c r="AO116" i="3"/>
  <c r="Z116" i="5" s="1"/>
  <c r="AO76" i="3"/>
  <c r="Z76" i="5" s="1"/>
  <c r="AO129" i="3"/>
  <c r="AO122" i="3"/>
  <c r="Z122" i="5" s="1"/>
  <c r="AO104" i="3"/>
  <c r="Z104" i="5" s="1"/>
  <c r="AO98" i="3"/>
  <c r="Z98" i="5" s="1"/>
  <c r="AM90" i="3"/>
  <c r="AO35" i="3"/>
  <c r="AO34" i="3"/>
  <c r="Z34" i="5" s="1"/>
  <c r="AO10" i="3"/>
  <c r="AO64" i="3"/>
  <c r="AM137" i="3"/>
  <c r="AO22" i="3"/>
  <c r="Z22" i="5" s="1"/>
  <c r="AO134" i="3"/>
  <c r="Z134" i="5" s="1"/>
  <c r="AO127" i="3"/>
  <c r="AO88" i="3"/>
  <c r="AO87" i="3"/>
  <c r="AO68" i="3"/>
  <c r="AO47" i="3"/>
  <c r="Z47" i="5" s="1"/>
  <c r="AO38" i="3"/>
  <c r="Z38" i="5" s="1"/>
  <c r="AO32" i="3"/>
  <c r="AO101" i="3"/>
  <c r="Z101" i="5" s="1"/>
  <c r="AM124" i="3"/>
  <c r="AM78" i="3"/>
  <c r="AO18" i="3"/>
  <c r="Z18" i="5" s="1"/>
  <c r="AN139" i="3"/>
  <c r="AO106" i="3"/>
  <c r="Z106" i="5" s="1"/>
  <c r="AO94" i="3"/>
  <c r="AO77" i="3"/>
  <c r="Z77" i="5" s="1"/>
  <c r="AO40" i="3"/>
  <c r="Z40" i="5" s="1"/>
  <c r="AM139" i="3"/>
  <c r="AN157" i="3"/>
  <c r="AO105" i="3"/>
  <c r="Z105" i="5" s="1"/>
  <c r="AO93" i="3"/>
  <c r="Z93" i="5" s="1"/>
  <c r="AM46" i="3"/>
  <c r="AM157" i="3"/>
  <c r="AO66" i="3"/>
  <c r="AO53" i="3"/>
  <c r="Z53" i="5" s="1"/>
  <c r="AO45" i="3"/>
  <c r="AM30" i="3"/>
  <c r="AO21" i="3"/>
  <c r="Z21" i="5" s="1"/>
  <c r="AM155" i="3"/>
  <c r="AN113" i="3"/>
  <c r="AM52" i="3"/>
  <c r="BO52" i="3" s="1"/>
  <c r="AM151" i="3"/>
  <c r="AM120" i="3"/>
  <c r="AO103" i="3"/>
  <c r="Z103" i="5" s="1"/>
  <c r="AO97" i="3"/>
  <c r="AO72" i="3"/>
  <c r="AM28" i="3"/>
  <c r="AO133" i="3"/>
  <c r="Z133" i="5" s="1"/>
  <c r="AO126" i="3"/>
  <c r="AO81" i="3"/>
  <c r="Z81" i="5" s="1"/>
  <c r="AO42" i="3"/>
  <c r="AO108" i="3"/>
  <c r="Z108" i="5" s="1"/>
  <c r="AO102" i="3"/>
  <c r="Z102" i="5" s="1"/>
  <c r="AO96" i="3"/>
  <c r="AM70" i="3"/>
  <c r="AM145" i="3"/>
  <c r="AM132" i="3"/>
  <c r="AM6" i="3"/>
  <c r="AN144" i="3"/>
  <c r="AN71" i="3"/>
  <c r="AN11" i="3"/>
  <c r="AN2" i="3"/>
  <c r="AM156" i="3"/>
  <c r="AM144" i="3"/>
  <c r="AM113" i="3"/>
  <c r="AM71" i="3"/>
  <c r="AM11" i="3"/>
  <c r="AO160" i="3"/>
  <c r="AN155" i="3"/>
  <c r="AN149" i="3"/>
  <c r="AN143" i="3"/>
  <c r="AN137" i="3"/>
  <c r="AN124" i="3"/>
  <c r="AN112" i="3"/>
  <c r="AN70" i="3"/>
  <c r="AN52" i="3"/>
  <c r="AN46" i="3"/>
  <c r="AN28" i="3"/>
  <c r="AN16" i="3"/>
  <c r="AM149" i="3"/>
  <c r="AM112" i="3"/>
  <c r="AM16" i="3"/>
  <c r="AN154" i="3"/>
  <c r="AN148" i="3"/>
  <c r="AN142" i="3"/>
  <c r="AN136" i="3"/>
  <c r="AN111" i="3"/>
  <c r="AN75" i="3"/>
  <c r="AN63" i="3"/>
  <c r="AN51" i="3"/>
  <c r="AN39" i="3"/>
  <c r="AN15" i="3"/>
  <c r="AN9" i="3"/>
  <c r="AN3" i="3"/>
  <c r="AM154" i="3"/>
  <c r="AM148" i="3"/>
  <c r="AM142" i="3"/>
  <c r="AM136" i="3"/>
  <c r="AM111" i="3"/>
  <c r="AM75" i="3"/>
  <c r="AM63" i="3"/>
  <c r="AM51" i="3"/>
  <c r="AM39" i="3"/>
  <c r="AM15" i="3"/>
  <c r="AN159" i="3"/>
  <c r="AN153" i="3"/>
  <c r="AN147" i="3"/>
  <c r="AN141" i="3"/>
  <c r="AN135" i="3"/>
  <c r="AN110" i="3"/>
  <c r="AN92" i="3"/>
  <c r="AN86" i="3"/>
  <c r="AN74" i="3"/>
  <c r="AN26" i="3"/>
  <c r="AN14" i="3"/>
  <c r="AM159" i="3"/>
  <c r="AM153" i="3"/>
  <c r="AM147" i="3"/>
  <c r="AM141" i="3"/>
  <c r="AM135" i="3"/>
  <c r="AM110" i="3"/>
  <c r="AM92" i="3"/>
  <c r="AM86" i="3"/>
  <c r="AM74" i="3"/>
  <c r="AM26" i="3"/>
  <c r="AN152" i="3"/>
  <c r="AN146" i="3"/>
  <c r="AN115" i="3"/>
  <c r="AN91" i="3"/>
  <c r="AN79" i="3"/>
  <c r="AN43" i="3"/>
  <c r="AN31" i="3"/>
  <c r="AN25" i="3"/>
  <c r="AN19" i="3"/>
  <c r="AN13" i="3"/>
  <c r="AN7" i="3"/>
  <c r="AM152" i="3"/>
  <c r="AM146" i="3"/>
  <c r="AM115" i="3"/>
  <c r="AM91" i="3"/>
  <c r="AM79" i="3"/>
  <c r="AM43" i="3"/>
  <c r="AM31" i="3"/>
  <c r="AM25" i="3"/>
  <c r="AM19" i="3"/>
  <c r="AM13" i="3"/>
  <c r="AN151" i="3"/>
  <c r="AN145" i="3"/>
  <c r="AN120" i="3"/>
  <c r="AN90" i="3"/>
  <c r="AN78" i="3"/>
  <c r="AN30" i="3"/>
  <c r="AN132" i="3"/>
  <c r="AN6" i="3"/>
  <c r="AM2" i="3"/>
  <c r="F28" i="3"/>
  <c r="AS28" i="1" s="1"/>
  <c r="L14" i="3"/>
  <c r="I14" i="1" s="1"/>
  <c r="L15" i="3"/>
  <c r="I15" i="1" s="1"/>
  <c r="L16" i="3"/>
  <c r="I16" i="1" s="1"/>
  <c r="L132" i="3"/>
  <c r="I132" i="1" s="1"/>
  <c r="AA178" i="5" l="1"/>
  <c r="J49" i="5"/>
  <c r="AU185" i="3"/>
  <c r="X187" i="1"/>
  <c r="X188" i="1"/>
  <c r="AD192" i="1"/>
  <c r="AI185" i="1"/>
  <c r="Q192" i="1"/>
  <c r="R192" i="1" s="1"/>
  <c r="J192" i="1"/>
  <c r="K192" i="1"/>
  <c r="BH192" i="1"/>
  <c r="AP192" i="1"/>
  <c r="AB192" i="5" s="1"/>
  <c r="BE192" i="1"/>
  <c r="BD192" i="1"/>
  <c r="AQ192" i="1"/>
  <c r="BS192" i="1" s="1"/>
  <c r="AD191" i="1"/>
  <c r="AI84" i="1"/>
  <c r="AJ84" i="1" s="1"/>
  <c r="AI189" i="1"/>
  <c r="J185" i="1"/>
  <c r="BD185" i="1"/>
  <c r="BE185" i="1"/>
  <c r="AP185" i="1"/>
  <c r="AB185" i="5" s="1"/>
  <c r="K185" i="1"/>
  <c r="BH185" i="1"/>
  <c r="AN185" i="1"/>
  <c r="BK185" i="1"/>
  <c r="AQ185" i="1"/>
  <c r="BS185" i="1" s="1"/>
  <c r="Q186" i="1"/>
  <c r="R186" i="1" s="1"/>
  <c r="BH186" i="1"/>
  <c r="K186" i="1"/>
  <c r="AU186" i="3"/>
  <c r="AU187" i="3"/>
  <c r="AQ186" i="1"/>
  <c r="BS186" i="1" s="1"/>
  <c r="AN186" i="1"/>
  <c r="AP186" i="1"/>
  <c r="AB186" i="5" s="1"/>
  <c r="J186" i="1"/>
  <c r="BE186" i="1"/>
  <c r="BK186" i="1"/>
  <c r="BD186" i="1"/>
  <c r="Q72" i="5"/>
  <c r="J97" i="5"/>
  <c r="H201" i="1"/>
  <c r="H203" i="1"/>
  <c r="H202" i="1"/>
  <c r="H206" i="1"/>
  <c r="H205" i="1"/>
  <c r="H207" i="1"/>
  <c r="AA171" i="5"/>
  <c r="I182" i="5"/>
  <c r="J182" i="5"/>
  <c r="BK75" i="1"/>
  <c r="J75" i="1"/>
  <c r="BK142" i="1"/>
  <c r="J142" i="1"/>
  <c r="BK155" i="1"/>
  <c r="J155" i="1"/>
  <c r="BK74" i="1"/>
  <c r="J74" i="1"/>
  <c r="H200" i="1"/>
  <c r="BK124" i="1"/>
  <c r="J124" i="1"/>
  <c r="BK149" i="1"/>
  <c r="J149" i="1"/>
  <c r="BK15" i="1"/>
  <c r="J15" i="1"/>
  <c r="BK120" i="1"/>
  <c r="J120" i="1"/>
  <c r="BK153" i="1"/>
  <c r="J153" i="1"/>
  <c r="BK139" i="1"/>
  <c r="J139" i="1"/>
  <c r="BK148" i="1"/>
  <c r="J148" i="1"/>
  <c r="BK113" i="1"/>
  <c r="J113" i="1"/>
  <c r="BK156" i="1"/>
  <c r="J156" i="1"/>
  <c r="BK91" i="1"/>
  <c r="J91" i="1"/>
  <c r="BK14" i="1"/>
  <c r="J14" i="1"/>
  <c r="BK141" i="1"/>
  <c r="J141" i="1"/>
  <c r="BK146" i="1"/>
  <c r="J146" i="1"/>
  <c r="BK132" i="1"/>
  <c r="J132" i="1"/>
  <c r="BK86" i="1"/>
  <c r="J86" i="1"/>
  <c r="BK143" i="1"/>
  <c r="J143" i="1"/>
  <c r="BK159" i="1"/>
  <c r="J159" i="1"/>
  <c r="BK90" i="1"/>
  <c r="J90" i="1"/>
  <c r="BK147" i="1"/>
  <c r="J147" i="1"/>
  <c r="BK16" i="1"/>
  <c r="J16" i="1"/>
  <c r="BK154" i="1"/>
  <c r="J154" i="1"/>
  <c r="BK152" i="1"/>
  <c r="J152" i="1"/>
  <c r="BK145" i="1"/>
  <c r="J145" i="1"/>
  <c r="BK136" i="1"/>
  <c r="J136" i="1"/>
  <c r="BK144" i="1"/>
  <c r="J144" i="1"/>
  <c r="BK157" i="1"/>
  <c r="J157" i="1"/>
  <c r="BK19" i="1"/>
  <c r="J19" i="1"/>
  <c r="BK151" i="1"/>
  <c r="J151" i="1"/>
  <c r="H197" i="1"/>
  <c r="R182" i="5"/>
  <c r="Q182" i="5"/>
  <c r="J188" i="5"/>
  <c r="J45" i="5"/>
  <c r="H45" i="5"/>
  <c r="H187" i="5"/>
  <c r="I187" i="5"/>
  <c r="J187" i="5"/>
  <c r="Z184" i="5"/>
  <c r="AA184" i="5"/>
  <c r="Z84" i="5"/>
  <c r="Z189" i="5"/>
  <c r="AA189" i="5"/>
  <c r="AD85" i="1"/>
  <c r="O85" i="5" s="1"/>
  <c r="Q85" i="5" s="1"/>
  <c r="AD193" i="1"/>
  <c r="P181" i="5"/>
  <c r="R181" i="5"/>
  <c r="Q181" i="5"/>
  <c r="Z97" i="5"/>
  <c r="Z188" i="5"/>
  <c r="AA188" i="5"/>
  <c r="AA190" i="5"/>
  <c r="Z190" i="5"/>
  <c r="Z193" i="5"/>
  <c r="AA193" i="5"/>
  <c r="AD84" i="1"/>
  <c r="O84" i="5" s="1"/>
  <c r="Q84" i="5" s="1"/>
  <c r="AD189" i="1"/>
  <c r="H184" i="5"/>
  <c r="I184" i="5"/>
  <c r="Z96" i="5"/>
  <c r="Z187" i="5"/>
  <c r="AA187" i="5"/>
  <c r="J184" i="5"/>
  <c r="AL185" i="1"/>
  <c r="AK185" i="1"/>
  <c r="AJ185" i="1"/>
  <c r="AM185" i="1"/>
  <c r="AA183" i="5"/>
  <c r="Z183" i="5"/>
  <c r="Z182" i="5"/>
  <c r="AA182" i="5"/>
  <c r="O183" i="5"/>
  <c r="AE183" i="1"/>
  <c r="AG183" i="1"/>
  <c r="AF183" i="1"/>
  <c r="AH183" i="1"/>
  <c r="AF192" i="1"/>
  <c r="AH192" i="1"/>
  <c r="AE192" i="1"/>
  <c r="AG192" i="1"/>
  <c r="R184" i="5"/>
  <c r="Q184" i="5"/>
  <c r="P184" i="5"/>
  <c r="Z87" i="5"/>
  <c r="Z194" i="5"/>
  <c r="AA194" i="5"/>
  <c r="Z62" i="5"/>
  <c r="Z181" i="5"/>
  <c r="AA181" i="5"/>
  <c r="AH186" i="1"/>
  <c r="AG186" i="1"/>
  <c r="AF186" i="1"/>
  <c r="AE186" i="1"/>
  <c r="Z94" i="5"/>
  <c r="Z196" i="5"/>
  <c r="AA196" i="5"/>
  <c r="Z88" i="5"/>
  <c r="Z195" i="5"/>
  <c r="AA195" i="5"/>
  <c r="T193" i="5"/>
  <c r="U193" i="5"/>
  <c r="V193" i="5"/>
  <c r="I27" i="5"/>
  <c r="J27" i="5"/>
  <c r="BR195" i="1"/>
  <c r="BW195" i="1" s="1"/>
  <c r="I67" i="5"/>
  <c r="H67" i="5"/>
  <c r="H93" i="1"/>
  <c r="H99" i="1"/>
  <c r="H138" i="1"/>
  <c r="H55" i="1"/>
  <c r="H190" i="1"/>
  <c r="H130" i="1"/>
  <c r="H59" i="1"/>
  <c r="H133" i="1"/>
  <c r="H117" i="1"/>
  <c r="H134" i="1"/>
  <c r="H58" i="1"/>
  <c r="H128" i="1"/>
  <c r="H94" i="1"/>
  <c r="H126" i="1"/>
  <c r="H62" i="1"/>
  <c r="H131" i="1"/>
  <c r="H109" i="1"/>
  <c r="H77" i="1"/>
  <c r="H119" i="1"/>
  <c r="H76" i="1"/>
  <c r="H196" i="1"/>
  <c r="H116" i="1"/>
  <c r="H57" i="1"/>
  <c r="H56" i="1"/>
  <c r="H165" i="1"/>
  <c r="H100" i="1"/>
  <c r="H60" i="1"/>
  <c r="H162" i="1"/>
  <c r="H140" i="1"/>
  <c r="H89" i="1"/>
  <c r="H166" i="1"/>
  <c r="H163" i="1"/>
  <c r="H161" i="1"/>
  <c r="H173" i="1"/>
  <c r="H178" i="1"/>
  <c r="H176" i="1"/>
  <c r="H171" i="1"/>
  <c r="H179" i="1"/>
  <c r="H172" i="1"/>
  <c r="H175" i="1"/>
  <c r="H177" i="1"/>
  <c r="AD87" i="1"/>
  <c r="O87" i="5" s="1"/>
  <c r="Q87" i="5" s="1"/>
  <c r="AD194" i="1"/>
  <c r="O194" i="5" s="1"/>
  <c r="AH191" i="1"/>
  <c r="AF191" i="1"/>
  <c r="AE191" i="1"/>
  <c r="AG191" i="1"/>
  <c r="BE71" i="3"/>
  <c r="E191" i="5" s="1"/>
  <c r="Q191" i="1"/>
  <c r="BZ2" i="1"/>
  <c r="BZ3" i="1"/>
  <c r="BW128" i="1"/>
  <c r="BW62" i="1"/>
  <c r="BW165" i="1"/>
  <c r="BW126" i="1"/>
  <c r="BW162" i="1"/>
  <c r="BK7" i="1"/>
  <c r="BZ7" i="1"/>
  <c r="BK11" i="1"/>
  <c r="BZ11" i="1"/>
  <c r="BK4" i="1"/>
  <c r="BZ4" i="1"/>
  <c r="CA4" i="1" s="1"/>
  <c r="BK5" i="1"/>
  <c r="BZ5" i="1"/>
  <c r="BK8" i="1"/>
  <c r="BZ8" i="1"/>
  <c r="AZ8" i="1"/>
  <c r="BK3" i="1"/>
  <c r="V82" i="5"/>
  <c r="BD86" i="1"/>
  <c r="BE86" i="1"/>
  <c r="BD148" i="1"/>
  <c r="BE148" i="1"/>
  <c r="BD51" i="1"/>
  <c r="BE51" i="1"/>
  <c r="BC3" i="3"/>
  <c r="BJ3" i="3" s="1"/>
  <c r="BD3" i="1"/>
  <c r="BE3" i="1"/>
  <c r="BD74" i="1"/>
  <c r="BE74" i="1"/>
  <c r="BC52" i="3"/>
  <c r="BD52" i="1"/>
  <c r="BE52" i="1"/>
  <c r="BC30" i="3"/>
  <c r="BJ30" i="3" s="1"/>
  <c r="BD30" i="1"/>
  <c r="BE30" i="1"/>
  <c r="BD90" i="1"/>
  <c r="BE90" i="1"/>
  <c r="BD120" i="1"/>
  <c r="BE120" i="1"/>
  <c r="BD154" i="1"/>
  <c r="BE154" i="1"/>
  <c r="BD14" i="1"/>
  <c r="BE14" i="1"/>
  <c r="BD157" i="1"/>
  <c r="BE157" i="1"/>
  <c r="BD156" i="1"/>
  <c r="BE156" i="1"/>
  <c r="BC28" i="3"/>
  <c r="BD28" i="1"/>
  <c r="BE28" i="1"/>
  <c r="BD115" i="1"/>
  <c r="BE115" i="1"/>
  <c r="BD11" i="1"/>
  <c r="BE11" i="1"/>
  <c r="BC2" i="3"/>
  <c r="BD2" i="1"/>
  <c r="BE2" i="1"/>
  <c r="BD152" i="1"/>
  <c r="BE152" i="1"/>
  <c r="BC43" i="3"/>
  <c r="BD43" i="1"/>
  <c r="BE43" i="1"/>
  <c r="BC63" i="3"/>
  <c r="BD63" i="1"/>
  <c r="BE63" i="1"/>
  <c r="BD16" i="1"/>
  <c r="BE16" i="1"/>
  <c r="BD113" i="1"/>
  <c r="BE113" i="1"/>
  <c r="BC92" i="3"/>
  <c r="BJ92" i="3" s="1"/>
  <c r="BD92" i="1"/>
  <c r="BE92" i="1"/>
  <c r="BC135" i="3"/>
  <c r="BD135" i="1"/>
  <c r="BE135" i="1"/>
  <c r="BD147" i="1"/>
  <c r="BE147" i="1"/>
  <c r="BD153" i="1"/>
  <c r="BE153" i="1"/>
  <c r="BC79" i="3"/>
  <c r="BD79" i="1"/>
  <c r="BE79" i="1"/>
  <c r="BC71" i="3"/>
  <c r="BJ71" i="3" s="1"/>
  <c r="BD71" i="1"/>
  <c r="BE71" i="1"/>
  <c r="BD70" i="1"/>
  <c r="BE70" i="1"/>
  <c r="BC6" i="3"/>
  <c r="BD6" i="1"/>
  <c r="BE6" i="1"/>
  <c r="BC110" i="3"/>
  <c r="BD110" i="1"/>
  <c r="BE110" i="1"/>
  <c r="BD91" i="1"/>
  <c r="BE91" i="1"/>
  <c r="BD155" i="1"/>
  <c r="BE155" i="1"/>
  <c r="BD151" i="1"/>
  <c r="BE151" i="1"/>
  <c r="BD146" i="1"/>
  <c r="BE146" i="1"/>
  <c r="BC9" i="3"/>
  <c r="BJ9" i="3" s="1"/>
  <c r="BD9" i="1"/>
  <c r="BE9" i="1"/>
  <c r="BC7" i="3"/>
  <c r="BJ7" i="3" s="1"/>
  <c r="BD7" i="1"/>
  <c r="BE7" i="1"/>
  <c r="BD132" i="1"/>
  <c r="BE132" i="1"/>
  <c r="BD145" i="1"/>
  <c r="BE145" i="1"/>
  <c r="BD137" i="1"/>
  <c r="BE137" i="1"/>
  <c r="BC13" i="3"/>
  <c r="BD13" i="1"/>
  <c r="BE13" i="1"/>
  <c r="BC25" i="3"/>
  <c r="BJ25" i="3" s="1"/>
  <c r="BD25" i="1"/>
  <c r="BE25" i="1"/>
  <c r="BD136" i="1"/>
  <c r="BE136" i="1"/>
  <c r="BC112" i="3"/>
  <c r="BD112" i="1"/>
  <c r="BE112" i="1"/>
  <c r="BC111" i="3"/>
  <c r="BD111" i="1"/>
  <c r="BE111" i="1"/>
  <c r="BC39" i="3"/>
  <c r="BJ39" i="3" s="1"/>
  <c r="BD39" i="1"/>
  <c r="BE39" i="1"/>
  <c r="BD159" i="1"/>
  <c r="BE159" i="1"/>
  <c r="BD142" i="1"/>
  <c r="BE142" i="1"/>
  <c r="BD31" i="1"/>
  <c r="BE31" i="1"/>
  <c r="BD124" i="1"/>
  <c r="BE124" i="1"/>
  <c r="BC46" i="3"/>
  <c r="BD46" i="1"/>
  <c r="BE46" i="1"/>
  <c r="BD144" i="1"/>
  <c r="BE144" i="1"/>
  <c r="BD143" i="1"/>
  <c r="BE143" i="1"/>
  <c r="BD19" i="1"/>
  <c r="BE19" i="1"/>
  <c r="BC26" i="3"/>
  <c r="BD26" i="1"/>
  <c r="BE26" i="1"/>
  <c r="BC78" i="3"/>
  <c r="BJ78" i="3" s="1"/>
  <c r="BD78" i="1"/>
  <c r="BE78" i="1"/>
  <c r="BD149" i="1"/>
  <c r="BE149" i="1"/>
  <c r="BD15" i="1"/>
  <c r="BE15" i="1"/>
  <c r="BD141" i="1"/>
  <c r="BE141" i="1"/>
  <c r="BD139" i="1"/>
  <c r="BE139" i="1"/>
  <c r="BD75" i="1"/>
  <c r="BE75" i="1"/>
  <c r="U82" i="5"/>
  <c r="I125" i="5"/>
  <c r="I47" i="5"/>
  <c r="J47" i="5"/>
  <c r="BC75" i="3"/>
  <c r="BC14" i="3"/>
  <c r="BJ14" i="3" s="1"/>
  <c r="BC90" i="3"/>
  <c r="BC124" i="3"/>
  <c r="BC74" i="3"/>
  <c r="BC19" i="3"/>
  <c r="BC86" i="3"/>
  <c r="BJ86" i="3" s="1"/>
  <c r="BC154" i="3"/>
  <c r="BC153" i="3"/>
  <c r="BC149" i="3"/>
  <c r="BJ149" i="3" s="1"/>
  <c r="BC152" i="3"/>
  <c r="BC145" i="3"/>
  <c r="BJ145" i="3" s="1"/>
  <c r="BC113" i="3"/>
  <c r="BJ113" i="3" s="1"/>
  <c r="BC144" i="3"/>
  <c r="BJ144" i="3" s="1"/>
  <c r="BC143" i="3"/>
  <c r="BJ143" i="3" s="1"/>
  <c r="BC159" i="3"/>
  <c r="BC142" i="3"/>
  <c r="BJ142" i="3" s="1"/>
  <c r="BC157" i="3"/>
  <c r="BC141" i="3"/>
  <c r="BJ141" i="3" s="1"/>
  <c r="BC139" i="3"/>
  <c r="BJ139" i="3" s="1"/>
  <c r="BC136" i="3"/>
  <c r="BJ136" i="3" s="1"/>
  <c r="BC91" i="3"/>
  <c r="BJ91" i="3" s="1"/>
  <c r="BC155" i="3"/>
  <c r="BC151" i="3"/>
  <c r="BC147" i="3"/>
  <c r="BJ147" i="3" s="1"/>
  <c r="BC146" i="3"/>
  <c r="BJ146" i="3" s="1"/>
  <c r="Z33" i="5"/>
  <c r="AA33" i="5"/>
  <c r="AA48" i="5"/>
  <c r="AA158" i="5"/>
  <c r="AA87" i="5"/>
  <c r="AA77" i="5"/>
  <c r="AA106" i="5"/>
  <c r="AA38" i="5"/>
  <c r="AA99" i="5"/>
  <c r="AA21" i="5"/>
  <c r="Z27" i="5"/>
  <c r="AA27" i="5"/>
  <c r="BC16" i="3"/>
  <c r="BJ16" i="3" s="1"/>
  <c r="Z72" i="5"/>
  <c r="AA72" i="5"/>
  <c r="Z66" i="5"/>
  <c r="AA66" i="5"/>
  <c r="Z41" i="5"/>
  <c r="AA41" i="5"/>
  <c r="Z83" i="5"/>
  <c r="AA83" i="5"/>
  <c r="BC51" i="3"/>
  <c r="BC132" i="3"/>
  <c r="AA47" i="5"/>
  <c r="AA123" i="5"/>
  <c r="AA101" i="5"/>
  <c r="AA40" i="5"/>
  <c r="AA117" i="5"/>
  <c r="AA81" i="5"/>
  <c r="AA12" i="5"/>
  <c r="AA102" i="5"/>
  <c r="AA36" i="5"/>
  <c r="AA59" i="5"/>
  <c r="AA118" i="5"/>
  <c r="Z160" i="5"/>
  <c r="AA160" i="5"/>
  <c r="Z64" i="5"/>
  <c r="AA64" i="5"/>
  <c r="Z82" i="5"/>
  <c r="AA82" i="5"/>
  <c r="Z85" i="5"/>
  <c r="AA85" i="5"/>
  <c r="BC70" i="3"/>
  <c r="BJ70" i="3" s="1"/>
  <c r="AA37" i="5"/>
  <c r="AA125" i="5"/>
  <c r="AA34" i="5"/>
  <c r="AA93" i="5"/>
  <c r="AA58" i="5"/>
  <c r="Z44" i="5"/>
  <c r="AA44" i="5"/>
  <c r="AA20" i="5"/>
  <c r="AA94" i="5"/>
  <c r="AA57" i="5"/>
  <c r="AA100" i="5"/>
  <c r="AA54" i="5"/>
  <c r="AA24" i="5"/>
  <c r="AA17" i="5"/>
  <c r="AA4" i="5"/>
  <c r="AA97" i="5"/>
  <c r="AA122" i="5"/>
  <c r="AA130" i="5"/>
  <c r="AA56" i="5"/>
  <c r="Z35" i="5"/>
  <c r="AA35" i="5"/>
  <c r="BC156" i="3"/>
  <c r="AA131" i="5"/>
  <c r="AA134" i="5"/>
  <c r="AA60" i="5"/>
  <c r="BC15" i="3"/>
  <c r="BJ15" i="3" s="1"/>
  <c r="AA23" i="5"/>
  <c r="AA114" i="5"/>
  <c r="AA104" i="5"/>
  <c r="AA50" i="5"/>
  <c r="BC11" i="3"/>
  <c r="BJ11" i="3" s="1"/>
  <c r="AA8" i="5"/>
  <c r="AA133" i="5"/>
  <c r="AA55" i="5"/>
  <c r="AA119" i="5"/>
  <c r="BC148" i="3"/>
  <c r="BJ148" i="3" s="1"/>
  <c r="AA53" i="5"/>
  <c r="AA18" i="5"/>
  <c r="AA150" i="5"/>
  <c r="AA105" i="5"/>
  <c r="AA29" i="5"/>
  <c r="AA84" i="5"/>
  <c r="Z42" i="5"/>
  <c r="AA42" i="5"/>
  <c r="Z68" i="5"/>
  <c r="AA68" i="5"/>
  <c r="Z67" i="5"/>
  <c r="AA67" i="5"/>
  <c r="Z65" i="5"/>
  <c r="AA65" i="5"/>
  <c r="Z73" i="5"/>
  <c r="AA73" i="5"/>
  <c r="Z69" i="5"/>
  <c r="AA69" i="5"/>
  <c r="BC137" i="3"/>
  <c r="BC120" i="3"/>
  <c r="AA49" i="5"/>
  <c r="AA161" i="5"/>
  <c r="AA108" i="5"/>
  <c r="AA88" i="5"/>
  <c r="AA5" i="5"/>
  <c r="AA109" i="5"/>
  <c r="AA128" i="5"/>
  <c r="Z10" i="5"/>
  <c r="AA10" i="5"/>
  <c r="Z89" i="5"/>
  <c r="AA89" i="5"/>
  <c r="Z32" i="5"/>
  <c r="AA32" i="5"/>
  <c r="Z121" i="5"/>
  <c r="AA121" i="5"/>
  <c r="Z126" i="5"/>
  <c r="AA126" i="5"/>
  <c r="Z61" i="5"/>
  <c r="AA61" i="5"/>
  <c r="BC31" i="3"/>
  <c r="AA98" i="5"/>
  <c r="AA107" i="5"/>
  <c r="AA62" i="5"/>
  <c r="AA140" i="5"/>
  <c r="AA138" i="5"/>
  <c r="Z45" i="5"/>
  <c r="AA45" i="5"/>
  <c r="Z127" i="5"/>
  <c r="AA127" i="5"/>
  <c r="Z129" i="5"/>
  <c r="AA129" i="5"/>
  <c r="BC115" i="3"/>
  <c r="AA96" i="5"/>
  <c r="AA76" i="5"/>
  <c r="AA103" i="5"/>
  <c r="AA95" i="5"/>
  <c r="AA22" i="5"/>
  <c r="AA116" i="5"/>
  <c r="I66" i="5"/>
  <c r="J66" i="5"/>
  <c r="BJ4" i="3"/>
  <c r="BR4" i="3"/>
  <c r="J42" i="5"/>
  <c r="I42" i="5"/>
  <c r="J125" i="5"/>
  <c r="BR40" i="1"/>
  <c r="H40" i="1" s="1"/>
  <c r="BR24" i="1"/>
  <c r="H24" i="1" s="1"/>
  <c r="BR22" i="1"/>
  <c r="H22" i="1" s="1"/>
  <c r="BR37" i="1"/>
  <c r="H37" i="1" s="1"/>
  <c r="BR48" i="1"/>
  <c r="H48" i="1" s="1"/>
  <c r="BR12" i="1"/>
  <c r="H12" i="1" s="1"/>
  <c r="BR41" i="1"/>
  <c r="H41" i="1" s="1"/>
  <c r="BR95" i="1"/>
  <c r="H95" i="1" s="1"/>
  <c r="BR23" i="1"/>
  <c r="H23" i="1" s="1"/>
  <c r="BR61" i="1"/>
  <c r="H61" i="1" s="1"/>
  <c r="BR47" i="1"/>
  <c r="H47" i="1" s="1"/>
  <c r="BR38" i="1"/>
  <c r="H38" i="1" s="1"/>
  <c r="T85" i="5"/>
  <c r="V85" i="5"/>
  <c r="H97" i="5"/>
  <c r="I97" i="5"/>
  <c r="AE21" i="1"/>
  <c r="R48" i="5"/>
  <c r="I44" i="5"/>
  <c r="R21" i="5"/>
  <c r="AU164" i="3"/>
  <c r="AT164" i="3"/>
  <c r="BR164" i="1" s="1"/>
  <c r="H164" i="1" s="1"/>
  <c r="H44" i="5"/>
  <c r="AH21" i="1"/>
  <c r="AG73" i="1"/>
  <c r="AE73" i="1"/>
  <c r="AH73" i="1"/>
  <c r="AF73" i="1"/>
  <c r="AF129" i="1"/>
  <c r="AE129" i="1"/>
  <c r="AH129" i="1"/>
  <c r="AF21" i="1"/>
  <c r="AG21" i="1"/>
  <c r="BA51" i="3"/>
  <c r="P48" i="5"/>
  <c r="R67" i="5"/>
  <c r="AG129" i="1"/>
  <c r="Q21" i="5"/>
  <c r="P73" i="5"/>
  <c r="P21" i="5"/>
  <c r="R73" i="5"/>
  <c r="R129" i="5"/>
  <c r="Q67" i="5"/>
  <c r="BR11" i="3"/>
  <c r="Q48" i="5"/>
  <c r="S8" i="1"/>
  <c r="W8" i="1" s="1"/>
  <c r="AG65" i="1"/>
  <c r="Q125" i="5"/>
  <c r="AF65" i="1"/>
  <c r="R66" i="5"/>
  <c r="AH125" i="1"/>
  <c r="AZ4" i="3"/>
  <c r="AF125" i="1"/>
  <c r="AH65" i="1"/>
  <c r="Q129" i="5"/>
  <c r="S5" i="1"/>
  <c r="V5" i="1" s="1"/>
  <c r="AG125" i="1"/>
  <c r="S11" i="1"/>
  <c r="U11" i="1" s="1"/>
  <c r="R65" i="5"/>
  <c r="R125" i="5"/>
  <c r="BK97" i="3"/>
  <c r="BS54" i="3"/>
  <c r="BM113" i="3"/>
  <c r="BS97" i="3"/>
  <c r="K188" i="5" s="1"/>
  <c r="BK42" i="3"/>
  <c r="BA112" i="3"/>
  <c r="AS5" i="3"/>
  <c r="P65" i="5"/>
  <c r="AZ5" i="3"/>
  <c r="BL5" i="3" s="1"/>
  <c r="AE125" i="1"/>
  <c r="AE65" i="1"/>
  <c r="R69" i="5"/>
  <c r="BA137" i="3"/>
  <c r="Z29" i="1"/>
  <c r="AA29" i="1"/>
  <c r="Q66" i="5"/>
  <c r="AH66" i="1"/>
  <c r="P66" i="5"/>
  <c r="AE69" i="1"/>
  <c r="AF66" i="1"/>
  <c r="BM5" i="3"/>
  <c r="AH69" i="1"/>
  <c r="AG66" i="1"/>
  <c r="BR5" i="3"/>
  <c r="Y29" i="1"/>
  <c r="AF69" i="1"/>
  <c r="AE66" i="1"/>
  <c r="Q69" i="5"/>
  <c r="BA26" i="3"/>
  <c r="AG69" i="1"/>
  <c r="AS11" i="3"/>
  <c r="AS3" i="3"/>
  <c r="K29" i="5"/>
  <c r="L29" i="5" s="1"/>
  <c r="BI52" i="3"/>
  <c r="F52" i="5" s="1"/>
  <c r="BA52" i="3"/>
  <c r="BM25" i="3"/>
  <c r="BQ16" i="3"/>
  <c r="D16" i="5" s="1"/>
  <c r="BI16" i="3"/>
  <c r="F16" i="5" s="1"/>
  <c r="E16" i="5"/>
  <c r="BS42" i="3"/>
  <c r="AZ153" i="3"/>
  <c r="AS153" i="3"/>
  <c r="BH153" i="3"/>
  <c r="BP153" i="3" s="1"/>
  <c r="BT153" i="3" s="1"/>
  <c r="BH149" i="1"/>
  <c r="AP149" i="1"/>
  <c r="AB149" i="5" s="1"/>
  <c r="Q149" i="1"/>
  <c r="R149" i="1" s="1"/>
  <c r="AQ149" i="1"/>
  <c r="BS149" i="1" s="1"/>
  <c r="K149" i="1"/>
  <c r="AN149" i="1"/>
  <c r="BH152" i="1"/>
  <c r="Q152" i="1"/>
  <c r="R152" i="1" s="1"/>
  <c r="K152" i="1"/>
  <c r="AQ152" i="1"/>
  <c r="BS152" i="1" s="1"/>
  <c r="AP152" i="1"/>
  <c r="AB152" i="5" s="1"/>
  <c r="AN152" i="1"/>
  <c r="BI148" i="3"/>
  <c r="F148" i="5" s="1"/>
  <c r="BQ148" i="3"/>
  <c r="D148" i="5" s="1"/>
  <c r="E148" i="5"/>
  <c r="BQ145" i="3"/>
  <c r="D145" i="5" s="1"/>
  <c r="BI145" i="3"/>
  <c r="F145" i="5" s="1"/>
  <c r="E145" i="5"/>
  <c r="BF74" i="3"/>
  <c r="S185" i="5" s="1"/>
  <c r="AI74" i="1"/>
  <c r="AJ74" i="1" s="1"/>
  <c r="BF46" i="3"/>
  <c r="BR46" i="3" s="1"/>
  <c r="S46" i="1"/>
  <c r="AS46" i="3"/>
  <c r="X46" i="1" s="1"/>
  <c r="Q9" i="1"/>
  <c r="R9" i="1" s="1"/>
  <c r="K9" i="1"/>
  <c r="AP9" i="1"/>
  <c r="AB9" i="5" s="1"/>
  <c r="BH9" i="1"/>
  <c r="AQ9" i="1"/>
  <c r="BS9" i="1" s="1"/>
  <c r="S20" i="5"/>
  <c r="AK20" i="1"/>
  <c r="AL20" i="1"/>
  <c r="AM20" i="1"/>
  <c r="BQ52" i="3"/>
  <c r="D52" i="5" s="1"/>
  <c r="E52" i="5"/>
  <c r="BG52" i="3"/>
  <c r="BH6" i="3"/>
  <c r="AS6" i="3"/>
  <c r="AZ6" i="3"/>
  <c r="S18" i="5"/>
  <c r="AL18" i="1"/>
  <c r="AK18" i="1"/>
  <c r="AM18" i="1"/>
  <c r="BH142" i="3"/>
  <c r="BP142" i="3" s="1"/>
  <c r="BT142" i="3" s="1"/>
  <c r="AZ142" i="3"/>
  <c r="AS142" i="3"/>
  <c r="AZ63" i="3"/>
  <c r="BH63" i="3"/>
  <c r="AS63" i="3"/>
  <c r="BM11" i="3"/>
  <c r="AZ157" i="3"/>
  <c r="AS157" i="3"/>
  <c r="BH157" i="3"/>
  <c r="BP157" i="3" s="1"/>
  <c r="BT157" i="3" s="1"/>
  <c r="BM92" i="3"/>
  <c r="BI8" i="3"/>
  <c r="F8" i="5" s="1"/>
  <c r="BQ8" i="3"/>
  <c r="D8" i="5" s="1"/>
  <c r="E8" i="5"/>
  <c r="S123" i="5"/>
  <c r="AM123" i="1"/>
  <c r="AK123" i="1"/>
  <c r="AL123" i="1"/>
  <c r="AZ136" i="3"/>
  <c r="AS136" i="3"/>
  <c r="BH136" i="3"/>
  <c r="BQ28" i="3"/>
  <c r="D28" i="5" s="1"/>
  <c r="E28" i="5"/>
  <c r="BI28" i="3"/>
  <c r="F28" i="5" s="1"/>
  <c r="BH90" i="3"/>
  <c r="BP90" i="3" s="1"/>
  <c r="BT90" i="3" s="1"/>
  <c r="AS90" i="3"/>
  <c r="AZ90" i="3"/>
  <c r="AS4" i="3"/>
  <c r="E147" i="5"/>
  <c r="BI147" i="3"/>
  <c r="F147" i="5" s="1"/>
  <c r="BQ147" i="3"/>
  <c r="D147" i="5" s="1"/>
  <c r="E146" i="5"/>
  <c r="BI146" i="3"/>
  <c r="BQ146" i="3"/>
  <c r="D146" i="5" s="1"/>
  <c r="BH25" i="3"/>
  <c r="AZ25" i="3"/>
  <c r="K16" i="1"/>
  <c r="AP16" i="1"/>
  <c r="AB16" i="5" s="1"/>
  <c r="Q16" i="1"/>
  <c r="R16" i="1" s="1"/>
  <c r="BH16" i="1"/>
  <c r="AN16" i="1"/>
  <c r="AQ16" i="1"/>
  <c r="BS16" i="1" s="1"/>
  <c r="K148" i="1"/>
  <c r="AN148" i="1"/>
  <c r="BH148" i="1"/>
  <c r="AP148" i="1"/>
  <c r="AB148" i="5" s="1"/>
  <c r="AQ148" i="1"/>
  <c r="BS148" i="1" s="1"/>
  <c r="Q148" i="1"/>
  <c r="R148" i="1" s="1"/>
  <c r="BQ124" i="3"/>
  <c r="D124" i="5" s="1"/>
  <c r="BI124" i="3"/>
  <c r="F124" i="5" s="1"/>
  <c r="E124" i="5"/>
  <c r="T83" i="5"/>
  <c r="U83" i="5"/>
  <c r="V83" i="5"/>
  <c r="BM145" i="3"/>
  <c r="BH91" i="1"/>
  <c r="AQ91" i="1"/>
  <c r="BS91" i="1" s="1"/>
  <c r="AN91" i="1"/>
  <c r="K91" i="1"/>
  <c r="Q91" i="1"/>
  <c r="R91" i="1" s="1"/>
  <c r="AP91" i="1"/>
  <c r="AB91" i="5" s="1"/>
  <c r="BH19" i="3"/>
  <c r="BP19" i="3" s="1"/>
  <c r="BT19" i="3" s="1"/>
  <c r="AS19" i="3"/>
  <c r="AZ19" i="3"/>
  <c r="Q132" i="1"/>
  <c r="R132" i="1" s="1"/>
  <c r="AP132" i="1"/>
  <c r="AB132" i="5" s="1"/>
  <c r="BH132" i="1"/>
  <c r="K132" i="1"/>
  <c r="AQ132" i="1"/>
  <c r="BS132" i="1" s="1"/>
  <c r="AN132" i="1"/>
  <c r="AQ4" i="1"/>
  <c r="BS4" i="1" s="1"/>
  <c r="BM147" i="3"/>
  <c r="BM78" i="3"/>
  <c r="BM146" i="3"/>
  <c r="BM144" i="3"/>
  <c r="BH143" i="3"/>
  <c r="BP143" i="3" s="1"/>
  <c r="BT143" i="3" s="1"/>
  <c r="AZ143" i="3"/>
  <c r="AS143" i="3"/>
  <c r="BH70" i="3"/>
  <c r="BP70" i="3" s="1"/>
  <c r="BT70" i="3" s="1"/>
  <c r="AZ70" i="3"/>
  <c r="AS70" i="3"/>
  <c r="N64" i="1"/>
  <c r="O64" i="1"/>
  <c r="E9" i="5"/>
  <c r="BQ9" i="3"/>
  <c r="D9" i="5" s="1"/>
  <c r="BI9" i="3"/>
  <c r="F9" i="5" s="1"/>
  <c r="BF112" i="3"/>
  <c r="BR112" i="3" s="1"/>
  <c r="S112" i="1"/>
  <c r="AS112" i="3"/>
  <c r="X112" i="1" s="1"/>
  <c r="BF111" i="3"/>
  <c r="BR111" i="3" s="1"/>
  <c r="S111" i="1"/>
  <c r="AP70" i="1"/>
  <c r="AB70" i="5" s="1"/>
  <c r="BH70" i="1"/>
  <c r="Q70" i="1"/>
  <c r="R70" i="1" s="1"/>
  <c r="K70" i="1"/>
  <c r="AQ70" i="1"/>
  <c r="BS70" i="1" s="1"/>
  <c r="Q31" i="1"/>
  <c r="R31" i="1" s="1"/>
  <c r="K31" i="1"/>
  <c r="BH31" i="1"/>
  <c r="AP31" i="1"/>
  <c r="AB31" i="5" s="1"/>
  <c r="AQ31" i="1"/>
  <c r="BS31" i="1" s="1"/>
  <c r="BI92" i="3"/>
  <c r="F92" i="5" s="1"/>
  <c r="E92" i="5"/>
  <c r="BQ92" i="3"/>
  <c r="D92" i="5" s="1"/>
  <c r="BF5" i="1"/>
  <c r="BG5" i="1"/>
  <c r="BP5" i="1" s="1" a="1"/>
  <c r="BP5" i="1" s="1"/>
  <c r="CD5" i="1"/>
  <c r="BM86" i="3"/>
  <c r="AP25" i="1"/>
  <c r="AB25" i="5" s="1"/>
  <c r="K25" i="1"/>
  <c r="BH25" i="1"/>
  <c r="Q25" i="1"/>
  <c r="R25" i="1" s="1"/>
  <c r="AQ25" i="1"/>
  <c r="BS25" i="1" s="1"/>
  <c r="BI15" i="3"/>
  <c r="F15" i="5" s="1"/>
  <c r="E15" i="5"/>
  <c r="BQ15" i="3"/>
  <c r="D15" i="5" s="1"/>
  <c r="BI152" i="3"/>
  <c r="F152" i="5" s="1"/>
  <c r="E152" i="5"/>
  <c r="BQ152" i="3"/>
  <c r="D152" i="5" s="1"/>
  <c r="BQ132" i="3"/>
  <c r="D132" i="5" s="1"/>
  <c r="BI132" i="3"/>
  <c r="F132" i="5" s="1"/>
  <c r="E132" i="5"/>
  <c r="BF151" i="3"/>
  <c r="BR151" i="3" s="1"/>
  <c r="AI151" i="1"/>
  <c r="AJ151" i="1" s="1"/>
  <c r="S158" i="5"/>
  <c r="AM158" i="1"/>
  <c r="AK158" i="1"/>
  <c r="AL158" i="1"/>
  <c r="BF154" i="3"/>
  <c r="AI154" i="1"/>
  <c r="AJ154" i="1" s="1"/>
  <c r="I64" i="5"/>
  <c r="J64" i="5"/>
  <c r="H64" i="5"/>
  <c r="BH86" i="3"/>
  <c r="BP86" i="3" s="1"/>
  <c r="BT86" i="3" s="1"/>
  <c r="AS86" i="3"/>
  <c r="AZ86" i="3"/>
  <c r="K15" i="1"/>
  <c r="AP15" i="1"/>
  <c r="AB15" i="5" s="1"/>
  <c r="Q15" i="1"/>
  <c r="R15" i="1" s="1"/>
  <c r="BH15" i="1"/>
  <c r="AQ15" i="1"/>
  <c r="BS15" i="1" s="1"/>
  <c r="AN15" i="1"/>
  <c r="BM148" i="3"/>
  <c r="BF152" i="3"/>
  <c r="AI152" i="1"/>
  <c r="AJ152" i="1" s="1"/>
  <c r="BM14" i="3"/>
  <c r="H72" i="5"/>
  <c r="J72" i="5"/>
  <c r="I72" i="5"/>
  <c r="Q46" i="1"/>
  <c r="R46" i="1" s="1"/>
  <c r="BH46" i="1"/>
  <c r="K46" i="1"/>
  <c r="AP46" i="1"/>
  <c r="AB46" i="5" s="1"/>
  <c r="BA46" i="3"/>
  <c r="AQ46" i="1"/>
  <c r="BS46" i="1" s="1"/>
  <c r="Q71" i="1"/>
  <c r="R71" i="1" s="1"/>
  <c r="AP71" i="1"/>
  <c r="AB71" i="5" s="1"/>
  <c r="K71" i="1"/>
  <c r="BH71" i="1"/>
  <c r="AQ71" i="1"/>
  <c r="BS71" i="1" s="1"/>
  <c r="AP143" i="1"/>
  <c r="AB143" i="5" s="1"/>
  <c r="BH143" i="1"/>
  <c r="K143" i="1"/>
  <c r="AN143" i="1"/>
  <c r="Q143" i="1"/>
  <c r="R143" i="1" s="1"/>
  <c r="AQ143" i="1"/>
  <c r="BS143" i="1" s="1"/>
  <c r="BM39" i="3"/>
  <c r="BF6" i="3"/>
  <c r="BR6" i="3" s="1"/>
  <c r="S6" i="1"/>
  <c r="AS159" i="3"/>
  <c r="AZ159" i="3"/>
  <c r="BH159" i="3"/>
  <c r="BP159" i="3" s="1"/>
  <c r="BT159" i="3" s="1"/>
  <c r="AP63" i="1"/>
  <c r="AB63" i="5" s="1"/>
  <c r="K63" i="1"/>
  <c r="BH63" i="1"/>
  <c r="Q63" i="1"/>
  <c r="R63" i="1" s="1"/>
  <c r="AZ63" i="1"/>
  <c r="AQ63" i="1"/>
  <c r="BS63" i="1" s="1"/>
  <c r="S51" i="1"/>
  <c r="Q51" i="1"/>
  <c r="BH51" i="1"/>
  <c r="K51" i="1"/>
  <c r="AP51" i="1"/>
  <c r="AB51" i="5" s="1"/>
  <c r="AQ51" i="1"/>
  <c r="BS51" i="1" s="1"/>
  <c r="AZ11" i="3"/>
  <c r="BL11" i="3" s="1"/>
  <c r="BF137" i="3"/>
  <c r="BR137" i="3" s="1"/>
  <c r="AS137" i="3"/>
  <c r="X137" i="1" s="1"/>
  <c r="S137" i="1"/>
  <c r="BH30" i="3"/>
  <c r="BP30" i="3" s="1"/>
  <c r="BT30" i="3" s="1"/>
  <c r="AS30" i="3"/>
  <c r="AZ30" i="3"/>
  <c r="BQ91" i="3"/>
  <c r="E91" i="5"/>
  <c r="BI91" i="3"/>
  <c r="AQ7" i="1"/>
  <c r="BS7" i="1" s="1"/>
  <c r="BK54" i="3"/>
  <c r="BI151" i="3"/>
  <c r="F151" i="5" s="1"/>
  <c r="BQ151" i="3"/>
  <c r="D151" i="5" s="1"/>
  <c r="E151" i="5"/>
  <c r="AZ78" i="3"/>
  <c r="BH78" i="3"/>
  <c r="O192" i="5" s="1"/>
  <c r="AS78" i="3"/>
  <c r="AQ3" i="1"/>
  <c r="BS3" i="1" s="1"/>
  <c r="AZ75" i="3"/>
  <c r="BH75" i="3"/>
  <c r="AS75" i="3"/>
  <c r="BH71" i="3"/>
  <c r="BP71" i="3" s="1"/>
  <c r="BT71" i="3" s="1"/>
  <c r="AZ71" i="3"/>
  <c r="AS71" i="3"/>
  <c r="H48" i="5"/>
  <c r="I48" i="5"/>
  <c r="J48" i="5"/>
  <c r="BE25" i="3"/>
  <c r="AS25" i="3"/>
  <c r="X25" i="1" s="1"/>
  <c r="AZ112" i="3"/>
  <c r="BJ5" i="3"/>
  <c r="AZ46" i="3"/>
  <c r="BU5" i="1"/>
  <c r="BP5" i="3"/>
  <c r="BT5" i="3" s="1"/>
  <c r="AQ5" i="1"/>
  <c r="BS5" i="1" s="1"/>
  <c r="BI149" i="3"/>
  <c r="F149" i="5" s="1"/>
  <c r="BQ149" i="3"/>
  <c r="D149" i="5" s="1"/>
  <c r="E149" i="5"/>
  <c r="BH124" i="3"/>
  <c r="AZ124" i="3"/>
  <c r="AS124" i="3"/>
  <c r="E46" i="5"/>
  <c r="BQ46" i="3"/>
  <c r="D46" i="5" s="1"/>
  <c r="BI46" i="3"/>
  <c r="F46" i="5" s="1"/>
  <c r="AZ144" i="3"/>
  <c r="AS144" i="3"/>
  <c r="BH144" i="3"/>
  <c r="BP144" i="3" s="1"/>
  <c r="BT144" i="3" s="1"/>
  <c r="E71" i="5"/>
  <c r="BQ71" i="3"/>
  <c r="AQ43" i="1"/>
  <c r="BS43" i="1" s="1"/>
  <c r="Q43" i="1"/>
  <c r="AP43" i="1"/>
  <c r="AB43" i="5" s="1"/>
  <c r="K43" i="1"/>
  <c r="BH43" i="1"/>
  <c r="BA43" i="3"/>
  <c r="BI143" i="3"/>
  <c r="F143" i="5" s="1"/>
  <c r="E143" i="5"/>
  <c r="BQ143" i="3"/>
  <c r="D143" i="5" s="1"/>
  <c r="K111" i="1"/>
  <c r="Q111" i="1"/>
  <c r="R111" i="1" s="1"/>
  <c r="BH111" i="1"/>
  <c r="AP111" i="1"/>
  <c r="AB111" i="5" s="1"/>
  <c r="AQ111" i="1"/>
  <c r="BS111" i="1" s="1"/>
  <c r="BH39" i="3"/>
  <c r="AS39" i="3"/>
  <c r="AZ39" i="3"/>
  <c r="K110" i="1"/>
  <c r="AQ110" i="1"/>
  <c r="BS110" i="1" s="1"/>
  <c r="AP110" i="1"/>
  <c r="AB110" i="5" s="1"/>
  <c r="BH110" i="1"/>
  <c r="Q110" i="1"/>
  <c r="E63" i="5"/>
  <c r="BI63" i="3"/>
  <c r="F63" i="5" s="1"/>
  <c r="BQ63" i="3"/>
  <c r="D63" i="5" s="1"/>
  <c r="BI51" i="3"/>
  <c r="F51" i="5" s="1"/>
  <c r="E51" i="5"/>
  <c r="BQ51" i="3"/>
  <c r="D51" i="5" s="1"/>
  <c r="Q3" i="1"/>
  <c r="R3" i="1" s="1"/>
  <c r="AP3" i="1"/>
  <c r="AB3" i="5" s="1"/>
  <c r="BH3" i="1"/>
  <c r="K3" i="1"/>
  <c r="AQ141" i="1"/>
  <c r="BS141" i="1" s="1"/>
  <c r="AN141" i="1"/>
  <c r="BH141" i="1"/>
  <c r="Q141" i="1"/>
  <c r="R141" i="1" s="1"/>
  <c r="AP141" i="1"/>
  <c r="AB141" i="5" s="1"/>
  <c r="K141" i="1"/>
  <c r="E137" i="5"/>
  <c r="BQ137" i="3"/>
  <c r="D137" i="5" s="1"/>
  <c r="BI137" i="3"/>
  <c r="F137" i="5" s="1"/>
  <c r="AN8" i="1"/>
  <c r="AQ136" i="1"/>
  <c r="BS136" i="1" s="1"/>
  <c r="BH136" i="1"/>
  <c r="K136" i="1"/>
  <c r="Q136" i="1"/>
  <c r="R136" i="1" s="1"/>
  <c r="AN136" i="1"/>
  <c r="AP136" i="1"/>
  <c r="AB136" i="5" s="1"/>
  <c r="S7" i="1"/>
  <c r="Q26" i="1"/>
  <c r="R26" i="1" s="1"/>
  <c r="AP26" i="1"/>
  <c r="AB26" i="5" s="1"/>
  <c r="BH26" i="1"/>
  <c r="K26" i="1"/>
  <c r="AQ26" i="1"/>
  <c r="BS26" i="1" s="1"/>
  <c r="AI4" i="1"/>
  <c r="AJ4" i="1" s="1"/>
  <c r="BH115" i="3"/>
  <c r="AS115" i="3"/>
  <c r="AZ115" i="3"/>
  <c r="AD115" i="1"/>
  <c r="BF75" i="3"/>
  <c r="BR75" i="3" s="1"/>
  <c r="AI75" i="1"/>
  <c r="AJ75" i="1" s="1"/>
  <c r="AZ14" i="3"/>
  <c r="BH14" i="3"/>
  <c r="AS14" i="3"/>
  <c r="AS113" i="3"/>
  <c r="BH113" i="3"/>
  <c r="AZ113" i="3"/>
  <c r="AD113" i="1"/>
  <c r="AZ74" i="3"/>
  <c r="BH74" i="3"/>
  <c r="BP74" i="3" s="1"/>
  <c r="BT74" i="3" s="1"/>
  <c r="AS74" i="3"/>
  <c r="BF43" i="3"/>
  <c r="BR43" i="3" s="1"/>
  <c r="AS43" i="3"/>
  <c r="X43" i="1" s="1"/>
  <c r="S43" i="1"/>
  <c r="BH111" i="3"/>
  <c r="BP111" i="3" s="1"/>
  <c r="BT111" i="3" s="1"/>
  <c r="AZ111" i="3"/>
  <c r="AS111" i="3"/>
  <c r="AD111" i="1"/>
  <c r="BI70" i="3"/>
  <c r="F70" i="5" s="1"/>
  <c r="BQ70" i="3"/>
  <c r="D70" i="5" s="1"/>
  <c r="E70" i="5"/>
  <c r="H22" i="5"/>
  <c r="J22" i="5"/>
  <c r="I22" i="5"/>
  <c r="BI31" i="3"/>
  <c r="F31" i="5" s="1"/>
  <c r="BQ31" i="3"/>
  <c r="D31" i="5" s="1"/>
  <c r="E31" i="5"/>
  <c r="AN11" i="1"/>
  <c r="BH141" i="3"/>
  <c r="AZ141" i="3"/>
  <c r="AS141" i="3"/>
  <c r="BH137" i="1"/>
  <c r="K137" i="1"/>
  <c r="AP137" i="1"/>
  <c r="AB137" i="5" s="1"/>
  <c r="Q137" i="1"/>
  <c r="AQ137" i="1"/>
  <c r="BS137" i="1" s="1"/>
  <c r="BH139" i="3"/>
  <c r="AZ139" i="3"/>
  <c r="AS139" i="3"/>
  <c r="BM91" i="3"/>
  <c r="BM7" i="3"/>
  <c r="BH155" i="3"/>
  <c r="BP155" i="3" s="1"/>
  <c r="BT155" i="3" s="1"/>
  <c r="AS155" i="3"/>
  <c r="AZ155" i="3"/>
  <c r="AV30" i="3"/>
  <c r="AD30" i="1" s="1"/>
  <c r="AQ153" i="1"/>
  <c r="BS153" i="1" s="1"/>
  <c r="Q153" i="1"/>
  <c r="R153" i="1" s="1"/>
  <c r="BH153" i="1"/>
  <c r="K153" i="1"/>
  <c r="AP153" i="1"/>
  <c r="AB153" i="5" s="1"/>
  <c r="AN153" i="1"/>
  <c r="BM149" i="3"/>
  <c r="S84" i="5"/>
  <c r="AK84" i="1"/>
  <c r="AM84" i="1"/>
  <c r="AL84" i="1"/>
  <c r="Q14" i="1"/>
  <c r="R14" i="1" s="1"/>
  <c r="BH14" i="1"/>
  <c r="AP14" i="1"/>
  <c r="AB14" i="5" s="1"/>
  <c r="K14" i="1"/>
  <c r="AQ14" i="1"/>
  <c r="BS14" i="1" s="1"/>
  <c r="AN14" i="1"/>
  <c r="AZ145" i="3"/>
  <c r="BH145" i="3"/>
  <c r="BP145" i="3" s="1"/>
  <c r="BT145" i="3" s="1"/>
  <c r="AS145" i="3"/>
  <c r="K74" i="1"/>
  <c r="Q74" i="1"/>
  <c r="R74" i="1" s="1"/>
  <c r="BH74" i="1"/>
  <c r="AP74" i="1"/>
  <c r="AB74" i="5" s="1"/>
  <c r="AN74" i="1"/>
  <c r="AQ74" i="1"/>
  <c r="BS74" i="1" s="1"/>
  <c r="BM9" i="3"/>
  <c r="BI43" i="3"/>
  <c r="F43" i="5" s="1"/>
  <c r="BQ43" i="3"/>
  <c r="D43" i="5" s="1"/>
  <c r="E43" i="5"/>
  <c r="BM143" i="3"/>
  <c r="BI111" i="3"/>
  <c r="F111" i="5" s="1"/>
  <c r="BQ111" i="3"/>
  <c r="D111" i="5" s="1"/>
  <c r="E111" i="5"/>
  <c r="Q6" i="1"/>
  <c r="R6" i="1" s="1"/>
  <c r="AP6" i="1"/>
  <c r="AB6" i="5" s="1"/>
  <c r="K6" i="1"/>
  <c r="BH6" i="1"/>
  <c r="AQ6" i="1"/>
  <c r="BS6" i="1" s="1"/>
  <c r="BH159" i="1"/>
  <c r="AN159" i="1"/>
  <c r="AP159" i="1"/>
  <c r="AB159" i="5" s="1"/>
  <c r="AQ159" i="1"/>
  <c r="BS159" i="1" s="1"/>
  <c r="Q159" i="1"/>
  <c r="R159" i="1" s="1"/>
  <c r="K159" i="1"/>
  <c r="BI110" i="3"/>
  <c r="F110" i="5" s="1"/>
  <c r="BQ110" i="3"/>
  <c r="D110" i="5" s="1"/>
  <c r="E110" i="5"/>
  <c r="BQ3" i="3"/>
  <c r="D3" i="5" s="1"/>
  <c r="BI3" i="3"/>
  <c r="F3" i="5" s="1"/>
  <c r="E3" i="5"/>
  <c r="E141" i="5"/>
  <c r="BQ141" i="3"/>
  <c r="D141" i="5" s="1"/>
  <c r="BI141" i="3"/>
  <c r="F141" i="5" s="1"/>
  <c r="BM30" i="3"/>
  <c r="S8" i="5"/>
  <c r="AK8" i="1"/>
  <c r="AM8" i="1"/>
  <c r="AL8" i="1"/>
  <c r="BI136" i="3"/>
  <c r="F136" i="5" s="1"/>
  <c r="BQ136" i="3"/>
  <c r="D136" i="5" s="1"/>
  <c r="E136" i="5"/>
  <c r="BF135" i="3"/>
  <c r="BR135" i="3" s="1"/>
  <c r="S135" i="1"/>
  <c r="AQ90" i="1"/>
  <c r="BS90" i="1" s="1"/>
  <c r="AP90" i="1"/>
  <c r="AB90" i="5" s="1"/>
  <c r="K90" i="1"/>
  <c r="Q90" i="1"/>
  <c r="R90" i="1" s="1"/>
  <c r="BH90" i="1"/>
  <c r="AN90" i="1"/>
  <c r="BQ26" i="3"/>
  <c r="D26" i="5" s="1"/>
  <c r="BI26" i="3"/>
  <c r="F26" i="5" s="1"/>
  <c r="E26" i="5"/>
  <c r="Q13" i="1"/>
  <c r="R13" i="1" s="1"/>
  <c r="AP13" i="1"/>
  <c r="AB13" i="5" s="1"/>
  <c r="BH13" i="1"/>
  <c r="K13" i="1"/>
  <c r="AQ13" i="1"/>
  <c r="BS13" i="1" s="1"/>
  <c r="AI3" i="1"/>
  <c r="AJ3" i="1" s="1"/>
  <c r="AL5" i="1"/>
  <c r="AK5" i="1"/>
  <c r="S5" i="5"/>
  <c r="AM5" i="1"/>
  <c r="AS154" i="3"/>
  <c r="AZ154" i="3"/>
  <c r="BH154" i="3"/>
  <c r="BP154" i="3" s="1"/>
  <c r="BT154" i="3" s="1"/>
  <c r="Q86" i="1"/>
  <c r="R86" i="1" s="1"/>
  <c r="AP86" i="1"/>
  <c r="AB86" i="5" s="1"/>
  <c r="K86" i="1"/>
  <c r="BH86" i="1"/>
  <c r="AN86" i="1"/>
  <c r="AQ86" i="1"/>
  <c r="BS86" i="1" s="1"/>
  <c r="BH16" i="3"/>
  <c r="BP16" i="3" s="1"/>
  <c r="BT16" i="3" s="1"/>
  <c r="AZ16" i="3"/>
  <c r="AS16" i="3"/>
  <c r="BI71" i="3"/>
  <c r="AZ5" i="1"/>
  <c r="BQ5" i="3"/>
  <c r="D5" i="5" s="1"/>
  <c r="E5" i="5"/>
  <c r="BI5" i="3"/>
  <c r="F5" i="5" s="1"/>
  <c r="O33" i="5"/>
  <c r="AE33" i="1"/>
  <c r="AH33" i="1"/>
  <c r="AF33" i="1"/>
  <c r="AG33" i="1"/>
  <c r="Q154" i="1"/>
  <c r="R154" i="1" s="1"/>
  <c r="AQ154" i="1"/>
  <c r="BS154" i="1" s="1"/>
  <c r="AN154" i="1"/>
  <c r="BH154" i="1"/>
  <c r="K154" i="1"/>
  <c r="AP154" i="1"/>
  <c r="AB154" i="5" s="1"/>
  <c r="E86" i="5"/>
  <c r="BI86" i="3"/>
  <c r="F86" i="5" s="1"/>
  <c r="BQ86" i="3"/>
  <c r="D86" i="5" s="1"/>
  <c r="BM16" i="3"/>
  <c r="S114" i="5"/>
  <c r="AM114" i="1"/>
  <c r="AK114" i="1"/>
  <c r="AL114" i="1"/>
  <c r="BQ153" i="3"/>
  <c r="D153" i="5" s="1"/>
  <c r="E153" i="5"/>
  <c r="BI153" i="3"/>
  <c r="F153" i="5" s="1"/>
  <c r="BI14" i="3"/>
  <c r="F14" i="5" s="1"/>
  <c r="BQ14" i="3"/>
  <c r="D14" i="5" s="1"/>
  <c r="E14" i="5"/>
  <c r="BQ74" i="3"/>
  <c r="BI74" i="3"/>
  <c r="E74" i="5"/>
  <c r="BH9" i="3"/>
  <c r="AZ9" i="3"/>
  <c r="AS9" i="3"/>
  <c r="K144" i="1"/>
  <c r="AP144" i="1"/>
  <c r="AB144" i="5" s="1"/>
  <c r="BH144" i="1"/>
  <c r="AN144" i="1"/>
  <c r="Q144" i="1"/>
  <c r="R144" i="1" s="1"/>
  <c r="AQ144" i="1"/>
  <c r="BS144" i="1" s="1"/>
  <c r="Q112" i="1"/>
  <c r="R112" i="1" s="1"/>
  <c r="BH112" i="1"/>
  <c r="AP112" i="1"/>
  <c r="AB112" i="5" s="1"/>
  <c r="K112" i="1"/>
  <c r="AQ112" i="1"/>
  <c r="BS112" i="1" s="1"/>
  <c r="BF52" i="3"/>
  <c r="BR52" i="3" s="1"/>
  <c r="AS52" i="3"/>
  <c r="X52" i="1" s="1"/>
  <c r="S52" i="1"/>
  <c r="BI6" i="3"/>
  <c r="F6" i="5" s="1"/>
  <c r="BQ6" i="3"/>
  <c r="D6" i="5" s="1"/>
  <c r="E6" i="5"/>
  <c r="AQ142" i="1"/>
  <c r="BS142" i="1" s="1"/>
  <c r="AP142" i="1"/>
  <c r="AB142" i="5" s="1"/>
  <c r="Q142" i="1"/>
  <c r="R142" i="1" s="1"/>
  <c r="K142" i="1"/>
  <c r="BH142" i="1"/>
  <c r="AN142" i="1"/>
  <c r="BF110" i="3"/>
  <c r="BR110" i="3" s="1"/>
  <c r="S110" i="1"/>
  <c r="BH31" i="3"/>
  <c r="BP31" i="3" s="1"/>
  <c r="BT31" i="3" s="1"/>
  <c r="AS31" i="3"/>
  <c r="AZ31" i="3"/>
  <c r="I50" i="5"/>
  <c r="J50" i="5"/>
  <c r="H50" i="5"/>
  <c r="AP157" i="1"/>
  <c r="AB157" i="5" s="1"/>
  <c r="Q157" i="1"/>
  <c r="R157" i="1" s="1"/>
  <c r="AN157" i="1"/>
  <c r="AQ157" i="1"/>
  <c r="BS157" i="1" s="1"/>
  <c r="K157" i="1"/>
  <c r="BH157" i="1"/>
  <c r="BM141" i="3"/>
  <c r="CD8" i="1"/>
  <c r="BF8" i="1"/>
  <c r="BG8" i="1"/>
  <c r="BP8" i="1" s="1" a="1"/>
  <c r="BP8" i="1" s="1"/>
  <c r="BU8" i="1"/>
  <c r="AZ156" i="3"/>
  <c r="BH156" i="3"/>
  <c r="BP156" i="3" s="1"/>
  <c r="BT156" i="3" s="1"/>
  <c r="AS156" i="3"/>
  <c r="BM136" i="3"/>
  <c r="BF19" i="3"/>
  <c r="BR19" i="3" s="1"/>
  <c r="AI19" i="1"/>
  <c r="AJ19" i="1" s="1"/>
  <c r="AS7" i="3"/>
  <c r="Q155" i="1"/>
  <c r="R155" i="1" s="1"/>
  <c r="AQ155" i="1"/>
  <c r="BS155" i="1" s="1"/>
  <c r="AP155" i="1"/>
  <c r="AB155" i="5" s="1"/>
  <c r="BH155" i="1"/>
  <c r="K155" i="1"/>
  <c r="AN155" i="1"/>
  <c r="BQ90" i="3"/>
  <c r="D90" i="5" s="1"/>
  <c r="E90" i="5"/>
  <c r="BI90" i="3"/>
  <c r="F90" i="5" s="1"/>
  <c r="BQ13" i="3"/>
  <c r="D13" i="5" s="1"/>
  <c r="E13" i="5"/>
  <c r="BI13" i="3"/>
  <c r="F13" i="5" s="1"/>
  <c r="BF153" i="3"/>
  <c r="BR153" i="3" s="1"/>
  <c r="AI153" i="1"/>
  <c r="AJ153" i="1" s="1"/>
  <c r="BH15" i="3"/>
  <c r="BP15" i="3" s="1"/>
  <c r="BT15" i="3" s="1"/>
  <c r="AZ15" i="3"/>
  <c r="AS15" i="3"/>
  <c r="BA79" i="3"/>
  <c r="BH79" i="1"/>
  <c r="Q79" i="1"/>
  <c r="AP79" i="1"/>
  <c r="AB79" i="5" s="1"/>
  <c r="AQ79" i="1"/>
  <c r="BS79" i="1" s="1"/>
  <c r="K79" i="1"/>
  <c r="AZ2" i="3"/>
  <c r="BH113" i="1"/>
  <c r="Q113" i="1"/>
  <c r="R113" i="1" s="1"/>
  <c r="AP113" i="1"/>
  <c r="AB113" i="5" s="1"/>
  <c r="AN113" i="1"/>
  <c r="K113" i="1"/>
  <c r="AQ113" i="1"/>
  <c r="BS113" i="1" s="1"/>
  <c r="BI112" i="3"/>
  <c r="F112" i="5" s="1"/>
  <c r="E112" i="5"/>
  <c r="BQ112" i="3"/>
  <c r="D112" i="5" s="1"/>
  <c r="K7" i="1"/>
  <c r="BH7" i="1"/>
  <c r="Q7" i="1"/>
  <c r="R7" i="1" s="1"/>
  <c r="AP7" i="1"/>
  <c r="AB7" i="5" s="1"/>
  <c r="AZ52" i="3"/>
  <c r="BM142" i="3"/>
  <c r="BF157" i="3"/>
  <c r="AI157" i="1"/>
  <c r="AJ157" i="1" s="1"/>
  <c r="H21" i="5"/>
  <c r="J21" i="5"/>
  <c r="I21" i="5"/>
  <c r="AZ8" i="3"/>
  <c r="BL8" i="3" s="1"/>
  <c r="K139" i="1"/>
  <c r="AQ139" i="1"/>
  <c r="BS139" i="1" s="1"/>
  <c r="Q139" i="1"/>
  <c r="R139" i="1" s="1"/>
  <c r="AN139" i="1"/>
  <c r="BH139" i="1"/>
  <c r="AP139" i="1"/>
  <c r="AB139" i="5" s="1"/>
  <c r="BF28" i="3"/>
  <c r="AI28" i="1"/>
  <c r="AJ28" i="1" s="1"/>
  <c r="H96" i="5"/>
  <c r="I96" i="5"/>
  <c r="J96" i="5"/>
  <c r="AZ7" i="3"/>
  <c r="BL7" i="3" s="1"/>
  <c r="E155" i="5"/>
  <c r="BI155" i="3"/>
  <c r="F155" i="5" s="1"/>
  <c r="BQ155" i="3"/>
  <c r="D155" i="5" s="1"/>
  <c r="K135" i="1"/>
  <c r="BH135" i="1"/>
  <c r="Q135" i="1"/>
  <c r="R135" i="1" s="1"/>
  <c r="AP135" i="1"/>
  <c r="AB135" i="5" s="1"/>
  <c r="AQ135" i="1"/>
  <c r="BS135" i="1" s="1"/>
  <c r="AZ26" i="3"/>
  <c r="AZ147" i="3"/>
  <c r="AS147" i="3"/>
  <c r="BH147" i="3"/>
  <c r="BP147" i="3" s="1"/>
  <c r="BT147" i="3" s="1"/>
  <c r="BH120" i="3"/>
  <c r="BP120" i="3" s="1"/>
  <c r="BT120" i="3" s="1"/>
  <c r="AZ120" i="3"/>
  <c r="AS120" i="3"/>
  <c r="V120" i="3"/>
  <c r="AP78" i="1"/>
  <c r="AB78" i="5" s="1"/>
  <c r="BH78" i="1"/>
  <c r="K78" i="1"/>
  <c r="Q78" i="1"/>
  <c r="R78" i="1" s="1"/>
  <c r="AQ78" i="1"/>
  <c r="BS78" i="1" s="1"/>
  <c r="AZ3" i="3"/>
  <c r="G3" i="5"/>
  <c r="U3" i="1"/>
  <c r="T3" i="1"/>
  <c r="V3" i="1"/>
  <c r="W3" i="1"/>
  <c r="BM3" i="3"/>
  <c r="BH146" i="3"/>
  <c r="BP146" i="3" s="1"/>
  <c r="BT146" i="3" s="1"/>
  <c r="AZ146" i="3"/>
  <c r="AS146" i="3"/>
  <c r="AQ75" i="1"/>
  <c r="BS75" i="1" s="1"/>
  <c r="Q75" i="1"/>
  <c r="R75" i="1" s="1"/>
  <c r="K75" i="1"/>
  <c r="AP75" i="1"/>
  <c r="AB75" i="5" s="1"/>
  <c r="BH75" i="1"/>
  <c r="AN75" i="1"/>
  <c r="F146" i="5"/>
  <c r="E7" i="5"/>
  <c r="BI7" i="3"/>
  <c r="F7" i="5" s="1"/>
  <c r="BQ7" i="3"/>
  <c r="D7" i="5" s="1"/>
  <c r="Q39" i="1"/>
  <c r="R39" i="1" s="1"/>
  <c r="AP39" i="1"/>
  <c r="AB39" i="5" s="1"/>
  <c r="K39" i="1"/>
  <c r="BH39" i="1"/>
  <c r="AQ39" i="1"/>
  <c r="BS39" i="1" s="1"/>
  <c r="BI142" i="3"/>
  <c r="F142" i="5" s="1"/>
  <c r="BQ142" i="3"/>
  <c r="D142" i="5" s="1"/>
  <c r="E142" i="5"/>
  <c r="BF63" i="3"/>
  <c r="S63" i="1"/>
  <c r="BQ157" i="3"/>
  <c r="D157" i="5" s="1"/>
  <c r="E157" i="5"/>
  <c r="BI157" i="3"/>
  <c r="F157" i="5" s="1"/>
  <c r="BH92" i="3"/>
  <c r="AZ92" i="3"/>
  <c r="AS92" i="3"/>
  <c r="BM8" i="3"/>
  <c r="BJ8" i="3"/>
  <c r="E139" i="5"/>
  <c r="BQ139" i="3"/>
  <c r="D139" i="5" s="1"/>
  <c r="BI139" i="3"/>
  <c r="F139" i="5" s="1"/>
  <c r="K19" i="1"/>
  <c r="BH19" i="1"/>
  <c r="AP19" i="1"/>
  <c r="AB19" i="5" s="1"/>
  <c r="Q19" i="1"/>
  <c r="R19" i="1" s="1"/>
  <c r="AN19" i="1"/>
  <c r="AQ19" i="1"/>
  <c r="BS19" i="1" s="1"/>
  <c r="BF155" i="3"/>
  <c r="BR155" i="3" s="1"/>
  <c r="AI155" i="1"/>
  <c r="AJ155" i="1" s="1"/>
  <c r="BQ135" i="3"/>
  <c r="D135" i="5" s="1"/>
  <c r="BI135" i="3"/>
  <c r="F135" i="5" s="1"/>
  <c r="E135" i="5"/>
  <c r="BF132" i="3"/>
  <c r="BR132" i="3" s="1"/>
  <c r="AI132" i="1"/>
  <c r="AJ132" i="1" s="1"/>
  <c r="AZ151" i="3"/>
  <c r="AS151" i="3"/>
  <c r="BH151" i="3"/>
  <c r="BP151" i="3" s="1"/>
  <c r="BT151" i="3" s="1"/>
  <c r="BQ78" i="3"/>
  <c r="BI78" i="3"/>
  <c r="E78" i="5"/>
  <c r="BQ75" i="3"/>
  <c r="D75" i="5" s="1"/>
  <c r="BI75" i="3"/>
  <c r="F75" i="5" s="1"/>
  <c r="E75" i="5"/>
  <c r="AZ149" i="3"/>
  <c r="BH149" i="3"/>
  <c r="AS149" i="3"/>
  <c r="BM15" i="3"/>
  <c r="BH148" i="3"/>
  <c r="BP148" i="3" s="1"/>
  <c r="BT148" i="3" s="1"/>
  <c r="AS148" i="3"/>
  <c r="AZ148" i="3"/>
  <c r="BF124" i="3"/>
  <c r="AI124" i="1"/>
  <c r="AJ124" i="1" s="1"/>
  <c r="E79" i="5"/>
  <c r="BI79" i="3"/>
  <c r="F79" i="5" s="1"/>
  <c r="BQ79" i="3"/>
  <c r="D79" i="5" s="1"/>
  <c r="BS96" i="3"/>
  <c r="AN5" i="1"/>
  <c r="E154" i="5"/>
  <c r="BQ154" i="3"/>
  <c r="D154" i="5" s="1"/>
  <c r="BI154" i="3"/>
  <c r="F154" i="5" s="1"/>
  <c r="AS152" i="3"/>
  <c r="AZ152" i="3"/>
  <c r="BH152" i="3"/>
  <c r="BP152" i="3" s="1"/>
  <c r="BT152" i="3" s="1"/>
  <c r="BF79" i="3"/>
  <c r="BR79" i="3" s="1"/>
  <c r="AS79" i="3"/>
  <c r="X79" i="1" s="1"/>
  <c r="S79" i="1"/>
  <c r="BI113" i="3"/>
  <c r="F113" i="5" s="1"/>
  <c r="E113" i="5"/>
  <c r="BQ113" i="3"/>
  <c r="D113" i="5" s="1"/>
  <c r="BQ144" i="3"/>
  <c r="D144" i="5" s="1"/>
  <c r="BI144" i="3"/>
  <c r="F144" i="5" s="1"/>
  <c r="E144" i="5"/>
  <c r="BM71" i="3"/>
  <c r="BQ39" i="3"/>
  <c r="D39" i="5" s="1"/>
  <c r="BI39" i="3"/>
  <c r="F39" i="5" s="1"/>
  <c r="E39" i="5"/>
  <c r="S150" i="5"/>
  <c r="AK150" i="1"/>
  <c r="AM150" i="1"/>
  <c r="AL150" i="1"/>
  <c r="BF159" i="3"/>
  <c r="AI159" i="1"/>
  <c r="AJ159" i="1" s="1"/>
  <c r="AQ11" i="1"/>
  <c r="BS11" i="1" s="1"/>
  <c r="Q30" i="1"/>
  <c r="R30" i="1" s="1"/>
  <c r="BH30" i="1"/>
  <c r="K30" i="1"/>
  <c r="AP30" i="1"/>
  <c r="AB30" i="5" s="1"/>
  <c r="AQ30" i="1"/>
  <c r="BS30" i="1" s="1"/>
  <c r="AS8" i="3"/>
  <c r="BK96" i="3"/>
  <c r="Q156" i="1"/>
  <c r="R156" i="1" s="1"/>
  <c r="AN156" i="1"/>
  <c r="AQ156" i="1"/>
  <c r="BS156" i="1" s="1"/>
  <c r="AP156" i="1"/>
  <c r="AB156" i="5" s="1"/>
  <c r="K156" i="1"/>
  <c r="BH156" i="1"/>
  <c r="BM139" i="3"/>
  <c r="BH91" i="3"/>
  <c r="BP91" i="3" s="1"/>
  <c r="BT91" i="3" s="1"/>
  <c r="AZ91" i="3"/>
  <c r="AS91" i="3"/>
  <c r="BH28" i="3"/>
  <c r="AZ28" i="3"/>
  <c r="AS28" i="3"/>
  <c r="BI19" i="3"/>
  <c r="F19" i="5" s="1"/>
  <c r="E19" i="5"/>
  <c r="BQ19" i="3"/>
  <c r="D19" i="5" s="1"/>
  <c r="BF26" i="3"/>
  <c r="BR26" i="3" s="1"/>
  <c r="AS26" i="3"/>
  <c r="X26" i="1" s="1"/>
  <c r="S26" i="1"/>
  <c r="CD4" i="1"/>
  <c r="BF4" i="1"/>
  <c r="BG4" i="1" s="1"/>
  <c r="BP4" i="1" s="1" a="1"/>
  <c r="BP4" i="1" s="1"/>
  <c r="BU4" i="1"/>
  <c r="AN4" i="1"/>
  <c r="AQ120" i="1"/>
  <c r="BS120" i="1" s="1"/>
  <c r="AN120" i="1"/>
  <c r="AP120" i="1"/>
  <c r="AB120" i="5" s="1"/>
  <c r="K120" i="1"/>
  <c r="BH120" i="1"/>
  <c r="Q120" i="1"/>
  <c r="R120" i="1" s="1"/>
  <c r="BF13" i="3"/>
  <c r="BR13" i="3" s="1"/>
  <c r="S13" i="1"/>
  <c r="AN3" i="1"/>
  <c r="AP115" i="1"/>
  <c r="AB115" i="5" s="1"/>
  <c r="BH115" i="1"/>
  <c r="Q115" i="1"/>
  <c r="R115" i="1" s="1"/>
  <c r="AQ115" i="1"/>
  <c r="BS115" i="1" s="1"/>
  <c r="K115" i="1"/>
  <c r="E159" i="5"/>
  <c r="BQ159" i="3"/>
  <c r="D159" i="5" s="1"/>
  <c r="BI159" i="3"/>
  <c r="F159" i="5" s="1"/>
  <c r="BF51" i="3"/>
  <c r="BR51" i="3" s="1"/>
  <c r="AS51" i="3"/>
  <c r="X51" i="1" s="1"/>
  <c r="S11" i="5"/>
  <c r="AK11" i="1"/>
  <c r="AL11" i="1"/>
  <c r="AM11" i="1"/>
  <c r="S17" i="5"/>
  <c r="AL17" i="1"/>
  <c r="AM17" i="1"/>
  <c r="AK17" i="1"/>
  <c r="E30" i="5"/>
  <c r="BI30" i="3"/>
  <c r="F30" i="5" s="1"/>
  <c r="BQ30" i="3"/>
  <c r="D30" i="5" s="1"/>
  <c r="AQ8" i="1"/>
  <c r="BS8" i="1" s="1"/>
  <c r="BQ156" i="3"/>
  <c r="D156" i="5" s="1"/>
  <c r="E156" i="5"/>
  <c r="BI156" i="3"/>
  <c r="F156" i="5" s="1"/>
  <c r="AN7" i="1"/>
  <c r="W4" i="1"/>
  <c r="G4" i="5"/>
  <c r="V4" i="1"/>
  <c r="T4" i="1"/>
  <c r="U4" i="1"/>
  <c r="BQ120" i="3"/>
  <c r="D120" i="5" s="1"/>
  <c r="BI120" i="3"/>
  <c r="F120" i="5" s="1"/>
  <c r="E120" i="5"/>
  <c r="BH13" i="3"/>
  <c r="AZ13" i="3"/>
  <c r="AS13" i="3"/>
  <c r="BF115" i="3"/>
  <c r="AI115" i="1"/>
  <c r="AJ115" i="1" s="1"/>
  <c r="AP11" i="1"/>
  <c r="AB11" i="5" s="1"/>
  <c r="K11" i="1"/>
  <c r="BH11" i="1"/>
  <c r="Q11" i="1"/>
  <c r="R11" i="1" s="1"/>
  <c r="U118" i="1"/>
  <c r="T118" i="1"/>
  <c r="W118" i="1"/>
  <c r="V118" i="1"/>
  <c r="G118" i="5"/>
  <c r="AP124" i="1"/>
  <c r="AB124" i="5" s="1"/>
  <c r="K124" i="1"/>
  <c r="BH124" i="1"/>
  <c r="Q124" i="1"/>
  <c r="R124" i="1" s="1"/>
  <c r="AQ124" i="1"/>
  <c r="BS124" i="1" s="1"/>
  <c r="AN124" i="1"/>
  <c r="H53" i="5"/>
  <c r="I53" i="5"/>
  <c r="J53" i="5"/>
  <c r="AQ145" i="1"/>
  <c r="BS145" i="1" s="1"/>
  <c r="AN145" i="1"/>
  <c r="Q145" i="1"/>
  <c r="R145" i="1" s="1"/>
  <c r="AP145" i="1"/>
  <c r="AB145" i="5" s="1"/>
  <c r="BH145" i="1"/>
  <c r="K145" i="1"/>
  <c r="BM70" i="3"/>
  <c r="Q52" i="1"/>
  <c r="R52" i="1" s="1"/>
  <c r="K52" i="1"/>
  <c r="AP52" i="1"/>
  <c r="AB52" i="5" s="1"/>
  <c r="BH52" i="1"/>
  <c r="AQ52" i="1"/>
  <c r="BS52" i="1" s="1"/>
  <c r="BF31" i="3"/>
  <c r="BR31" i="3" s="1"/>
  <c r="AI31" i="1"/>
  <c r="AJ31" i="1" s="1"/>
  <c r="K92" i="1"/>
  <c r="Q92" i="1"/>
  <c r="R92" i="1" s="1"/>
  <c r="AQ92" i="1"/>
  <c r="BS92" i="1" s="1"/>
  <c r="BH92" i="1"/>
  <c r="AP92" i="1"/>
  <c r="AB92" i="5" s="1"/>
  <c r="BP8" i="3"/>
  <c r="BT8" i="3" s="1"/>
  <c r="BF156" i="3"/>
  <c r="AI156" i="1"/>
  <c r="AJ156" i="1" s="1"/>
  <c r="Q28" i="1"/>
  <c r="R28" i="1" s="1"/>
  <c r="BH28" i="1"/>
  <c r="K28" i="1"/>
  <c r="AP28" i="1"/>
  <c r="AB28" i="5" s="1"/>
  <c r="AQ28" i="1"/>
  <c r="BS28" i="1" s="1"/>
  <c r="H12" i="5"/>
  <c r="J12" i="5"/>
  <c r="I12" i="5"/>
  <c r="S7" i="5"/>
  <c r="AK7" i="1"/>
  <c r="AL7" i="1"/>
  <c r="AM7" i="1"/>
  <c r="BH135" i="3"/>
  <c r="AS135" i="3"/>
  <c r="AZ135" i="3"/>
  <c r="BF90" i="3"/>
  <c r="BR90" i="3" s="1"/>
  <c r="AI90" i="1"/>
  <c r="AJ90" i="1" s="1"/>
  <c r="BH132" i="3"/>
  <c r="BP132" i="3" s="1"/>
  <c r="BT132" i="3" s="1"/>
  <c r="AZ132" i="3"/>
  <c r="AS132" i="3"/>
  <c r="BI4" i="3"/>
  <c r="F4" i="5" s="1"/>
  <c r="BQ4" i="3"/>
  <c r="D4" i="5" s="1"/>
  <c r="E4" i="5"/>
  <c r="BM4" i="3"/>
  <c r="AN151" i="1"/>
  <c r="AP151" i="1"/>
  <c r="AB151" i="5" s="1"/>
  <c r="BH151" i="1"/>
  <c r="K151" i="1"/>
  <c r="AQ151" i="1"/>
  <c r="BS151" i="1" s="1"/>
  <c r="Q151" i="1"/>
  <c r="R151" i="1" s="1"/>
  <c r="K147" i="1"/>
  <c r="AN147" i="1"/>
  <c r="AP147" i="1"/>
  <c r="AB147" i="5" s="1"/>
  <c r="AQ147" i="1"/>
  <c r="BS147" i="1" s="1"/>
  <c r="Q147" i="1"/>
  <c r="R147" i="1" s="1"/>
  <c r="BH147" i="1"/>
  <c r="BF120" i="3"/>
  <c r="BR120" i="3" s="1"/>
  <c r="AI120" i="1"/>
  <c r="AJ120" i="1" s="1"/>
  <c r="AP146" i="1"/>
  <c r="AB146" i="5" s="1"/>
  <c r="BH146" i="1"/>
  <c r="K146" i="1"/>
  <c r="Q146" i="1"/>
  <c r="R146" i="1" s="1"/>
  <c r="AN146" i="1"/>
  <c r="AQ146" i="1"/>
  <c r="BS146" i="1" s="1"/>
  <c r="E115" i="5"/>
  <c r="BI115" i="3"/>
  <c r="F115" i="5" s="1"/>
  <c r="BQ115" i="3"/>
  <c r="D115" i="5" s="1"/>
  <c r="BQ11" i="3"/>
  <c r="D11" i="5" s="1"/>
  <c r="E11" i="5"/>
  <c r="BI11" i="3"/>
  <c r="F11" i="5" s="1"/>
  <c r="P17" i="5"/>
  <c r="Q17" i="5"/>
  <c r="R17" i="5"/>
  <c r="Q121" i="5"/>
  <c r="R121" i="5"/>
  <c r="P121" i="5"/>
  <c r="P18" i="5"/>
  <c r="Q18" i="5"/>
  <c r="R18" i="5"/>
  <c r="P82" i="5"/>
  <c r="Q82" i="5"/>
  <c r="R82" i="5"/>
  <c r="R20" i="5"/>
  <c r="P20" i="5"/>
  <c r="Q20" i="5"/>
  <c r="R83" i="5"/>
  <c r="Q83" i="5"/>
  <c r="J2" i="5"/>
  <c r="H2" i="5"/>
  <c r="AG18" i="1"/>
  <c r="I2" i="5"/>
  <c r="AH18" i="1"/>
  <c r="AF18" i="1"/>
  <c r="AE18" i="1"/>
  <c r="Y54" i="1"/>
  <c r="BR54" i="1" s="1"/>
  <c r="H54" i="1" s="1"/>
  <c r="K54" i="5"/>
  <c r="L54" i="5" s="1"/>
  <c r="Z54" i="1"/>
  <c r="AA54" i="1"/>
  <c r="AB54" i="1"/>
  <c r="AD92" i="1"/>
  <c r="AD39" i="1"/>
  <c r="Z96" i="1"/>
  <c r="AB96" i="1"/>
  <c r="K96" i="5"/>
  <c r="L96" i="5" s="1"/>
  <c r="AA96" i="1"/>
  <c r="Y96" i="1"/>
  <c r="BR96" i="1" s="1"/>
  <c r="H96" i="1" s="1"/>
  <c r="Y97" i="1"/>
  <c r="BR97" i="1" s="1"/>
  <c r="H97" i="1" s="1"/>
  <c r="Z97" i="1"/>
  <c r="AB97" i="1"/>
  <c r="AA97" i="1"/>
  <c r="K97" i="5"/>
  <c r="L97" i="5" s="1"/>
  <c r="AD6" i="1"/>
  <c r="O6" i="5" s="1"/>
  <c r="AG82" i="1"/>
  <c r="AE82" i="1"/>
  <c r="AF82" i="1"/>
  <c r="AH82" i="1"/>
  <c r="Y88" i="1"/>
  <c r="Z88" i="1"/>
  <c r="AA88" i="1"/>
  <c r="AB88" i="1"/>
  <c r="K88" i="5"/>
  <c r="L88" i="5" s="1"/>
  <c r="AD8" i="1"/>
  <c r="O8" i="5" s="1"/>
  <c r="AD135" i="1"/>
  <c r="AD78" i="1"/>
  <c r="AE83" i="1"/>
  <c r="AF83" i="1"/>
  <c r="AG83" i="1"/>
  <c r="AH83" i="1"/>
  <c r="AD28" i="1"/>
  <c r="AD136" i="1"/>
  <c r="AD13" i="1"/>
  <c r="AD91" i="1"/>
  <c r="AD90" i="1"/>
  <c r="AF17" i="1"/>
  <c r="AG17" i="1"/>
  <c r="AE17" i="1"/>
  <c r="AH17" i="1"/>
  <c r="AH121" i="1"/>
  <c r="AF121" i="1"/>
  <c r="AG121" i="1"/>
  <c r="AE121" i="1"/>
  <c r="AD70" i="1"/>
  <c r="AD9" i="1"/>
  <c r="AA42" i="1"/>
  <c r="Y42" i="1"/>
  <c r="BR42" i="1" s="1"/>
  <c r="H42" i="1" s="1"/>
  <c r="Z42" i="1"/>
  <c r="AB42" i="1"/>
  <c r="K42" i="5"/>
  <c r="L42" i="5" s="1"/>
  <c r="Y44" i="1"/>
  <c r="BR44" i="1" s="1"/>
  <c r="H44" i="1" s="1"/>
  <c r="AA44" i="1"/>
  <c r="Z44" i="1"/>
  <c r="AB44" i="1"/>
  <c r="K44" i="5"/>
  <c r="L44" i="5" s="1"/>
  <c r="AD7" i="1"/>
  <c r="O7" i="5" s="1"/>
  <c r="AD5" i="1"/>
  <c r="O5" i="5" s="1"/>
  <c r="AD25" i="1"/>
  <c r="AB49" i="1"/>
  <c r="Y49" i="1"/>
  <c r="BR49" i="1" s="1"/>
  <c r="H49" i="1" s="1"/>
  <c r="Z49" i="1"/>
  <c r="AA49" i="1"/>
  <c r="K49" i="5"/>
  <c r="L49" i="5" s="1"/>
  <c r="AD71" i="1"/>
  <c r="AD63" i="1"/>
  <c r="AF20" i="1"/>
  <c r="AH20" i="1"/>
  <c r="AE20" i="1"/>
  <c r="AG20" i="1"/>
  <c r="AD11" i="1"/>
  <c r="O11" i="5" s="1"/>
  <c r="Z45" i="1"/>
  <c r="K45" i="5"/>
  <c r="L45" i="5" s="1"/>
  <c r="AA45" i="1"/>
  <c r="Y45" i="1"/>
  <c r="BR45" i="1" s="1"/>
  <c r="H45" i="1" s="1"/>
  <c r="AB45" i="1"/>
  <c r="K50" i="5"/>
  <c r="L50" i="5" s="1"/>
  <c r="Z50" i="1"/>
  <c r="Y50" i="1"/>
  <c r="BR50" i="1" s="1"/>
  <c r="H50" i="1" s="1"/>
  <c r="AA50" i="1"/>
  <c r="AB50" i="1"/>
  <c r="Y27" i="1"/>
  <c r="AA27" i="1"/>
  <c r="AB27" i="1"/>
  <c r="Z27" i="1"/>
  <c r="K27" i="5"/>
  <c r="L27" i="5" s="1"/>
  <c r="AD75" i="1"/>
  <c r="AB53" i="1"/>
  <c r="Z53" i="1"/>
  <c r="Y53" i="1"/>
  <c r="BR53" i="1" s="1"/>
  <c r="H53" i="1" s="1"/>
  <c r="AA53" i="1"/>
  <c r="K53" i="5"/>
  <c r="L53" i="5" s="1"/>
  <c r="AD124" i="1"/>
  <c r="AI2" i="1"/>
  <c r="AJ2" i="1" s="1"/>
  <c r="Q2" i="1"/>
  <c r="AV31" i="3"/>
  <c r="AD31" i="1" s="1"/>
  <c r="V4" i="3"/>
  <c r="BL4" i="3" s="1"/>
  <c r="V156" i="3"/>
  <c r="V151" i="3"/>
  <c r="V145" i="3"/>
  <c r="V152" i="3"/>
  <c r="V146" i="3"/>
  <c r="V74" i="3"/>
  <c r="V144" i="3"/>
  <c r="V143" i="3"/>
  <c r="V19" i="3"/>
  <c r="V142" i="3"/>
  <c r="V132" i="3"/>
  <c r="V141" i="3"/>
  <c r="V16" i="3"/>
  <c r="V153" i="3"/>
  <c r="V147" i="3"/>
  <c r="V3" i="3"/>
  <c r="V159" i="3"/>
  <c r="V139" i="3"/>
  <c r="V15" i="3"/>
  <c r="V157" i="3"/>
  <c r="V86" i="3"/>
  <c r="V14" i="3"/>
  <c r="V155" i="3"/>
  <c r="V149" i="3"/>
  <c r="V154" i="3"/>
  <c r="V148" i="3"/>
  <c r="BM2" i="3"/>
  <c r="BI2" i="3"/>
  <c r="AU2" i="3"/>
  <c r="BQ2" i="3"/>
  <c r="T2" i="1"/>
  <c r="AO9" i="3"/>
  <c r="AU25" i="3"/>
  <c r="AU3" i="3"/>
  <c r="AU14" i="3"/>
  <c r="AU149" i="3"/>
  <c r="AU11" i="3"/>
  <c r="AU78" i="3"/>
  <c r="AU143" i="3"/>
  <c r="AU137" i="3"/>
  <c r="AU151" i="3"/>
  <c r="AU147" i="3"/>
  <c r="AU30" i="3"/>
  <c r="AU152" i="3"/>
  <c r="AU156" i="3"/>
  <c r="AU91" i="3"/>
  <c r="AU135" i="3"/>
  <c r="AU43" i="3"/>
  <c r="AU74" i="3"/>
  <c r="AU19" i="3"/>
  <c r="AO3" i="3"/>
  <c r="AU157" i="3"/>
  <c r="AU124" i="3"/>
  <c r="AU154" i="3"/>
  <c r="AU7" i="3"/>
  <c r="AU111" i="3"/>
  <c r="AU145" i="3"/>
  <c r="AU9" i="3"/>
  <c r="AU92" i="3"/>
  <c r="AU16" i="3"/>
  <c r="AU159" i="3"/>
  <c r="AU90" i="3"/>
  <c r="AU110" i="3"/>
  <c r="AU141" i="3"/>
  <c r="AU13" i="3"/>
  <c r="AU112" i="3"/>
  <c r="AU155" i="3"/>
  <c r="AU148" i="3"/>
  <c r="AU115" i="3"/>
  <c r="AU146" i="3"/>
  <c r="AU28" i="3"/>
  <c r="AU51" i="3"/>
  <c r="AU31" i="3"/>
  <c r="AU86" i="3"/>
  <c r="AU79" i="3"/>
  <c r="AU144" i="3"/>
  <c r="AU70" i="3"/>
  <c r="AU120" i="3"/>
  <c r="AU153" i="3"/>
  <c r="AU63" i="3"/>
  <c r="AU142" i="3"/>
  <c r="AU136" i="3"/>
  <c r="AU15" i="3"/>
  <c r="AU46" i="3"/>
  <c r="AU75" i="3"/>
  <c r="AU139" i="3"/>
  <c r="AU26" i="3"/>
  <c r="AU71" i="3"/>
  <c r="AU39" i="3"/>
  <c r="AU113" i="3"/>
  <c r="AU6" i="3"/>
  <c r="AU52" i="3"/>
  <c r="AU132" i="3"/>
  <c r="AT3" i="3"/>
  <c r="AT4" i="3"/>
  <c r="K2" i="1"/>
  <c r="AT2" i="3"/>
  <c r="AT5" i="3"/>
  <c r="AT7" i="3"/>
  <c r="AT11" i="3"/>
  <c r="AT8" i="3"/>
  <c r="AO7" i="3"/>
  <c r="W2" i="1"/>
  <c r="U2" i="1"/>
  <c r="V2" i="1"/>
  <c r="BH2" i="1"/>
  <c r="AP2" i="1"/>
  <c r="AB2" i="5" s="1"/>
  <c r="AQ2" i="1"/>
  <c r="AO14" i="3"/>
  <c r="AO155" i="3"/>
  <c r="AO151" i="3"/>
  <c r="AO78" i="3"/>
  <c r="AO46" i="3"/>
  <c r="AO90" i="3"/>
  <c r="AO52" i="3"/>
  <c r="AO145" i="3"/>
  <c r="AO70" i="3"/>
  <c r="AO30" i="3"/>
  <c r="AO6" i="3"/>
  <c r="AO28" i="3"/>
  <c r="AO124" i="3"/>
  <c r="AO156" i="3"/>
  <c r="AO139" i="3"/>
  <c r="AO141" i="3"/>
  <c r="AO113" i="3"/>
  <c r="AO86" i="3"/>
  <c r="AO137" i="3"/>
  <c r="AO120" i="3"/>
  <c r="AO112" i="3"/>
  <c r="AO110" i="3"/>
  <c r="AO135" i="3"/>
  <c r="AO143" i="3"/>
  <c r="AO11" i="3"/>
  <c r="AO132" i="3"/>
  <c r="AO153" i="3"/>
  <c r="AO2" i="3"/>
  <c r="AO157" i="3"/>
  <c r="AO26" i="3"/>
  <c r="AO51" i="3"/>
  <c r="AO13" i="3"/>
  <c r="AO74" i="3"/>
  <c r="AO63" i="3"/>
  <c r="AO19" i="3"/>
  <c r="AO75" i="3"/>
  <c r="AO25" i="3"/>
  <c r="AO92" i="3"/>
  <c r="AO111" i="3"/>
  <c r="AO31" i="3"/>
  <c r="AO136" i="3"/>
  <c r="AO43" i="3"/>
  <c r="AO142" i="3"/>
  <c r="AO79" i="3"/>
  <c r="AO148" i="3"/>
  <c r="AO91" i="3"/>
  <c r="AO147" i="3"/>
  <c r="AO154" i="3"/>
  <c r="AO115" i="3"/>
  <c r="AO149" i="3"/>
  <c r="AO146" i="3"/>
  <c r="AO159" i="3"/>
  <c r="AO71" i="3"/>
  <c r="AO152" i="3"/>
  <c r="AO15" i="3"/>
  <c r="AO144" i="3"/>
  <c r="AO39" i="3"/>
  <c r="AO16" i="3"/>
  <c r="BR192" i="1" l="1"/>
  <c r="AZ192" i="1"/>
  <c r="BU192" i="1"/>
  <c r="CD192" i="1"/>
  <c r="BF192" i="1"/>
  <c r="BG192" i="1"/>
  <c r="BP192" i="1" s="1" a="1"/>
  <c r="BP192" i="1" s="1"/>
  <c r="BW192" i="1" s="1"/>
  <c r="CD185" i="1"/>
  <c r="BG185" i="1"/>
  <c r="BP185" i="1" s="1" a="1"/>
  <c r="BP185" i="1" s="1"/>
  <c r="BF185" i="1"/>
  <c r="BU185" i="1"/>
  <c r="S189" i="5"/>
  <c r="AM189" i="1"/>
  <c r="AL189" i="1"/>
  <c r="AK189" i="1"/>
  <c r="AJ189" i="1"/>
  <c r="AA188" i="1"/>
  <c r="Z188" i="1"/>
  <c r="Y188" i="1"/>
  <c r="BR188" i="1" s="1"/>
  <c r="BW188" i="1" s="1"/>
  <c r="AB188" i="1"/>
  <c r="AA187" i="1"/>
  <c r="Z187" i="1"/>
  <c r="Y187" i="1"/>
  <c r="BR187" i="1" s="1"/>
  <c r="BW187" i="1" s="1"/>
  <c r="AB187" i="1"/>
  <c r="K187" i="5"/>
  <c r="L187" i="5" s="1"/>
  <c r="BU186" i="1"/>
  <c r="CD186" i="1"/>
  <c r="BG186" i="1"/>
  <c r="BP186" i="1" s="1" a="1"/>
  <c r="BP186" i="1" s="1"/>
  <c r="BF186" i="1"/>
  <c r="H195" i="1"/>
  <c r="AG87" i="1"/>
  <c r="O63" i="5"/>
  <c r="AH85" i="1"/>
  <c r="R85" i="5"/>
  <c r="P85" i="5"/>
  <c r="AE84" i="1"/>
  <c r="BR84" i="1" s="1"/>
  <c r="H84" i="1" s="1"/>
  <c r="AH84" i="1"/>
  <c r="N188" i="5"/>
  <c r="AF84" i="1"/>
  <c r="AE85" i="1"/>
  <c r="BR85" i="1" s="1"/>
  <c r="H85" i="1" s="1"/>
  <c r="P87" i="5"/>
  <c r="R84" i="5"/>
  <c r="P84" i="5"/>
  <c r="AF85" i="1"/>
  <c r="AG84" i="1"/>
  <c r="AG85" i="1"/>
  <c r="T185" i="5"/>
  <c r="P192" i="5"/>
  <c r="Z186" i="5"/>
  <c r="AA186" i="5"/>
  <c r="AA191" i="5"/>
  <c r="Z191" i="5"/>
  <c r="Z192" i="5"/>
  <c r="AA192" i="5"/>
  <c r="O191" i="5"/>
  <c r="O189" i="5"/>
  <c r="AH189" i="1"/>
  <c r="AG189" i="1"/>
  <c r="AE189" i="1"/>
  <c r="AF189" i="1"/>
  <c r="O193" i="5"/>
  <c r="AH193" i="1"/>
  <c r="AG193" i="1"/>
  <c r="AF193" i="1"/>
  <c r="AE193" i="1"/>
  <c r="BR193" i="1" s="1"/>
  <c r="F71" i="5"/>
  <c r="F191" i="5"/>
  <c r="M188" i="5"/>
  <c r="L188" i="5"/>
  <c r="F91" i="5"/>
  <c r="F186" i="5"/>
  <c r="H192" i="1"/>
  <c r="D91" i="5"/>
  <c r="D186" i="5"/>
  <c r="F74" i="5"/>
  <c r="F185" i="5"/>
  <c r="Z185" i="5"/>
  <c r="AA185" i="5"/>
  <c r="D74" i="5"/>
  <c r="D185" i="5"/>
  <c r="O186" i="5"/>
  <c r="P183" i="5"/>
  <c r="R183" i="5"/>
  <c r="Q183" i="5"/>
  <c r="F78" i="5"/>
  <c r="F192" i="5"/>
  <c r="D78" i="5"/>
  <c r="D192" i="5"/>
  <c r="D71" i="5"/>
  <c r="D191" i="5"/>
  <c r="AH87" i="1"/>
  <c r="AF87" i="1"/>
  <c r="AE87" i="1"/>
  <c r="BR87" i="1" s="1"/>
  <c r="H87" i="1" s="1"/>
  <c r="R87" i="5"/>
  <c r="Q194" i="5"/>
  <c r="P194" i="5"/>
  <c r="R194" i="5"/>
  <c r="AH194" i="1"/>
  <c r="AG194" i="1"/>
  <c r="AF194" i="1"/>
  <c r="AE194" i="1"/>
  <c r="BR194" i="1" s="1"/>
  <c r="R191" i="1"/>
  <c r="BW48" i="1"/>
  <c r="BW53" i="1"/>
  <c r="BW12" i="1"/>
  <c r="BW42" i="1"/>
  <c r="BW37" i="1"/>
  <c r="BW22" i="1"/>
  <c r="BW45" i="1"/>
  <c r="BW24" i="1"/>
  <c r="BW49" i="1"/>
  <c r="BW40" i="1"/>
  <c r="BW38" i="1"/>
  <c r="BW47" i="1"/>
  <c r="BW97" i="1"/>
  <c r="BW54" i="1"/>
  <c r="BW61" i="1"/>
  <c r="BW96" i="1"/>
  <c r="BW23" i="1"/>
  <c r="BW44" i="1"/>
  <c r="BW95" i="1"/>
  <c r="BW50" i="1"/>
  <c r="BW41" i="1"/>
  <c r="CD2" i="1"/>
  <c r="BJ74" i="3"/>
  <c r="O30" i="5"/>
  <c r="P30" i="5" s="1"/>
  <c r="O90" i="5"/>
  <c r="Z113" i="5"/>
  <c r="AA113" i="5"/>
  <c r="Z115" i="5"/>
  <c r="AA115" i="5"/>
  <c r="Z147" i="5"/>
  <c r="AA147" i="5"/>
  <c r="Z19" i="5"/>
  <c r="AA19" i="5"/>
  <c r="Z135" i="5"/>
  <c r="AA135" i="5"/>
  <c r="Z6" i="5"/>
  <c r="AA6" i="5"/>
  <c r="Z71" i="5"/>
  <c r="AA71" i="5"/>
  <c r="Z124" i="5"/>
  <c r="AA124" i="5"/>
  <c r="Z143" i="5"/>
  <c r="AA143" i="5"/>
  <c r="Z28" i="5"/>
  <c r="AA28" i="5"/>
  <c r="Z16" i="5"/>
  <c r="AA16" i="5"/>
  <c r="Z91" i="5"/>
  <c r="AA91" i="5"/>
  <c r="Z63" i="5"/>
  <c r="AA63" i="5"/>
  <c r="Z110" i="5"/>
  <c r="AA110" i="5"/>
  <c r="Z30" i="5"/>
  <c r="AA30" i="5"/>
  <c r="Z39" i="5"/>
  <c r="AA39" i="5"/>
  <c r="Z74" i="5"/>
  <c r="AA74" i="5"/>
  <c r="Z70" i="5"/>
  <c r="AA70" i="5"/>
  <c r="Z144" i="5"/>
  <c r="AA144" i="5"/>
  <c r="Z79" i="5"/>
  <c r="AA79" i="5"/>
  <c r="Z13" i="5"/>
  <c r="AA13" i="5"/>
  <c r="Z120" i="5"/>
  <c r="AA120" i="5"/>
  <c r="Z145" i="5"/>
  <c r="AA145" i="5"/>
  <c r="Z46" i="5"/>
  <c r="AA46" i="5"/>
  <c r="Z146" i="5"/>
  <c r="AA146" i="5"/>
  <c r="Z11" i="5"/>
  <c r="AA11" i="5"/>
  <c r="Z14" i="5"/>
  <c r="AA14" i="5"/>
  <c r="Z154" i="5"/>
  <c r="AA154" i="5"/>
  <c r="Z112" i="5"/>
  <c r="AA112" i="5"/>
  <c r="Z142" i="5"/>
  <c r="AA142" i="5"/>
  <c r="Z137" i="5"/>
  <c r="AA137" i="5"/>
  <c r="Z25" i="5"/>
  <c r="AA25" i="5"/>
  <c r="Z75" i="5"/>
  <c r="AA75" i="5"/>
  <c r="Z148" i="5"/>
  <c r="AA148" i="5"/>
  <c r="Z15" i="5"/>
  <c r="AA15" i="5"/>
  <c r="Z51" i="5"/>
  <c r="AA51" i="5"/>
  <c r="Z52" i="5"/>
  <c r="AA52" i="5"/>
  <c r="Z9" i="5"/>
  <c r="AA9" i="5"/>
  <c r="Z152" i="5"/>
  <c r="AA152" i="5"/>
  <c r="Z43" i="5"/>
  <c r="AA43" i="5"/>
  <c r="Z26" i="5"/>
  <c r="AA26" i="5"/>
  <c r="Z86" i="5"/>
  <c r="AA86" i="5"/>
  <c r="Z90" i="5"/>
  <c r="AA90" i="5"/>
  <c r="Z157" i="5"/>
  <c r="AA157" i="5"/>
  <c r="Z159" i="5"/>
  <c r="AA159" i="5"/>
  <c r="Z31" i="5"/>
  <c r="AA31" i="5"/>
  <c r="Z141" i="5"/>
  <c r="AA141" i="5"/>
  <c r="Z78" i="5"/>
  <c r="AA78" i="5"/>
  <c r="AA136" i="5"/>
  <c r="Z136" i="5"/>
  <c r="Z7" i="5"/>
  <c r="AA7" i="5"/>
  <c r="Z111" i="5"/>
  <c r="AA111" i="5"/>
  <c r="Z153" i="5"/>
  <c r="AA153" i="5"/>
  <c r="Z139" i="5"/>
  <c r="AA139" i="5"/>
  <c r="Z151" i="5"/>
  <c r="AA151" i="5"/>
  <c r="Z149" i="5"/>
  <c r="AA149" i="5"/>
  <c r="Z92" i="5"/>
  <c r="AA92" i="5"/>
  <c r="Z132" i="5"/>
  <c r="AA132" i="5"/>
  <c r="Z156" i="5"/>
  <c r="AA156" i="5"/>
  <c r="Z155" i="5"/>
  <c r="AA155" i="5"/>
  <c r="Z3" i="5"/>
  <c r="AA3" i="5"/>
  <c r="BR150" i="1"/>
  <c r="H150" i="1" s="1"/>
  <c r="BR158" i="1"/>
  <c r="H158" i="1" s="1"/>
  <c r="BL143" i="3"/>
  <c r="BR114" i="1"/>
  <c r="H114" i="1" s="1"/>
  <c r="R51" i="1"/>
  <c r="R110" i="1"/>
  <c r="R79" i="1"/>
  <c r="R43" i="1"/>
  <c r="BR118" i="1"/>
  <c r="H118" i="1" s="1"/>
  <c r="BR123" i="1"/>
  <c r="H123" i="1" s="1"/>
  <c r="BR88" i="1"/>
  <c r="H88" i="1" s="1"/>
  <c r="R137" i="1"/>
  <c r="BR65" i="1"/>
  <c r="H65" i="1" s="1"/>
  <c r="BR125" i="1"/>
  <c r="H125" i="1" s="1"/>
  <c r="BR17" i="1"/>
  <c r="H17" i="1" s="1"/>
  <c r="BR21" i="1"/>
  <c r="H21" i="1" s="1"/>
  <c r="BR33" i="1"/>
  <c r="H33" i="1" s="1"/>
  <c r="BR66" i="1"/>
  <c r="H66" i="1" s="1"/>
  <c r="BR82" i="1"/>
  <c r="H82" i="1" s="1"/>
  <c r="BR20" i="1"/>
  <c r="H20" i="1" s="1"/>
  <c r="BR18" i="1"/>
  <c r="H18" i="1" s="1"/>
  <c r="BR83" i="1"/>
  <c r="H83" i="1" s="1"/>
  <c r="BR121" i="1"/>
  <c r="H121" i="1" s="1"/>
  <c r="G11" i="5"/>
  <c r="I11" i="5" s="1"/>
  <c r="G5" i="5"/>
  <c r="H5" i="5" s="1"/>
  <c r="T5" i="1"/>
  <c r="O136" i="5"/>
  <c r="P136" i="5" s="1"/>
  <c r="BL142" i="3"/>
  <c r="BL157" i="3"/>
  <c r="O75" i="5"/>
  <c r="O25" i="5"/>
  <c r="P25" i="5" s="1"/>
  <c r="BL153" i="3"/>
  <c r="V8" i="1"/>
  <c r="N29" i="5"/>
  <c r="M29" i="5"/>
  <c r="U5" i="1"/>
  <c r="W5" i="1"/>
  <c r="G8" i="5"/>
  <c r="I8" i="5" s="1"/>
  <c r="U8" i="1"/>
  <c r="T8" i="1"/>
  <c r="AT64" i="3"/>
  <c r="BR64" i="1" s="1"/>
  <c r="H64" i="1" s="1"/>
  <c r="T11" i="1"/>
  <c r="W11" i="1"/>
  <c r="V11" i="1"/>
  <c r="BL151" i="3"/>
  <c r="O39" i="5"/>
  <c r="P39" i="5" s="1"/>
  <c r="O91" i="5"/>
  <c r="O92" i="5"/>
  <c r="P92" i="5" s="1"/>
  <c r="BL141" i="3"/>
  <c r="BL156" i="3"/>
  <c r="BL30" i="3"/>
  <c r="O135" i="5"/>
  <c r="P135" i="5" s="1"/>
  <c r="BL147" i="3"/>
  <c r="BL90" i="3"/>
  <c r="BL91" i="3"/>
  <c r="O70" i="5"/>
  <c r="Q70" i="5" s="1"/>
  <c r="BL86" i="3"/>
  <c r="BL19" i="3"/>
  <c r="BL115" i="3"/>
  <c r="BR74" i="3"/>
  <c r="U185" i="5" s="1"/>
  <c r="BM74" i="3"/>
  <c r="V185" i="5" s="1"/>
  <c r="BL70" i="3"/>
  <c r="BL145" i="3"/>
  <c r="BL155" i="3"/>
  <c r="O9" i="5"/>
  <c r="P9" i="5" s="1"/>
  <c r="BL14" i="3"/>
  <c r="BL111" i="3"/>
  <c r="BL144" i="3"/>
  <c r="BL159" i="3"/>
  <c r="BL16" i="3"/>
  <c r="BU43" i="1"/>
  <c r="BL149" i="3"/>
  <c r="O124" i="5"/>
  <c r="P124" i="5" s="1"/>
  <c r="CD157" i="1"/>
  <c r="BF157" i="1"/>
  <c r="BG157" i="1" s="1"/>
  <c r="BP157" i="1" s="1" a="1"/>
  <c r="BP157" i="1" s="1"/>
  <c r="BU157" i="1"/>
  <c r="BJ75" i="3"/>
  <c r="BM75" i="3"/>
  <c r="BL71" i="3"/>
  <c r="G137" i="5"/>
  <c r="T137" i="1"/>
  <c r="V137" i="1"/>
  <c r="U137" i="1"/>
  <c r="W137" i="1"/>
  <c r="U111" i="1"/>
  <c r="W111" i="1"/>
  <c r="T111" i="1"/>
  <c r="V111" i="1"/>
  <c r="G111" i="5"/>
  <c r="BP25" i="3"/>
  <c r="BT25" i="3" s="1"/>
  <c r="BL25" i="3"/>
  <c r="BF115" i="1"/>
  <c r="CD115" i="1"/>
  <c r="BG115" i="1"/>
  <c r="BP115" i="1" s="1" a="1"/>
  <c r="BP115" i="1" s="1"/>
  <c r="BU115" i="1"/>
  <c r="BU11" i="1"/>
  <c r="BF11" i="1"/>
  <c r="BG11" i="1"/>
  <c r="BP11" i="1" s="1" a="1"/>
  <c r="BP11" i="1" s="1"/>
  <c r="CD11" i="1"/>
  <c r="AZ11" i="1"/>
  <c r="T17" i="5"/>
  <c r="U17" i="5"/>
  <c r="V17" i="5"/>
  <c r="BJ79" i="3"/>
  <c r="BG79" i="3"/>
  <c r="K79" i="5" s="1"/>
  <c r="L79" i="5" s="1"/>
  <c r="BM79" i="3"/>
  <c r="BM111" i="3"/>
  <c r="BJ111" i="3"/>
  <c r="BU132" i="1"/>
  <c r="BF132" i="1"/>
  <c r="CD132" i="1"/>
  <c r="BG132" i="1"/>
  <c r="BP132" i="1" s="1" a="1"/>
  <c r="BP132" i="1" s="1"/>
  <c r="BU9" i="1"/>
  <c r="H4" i="5"/>
  <c r="I4" i="5"/>
  <c r="J4" i="5"/>
  <c r="V13" i="1"/>
  <c r="G13" i="5"/>
  <c r="T13" i="1"/>
  <c r="W13" i="1"/>
  <c r="U13" i="1"/>
  <c r="BM157" i="3"/>
  <c r="BJ157" i="3"/>
  <c r="BF142" i="1"/>
  <c r="BG142" i="1" s="1"/>
  <c r="BP142" i="1" s="1" a="1"/>
  <c r="BP142" i="1" s="1"/>
  <c r="CD142" i="1"/>
  <c r="BM115" i="3"/>
  <c r="BJ115" i="3"/>
  <c r="BJ63" i="3"/>
  <c r="BM63" i="3"/>
  <c r="CD154" i="1"/>
  <c r="BU154" i="1"/>
  <c r="BF154" i="1"/>
  <c r="BG154" i="1" s="1"/>
  <c r="BP154" i="1" s="1" a="1"/>
  <c r="BP154" i="1" s="1"/>
  <c r="BF151" i="1"/>
  <c r="BU151" i="1"/>
  <c r="CD151" i="1"/>
  <c r="BG151" i="1"/>
  <c r="BP151" i="1" s="1" a="1"/>
  <c r="BP151" i="1" s="1"/>
  <c r="H118" i="5"/>
  <c r="J118" i="5"/>
  <c r="I118" i="5"/>
  <c r="BL28" i="3"/>
  <c r="BP28" i="3"/>
  <c r="BT28" i="3" s="1"/>
  <c r="O28" i="5"/>
  <c r="BU28" i="1"/>
  <c r="BF28" i="1"/>
  <c r="BG28" i="1"/>
  <c r="BP28" i="1" s="1" a="1"/>
  <c r="BP28" i="1" s="1"/>
  <c r="CD28" i="1"/>
  <c r="BG92" i="1"/>
  <c r="BP92" i="1" s="1" a="1"/>
  <c r="BP92" i="1" s="1"/>
  <c r="CD92" i="1"/>
  <c r="AZ92" i="1"/>
  <c r="BU92" i="1"/>
  <c r="BF92" i="1"/>
  <c r="BU145" i="1"/>
  <c r="CD145" i="1"/>
  <c r="BF145" i="1"/>
  <c r="BG145" i="1" s="1"/>
  <c r="BP145" i="1" s="1" a="1"/>
  <c r="BP145" i="1" s="1"/>
  <c r="BF7" i="1"/>
  <c r="CD7" i="1"/>
  <c r="BG7" i="1"/>
  <c r="BP7" i="1" s="1" a="1"/>
  <c r="BP7" i="1" s="1"/>
  <c r="AZ7" i="1"/>
  <c r="BF155" i="1"/>
  <c r="BG155" i="1" s="1"/>
  <c r="BP155" i="1" s="1" a="1"/>
  <c r="BP155" i="1" s="1"/>
  <c r="BU155" i="1"/>
  <c r="CD155" i="1"/>
  <c r="V114" i="5"/>
  <c r="T114" i="5"/>
  <c r="U114" i="5"/>
  <c r="BU86" i="1"/>
  <c r="BG86" i="1"/>
  <c r="BP86" i="1" s="1" a="1"/>
  <c r="BP86" i="1" s="1"/>
  <c r="BF86" i="1"/>
  <c r="CD86" i="1"/>
  <c r="BU13" i="1"/>
  <c r="BP14" i="3"/>
  <c r="BT14" i="3" s="1"/>
  <c r="BM137" i="3"/>
  <c r="BJ137" i="3"/>
  <c r="BG137" i="3"/>
  <c r="U6" i="1"/>
  <c r="W6" i="1"/>
  <c r="G6" i="5"/>
  <c r="T6" i="1"/>
  <c r="V6" i="1"/>
  <c r="BJ154" i="3"/>
  <c r="BM154" i="3"/>
  <c r="AM151" i="1"/>
  <c r="AL151" i="1"/>
  <c r="AK151" i="1"/>
  <c r="S151" i="5"/>
  <c r="AB112" i="1"/>
  <c r="Z112" i="1"/>
  <c r="Y112" i="1"/>
  <c r="AA112" i="1"/>
  <c r="BG91" i="1"/>
  <c r="BP91" i="1" s="1" a="1"/>
  <c r="BP91" i="1" s="1"/>
  <c r="BU91" i="1"/>
  <c r="CD91" i="1"/>
  <c r="BF91" i="1"/>
  <c r="BF148" i="1"/>
  <c r="BG148" i="1" s="1"/>
  <c r="BP148" i="1" s="1" a="1"/>
  <c r="BP148" i="1" s="1"/>
  <c r="CD148" i="1"/>
  <c r="BU148" i="1"/>
  <c r="BL136" i="3"/>
  <c r="BP136" i="3"/>
  <c r="BT136" i="3" s="1"/>
  <c r="H3" i="5"/>
  <c r="I3" i="5"/>
  <c r="J3" i="5"/>
  <c r="BL120" i="3"/>
  <c r="AV120" i="3"/>
  <c r="AD120" i="1" s="1"/>
  <c r="BM28" i="3"/>
  <c r="BJ28" i="3"/>
  <c r="BL15" i="3"/>
  <c r="S120" i="5"/>
  <c r="AK120" i="1"/>
  <c r="AM120" i="1"/>
  <c r="AL120" i="1"/>
  <c r="BL31" i="3"/>
  <c r="BU120" i="1"/>
  <c r="S124" i="5"/>
  <c r="AM124" i="1"/>
  <c r="AK124" i="1"/>
  <c r="AL124" i="1"/>
  <c r="BU153" i="1"/>
  <c r="CD3" i="1"/>
  <c r="BU3" i="1"/>
  <c r="BF3" i="1"/>
  <c r="BG3" i="1"/>
  <c r="BP3" i="1" s="1" a="1"/>
  <c r="BP3" i="1" s="1"/>
  <c r="BL139" i="3"/>
  <c r="BL74" i="3"/>
  <c r="O71" i="5"/>
  <c r="P71" i="5" s="1"/>
  <c r="BM120" i="3"/>
  <c r="BJ120" i="3"/>
  <c r="U26" i="1"/>
  <c r="T26" i="1"/>
  <c r="V26" i="1"/>
  <c r="W26" i="1"/>
  <c r="G26" i="5"/>
  <c r="BJ124" i="3"/>
  <c r="BM124" i="3"/>
  <c r="BL146" i="3"/>
  <c r="BU146" i="1"/>
  <c r="BF146" i="1"/>
  <c r="BG146" i="1" s="1"/>
  <c r="BP146" i="1" s="1" a="1"/>
  <c r="BP146" i="1" s="1"/>
  <c r="CD146" i="1"/>
  <c r="S156" i="5"/>
  <c r="AL156" i="1"/>
  <c r="AK156" i="1"/>
  <c r="AM156" i="1"/>
  <c r="S159" i="5"/>
  <c r="AM159" i="1"/>
  <c r="AK159" i="1"/>
  <c r="AL159" i="1"/>
  <c r="BM155" i="3"/>
  <c r="BJ155" i="3"/>
  <c r="BL92" i="3"/>
  <c r="BP92" i="3"/>
  <c r="BT92" i="3" s="1"/>
  <c r="BF139" i="1"/>
  <c r="BG139" i="1" s="1"/>
  <c r="BP139" i="1" s="1" a="1"/>
  <c r="BP139" i="1" s="1"/>
  <c r="BU139" i="1"/>
  <c r="CD139" i="1"/>
  <c r="BU7" i="1"/>
  <c r="BG113" i="1"/>
  <c r="BP113" i="1" s="1" a="1"/>
  <c r="BP113" i="1" s="1"/>
  <c r="BF113" i="1"/>
  <c r="CD113" i="1"/>
  <c r="BU113" i="1"/>
  <c r="T43" i="1"/>
  <c r="W43" i="1"/>
  <c r="U43" i="1"/>
  <c r="V43" i="1"/>
  <c r="G43" i="5"/>
  <c r="V7" i="1"/>
  <c r="T7" i="1"/>
  <c r="U7" i="1"/>
  <c r="W7" i="1"/>
  <c r="G7" i="5"/>
  <c r="BL75" i="3"/>
  <c r="BP75" i="3"/>
  <c r="BT75" i="3" s="1"/>
  <c r="CD63" i="1"/>
  <c r="BU63" i="1"/>
  <c r="BF63" i="1"/>
  <c r="BG63" i="1"/>
  <c r="BP63" i="1" s="1" a="1"/>
  <c r="BP63" i="1" s="1"/>
  <c r="BM6" i="3"/>
  <c r="BJ6" i="3"/>
  <c r="S152" i="5"/>
  <c r="AK152" i="1"/>
  <c r="AL152" i="1"/>
  <c r="AM152" i="1"/>
  <c r="BM151" i="3"/>
  <c r="BJ151" i="3"/>
  <c r="T112" i="1"/>
  <c r="G112" i="5"/>
  <c r="U112" i="1"/>
  <c r="V112" i="1"/>
  <c r="W112" i="1"/>
  <c r="BF9" i="1"/>
  <c r="BG9" i="1"/>
  <c r="BP9" i="1" s="1" a="1"/>
  <c r="BP9" i="1" s="1"/>
  <c r="CD9" i="1"/>
  <c r="AZ9" i="1"/>
  <c r="BJ51" i="3"/>
  <c r="BM51" i="3"/>
  <c r="BG51" i="3"/>
  <c r="O115" i="5"/>
  <c r="AG115" i="1"/>
  <c r="AF115" i="1"/>
  <c r="AH115" i="1"/>
  <c r="AE115" i="1"/>
  <c r="T51" i="1"/>
  <c r="G51" i="5"/>
  <c r="U51" i="1"/>
  <c r="V51" i="1"/>
  <c r="W51" i="1"/>
  <c r="S154" i="5"/>
  <c r="AK154" i="1"/>
  <c r="AL154" i="1"/>
  <c r="AM154" i="1"/>
  <c r="T7" i="5"/>
  <c r="U7" i="5"/>
  <c r="V7" i="5"/>
  <c r="S155" i="5"/>
  <c r="AL155" i="1"/>
  <c r="AK155" i="1"/>
  <c r="AM155" i="1"/>
  <c r="BL3" i="3"/>
  <c r="BL152" i="3"/>
  <c r="O78" i="5"/>
  <c r="P78" i="5" s="1"/>
  <c r="BU147" i="1"/>
  <c r="BF147" i="1"/>
  <c r="BG147" i="1" s="1"/>
  <c r="BP147" i="1" s="1" a="1"/>
  <c r="BP147" i="1" s="1"/>
  <c r="CD147" i="1"/>
  <c r="BM156" i="3"/>
  <c r="BJ156" i="3"/>
  <c r="S31" i="5"/>
  <c r="AK31" i="1"/>
  <c r="AL31" i="1"/>
  <c r="AM31" i="1"/>
  <c r="T11" i="5"/>
  <c r="U11" i="5"/>
  <c r="V11" i="5"/>
  <c r="BJ26" i="3"/>
  <c r="BM26" i="3"/>
  <c r="BG26" i="3"/>
  <c r="K26" i="5" s="1"/>
  <c r="L26" i="5" s="1"/>
  <c r="BM159" i="3"/>
  <c r="BJ159" i="3"/>
  <c r="BR159" i="3"/>
  <c r="S157" i="5"/>
  <c r="AM157" i="1"/>
  <c r="AK157" i="1"/>
  <c r="AL157" i="1"/>
  <c r="BR124" i="3"/>
  <c r="BP115" i="3"/>
  <c r="BT115" i="3" s="1"/>
  <c r="BU111" i="1"/>
  <c r="BG111" i="1"/>
  <c r="BP111" i="1" s="1" a="1"/>
  <c r="BP111" i="1" s="1"/>
  <c r="CD111" i="1"/>
  <c r="BF111" i="1"/>
  <c r="AZ111" i="1"/>
  <c r="BF43" i="1"/>
  <c r="CD43" i="1"/>
  <c r="BG43" i="1"/>
  <c r="BP43" i="1" s="1" a="1"/>
  <c r="BP43" i="1" s="1"/>
  <c r="AZ43" i="1"/>
  <c r="BG46" i="1"/>
  <c r="BP46" i="1" s="1" a="1"/>
  <c r="BP46" i="1" s="1"/>
  <c r="CD46" i="1"/>
  <c r="BU46" i="1"/>
  <c r="BF46" i="1"/>
  <c r="AZ46" i="1"/>
  <c r="BJ152" i="3"/>
  <c r="BM152" i="3"/>
  <c r="BU15" i="1"/>
  <c r="BM112" i="3"/>
  <c r="BJ112" i="3"/>
  <c r="BG112" i="3"/>
  <c r="K112" i="5" s="1"/>
  <c r="BM31" i="3"/>
  <c r="BJ31" i="3"/>
  <c r="BR156" i="3"/>
  <c r="CD15" i="1"/>
  <c r="BF15" i="1"/>
  <c r="BG15" i="1" s="1"/>
  <c r="BP15" i="1" s="1" a="1"/>
  <c r="BP15" i="1" s="1"/>
  <c r="V84" i="5"/>
  <c r="T84" i="5"/>
  <c r="U84" i="5"/>
  <c r="BG137" i="1"/>
  <c r="BP137" i="1" s="1" a="1"/>
  <c r="BP137" i="1" s="1"/>
  <c r="BF137" i="1"/>
  <c r="BU137" i="1"/>
  <c r="CD137" i="1"/>
  <c r="CD141" i="1"/>
  <c r="BF141" i="1"/>
  <c r="BG141" i="1" s="1"/>
  <c r="BP141" i="1" s="1" a="1"/>
  <c r="BP141" i="1" s="1"/>
  <c r="BU141" i="1"/>
  <c r="CD51" i="1"/>
  <c r="BU51" i="1"/>
  <c r="BF51" i="1"/>
  <c r="BG51" i="1"/>
  <c r="BP51" i="1" s="1" a="1"/>
  <c r="BP51" i="1" s="1"/>
  <c r="AZ51" i="1"/>
  <c r="BL148" i="3"/>
  <c r="S90" i="5"/>
  <c r="AK90" i="1"/>
  <c r="AM90" i="1"/>
  <c r="AL90" i="1"/>
  <c r="S115" i="5"/>
  <c r="AL115" i="1"/>
  <c r="AK115" i="1"/>
  <c r="AM115" i="1"/>
  <c r="BM13" i="3"/>
  <c r="BJ13" i="3"/>
  <c r="BG120" i="1"/>
  <c r="BP120" i="1" s="1" a="1"/>
  <c r="BP120" i="1" s="1"/>
  <c r="BF120" i="1"/>
  <c r="CD120" i="1"/>
  <c r="BU156" i="1"/>
  <c r="CD156" i="1"/>
  <c r="BF156" i="1"/>
  <c r="BG156" i="1" s="1"/>
  <c r="BP156" i="1" s="1" a="1"/>
  <c r="BP156" i="1" s="1"/>
  <c r="CD30" i="1"/>
  <c r="BG30" i="1"/>
  <c r="BP30" i="1" s="1" a="1"/>
  <c r="BP30" i="1" s="1"/>
  <c r="BF30" i="1"/>
  <c r="BU30" i="1"/>
  <c r="AZ30" i="1"/>
  <c r="T110" i="1"/>
  <c r="U110" i="1"/>
  <c r="W110" i="1"/>
  <c r="V110" i="1"/>
  <c r="G110" i="5"/>
  <c r="CD13" i="1"/>
  <c r="BG13" i="1"/>
  <c r="BP13" i="1" s="1" a="1"/>
  <c r="BP13" i="1" s="1"/>
  <c r="BF13" i="1"/>
  <c r="AZ13" i="1"/>
  <c r="BF153" i="1"/>
  <c r="BG153" i="1" s="1"/>
  <c r="BP153" i="1" s="1" a="1"/>
  <c r="BP153" i="1" s="1"/>
  <c r="CD153" i="1"/>
  <c r="S4" i="5"/>
  <c r="AK4" i="1"/>
  <c r="AL4" i="1"/>
  <c r="AM4" i="1"/>
  <c r="BL124" i="3"/>
  <c r="BP124" i="3"/>
  <c r="BT124" i="3" s="1"/>
  <c r="CD143" i="1"/>
  <c r="BU143" i="1"/>
  <c r="BF143" i="1"/>
  <c r="BG143" i="1" s="1"/>
  <c r="BP143" i="1" s="1" a="1"/>
  <c r="BP143" i="1" s="1"/>
  <c r="J11" i="5"/>
  <c r="BU16" i="1"/>
  <c r="T18" i="5"/>
  <c r="U18" i="5"/>
  <c r="V18" i="5"/>
  <c r="T20" i="5"/>
  <c r="V20" i="5"/>
  <c r="U20" i="5"/>
  <c r="G46" i="5"/>
  <c r="U46" i="1"/>
  <c r="T46" i="1"/>
  <c r="V46" i="1"/>
  <c r="W46" i="1"/>
  <c r="V63" i="1"/>
  <c r="U63" i="1"/>
  <c r="W63" i="1"/>
  <c r="G63" i="5"/>
  <c r="T63" i="1"/>
  <c r="BG39" i="1"/>
  <c r="BP39" i="1" s="1" a="1"/>
  <c r="BP39" i="1" s="1"/>
  <c r="CD39" i="1"/>
  <c r="BU39" i="1"/>
  <c r="BF39" i="1"/>
  <c r="CD75" i="1"/>
  <c r="BG75" i="1"/>
  <c r="BP75" i="1" s="1" a="1"/>
  <c r="BP75" i="1" s="1"/>
  <c r="BU75" i="1"/>
  <c r="BF75" i="1"/>
  <c r="BM110" i="3"/>
  <c r="BJ110" i="3"/>
  <c r="BF144" i="1"/>
  <c r="BG144" i="1" s="1"/>
  <c r="BP144" i="1" s="1" a="1"/>
  <c r="BP144" i="1" s="1"/>
  <c r="CD144" i="1"/>
  <c r="BU144" i="1"/>
  <c r="BF90" i="1"/>
  <c r="BG90" i="1"/>
  <c r="BP90" i="1" s="1" a="1"/>
  <c r="BP90" i="1" s="1"/>
  <c r="BU90" i="1"/>
  <c r="CD90" i="1"/>
  <c r="T8" i="5"/>
  <c r="U8" i="5"/>
  <c r="V8" i="5"/>
  <c r="BR157" i="3"/>
  <c r="CD110" i="1"/>
  <c r="BG110" i="1"/>
  <c r="BP110" i="1" s="1" a="1"/>
  <c r="BP110" i="1" s="1"/>
  <c r="BU110" i="1"/>
  <c r="BF110" i="1"/>
  <c r="AZ110" i="1"/>
  <c r="T158" i="5"/>
  <c r="V158" i="5"/>
  <c r="U158" i="5"/>
  <c r="BU70" i="1"/>
  <c r="BG70" i="1"/>
  <c r="BP70" i="1" s="1" a="1"/>
  <c r="BP70" i="1" s="1"/>
  <c r="CD70" i="1"/>
  <c r="BF70" i="1"/>
  <c r="AZ70" i="1"/>
  <c r="BR152" i="3"/>
  <c r="BG46" i="3"/>
  <c r="K46" i="5" s="1"/>
  <c r="L46" i="5" s="1"/>
  <c r="BJ46" i="3"/>
  <c r="BM46" i="3"/>
  <c r="CD149" i="1"/>
  <c r="BF149" i="1"/>
  <c r="BG149" i="1" s="1"/>
  <c r="BP149" i="1" s="1" a="1"/>
  <c r="BP149" i="1" s="1"/>
  <c r="BU149" i="1"/>
  <c r="CD74" i="1"/>
  <c r="BU74" i="1"/>
  <c r="BF74" i="1"/>
  <c r="BG74" i="1"/>
  <c r="BP74" i="1" s="1" a="1"/>
  <c r="BP74" i="1" s="1"/>
  <c r="BP78" i="3"/>
  <c r="BT78" i="3" s="1"/>
  <c r="Q192" i="5" s="1"/>
  <c r="BL78" i="3"/>
  <c r="R192" i="5" s="1"/>
  <c r="S74" i="5"/>
  <c r="AM74" i="1"/>
  <c r="AK74" i="1"/>
  <c r="AL74" i="1"/>
  <c r="BF152" i="1"/>
  <c r="BG152" i="1" s="1"/>
  <c r="BP152" i="1" s="1" a="1"/>
  <c r="BP152" i="1" s="1"/>
  <c r="BU152" i="1"/>
  <c r="CD152" i="1"/>
  <c r="BR28" i="3"/>
  <c r="BL132" i="3"/>
  <c r="O31" i="5"/>
  <c r="Q31" i="5" s="1"/>
  <c r="O13" i="5"/>
  <c r="P13" i="5" s="1"/>
  <c r="BU124" i="1"/>
  <c r="BF124" i="1"/>
  <c r="BG124" i="1"/>
  <c r="BP124" i="1" s="1" a="1"/>
  <c r="BP124" i="1" s="1"/>
  <c r="CD124" i="1"/>
  <c r="BR63" i="3"/>
  <c r="V150" i="5"/>
  <c r="T150" i="5"/>
  <c r="U150" i="5"/>
  <c r="BP149" i="3"/>
  <c r="BT149" i="3" s="1"/>
  <c r="S132" i="5"/>
  <c r="AL132" i="1"/>
  <c r="AM132" i="1"/>
  <c r="AK132" i="1"/>
  <c r="BG78" i="1"/>
  <c r="BP78" i="1" s="1" a="1"/>
  <c r="BP78" i="1" s="1"/>
  <c r="CD78" i="1"/>
  <c r="BF78" i="1"/>
  <c r="BU78" i="1"/>
  <c r="AZ78" i="1"/>
  <c r="BU135" i="1"/>
  <c r="CD135" i="1"/>
  <c r="BF135" i="1"/>
  <c r="BG135" i="1"/>
  <c r="BP135" i="1" s="1" a="1"/>
  <c r="BP135" i="1" s="1"/>
  <c r="AZ135" i="1"/>
  <c r="S19" i="5"/>
  <c r="AK19" i="1"/>
  <c r="AM19" i="1"/>
  <c r="AL19" i="1"/>
  <c r="W52" i="1"/>
  <c r="G52" i="5"/>
  <c r="U52" i="1"/>
  <c r="T52" i="1"/>
  <c r="V52" i="1"/>
  <c r="BG112" i="1"/>
  <c r="BP112" i="1" s="1" a="1"/>
  <c r="BP112" i="1" s="1"/>
  <c r="CD112" i="1"/>
  <c r="BF112" i="1"/>
  <c r="BU112" i="1"/>
  <c r="AZ112" i="1"/>
  <c r="BR115" i="3"/>
  <c r="O113" i="5"/>
  <c r="AF113" i="1"/>
  <c r="AG113" i="1"/>
  <c r="AE113" i="1"/>
  <c r="AH113" i="1"/>
  <c r="BU25" i="1"/>
  <c r="BF25" i="1"/>
  <c r="BG25" i="1"/>
  <c r="BP25" i="1" s="1" a="1"/>
  <c r="BP25" i="1" s="1"/>
  <c r="CD25" i="1"/>
  <c r="AZ25" i="1"/>
  <c r="CD16" i="1"/>
  <c r="BF16" i="1"/>
  <c r="BG16" i="1" s="1"/>
  <c r="BP16" i="1" s="1" a="1"/>
  <c r="BP16" i="1" s="1"/>
  <c r="V123" i="5"/>
  <c r="T123" i="5"/>
  <c r="U123" i="5"/>
  <c r="BL63" i="3"/>
  <c r="R63" i="5" s="1"/>
  <c r="BP63" i="3"/>
  <c r="BT63" i="3" s="1"/>
  <c r="Q63" i="5" s="1"/>
  <c r="BP6" i="3"/>
  <c r="BT6" i="3" s="1"/>
  <c r="Q6" i="5" s="1"/>
  <c r="BL6" i="3"/>
  <c r="R6" i="5" s="1"/>
  <c r="BM43" i="3"/>
  <c r="BJ43" i="3"/>
  <c r="BG43" i="3"/>
  <c r="BJ90" i="3"/>
  <c r="BM90" i="3"/>
  <c r="BU142" i="1"/>
  <c r="BP135" i="3"/>
  <c r="BT135" i="3" s="1"/>
  <c r="BL135" i="3"/>
  <c r="CD52" i="1"/>
  <c r="BU52" i="1"/>
  <c r="BG52" i="1"/>
  <c r="BP52" i="1" s="1" a="1"/>
  <c r="BP52" i="1" s="1"/>
  <c r="BF52" i="1"/>
  <c r="AZ52" i="1"/>
  <c r="BP13" i="3"/>
  <c r="BT13" i="3" s="1"/>
  <c r="BL13" i="3"/>
  <c r="T79" i="1"/>
  <c r="G79" i="5"/>
  <c r="W79" i="1"/>
  <c r="U79" i="1"/>
  <c r="V79" i="1"/>
  <c r="BM132" i="3"/>
  <c r="BJ132" i="3"/>
  <c r="BF19" i="1"/>
  <c r="BG19" i="1" s="1"/>
  <c r="BP19" i="1" s="1" a="1"/>
  <c r="BP19" i="1" s="1"/>
  <c r="CD19" i="1"/>
  <c r="BU19" i="1"/>
  <c r="AL153" i="1"/>
  <c r="AM153" i="1"/>
  <c r="AK153" i="1"/>
  <c r="S153" i="5"/>
  <c r="BJ19" i="3"/>
  <c r="BM19" i="3"/>
  <c r="S3" i="5"/>
  <c r="AK3" i="1"/>
  <c r="AL3" i="1"/>
  <c r="AM3" i="1"/>
  <c r="G135" i="5"/>
  <c r="W135" i="1"/>
  <c r="V135" i="1"/>
  <c r="T135" i="1"/>
  <c r="U135" i="1"/>
  <c r="CD159" i="1"/>
  <c r="BU159" i="1"/>
  <c r="BF159" i="1"/>
  <c r="BG159" i="1" s="1"/>
  <c r="BP159" i="1" s="1" a="1"/>
  <c r="BP159" i="1" s="1"/>
  <c r="BP141" i="3"/>
  <c r="BT141" i="3" s="1"/>
  <c r="BF26" i="1"/>
  <c r="BU26" i="1"/>
  <c r="CD26" i="1"/>
  <c r="BG26" i="1"/>
  <c r="BP26" i="1" s="1" a="1"/>
  <c r="BP26" i="1" s="1"/>
  <c r="BP39" i="3"/>
  <c r="BT39" i="3" s="1"/>
  <c r="BL39" i="3"/>
  <c r="BR154" i="3"/>
  <c r="BS52" i="3"/>
  <c r="K52" i="5" s="1"/>
  <c r="L52" i="5" s="1"/>
  <c r="BK52" i="3"/>
  <c r="S28" i="5"/>
  <c r="AK28" i="1"/>
  <c r="AM28" i="1"/>
  <c r="AL28" i="1"/>
  <c r="CD79" i="1"/>
  <c r="BU79" i="1"/>
  <c r="BG79" i="1"/>
  <c r="BP79" i="1" s="1" a="1"/>
  <c r="BP79" i="1" s="1"/>
  <c r="BF79" i="1"/>
  <c r="BM153" i="3"/>
  <c r="BJ153" i="3"/>
  <c r="BJ52" i="3"/>
  <c r="BM52" i="3"/>
  <c r="BP9" i="3"/>
  <c r="BT9" i="3" s="1"/>
  <c r="BL9" i="3"/>
  <c r="P33" i="5"/>
  <c r="Q33" i="5"/>
  <c r="R33" i="5"/>
  <c r="T5" i="5"/>
  <c r="V5" i="5"/>
  <c r="U5" i="5"/>
  <c r="BJ135" i="3"/>
  <c r="BM135" i="3"/>
  <c r="BU6" i="1"/>
  <c r="BG6" i="1"/>
  <c r="BP6" i="1" s="1" a="1"/>
  <c r="BP6" i="1" s="1"/>
  <c r="CD6" i="1"/>
  <c r="BF6" i="1"/>
  <c r="AZ6" i="1"/>
  <c r="CD14" i="1"/>
  <c r="BF14" i="1"/>
  <c r="BG14" i="1" s="1"/>
  <c r="BP14" i="1" s="1" a="1"/>
  <c r="BP14" i="1" s="1"/>
  <c r="BU14" i="1"/>
  <c r="BP139" i="3"/>
  <c r="BT139" i="3" s="1"/>
  <c r="O111" i="5"/>
  <c r="AH111" i="1"/>
  <c r="AF111" i="1"/>
  <c r="AE111" i="1"/>
  <c r="AG111" i="1"/>
  <c r="BP113" i="3"/>
  <c r="BT113" i="3" s="1"/>
  <c r="BL113" i="3"/>
  <c r="AL75" i="1"/>
  <c r="AK75" i="1"/>
  <c r="AM75" i="1"/>
  <c r="S75" i="5"/>
  <c r="BG136" i="1"/>
  <c r="BP136" i="1" s="1" a="1"/>
  <c r="BP136" i="1" s="1"/>
  <c r="BU136" i="1"/>
  <c r="CD136" i="1"/>
  <c r="BF136" i="1"/>
  <c r="E25" i="5"/>
  <c r="BQ25" i="3"/>
  <c r="D25" i="5" s="1"/>
  <c r="BI25" i="3"/>
  <c r="F25" i="5" s="1"/>
  <c r="BG25" i="3"/>
  <c r="K25" i="5" s="1"/>
  <c r="L25" i="5" s="1"/>
  <c r="BG71" i="1"/>
  <c r="BP71" i="1" s="1" a="1"/>
  <c r="BP71" i="1" s="1"/>
  <c r="CD71" i="1"/>
  <c r="BF71" i="1"/>
  <c r="BU71" i="1"/>
  <c r="AZ71" i="1"/>
  <c r="BU31" i="1"/>
  <c r="BF31" i="1"/>
  <c r="BG31" i="1" s="1"/>
  <c r="BP31" i="1" s="1" a="1"/>
  <c r="BP31" i="1" s="1"/>
  <c r="CD31" i="1"/>
  <c r="R30" i="5"/>
  <c r="P63" i="5"/>
  <c r="P11" i="5"/>
  <c r="Q11" i="5"/>
  <c r="R11" i="5"/>
  <c r="P6" i="5"/>
  <c r="AV154" i="3"/>
  <c r="AD154" i="1" s="1"/>
  <c r="O154" i="5" s="1"/>
  <c r="Q154" i="5" s="1"/>
  <c r="BL154" i="3"/>
  <c r="P5" i="5"/>
  <c r="Q5" i="5"/>
  <c r="R5" i="5"/>
  <c r="P7" i="5"/>
  <c r="R7" i="5"/>
  <c r="Q7" i="5"/>
  <c r="P8" i="5"/>
  <c r="Q8" i="5"/>
  <c r="R8" i="5"/>
  <c r="Q90" i="5"/>
  <c r="P90" i="5"/>
  <c r="AV159" i="3"/>
  <c r="AD159" i="1" s="1"/>
  <c r="O159" i="5" s="1"/>
  <c r="AE31" i="1"/>
  <c r="AG31" i="1"/>
  <c r="AF31" i="1"/>
  <c r="AH31" i="1"/>
  <c r="N45" i="5"/>
  <c r="M45" i="5"/>
  <c r="AG78" i="1"/>
  <c r="AH78" i="1"/>
  <c r="AE78" i="1"/>
  <c r="AF78" i="1"/>
  <c r="AH92" i="1"/>
  <c r="AG92" i="1"/>
  <c r="AE92" i="1"/>
  <c r="AF92" i="1"/>
  <c r="M50" i="5"/>
  <c r="N50" i="5"/>
  <c r="AV139" i="3"/>
  <c r="AD139" i="1" s="1"/>
  <c r="O139" i="5" s="1"/>
  <c r="AH28" i="1"/>
  <c r="AE28" i="1"/>
  <c r="AF28" i="1"/>
  <c r="AG28" i="1"/>
  <c r="Y25" i="1"/>
  <c r="Z25" i="1"/>
  <c r="AB25" i="1"/>
  <c r="AA25" i="1"/>
  <c r="AV146" i="3"/>
  <c r="AD146" i="1" s="1"/>
  <c r="O146" i="5" s="1"/>
  <c r="M27" i="5"/>
  <c r="N27" i="5"/>
  <c r="AE9" i="1"/>
  <c r="AF9" i="1"/>
  <c r="AG9" i="1"/>
  <c r="AH9" i="1"/>
  <c r="AE135" i="1"/>
  <c r="AF135" i="1"/>
  <c r="AG135" i="1"/>
  <c r="AH135" i="1"/>
  <c r="AA46" i="1"/>
  <c r="AB46" i="1"/>
  <c r="Y46" i="1"/>
  <c r="Z46" i="1"/>
  <c r="K137" i="5"/>
  <c r="L137" i="5" s="1"/>
  <c r="Z137" i="1"/>
  <c r="AA137" i="1"/>
  <c r="Y137" i="1"/>
  <c r="AB137" i="1"/>
  <c r="AH63" i="1"/>
  <c r="AF63" i="1"/>
  <c r="AE63" i="1"/>
  <c r="AG63" i="1"/>
  <c r="AF13" i="1"/>
  <c r="AG13" i="1"/>
  <c r="AH13" i="1"/>
  <c r="AE13" i="1"/>
  <c r="AH70" i="1"/>
  <c r="AE70" i="1"/>
  <c r="AF70" i="1"/>
  <c r="AG70" i="1"/>
  <c r="AA52" i="1"/>
  <c r="Z52" i="1"/>
  <c r="Y52" i="1"/>
  <c r="AB52" i="1"/>
  <c r="AV147" i="3"/>
  <c r="AD147" i="1" s="1"/>
  <c r="O147" i="5" s="1"/>
  <c r="M53" i="5"/>
  <c r="N53" i="5"/>
  <c r="AF11" i="1"/>
  <c r="AE11" i="1"/>
  <c r="AH11" i="1"/>
  <c r="AG11" i="1"/>
  <c r="AF25" i="1"/>
  <c r="AE25" i="1"/>
  <c r="AG25" i="1"/>
  <c r="AH25" i="1"/>
  <c r="AF7" i="1"/>
  <c r="AE7" i="1"/>
  <c r="AH7" i="1"/>
  <c r="AG7" i="1"/>
  <c r="N42" i="5"/>
  <c r="M42" i="5"/>
  <c r="AV143" i="3"/>
  <c r="AD143" i="1" s="1"/>
  <c r="O143" i="5" s="1"/>
  <c r="AA51" i="1"/>
  <c r="Y51" i="1"/>
  <c r="Z51" i="1"/>
  <c r="AB51" i="1"/>
  <c r="AV151" i="3"/>
  <c r="AD151" i="1" s="1"/>
  <c r="O151" i="5" s="1"/>
  <c r="AF136" i="1"/>
  <c r="AG136" i="1"/>
  <c r="AE136" i="1"/>
  <c r="AH136" i="1"/>
  <c r="AE91" i="1"/>
  <c r="AF91" i="1"/>
  <c r="AH91" i="1"/>
  <c r="AG91" i="1"/>
  <c r="AG124" i="1"/>
  <c r="AH124" i="1"/>
  <c r="AE124" i="1"/>
  <c r="AF124" i="1"/>
  <c r="AF71" i="1"/>
  <c r="AG71" i="1"/>
  <c r="AH71" i="1"/>
  <c r="AE71" i="1"/>
  <c r="AE90" i="1"/>
  <c r="AF90" i="1"/>
  <c r="AG90" i="1"/>
  <c r="AH90" i="1"/>
  <c r="AF8" i="1"/>
  <c r="AE8" i="1"/>
  <c r="AG8" i="1"/>
  <c r="AH8" i="1"/>
  <c r="M96" i="5"/>
  <c r="N96" i="5"/>
  <c r="Z79" i="1"/>
  <c r="Y79" i="1"/>
  <c r="AB79" i="1"/>
  <c r="AA79" i="1"/>
  <c r="AB26" i="1"/>
  <c r="AA26" i="1"/>
  <c r="Y26" i="1"/>
  <c r="Z26" i="1"/>
  <c r="AE75" i="1"/>
  <c r="AF75" i="1"/>
  <c r="AG75" i="1"/>
  <c r="AH75" i="1"/>
  <c r="N49" i="5"/>
  <c r="M49" i="5"/>
  <c r="AG6" i="1"/>
  <c r="AE6" i="1"/>
  <c r="AF6" i="1"/>
  <c r="AH6" i="1"/>
  <c r="AE39" i="1"/>
  <c r="AG39" i="1"/>
  <c r="AF39" i="1"/>
  <c r="AH39" i="1"/>
  <c r="AE5" i="1"/>
  <c r="AF5" i="1"/>
  <c r="AG5" i="1"/>
  <c r="AH5" i="1"/>
  <c r="Y43" i="1"/>
  <c r="Z43" i="1"/>
  <c r="AA43" i="1"/>
  <c r="AB43" i="1"/>
  <c r="AV155" i="3"/>
  <c r="AD155" i="1" s="1"/>
  <c r="O155" i="5" s="1"/>
  <c r="AV132" i="3"/>
  <c r="AD132" i="1" s="1"/>
  <c r="O132" i="5" s="1"/>
  <c r="M44" i="5"/>
  <c r="N44" i="5"/>
  <c r="M97" i="5"/>
  <c r="N97" i="5"/>
  <c r="AV14" i="3"/>
  <c r="AD14" i="1" s="1"/>
  <c r="O14" i="5" s="1"/>
  <c r="AV142" i="3"/>
  <c r="AD142" i="1" s="1"/>
  <c r="O142" i="5" s="1"/>
  <c r="Q142" i="5" s="1"/>
  <c r="AF30" i="1"/>
  <c r="AG30" i="1"/>
  <c r="AH30" i="1"/>
  <c r="AE30" i="1"/>
  <c r="M54" i="5"/>
  <c r="N54" i="5"/>
  <c r="M88" i="5"/>
  <c r="N88" i="5"/>
  <c r="AV74" i="3"/>
  <c r="AV4" i="3"/>
  <c r="AD4" i="1" s="1"/>
  <c r="O4" i="5" s="1"/>
  <c r="AV3" i="3"/>
  <c r="AD3" i="1" s="1"/>
  <c r="O3" i="5" s="1"/>
  <c r="AV16" i="3"/>
  <c r="AD16" i="1" s="1"/>
  <c r="O16" i="5" s="1"/>
  <c r="AV148" i="3"/>
  <c r="AD148" i="1" s="1"/>
  <c r="O148" i="5" s="1"/>
  <c r="AV149" i="3"/>
  <c r="AD149" i="1" s="1"/>
  <c r="O149" i="5" s="1"/>
  <c r="P149" i="5" s="1"/>
  <c r="AV86" i="3"/>
  <c r="AD86" i="1" s="1"/>
  <c r="O86" i="5" s="1"/>
  <c r="AV157" i="3"/>
  <c r="AD157" i="1" s="1"/>
  <c r="O157" i="5" s="1"/>
  <c r="AV15" i="3"/>
  <c r="AD15" i="1" s="1"/>
  <c r="O15" i="5" s="1"/>
  <c r="AV153" i="3"/>
  <c r="AD153" i="1" s="1"/>
  <c r="O153" i="5" s="1"/>
  <c r="AV141" i="3"/>
  <c r="AD141" i="1" s="1"/>
  <c r="O141" i="5" s="1"/>
  <c r="AV19" i="3"/>
  <c r="AD19" i="1" s="1"/>
  <c r="O19" i="5" s="1"/>
  <c r="AV144" i="3"/>
  <c r="AD144" i="1" s="1"/>
  <c r="O144" i="5" s="1"/>
  <c r="AV152" i="3"/>
  <c r="AD152" i="1" s="1"/>
  <c r="O152" i="5" s="1"/>
  <c r="AV145" i="3"/>
  <c r="AD145" i="1" s="1"/>
  <c r="O145" i="5" s="1"/>
  <c r="R145" i="5" s="1"/>
  <c r="AV156" i="3"/>
  <c r="AD156" i="1" s="1"/>
  <c r="O156" i="5" s="1"/>
  <c r="BR2" i="3"/>
  <c r="BJ2" i="3"/>
  <c r="AK2" i="1"/>
  <c r="AM2" i="1"/>
  <c r="BG2" i="1"/>
  <c r="BP2" i="1" s="1" a="1"/>
  <c r="BP2" i="1" s="1"/>
  <c r="R2" i="1"/>
  <c r="BU2" i="1"/>
  <c r="AL2" i="1"/>
  <c r="BF2" i="1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H187" i="1" l="1"/>
  <c r="H11" i="5"/>
  <c r="H188" i="1"/>
  <c r="V189" i="5"/>
  <c r="T189" i="5"/>
  <c r="U189" i="5"/>
  <c r="M187" i="5"/>
  <c r="N187" i="5"/>
  <c r="BX205" i="1"/>
  <c r="BX207" i="1"/>
  <c r="BX203" i="1"/>
  <c r="BX201" i="1"/>
  <c r="BX206" i="1"/>
  <c r="BX199" i="1"/>
  <c r="BX197" i="1"/>
  <c r="BX198" i="1"/>
  <c r="BX202" i="1"/>
  <c r="BX200" i="1"/>
  <c r="BX204" i="1"/>
  <c r="Q30" i="5"/>
  <c r="BW193" i="1"/>
  <c r="H193" i="1"/>
  <c r="P193" i="5"/>
  <c r="R193" i="5"/>
  <c r="Q193" i="5"/>
  <c r="P186" i="5"/>
  <c r="Q186" i="5"/>
  <c r="R186" i="5"/>
  <c r="P189" i="5"/>
  <c r="Q189" i="5"/>
  <c r="R189" i="5"/>
  <c r="AD74" i="1"/>
  <c r="O74" i="5" s="1"/>
  <c r="R74" i="5" s="1"/>
  <c r="AD185" i="1"/>
  <c r="P191" i="5"/>
  <c r="R191" i="5"/>
  <c r="Q191" i="5"/>
  <c r="R90" i="5"/>
  <c r="BX13" i="1"/>
  <c r="BX25" i="1"/>
  <c r="BX37" i="1"/>
  <c r="BX49" i="1"/>
  <c r="BX61" i="1"/>
  <c r="BX73" i="1"/>
  <c r="BX85" i="1"/>
  <c r="BX193" i="1" s="1"/>
  <c r="BX97" i="1"/>
  <c r="BX188" i="1" s="1"/>
  <c r="BX109" i="1"/>
  <c r="BX121" i="1"/>
  <c r="BX133" i="1"/>
  <c r="BX145" i="1"/>
  <c r="BX157" i="1"/>
  <c r="BX169" i="1"/>
  <c r="BX2" i="1"/>
  <c r="BX14" i="1"/>
  <c r="BX26" i="1"/>
  <c r="BX38" i="1"/>
  <c r="BX50" i="1"/>
  <c r="BX62" i="1"/>
  <c r="BX181" i="1" s="1"/>
  <c r="BX74" i="1"/>
  <c r="BX185" i="1" s="1"/>
  <c r="BX86" i="1"/>
  <c r="BX98" i="1"/>
  <c r="BX110" i="1"/>
  <c r="BX122" i="1"/>
  <c r="BX134" i="1"/>
  <c r="BX146" i="1"/>
  <c r="BX158" i="1"/>
  <c r="BX170" i="1"/>
  <c r="BX3" i="1"/>
  <c r="BX15" i="1"/>
  <c r="BX27" i="1"/>
  <c r="BX39" i="1"/>
  <c r="BX51" i="1"/>
  <c r="BX63" i="1"/>
  <c r="BX75" i="1"/>
  <c r="BX87" i="1"/>
  <c r="BX194" i="1" s="1"/>
  <c r="BX99" i="1"/>
  <c r="BX111" i="1"/>
  <c r="BX123" i="1"/>
  <c r="BX135" i="1"/>
  <c r="BX147" i="1"/>
  <c r="BX159" i="1"/>
  <c r="BX171" i="1"/>
  <c r="BX4" i="1"/>
  <c r="BX16" i="1"/>
  <c r="BX28" i="1"/>
  <c r="BX40" i="1"/>
  <c r="BX52" i="1"/>
  <c r="BX64" i="1"/>
  <c r="BX76" i="1"/>
  <c r="BX88" i="1"/>
  <c r="BX195" i="1" s="1"/>
  <c r="BX100" i="1"/>
  <c r="BX112" i="1"/>
  <c r="BX124" i="1"/>
  <c r="BX136" i="1"/>
  <c r="BX148" i="1"/>
  <c r="BX160" i="1"/>
  <c r="BX172" i="1"/>
  <c r="BX5" i="1"/>
  <c r="BX17" i="1"/>
  <c r="BX29" i="1"/>
  <c r="BX41" i="1"/>
  <c r="BX53" i="1"/>
  <c r="BX65" i="1"/>
  <c r="BX77" i="1"/>
  <c r="BX89" i="1"/>
  <c r="BX190" i="1" s="1"/>
  <c r="BX101" i="1"/>
  <c r="BX113" i="1"/>
  <c r="BX125" i="1"/>
  <c r="BX137" i="1"/>
  <c r="BX149" i="1"/>
  <c r="BX161" i="1"/>
  <c r="BX173" i="1"/>
  <c r="BX6" i="1"/>
  <c r="BX18" i="1"/>
  <c r="BX30" i="1"/>
  <c r="BX42" i="1"/>
  <c r="BX54" i="1"/>
  <c r="BX66" i="1"/>
  <c r="BX78" i="1"/>
  <c r="BX192" i="1" s="1"/>
  <c r="BX90" i="1"/>
  <c r="BX102" i="1"/>
  <c r="BX114" i="1"/>
  <c r="BX126" i="1"/>
  <c r="BX138" i="1"/>
  <c r="BX150" i="1"/>
  <c r="BX162" i="1"/>
  <c r="BX174" i="1"/>
  <c r="BX7" i="1"/>
  <c r="BX19" i="1"/>
  <c r="BX31" i="1"/>
  <c r="BX43" i="1"/>
  <c r="BX55" i="1"/>
  <c r="BX67" i="1"/>
  <c r="BX182" i="1" s="1"/>
  <c r="BX79" i="1"/>
  <c r="BX91" i="1"/>
  <c r="BX186" i="1" s="1"/>
  <c r="BX103" i="1"/>
  <c r="BX115" i="1"/>
  <c r="BX127" i="1"/>
  <c r="BX139" i="1"/>
  <c r="BX151" i="1"/>
  <c r="BX163" i="1"/>
  <c r="BX175" i="1"/>
  <c r="BX60" i="1"/>
  <c r="BX132" i="1"/>
  <c r="BX8" i="1"/>
  <c r="BX20" i="1"/>
  <c r="BX32" i="1"/>
  <c r="BX44" i="1"/>
  <c r="BX56" i="1"/>
  <c r="BX68" i="1"/>
  <c r="BX183" i="1" s="1"/>
  <c r="BX80" i="1"/>
  <c r="BX92" i="1"/>
  <c r="BX104" i="1"/>
  <c r="BX116" i="1"/>
  <c r="BX128" i="1"/>
  <c r="BX140" i="1"/>
  <c r="BX152" i="1"/>
  <c r="BX164" i="1"/>
  <c r="BX176" i="1"/>
  <c r="BX48" i="1"/>
  <c r="BX108" i="1"/>
  <c r="BX180" i="1"/>
  <c r="BX9" i="1"/>
  <c r="BX21" i="1"/>
  <c r="BX33" i="1"/>
  <c r="BX45" i="1"/>
  <c r="BX57" i="1"/>
  <c r="BX69" i="1"/>
  <c r="BX81" i="1"/>
  <c r="BX93" i="1"/>
  <c r="BX105" i="1"/>
  <c r="BX117" i="1"/>
  <c r="BX129" i="1"/>
  <c r="BX141" i="1"/>
  <c r="BX153" i="1"/>
  <c r="BX165" i="1"/>
  <c r="BX177" i="1"/>
  <c r="BX36" i="1"/>
  <c r="BX96" i="1"/>
  <c r="BX187" i="1" s="1"/>
  <c r="BX156" i="1"/>
  <c r="BX10" i="1"/>
  <c r="BX22" i="1"/>
  <c r="BX34" i="1"/>
  <c r="BX46" i="1"/>
  <c r="BX58" i="1"/>
  <c r="BX70" i="1"/>
  <c r="BX82" i="1"/>
  <c r="BX94" i="1"/>
  <c r="BX196" i="1" s="1"/>
  <c r="BX106" i="1"/>
  <c r="BX118" i="1"/>
  <c r="BX130" i="1"/>
  <c r="BX142" i="1"/>
  <c r="BX154" i="1"/>
  <c r="BX166" i="1"/>
  <c r="BX178" i="1"/>
  <c r="BX12" i="1"/>
  <c r="BX24" i="1"/>
  <c r="BX72" i="1"/>
  <c r="BX184" i="1" s="1"/>
  <c r="BX84" i="1"/>
  <c r="BX189" i="1" s="1"/>
  <c r="BX120" i="1"/>
  <c r="BX168" i="1"/>
  <c r="BX11" i="1"/>
  <c r="BX23" i="1"/>
  <c r="BX35" i="1"/>
  <c r="BX47" i="1"/>
  <c r="BX59" i="1"/>
  <c r="BX71" i="1"/>
  <c r="BX191" i="1" s="1"/>
  <c r="BX83" i="1"/>
  <c r="BX95" i="1"/>
  <c r="BX107" i="1"/>
  <c r="BX119" i="1"/>
  <c r="BX131" i="1"/>
  <c r="BX143" i="1"/>
  <c r="BX155" i="1"/>
  <c r="BX167" i="1"/>
  <c r="BX179" i="1"/>
  <c r="BX144" i="1"/>
  <c r="H194" i="1"/>
  <c r="BW194" i="1"/>
  <c r="BW121" i="1"/>
  <c r="BW85" i="1"/>
  <c r="BW83" i="1"/>
  <c r="BW18" i="1"/>
  <c r="BW20" i="1"/>
  <c r="BW88" i="1"/>
  <c r="BW82" i="1"/>
  <c r="BW123" i="1"/>
  <c r="BW150" i="1"/>
  <c r="BW118" i="1"/>
  <c r="BW87" i="1"/>
  <c r="BW33" i="1"/>
  <c r="BW84" i="1"/>
  <c r="BW21" i="1"/>
  <c r="BW17" i="1"/>
  <c r="BW114" i="1"/>
  <c r="BW125" i="1"/>
  <c r="BW64" i="1"/>
  <c r="BW66" i="1"/>
  <c r="BW65" i="1"/>
  <c r="BW158" i="1"/>
  <c r="J8" i="5"/>
  <c r="H8" i="5"/>
  <c r="J5" i="5"/>
  <c r="Q75" i="5"/>
  <c r="P75" i="5"/>
  <c r="R75" i="5"/>
  <c r="BR112" i="1"/>
  <c r="H112" i="1" s="1"/>
  <c r="BR43" i="1"/>
  <c r="H43" i="1" s="1"/>
  <c r="BR137" i="1"/>
  <c r="H137" i="1" s="1"/>
  <c r="BR110" i="1"/>
  <c r="H110" i="1" s="1"/>
  <c r="BR79" i="1"/>
  <c r="H79" i="1" s="1"/>
  <c r="BR46" i="1"/>
  <c r="H46" i="1" s="1"/>
  <c r="BR26" i="1"/>
  <c r="H26" i="1" s="1"/>
  <c r="R91" i="5"/>
  <c r="BR75" i="1"/>
  <c r="H75" i="1" s="1"/>
  <c r="BR124" i="1"/>
  <c r="H124" i="1" s="1"/>
  <c r="BR136" i="1"/>
  <c r="H136" i="1" s="1"/>
  <c r="BR39" i="1"/>
  <c r="H39" i="1" s="1"/>
  <c r="BR111" i="1"/>
  <c r="H111" i="1" s="1"/>
  <c r="BR25" i="1"/>
  <c r="H25" i="1" s="1"/>
  <c r="BR135" i="1"/>
  <c r="H135" i="1" s="1"/>
  <c r="BR78" i="1"/>
  <c r="H78" i="1" s="1"/>
  <c r="BR115" i="1"/>
  <c r="H115" i="1" s="1"/>
  <c r="BR63" i="1"/>
  <c r="H63" i="1" s="1"/>
  <c r="BR90" i="1"/>
  <c r="H90" i="1" s="1"/>
  <c r="BR13" i="1"/>
  <c r="H13" i="1" s="1"/>
  <c r="BR31" i="1"/>
  <c r="H31" i="1" s="1"/>
  <c r="I5" i="5"/>
  <c r="R25" i="5"/>
  <c r="Q25" i="5"/>
  <c r="R136" i="5"/>
  <c r="Q136" i="5"/>
  <c r="R159" i="5"/>
  <c r="R92" i="5"/>
  <c r="R39" i="5"/>
  <c r="Q91" i="5"/>
  <c r="P91" i="5"/>
  <c r="R135" i="5"/>
  <c r="Q39" i="5"/>
  <c r="Q28" i="5"/>
  <c r="R71" i="5"/>
  <c r="R9" i="5"/>
  <c r="P70" i="5"/>
  <c r="R28" i="5"/>
  <c r="Q92" i="5"/>
  <c r="Q135" i="5"/>
  <c r="R124" i="5"/>
  <c r="P31" i="5"/>
  <c r="Q9" i="5"/>
  <c r="P28" i="5"/>
  <c r="R70" i="5"/>
  <c r="Q124" i="5"/>
  <c r="AF154" i="1"/>
  <c r="R31" i="5"/>
  <c r="Q13" i="5"/>
  <c r="Q71" i="5"/>
  <c r="R78" i="5"/>
  <c r="R13" i="5"/>
  <c r="Q78" i="5"/>
  <c r="U90" i="5"/>
  <c r="V90" i="5"/>
  <c r="T90" i="5"/>
  <c r="BS51" i="3"/>
  <c r="BK51" i="3"/>
  <c r="T124" i="5"/>
  <c r="V124" i="5"/>
  <c r="U124" i="5"/>
  <c r="L112" i="5"/>
  <c r="T4" i="5"/>
  <c r="U4" i="5"/>
  <c r="V4" i="5"/>
  <c r="BS79" i="3"/>
  <c r="M79" i="5" s="1"/>
  <c r="BK79" i="3"/>
  <c r="N79" i="5" s="1"/>
  <c r="Q113" i="5"/>
  <c r="R113" i="5"/>
  <c r="P113" i="5"/>
  <c r="H135" i="5"/>
  <c r="J135" i="5"/>
  <c r="I135" i="5"/>
  <c r="BK43" i="3"/>
  <c r="BS43" i="3"/>
  <c r="T155" i="5"/>
  <c r="V155" i="5"/>
  <c r="U155" i="5"/>
  <c r="T154" i="5"/>
  <c r="V154" i="5"/>
  <c r="U154" i="5"/>
  <c r="H6" i="5"/>
  <c r="J6" i="5"/>
  <c r="I6" i="5"/>
  <c r="K43" i="5"/>
  <c r="L43" i="5" s="1"/>
  <c r="K51" i="5"/>
  <c r="L51" i="5" s="1"/>
  <c r="T19" i="5"/>
  <c r="V19" i="5"/>
  <c r="U19" i="5"/>
  <c r="H7" i="5"/>
  <c r="I7" i="5"/>
  <c r="J7" i="5"/>
  <c r="T74" i="5"/>
  <c r="U74" i="5"/>
  <c r="V74" i="5"/>
  <c r="BK46" i="3"/>
  <c r="N46" i="5" s="1"/>
  <c r="BS46" i="3"/>
  <c r="M46" i="5" s="1"/>
  <c r="H46" i="5"/>
  <c r="J46" i="5"/>
  <c r="I46" i="5"/>
  <c r="BS112" i="3"/>
  <c r="M112" i="5" s="1"/>
  <c r="BK112" i="3"/>
  <c r="N112" i="5" s="1"/>
  <c r="T151" i="5"/>
  <c r="V151" i="5"/>
  <c r="U151" i="5"/>
  <c r="BS137" i="3"/>
  <c r="M137" i="5" s="1"/>
  <c r="BK137" i="3"/>
  <c r="N137" i="5" s="1"/>
  <c r="H111" i="5"/>
  <c r="I111" i="5"/>
  <c r="J111" i="5"/>
  <c r="H137" i="5"/>
  <c r="J137" i="5"/>
  <c r="I137" i="5"/>
  <c r="H51" i="5"/>
  <c r="J51" i="5"/>
  <c r="I51" i="5"/>
  <c r="T159" i="5"/>
  <c r="V159" i="5"/>
  <c r="U159" i="5"/>
  <c r="H13" i="5"/>
  <c r="J13" i="5"/>
  <c r="I13" i="5"/>
  <c r="V28" i="5"/>
  <c r="T28" i="5"/>
  <c r="U28" i="5"/>
  <c r="BS25" i="3"/>
  <c r="M25" i="5" s="1"/>
  <c r="BK25" i="3"/>
  <c r="N25" i="5" s="1"/>
  <c r="Q111" i="5"/>
  <c r="P111" i="5"/>
  <c r="R111" i="5"/>
  <c r="U132" i="5"/>
  <c r="V132" i="5"/>
  <c r="T132" i="5"/>
  <c r="H63" i="5"/>
  <c r="J63" i="5"/>
  <c r="I63" i="5"/>
  <c r="T115" i="5"/>
  <c r="U115" i="5"/>
  <c r="V115" i="5"/>
  <c r="U157" i="5"/>
  <c r="V157" i="5"/>
  <c r="T157" i="5"/>
  <c r="T120" i="5"/>
  <c r="V120" i="5"/>
  <c r="U120" i="5"/>
  <c r="V75" i="5"/>
  <c r="T75" i="5"/>
  <c r="U75" i="5"/>
  <c r="T153" i="5"/>
  <c r="V153" i="5"/>
  <c r="U153" i="5"/>
  <c r="H43" i="5"/>
  <c r="I43" i="5"/>
  <c r="J43" i="5"/>
  <c r="T3" i="5"/>
  <c r="U3" i="5"/>
  <c r="V3" i="5"/>
  <c r="T152" i="5"/>
  <c r="V152" i="5"/>
  <c r="U152" i="5"/>
  <c r="AE154" i="1"/>
  <c r="H79" i="5"/>
  <c r="J79" i="5"/>
  <c r="I79" i="5"/>
  <c r="H52" i="5"/>
  <c r="J52" i="5"/>
  <c r="I52" i="5"/>
  <c r="H110" i="5"/>
  <c r="I110" i="5"/>
  <c r="J110" i="5"/>
  <c r="T31" i="5"/>
  <c r="U31" i="5"/>
  <c r="V31" i="5"/>
  <c r="O120" i="5"/>
  <c r="AE120" i="1"/>
  <c r="AF120" i="1"/>
  <c r="AG120" i="1"/>
  <c r="AH120" i="1"/>
  <c r="H112" i="5"/>
  <c r="I112" i="5"/>
  <c r="J112" i="5"/>
  <c r="U156" i="5"/>
  <c r="V156" i="5"/>
  <c r="T156" i="5"/>
  <c r="H26" i="5"/>
  <c r="I26" i="5"/>
  <c r="J26" i="5"/>
  <c r="BS26" i="3"/>
  <c r="M26" i="5" s="1"/>
  <c r="BK26" i="3"/>
  <c r="N26" i="5" s="1"/>
  <c r="Q115" i="5"/>
  <c r="R115" i="5"/>
  <c r="P115" i="5"/>
  <c r="P154" i="5"/>
  <c r="P3" i="5"/>
  <c r="R3" i="5"/>
  <c r="Q3" i="5"/>
  <c r="P132" i="5"/>
  <c r="R132" i="5"/>
  <c r="Q132" i="5"/>
  <c r="Q139" i="5"/>
  <c r="R139" i="5"/>
  <c r="P139" i="5"/>
  <c r="AH154" i="1"/>
  <c r="R154" i="5"/>
  <c r="P4" i="5"/>
  <c r="Q4" i="5"/>
  <c r="R4" i="5"/>
  <c r="P144" i="5"/>
  <c r="R144" i="5"/>
  <c r="Q144" i="5"/>
  <c r="Q146" i="5"/>
  <c r="P146" i="5"/>
  <c r="R146" i="5"/>
  <c r="AG154" i="1"/>
  <c r="P19" i="5"/>
  <c r="R19" i="5"/>
  <c r="Q19" i="5"/>
  <c r="P15" i="5"/>
  <c r="R15" i="5"/>
  <c r="Q15" i="5"/>
  <c r="P14" i="5"/>
  <c r="R14" i="5"/>
  <c r="Q14" i="5"/>
  <c r="P141" i="5"/>
  <c r="Q141" i="5"/>
  <c r="R141" i="5"/>
  <c r="R86" i="5"/>
  <c r="Q86" i="5"/>
  <c r="P86" i="5"/>
  <c r="R156" i="5"/>
  <c r="Q156" i="5"/>
  <c r="P156" i="5"/>
  <c r="P16" i="5"/>
  <c r="Q16" i="5"/>
  <c r="R16" i="5"/>
  <c r="P145" i="5"/>
  <c r="Q145" i="5"/>
  <c r="R152" i="5"/>
  <c r="P152" i="5"/>
  <c r="Q152" i="5"/>
  <c r="R153" i="5"/>
  <c r="P153" i="5"/>
  <c r="Q153" i="5"/>
  <c r="R157" i="5"/>
  <c r="P157" i="5"/>
  <c r="Q157" i="5"/>
  <c r="R149" i="5"/>
  <c r="Q149" i="5"/>
  <c r="Q148" i="5"/>
  <c r="R148" i="5"/>
  <c r="P148" i="5"/>
  <c r="P142" i="5"/>
  <c r="R142" i="5"/>
  <c r="R155" i="5"/>
  <c r="P155" i="5"/>
  <c r="Q155" i="5"/>
  <c r="Q151" i="5"/>
  <c r="R151" i="5"/>
  <c r="P151" i="5"/>
  <c r="P143" i="5"/>
  <c r="Q143" i="5"/>
  <c r="R143" i="5"/>
  <c r="R147" i="5"/>
  <c r="P147" i="5"/>
  <c r="Q147" i="5"/>
  <c r="Q159" i="5"/>
  <c r="P159" i="5"/>
  <c r="AH159" i="1"/>
  <c r="AG159" i="1"/>
  <c r="AF159" i="1"/>
  <c r="AE159" i="1"/>
  <c r="AG149" i="1"/>
  <c r="AE149" i="1"/>
  <c r="AH149" i="1"/>
  <c r="AF149" i="1"/>
  <c r="AG147" i="1"/>
  <c r="AF147" i="1"/>
  <c r="AE147" i="1"/>
  <c r="AH147" i="1"/>
  <c r="AE139" i="1"/>
  <c r="AG139" i="1"/>
  <c r="AH139" i="1"/>
  <c r="AF139" i="1"/>
  <c r="AF86" i="1"/>
  <c r="AE86" i="1"/>
  <c r="AG86" i="1"/>
  <c r="AH86" i="1"/>
  <c r="AG152" i="1"/>
  <c r="AE152" i="1"/>
  <c r="AH152" i="1"/>
  <c r="AF152" i="1"/>
  <c r="N52" i="5"/>
  <c r="M52" i="5"/>
  <c r="AE145" i="1"/>
  <c r="AF145" i="1"/>
  <c r="AH145" i="1"/>
  <c r="AG145" i="1"/>
  <c r="AH151" i="1"/>
  <c r="AE151" i="1"/>
  <c r="AG151" i="1"/>
  <c r="AF151" i="1"/>
  <c r="AF148" i="1"/>
  <c r="AG148" i="1"/>
  <c r="AH148" i="1"/>
  <c r="AE148" i="1"/>
  <c r="AF16" i="1"/>
  <c r="AE16" i="1"/>
  <c r="AG16" i="1"/>
  <c r="AH16" i="1"/>
  <c r="AH19" i="1"/>
  <c r="AG19" i="1"/>
  <c r="AE19" i="1"/>
  <c r="AF19" i="1"/>
  <c r="AF3" i="1"/>
  <c r="AG3" i="1"/>
  <c r="AH3" i="1"/>
  <c r="AE3" i="1"/>
  <c r="AF144" i="1"/>
  <c r="AG144" i="1"/>
  <c r="AH144" i="1"/>
  <c r="AE144" i="1"/>
  <c r="AH4" i="1"/>
  <c r="AE4" i="1"/>
  <c r="AF4" i="1"/>
  <c r="AG4" i="1"/>
  <c r="AE141" i="1"/>
  <c r="AF141" i="1"/>
  <c r="AH141" i="1"/>
  <c r="AG141" i="1"/>
  <c r="AH142" i="1"/>
  <c r="AE142" i="1"/>
  <c r="AG142" i="1"/>
  <c r="AF142" i="1"/>
  <c r="AE132" i="1"/>
  <c r="AF132" i="1"/>
  <c r="AG132" i="1"/>
  <c r="AH132" i="1"/>
  <c r="AH153" i="1"/>
  <c r="AF153" i="1"/>
  <c r="AG153" i="1"/>
  <c r="AE153" i="1"/>
  <c r="AG14" i="1"/>
  <c r="AE14" i="1"/>
  <c r="AF14" i="1"/>
  <c r="AH14" i="1"/>
  <c r="AE155" i="1"/>
  <c r="AG155" i="1"/>
  <c r="AH155" i="1"/>
  <c r="AF155" i="1"/>
  <c r="AF156" i="1"/>
  <c r="AH156" i="1"/>
  <c r="AE156" i="1"/>
  <c r="AG156" i="1"/>
  <c r="AF15" i="1"/>
  <c r="AE15" i="1"/>
  <c r="AH15" i="1"/>
  <c r="AG15" i="1"/>
  <c r="AH157" i="1"/>
  <c r="AG157" i="1"/>
  <c r="AE157" i="1"/>
  <c r="AF157" i="1"/>
  <c r="AH143" i="1"/>
  <c r="AE143" i="1"/>
  <c r="AF143" i="1"/>
  <c r="AG143" i="1"/>
  <c r="AF146" i="1"/>
  <c r="AE146" i="1"/>
  <c r="AH146" i="1"/>
  <c r="AG146" i="1"/>
  <c r="AT51" i="3"/>
  <c r="AW2" i="1"/>
  <c r="BK2" i="1" s="1"/>
  <c r="K1" i="5"/>
  <c r="H2" i="9"/>
  <c r="BQ113" i="1"/>
  <c r="BN113" i="1" s="1"/>
  <c r="BQ136" i="1"/>
  <c r="BN136" i="1" s="1"/>
  <c r="L92" i="3"/>
  <c r="I92" i="1" s="1"/>
  <c r="BM92" i="1" s="1"/>
  <c r="L86" i="3"/>
  <c r="I86" i="1" s="1"/>
  <c r="BM86" i="1" s="1"/>
  <c r="L52" i="3"/>
  <c r="I52" i="1" s="1"/>
  <c r="BR52" i="1" s="1"/>
  <c r="H52" i="1" s="1"/>
  <c r="L51" i="3"/>
  <c r="I51" i="1" s="1"/>
  <c r="L35" i="3"/>
  <c r="I35" i="1" s="1"/>
  <c r="BR35" i="1" s="1"/>
  <c r="H35" i="1" s="1"/>
  <c r="L36" i="3"/>
  <c r="I36" i="1" s="1"/>
  <c r="BR36" i="1" s="1"/>
  <c r="H36" i="1" s="1"/>
  <c r="L29" i="3"/>
  <c r="I29" i="1" s="1"/>
  <c r="BR29" i="1" s="1"/>
  <c r="H29" i="1" s="1"/>
  <c r="L122" i="3"/>
  <c r="I122" i="1" s="1"/>
  <c r="L34" i="3"/>
  <c r="I34" i="1" s="1"/>
  <c r="L32" i="3"/>
  <c r="I32" i="1" s="1"/>
  <c r="BR32" i="1" s="1"/>
  <c r="H32" i="1" s="1"/>
  <c r="L30" i="3"/>
  <c r="I30" i="1" s="1"/>
  <c r="BR30" i="1" s="1"/>
  <c r="H30" i="1" s="1"/>
  <c r="L73" i="3"/>
  <c r="I73" i="1" s="1"/>
  <c r="BR73" i="1" s="1"/>
  <c r="H73" i="1" s="1"/>
  <c r="L72" i="3"/>
  <c r="L67" i="3"/>
  <c r="L129" i="3"/>
  <c r="I129" i="1" s="1"/>
  <c r="BR129" i="1" s="1"/>
  <c r="H129" i="1" s="1"/>
  <c r="L71" i="3"/>
  <c r="L70" i="3"/>
  <c r="I70" i="1" s="1"/>
  <c r="BR70" i="1" s="1"/>
  <c r="H70" i="1" s="1"/>
  <c r="L69" i="3"/>
  <c r="I69" i="1" s="1"/>
  <c r="BR69" i="1" s="1"/>
  <c r="H69" i="1" s="1"/>
  <c r="L68" i="3"/>
  <c r="L10" i="3"/>
  <c r="I10" i="1" s="1"/>
  <c r="BR10" i="1" s="1"/>
  <c r="H10" i="1" s="1"/>
  <c r="L11" i="3"/>
  <c r="I11" i="1" s="1"/>
  <c r="BR11" i="1" s="1"/>
  <c r="H11" i="1" s="1"/>
  <c r="L8" i="3"/>
  <c r="I8" i="1" s="1"/>
  <c r="BR8" i="1" s="1"/>
  <c r="H8" i="1" s="1"/>
  <c r="L9" i="3"/>
  <c r="I9" i="1" s="1"/>
  <c r="BR9" i="1" s="1"/>
  <c r="H9" i="1" s="1"/>
  <c r="L5" i="3"/>
  <c r="G18" i="3"/>
  <c r="F136" i="3"/>
  <c r="AS136" i="1" s="1"/>
  <c r="G136" i="3"/>
  <c r="G135" i="3"/>
  <c r="G134" i="3"/>
  <c r="G133" i="3"/>
  <c r="G131" i="3"/>
  <c r="G129" i="3"/>
  <c r="G128" i="3"/>
  <c r="F126" i="3"/>
  <c r="AS126" i="1" s="1"/>
  <c r="J127" i="3"/>
  <c r="AV127" i="1" s="1"/>
  <c r="F127" i="3"/>
  <c r="AS127" i="1" s="1"/>
  <c r="J126" i="3"/>
  <c r="AV126" i="1" s="1"/>
  <c r="J129" i="3"/>
  <c r="AV129" i="1" s="1"/>
  <c r="F129" i="3"/>
  <c r="AS129" i="1" s="1"/>
  <c r="J124" i="3"/>
  <c r="AV124" i="1" s="1"/>
  <c r="F124" i="3"/>
  <c r="AS124" i="1" s="1"/>
  <c r="F122" i="3"/>
  <c r="AS122" i="1" s="1"/>
  <c r="J122" i="3"/>
  <c r="AV122" i="1" s="1"/>
  <c r="J118" i="3"/>
  <c r="AV118" i="1" s="1"/>
  <c r="F118" i="3"/>
  <c r="AS118" i="1" s="1"/>
  <c r="F113" i="3"/>
  <c r="AS113" i="1" s="1"/>
  <c r="J113" i="3"/>
  <c r="AV113" i="1" s="1"/>
  <c r="F91" i="3"/>
  <c r="F92" i="3"/>
  <c r="AS92" i="1" s="1"/>
  <c r="F90" i="3"/>
  <c r="AS90" i="1" s="1"/>
  <c r="J90" i="3"/>
  <c r="AV90" i="1" s="1"/>
  <c r="J91" i="3"/>
  <c r="J92" i="3"/>
  <c r="AV92" i="1" s="1"/>
  <c r="J103" i="3"/>
  <c r="AV103" i="1" s="1"/>
  <c r="J104" i="3"/>
  <c r="AV104" i="1" s="1"/>
  <c r="J105" i="3"/>
  <c r="AV105" i="1" s="1"/>
  <c r="J106" i="3"/>
  <c r="AV106" i="1" s="1"/>
  <c r="J107" i="3"/>
  <c r="AV107" i="1" s="1"/>
  <c r="J108" i="3"/>
  <c r="AV108" i="1" s="1"/>
  <c r="F103" i="3"/>
  <c r="AS103" i="1" s="1"/>
  <c r="F104" i="3"/>
  <c r="AS104" i="1" s="1"/>
  <c r="F105" i="3"/>
  <c r="AS105" i="1" s="1"/>
  <c r="F106" i="3"/>
  <c r="AS106" i="1" s="1"/>
  <c r="F107" i="3"/>
  <c r="AS107" i="1" s="1"/>
  <c r="F108" i="3"/>
  <c r="AS108" i="1" s="1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AS6" i="1" s="1"/>
  <c r="F7" i="3"/>
  <c r="AS7" i="1" s="1"/>
  <c r="F8" i="3"/>
  <c r="AS8" i="1" s="1"/>
  <c r="F9" i="3"/>
  <c r="AS9" i="1" s="1"/>
  <c r="F10" i="3"/>
  <c r="AS10" i="1" s="1"/>
  <c r="F11" i="3"/>
  <c r="AS11" i="1" s="1"/>
  <c r="F5" i="3"/>
  <c r="AS5" i="1" s="1"/>
  <c r="J5" i="3"/>
  <c r="AV5" i="1" s="1"/>
  <c r="J6" i="3"/>
  <c r="AV6" i="1" s="1"/>
  <c r="J7" i="3"/>
  <c r="AV7" i="1" s="1"/>
  <c r="J8" i="3"/>
  <c r="AV8" i="1" s="1"/>
  <c r="J9" i="3"/>
  <c r="AV9" i="1" s="1"/>
  <c r="J10" i="3"/>
  <c r="AV10" i="1" s="1"/>
  <c r="J11" i="3"/>
  <c r="AV11" i="1" s="1"/>
  <c r="F32" i="3"/>
  <c r="AS32" i="1" s="1"/>
  <c r="F33" i="3"/>
  <c r="AS33" i="1" s="1"/>
  <c r="F34" i="3"/>
  <c r="AS34" i="1" s="1"/>
  <c r="J32" i="3"/>
  <c r="AV32" i="1" s="1"/>
  <c r="J33" i="3"/>
  <c r="AV33" i="1" s="1"/>
  <c r="J34" i="3"/>
  <c r="AV34" i="1" s="1"/>
  <c r="J67" i="3"/>
  <c r="J68" i="3"/>
  <c r="J69" i="3"/>
  <c r="AV69" i="1" s="1"/>
  <c r="J70" i="3"/>
  <c r="AV70" i="1" s="1"/>
  <c r="J71" i="3"/>
  <c r="J72" i="3"/>
  <c r="J73" i="3"/>
  <c r="AV73" i="1" s="1"/>
  <c r="F67" i="3"/>
  <c r="F68" i="3"/>
  <c r="F69" i="3"/>
  <c r="AS69" i="1" s="1"/>
  <c r="F70" i="3"/>
  <c r="AS70" i="1" s="1"/>
  <c r="F71" i="3"/>
  <c r="F72" i="3"/>
  <c r="F73" i="3"/>
  <c r="AS73" i="1" s="1"/>
  <c r="G88" i="3"/>
  <c r="G87" i="3"/>
  <c r="G86" i="3"/>
  <c r="G137" i="3"/>
  <c r="G85" i="3"/>
  <c r="G84" i="3"/>
  <c r="G83" i="3"/>
  <c r="G82" i="3"/>
  <c r="G81" i="3"/>
  <c r="F79" i="3"/>
  <c r="AS79" i="1" s="1"/>
  <c r="G78" i="3"/>
  <c r="G76" i="3"/>
  <c r="G73" i="3"/>
  <c r="G72" i="3"/>
  <c r="G71" i="3"/>
  <c r="G70" i="3"/>
  <c r="G69" i="3"/>
  <c r="G68" i="3"/>
  <c r="G67" i="3"/>
  <c r="H14" i="9"/>
  <c r="F27" i="3"/>
  <c r="AS27" i="1" s="1"/>
  <c r="G56" i="3"/>
  <c r="G53" i="3"/>
  <c r="G54" i="3"/>
  <c r="G51" i="3"/>
  <c r="G52" i="3"/>
  <c r="G50" i="3"/>
  <c r="G49" i="3"/>
  <c r="G46" i="3"/>
  <c r="G45" i="3"/>
  <c r="G43" i="3"/>
  <c r="G42" i="3"/>
  <c r="H130" i="3"/>
  <c r="AR130" i="1" s="1"/>
  <c r="G130" i="3"/>
  <c r="G40" i="3"/>
  <c r="H40" i="3"/>
  <c r="AR40" i="1" s="1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AS26" i="1" s="1"/>
  <c r="G26" i="3"/>
  <c r="AS25" i="1"/>
  <c r="G24" i="3"/>
  <c r="G22" i="3"/>
  <c r="G21" i="3"/>
  <c r="G20" i="3"/>
  <c r="G19" i="3"/>
  <c r="G17" i="3"/>
  <c r="G14" i="3"/>
  <c r="G13" i="3"/>
  <c r="F125" i="3"/>
  <c r="AS125" i="1" s="1"/>
  <c r="G125" i="3"/>
  <c r="H125" i="3"/>
  <c r="AR125" i="1" s="1"/>
  <c r="G12" i="3"/>
  <c r="F12" i="3"/>
  <c r="AS12" i="1" s="1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AS72" i="1" l="1"/>
  <c r="AS184" i="1"/>
  <c r="AS71" i="1"/>
  <c r="AS191" i="1"/>
  <c r="AS68" i="1"/>
  <c r="AS183" i="1"/>
  <c r="AS67" i="1"/>
  <c r="AS182" i="1"/>
  <c r="AV72" i="1"/>
  <c r="AV184" i="1"/>
  <c r="AV71" i="1"/>
  <c r="AV191" i="1"/>
  <c r="AV68" i="1"/>
  <c r="AV183" i="1"/>
  <c r="AV67" i="1"/>
  <c r="AV182" i="1"/>
  <c r="AV91" i="1"/>
  <c r="AV186" i="1"/>
  <c r="AS91" i="1"/>
  <c r="AS186" i="1"/>
  <c r="I5" i="1"/>
  <c r="BR5" i="1" s="1"/>
  <c r="H5" i="1" s="1"/>
  <c r="L174" i="3"/>
  <c r="I174" i="1" s="1"/>
  <c r="BR174" i="1" s="1"/>
  <c r="I68" i="1"/>
  <c r="BR68" i="1" s="1"/>
  <c r="H68" i="1" s="1"/>
  <c r="I183" i="1"/>
  <c r="BR183" i="1" s="1"/>
  <c r="I71" i="1"/>
  <c r="I191" i="1"/>
  <c r="I67" i="1"/>
  <c r="BR67" i="1" s="1"/>
  <c r="H67" i="1" s="1"/>
  <c r="I182" i="1"/>
  <c r="BR182" i="1" s="1"/>
  <c r="I72" i="1"/>
  <c r="BR72" i="1" s="1"/>
  <c r="H72" i="1" s="1"/>
  <c r="I184" i="1"/>
  <c r="BR184" i="1" s="1"/>
  <c r="M204" i="1"/>
  <c r="L204" i="1"/>
  <c r="M200" i="1"/>
  <c r="L200" i="1"/>
  <c r="M202" i="1"/>
  <c r="L202" i="1"/>
  <c r="M198" i="1"/>
  <c r="L198" i="1"/>
  <c r="M197" i="1"/>
  <c r="L197" i="1"/>
  <c r="M199" i="1"/>
  <c r="L199" i="1"/>
  <c r="M206" i="1"/>
  <c r="L206" i="1"/>
  <c r="M201" i="1"/>
  <c r="L201" i="1"/>
  <c r="M203" i="1"/>
  <c r="L203" i="1"/>
  <c r="M207" i="1"/>
  <c r="L207" i="1"/>
  <c r="M205" i="1"/>
  <c r="L205" i="1"/>
  <c r="AG74" i="1"/>
  <c r="AE74" i="1"/>
  <c r="BR74" i="1" s="1"/>
  <c r="H74" i="1" s="1"/>
  <c r="AH74" i="1"/>
  <c r="AF74" i="1"/>
  <c r="Q74" i="5"/>
  <c r="P74" i="5"/>
  <c r="O185" i="5"/>
  <c r="AH185" i="1"/>
  <c r="AG185" i="1"/>
  <c r="AF185" i="1"/>
  <c r="AE185" i="1"/>
  <c r="BR185" i="1" s="1"/>
  <c r="M192" i="1"/>
  <c r="L192" i="1"/>
  <c r="M193" i="1"/>
  <c r="L193" i="1"/>
  <c r="M196" i="1"/>
  <c r="L196" i="1"/>
  <c r="M195" i="1"/>
  <c r="L195" i="1"/>
  <c r="M194" i="1"/>
  <c r="L194" i="1"/>
  <c r="BR71" i="1"/>
  <c r="H71" i="1" s="1"/>
  <c r="BM71" i="1"/>
  <c r="M188" i="1"/>
  <c r="L188" i="1"/>
  <c r="M190" i="1"/>
  <c r="L190" i="1"/>
  <c r="M185" i="1"/>
  <c r="L185" i="1"/>
  <c r="M182" i="1"/>
  <c r="L182" i="1"/>
  <c r="M181" i="1"/>
  <c r="L181" i="1"/>
  <c r="M184" i="1"/>
  <c r="L184" i="1"/>
  <c r="M187" i="1"/>
  <c r="L187" i="1"/>
  <c r="M186" i="1"/>
  <c r="L186" i="1"/>
  <c r="M183" i="1"/>
  <c r="L183" i="1"/>
  <c r="M189" i="1"/>
  <c r="L189" i="1"/>
  <c r="M191" i="1"/>
  <c r="L191" i="1"/>
  <c r="BW52" i="1"/>
  <c r="BW43" i="1"/>
  <c r="BW67" i="1"/>
  <c r="BW115" i="1"/>
  <c r="BW73" i="1"/>
  <c r="BW9" i="1"/>
  <c r="BW30" i="1"/>
  <c r="BW25" i="1"/>
  <c r="BW8" i="1"/>
  <c r="BW32" i="1"/>
  <c r="BW129" i="1"/>
  <c r="BW11" i="1"/>
  <c r="BW39" i="1"/>
  <c r="BW136" i="1"/>
  <c r="BW112" i="1"/>
  <c r="BW10" i="1"/>
  <c r="BW29" i="1"/>
  <c r="BW124" i="1"/>
  <c r="BW46" i="1"/>
  <c r="BW69" i="1"/>
  <c r="BW75" i="1"/>
  <c r="BW79" i="1"/>
  <c r="BW36" i="1"/>
  <c r="BW31" i="1"/>
  <c r="BW70" i="1"/>
  <c r="BW35" i="1"/>
  <c r="BW110" i="1"/>
  <c r="BW90" i="1"/>
  <c r="BW26" i="1"/>
  <c r="BW137" i="1"/>
  <c r="M173" i="1"/>
  <c r="L173" i="1"/>
  <c r="L172" i="1"/>
  <c r="M172" i="1"/>
  <c r="M174" i="1"/>
  <c r="L174" i="1"/>
  <c r="L176" i="1"/>
  <c r="M176" i="1"/>
  <c r="M178" i="1"/>
  <c r="L178" i="1"/>
  <c r="M177" i="1"/>
  <c r="L177" i="1"/>
  <c r="M175" i="1"/>
  <c r="L175" i="1"/>
  <c r="M179" i="1"/>
  <c r="L179" i="1"/>
  <c r="M180" i="1"/>
  <c r="L180" i="1"/>
  <c r="L171" i="1"/>
  <c r="M171" i="1"/>
  <c r="BW63" i="1"/>
  <c r="BW111" i="1"/>
  <c r="BW135" i="1"/>
  <c r="BW78" i="1"/>
  <c r="BW13" i="1"/>
  <c r="M167" i="1"/>
  <c r="L167" i="1"/>
  <c r="M168" i="1"/>
  <c r="L168" i="1"/>
  <c r="M169" i="1"/>
  <c r="L169" i="1"/>
  <c r="M170" i="1"/>
  <c r="L170" i="1"/>
  <c r="BR51" i="1"/>
  <c r="H51" i="1" s="1"/>
  <c r="M96" i="1"/>
  <c r="L96" i="1"/>
  <c r="M116" i="1"/>
  <c r="L116" i="1"/>
  <c r="M162" i="1"/>
  <c r="L162" i="1"/>
  <c r="M134" i="1"/>
  <c r="L134" i="1"/>
  <c r="M12" i="1"/>
  <c r="L12" i="1"/>
  <c r="M82" i="1"/>
  <c r="L82" i="1"/>
  <c r="M84" i="1"/>
  <c r="L84" i="1"/>
  <c r="M141" i="1"/>
  <c r="L141" i="1"/>
  <c r="M138" i="1"/>
  <c r="L138" i="1"/>
  <c r="M7" i="1"/>
  <c r="L7" i="1"/>
  <c r="M30" i="1"/>
  <c r="L30" i="1"/>
  <c r="M94" i="1"/>
  <c r="L94" i="1"/>
  <c r="M45" i="1"/>
  <c r="L45" i="1"/>
  <c r="M31" i="1"/>
  <c r="L31" i="1"/>
  <c r="M102" i="1"/>
  <c r="L102" i="1"/>
  <c r="M136" i="1"/>
  <c r="L136" i="1"/>
  <c r="M165" i="1"/>
  <c r="L165" i="1"/>
  <c r="M19" i="1"/>
  <c r="L19" i="1"/>
  <c r="M41" i="1"/>
  <c r="L41" i="1"/>
  <c r="M131" i="1"/>
  <c r="L131" i="1"/>
  <c r="M132" i="1"/>
  <c r="L132" i="1"/>
  <c r="M4" i="1"/>
  <c r="L4" i="1"/>
  <c r="L76" i="1"/>
  <c r="M76" i="1"/>
  <c r="M80" i="1"/>
  <c r="L80" i="1"/>
  <c r="M133" i="1"/>
  <c r="L133" i="1"/>
  <c r="M109" i="1"/>
  <c r="L109" i="1"/>
  <c r="M122" i="1"/>
  <c r="L122" i="1"/>
  <c r="M43" i="1"/>
  <c r="L43" i="1"/>
  <c r="M86" i="1"/>
  <c r="L86" i="1"/>
  <c r="M39" i="1"/>
  <c r="L39" i="1"/>
  <c r="M17" i="1"/>
  <c r="L17" i="1"/>
  <c r="M98" i="1"/>
  <c r="L98" i="1"/>
  <c r="M130" i="1"/>
  <c r="L130" i="1"/>
  <c r="M161" i="1"/>
  <c r="L161" i="1"/>
  <c r="M124" i="1"/>
  <c r="L124" i="1"/>
  <c r="M78" i="1"/>
  <c r="L78" i="1"/>
  <c r="M15" i="1"/>
  <c r="L15" i="1"/>
  <c r="M115" i="1"/>
  <c r="L115" i="1"/>
  <c r="M103" i="1"/>
  <c r="L103" i="1"/>
  <c r="M27" i="1"/>
  <c r="L27" i="1"/>
  <c r="M71" i="1"/>
  <c r="L71" i="1"/>
  <c r="M63" i="1"/>
  <c r="L63" i="1"/>
  <c r="M97" i="1"/>
  <c r="L97" i="1"/>
  <c r="M157" i="1"/>
  <c r="L157" i="1"/>
  <c r="M158" i="1"/>
  <c r="L158" i="1"/>
  <c r="M67" i="1"/>
  <c r="L67" i="1"/>
  <c r="M137" i="1"/>
  <c r="L137" i="1"/>
  <c r="M128" i="1"/>
  <c r="L128" i="1"/>
  <c r="M69" i="1"/>
  <c r="L69" i="1"/>
  <c r="M90" i="1"/>
  <c r="L90" i="1"/>
  <c r="M164" i="1"/>
  <c r="L164" i="1"/>
  <c r="M59" i="1"/>
  <c r="L59" i="1"/>
  <c r="M99" i="1"/>
  <c r="L99" i="1"/>
  <c r="M87" i="1"/>
  <c r="L87" i="1"/>
  <c r="M112" i="1"/>
  <c r="L112" i="1"/>
  <c r="M50" i="1"/>
  <c r="L50" i="1"/>
  <c r="M20" i="1"/>
  <c r="L20" i="1"/>
  <c r="M55" i="1"/>
  <c r="L55" i="1"/>
  <c r="M44" i="1"/>
  <c r="L44" i="1"/>
  <c r="M89" i="1"/>
  <c r="L89" i="1"/>
  <c r="M153" i="1"/>
  <c r="L153" i="1"/>
  <c r="M135" i="1"/>
  <c r="L135" i="1"/>
  <c r="M52" i="1"/>
  <c r="L52" i="1"/>
  <c r="M125" i="1"/>
  <c r="L125" i="1"/>
  <c r="M123" i="1"/>
  <c r="L123" i="1"/>
  <c r="M62" i="1"/>
  <c r="L62" i="1"/>
  <c r="M48" i="1"/>
  <c r="L48" i="1"/>
  <c r="M150" i="1"/>
  <c r="L150" i="1"/>
  <c r="M121" i="1"/>
  <c r="L121" i="1"/>
  <c r="M36" i="1"/>
  <c r="L36" i="1"/>
  <c r="M166" i="1"/>
  <c r="L166" i="1"/>
  <c r="M100" i="1"/>
  <c r="L100" i="1"/>
  <c r="M159" i="1"/>
  <c r="L159" i="1"/>
  <c r="M5" i="1"/>
  <c r="L5" i="1"/>
  <c r="M37" i="1"/>
  <c r="L37" i="1"/>
  <c r="M38" i="1"/>
  <c r="L38" i="1"/>
  <c r="M85" i="1"/>
  <c r="L85" i="1"/>
  <c r="M129" i="1"/>
  <c r="L129" i="1"/>
  <c r="M117" i="1"/>
  <c r="L117" i="1"/>
  <c r="M40" i="1"/>
  <c r="L40" i="1"/>
  <c r="M111" i="1"/>
  <c r="L111" i="1"/>
  <c r="M154" i="1"/>
  <c r="L154" i="1"/>
  <c r="M56" i="1"/>
  <c r="L56" i="1"/>
  <c r="M42" i="1"/>
  <c r="L42" i="1"/>
  <c r="M160" i="1"/>
  <c r="L160" i="1"/>
  <c r="M108" i="1"/>
  <c r="L108" i="1"/>
  <c r="M81" i="1"/>
  <c r="L81" i="1"/>
  <c r="M10" i="1"/>
  <c r="L10" i="1"/>
  <c r="M70" i="1"/>
  <c r="L70" i="1"/>
  <c r="M155" i="1"/>
  <c r="L155" i="1"/>
  <c r="M104" i="1"/>
  <c r="L104" i="1"/>
  <c r="M28" i="1"/>
  <c r="L28" i="1"/>
  <c r="M23" i="1"/>
  <c r="L23" i="1"/>
  <c r="M73" i="1"/>
  <c r="L73" i="1"/>
  <c r="M120" i="1"/>
  <c r="L120" i="1"/>
  <c r="M92" i="1"/>
  <c r="L92" i="1"/>
  <c r="M25" i="1"/>
  <c r="L25" i="1"/>
  <c r="M79" i="1"/>
  <c r="L79" i="1"/>
  <c r="M156" i="1"/>
  <c r="L156" i="1"/>
  <c r="M53" i="1"/>
  <c r="L53" i="1"/>
  <c r="M33" i="1"/>
  <c r="L33" i="1"/>
  <c r="M24" i="1"/>
  <c r="L24" i="1"/>
  <c r="M8" i="1"/>
  <c r="L8" i="1"/>
  <c r="M101" i="1"/>
  <c r="L101" i="1"/>
  <c r="L58" i="1"/>
  <c r="M58" i="1"/>
  <c r="M151" i="1"/>
  <c r="L151" i="1"/>
  <c r="M60" i="1"/>
  <c r="L60" i="1"/>
  <c r="M22" i="1"/>
  <c r="L22" i="1"/>
  <c r="M14" i="1"/>
  <c r="L14" i="1"/>
  <c r="M64" i="1"/>
  <c r="L64" i="1"/>
  <c r="M113" i="1"/>
  <c r="L113" i="1"/>
  <c r="M149" i="1"/>
  <c r="L149" i="1"/>
  <c r="M16" i="1"/>
  <c r="L16" i="1"/>
  <c r="L77" i="1"/>
  <c r="M77" i="1"/>
  <c r="M152" i="1"/>
  <c r="L152" i="1"/>
  <c r="M47" i="1"/>
  <c r="L47" i="1"/>
  <c r="M26" i="1"/>
  <c r="L26" i="1"/>
  <c r="M88" i="1"/>
  <c r="L88" i="1"/>
  <c r="M72" i="1"/>
  <c r="L72" i="1"/>
  <c r="M65" i="1"/>
  <c r="L65" i="1"/>
  <c r="M54" i="1"/>
  <c r="L54" i="1"/>
  <c r="M139" i="1"/>
  <c r="L139" i="1"/>
  <c r="M118" i="1"/>
  <c r="L118" i="1"/>
  <c r="M6" i="1"/>
  <c r="L6" i="1"/>
  <c r="M83" i="1"/>
  <c r="L83" i="1"/>
  <c r="M57" i="1"/>
  <c r="L57" i="1"/>
  <c r="M74" i="1"/>
  <c r="L74" i="1"/>
  <c r="M146" i="1"/>
  <c r="L146" i="1"/>
  <c r="M9" i="1"/>
  <c r="L9" i="1"/>
  <c r="M75" i="1"/>
  <c r="L75" i="1"/>
  <c r="M127" i="1"/>
  <c r="L127" i="1"/>
  <c r="M32" i="1"/>
  <c r="L32" i="1"/>
  <c r="M11" i="1"/>
  <c r="L11" i="1"/>
  <c r="L91" i="1"/>
  <c r="M91" i="1"/>
  <c r="M35" i="1"/>
  <c r="L35" i="1"/>
  <c r="M148" i="1"/>
  <c r="L148" i="1"/>
  <c r="M49" i="1"/>
  <c r="L49" i="1"/>
  <c r="M95" i="1"/>
  <c r="L95" i="1"/>
  <c r="M114" i="1"/>
  <c r="L114" i="1"/>
  <c r="M107" i="1"/>
  <c r="L107" i="1"/>
  <c r="M147" i="1"/>
  <c r="L147" i="1"/>
  <c r="M51" i="1"/>
  <c r="L51" i="1"/>
  <c r="M66" i="1"/>
  <c r="L66" i="1"/>
  <c r="M143" i="1"/>
  <c r="L143" i="1"/>
  <c r="M106" i="1"/>
  <c r="L106" i="1"/>
  <c r="M68" i="1"/>
  <c r="L68" i="1"/>
  <c r="M126" i="1"/>
  <c r="L126" i="1"/>
  <c r="M18" i="1"/>
  <c r="L18" i="1"/>
  <c r="M3" i="1"/>
  <c r="L3" i="1"/>
  <c r="M142" i="1"/>
  <c r="L142" i="1"/>
  <c r="M145" i="1"/>
  <c r="L145" i="1"/>
  <c r="M34" i="1"/>
  <c r="L34" i="1"/>
  <c r="L93" i="1"/>
  <c r="M93" i="1"/>
  <c r="M110" i="1"/>
  <c r="L110" i="1"/>
  <c r="M13" i="1"/>
  <c r="L13" i="1"/>
  <c r="M144" i="1"/>
  <c r="L144" i="1"/>
  <c r="M29" i="1"/>
  <c r="L29" i="1"/>
  <c r="M61" i="1"/>
  <c r="L61" i="1"/>
  <c r="M140" i="1"/>
  <c r="L140" i="1"/>
  <c r="M21" i="1"/>
  <c r="L21" i="1"/>
  <c r="M46" i="1"/>
  <c r="L46" i="1"/>
  <c r="M119" i="1"/>
  <c r="L119" i="1"/>
  <c r="M105" i="1"/>
  <c r="L105" i="1"/>
  <c r="M163" i="1"/>
  <c r="L163" i="1"/>
  <c r="BR145" i="1"/>
  <c r="H145" i="1" s="1"/>
  <c r="BR148" i="1"/>
  <c r="H148" i="1" s="1"/>
  <c r="BR146" i="1"/>
  <c r="H146" i="1" s="1"/>
  <c r="BR132" i="1"/>
  <c r="H132" i="1" s="1"/>
  <c r="BR141" i="1"/>
  <c r="H141" i="1" s="1"/>
  <c r="BR14" i="1"/>
  <c r="H14" i="1" s="1"/>
  <c r="BR19" i="1"/>
  <c r="H19" i="1" s="1"/>
  <c r="BR120" i="1"/>
  <c r="H120" i="1" s="1"/>
  <c r="BR152" i="1"/>
  <c r="H152" i="1" s="1"/>
  <c r="BR15" i="1"/>
  <c r="H15" i="1" s="1"/>
  <c r="BR151" i="1"/>
  <c r="H151" i="1" s="1"/>
  <c r="BR143" i="1"/>
  <c r="H143" i="1" s="1"/>
  <c r="BR156" i="1"/>
  <c r="H156" i="1" s="1"/>
  <c r="BR153" i="1"/>
  <c r="H153" i="1" s="1"/>
  <c r="BR154" i="1"/>
  <c r="H154" i="1" s="1"/>
  <c r="BR139" i="1"/>
  <c r="H139" i="1" s="1"/>
  <c r="BR147" i="1"/>
  <c r="H147" i="1" s="1"/>
  <c r="BR142" i="1"/>
  <c r="H142" i="1" s="1"/>
  <c r="BR144" i="1"/>
  <c r="H144" i="1" s="1"/>
  <c r="BR86" i="1"/>
  <c r="H86" i="1" s="1"/>
  <c r="BR3" i="1"/>
  <c r="H3" i="1" s="1"/>
  <c r="BR4" i="1"/>
  <c r="H4" i="1" s="1"/>
  <c r="BR159" i="1"/>
  <c r="H159" i="1" s="1"/>
  <c r="BR155" i="1"/>
  <c r="H155" i="1" s="1"/>
  <c r="BR157" i="1"/>
  <c r="H157" i="1" s="1"/>
  <c r="BR16" i="1"/>
  <c r="H16" i="1" s="1"/>
  <c r="BR149" i="1"/>
  <c r="H149" i="1" s="1"/>
  <c r="N43" i="5"/>
  <c r="M43" i="5"/>
  <c r="N51" i="5"/>
  <c r="M51" i="5"/>
  <c r="BQ91" i="1"/>
  <c r="BN91" i="1" s="1"/>
  <c r="BQ88" i="1"/>
  <c r="BN88" i="1" s="1"/>
  <c r="BQ87" i="1"/>
  <c r="BN87" i="1" s="1"/>
  <c r="P120" i="5"/>
  <c r="R120" i="5"/>
  <c r="Q120" i="5"/>
  <c r="M2" i="1"/>
  <c r="L2" i="1"/>
  <c r="L7" i="3"/>
  <c r="I7" i="1" s="1"/>
  <c r="BR7" i="1" s="1"/>
  <c r="H7" i="1" s="1"/>
  <c r="L6" i="3"/>
  <c r="I6" i="1" s="1"/>
  <c r="BR6" i="1" s="1"/>
  <c r="H6" i="1" s="1"/>
  <c r="BQ86" i="1"/>
  <c r="BN86" i="1" s="1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BW68" i="1" l="1"/>
  <c r="BW5" i="1"/>
  <c r="BW184" i="1"/>
  <c r="H184" i="1"/>
  <c r="BW182" i="1"/>
  <c r="H182" i="1"/>
  <c r="BW72" i="1"/>
  <c r="BM191" i="1"/>
  <c r="BQ191" i="1" s="1"/>
  <c r="BN191" i="1" s="1"/>
  <c r="BR191" i="1"/>
  <c r="BW183" i="1"/>
  <c r="H183" i="1"/>
  <c r="BW174" i="1"/>
  <c r="H174" i="1"/>
  <c r="BW185" i="1"/>
  <c r="H185" i="1"/>
  <c r="Q185" i="5"/>
  <c r="R185" i="5"/>
  <c r="P185" i="5"/>
  <c r="BW71" i="1"/>
  <c r="BW16" i="1"/>
  <c r="BW157" i="1"/>
  <c r="BW153" i="1"/>
  <c r="BW148" i="1"/>
  <c r="BW159" i="1"/>
  <c r="BW143" i="1"/>
  <c r="BW74" i="1"/>
  <c r="BW151" i="1"/>
  <c r="BW120" i="1"/>
  <c r="BW51" i="1"/>
  <c r="BW4" i="1"/>
  <c r="BW7" i="1"/>
  <c r="BW3" i="1"/>
  <c r="BW86" i="1"/>
  <c r="BW19" i="1"/>
  <c r="BW6" i="1"/>
  <c r="BW142" i="1"/>
  <c r="BW14" i="1"/>
  <c r="BW149" i="1"/>
  <c r="BW139" i="1"/>
  <c r="BW132" i="1"/>
  <c r="BW145" i="1"/>
  <c r="BW147" i="1"/>
  <c r="BW141" i="1"/>
  <c r="BW154" i="1"/>
  <c r="BW146" i="1"/>
  <c r="BW155" i="1"/>
  <c r="BW156" i="1"/>
  <c r="BW15" i="1"/>
  <c r="BW152" i="1"/>
  <c r="BW144" i="1"/>
  <c r="BQ71" i="1"/>
  <c r="BN71" i="1" s="1"/>
  <c r="BQ92" i="1"/>
  <c r="BN92" i="1" s="1"/>
  <c r="BQ40" i="1"/>
  <c r="BN40" i="1" s="1"/>
  <c r="BL2" i="1"/>
  <c r="R20" i="12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H191" i="1" l="1"/>
  <c r="BW191" i="1"/>
  <c r="BQ85" i="1"/>
  <c r="BN85" i="1" s="1"/>
  <c r="BQ118" i="1"/>
  <c r="BN118" i="1" s="1"/>
  <c r="BQ130" i="1"/>
  <c r="BN130" i="1" s="1"/>
  <c r="O29" i="12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B2" i="5" l="1"/>
  <c r="AA2" i="5" l="1"/>
  <c r="Z2" i="5"/>
  <c r="X2" i="5"/>
  <c r="Y2" i="5"/>
  <c r="E2" i="5"/>
  <c r="S2" i="5"/>
  <c r="D2" i="5"/>
  <c r="F2" i="5"/>
  <c r="AC2" i="5"/>
  <c r="W2" i="5"/>
  <c r="T2" i="5" l="1"/>
  <c r="V2" i="5"/>
  <c r="U2" i="5"/>
  <c r="V1" i="5"/>
  <c r="O1" i="5"/>
  <c r="R1" i="5"/>
  <c r="S1" i="5"/>
  <c r="F1" i="5" l="1"/>
  <c r="D1" i="5"/>
  <c r="B1" i="5"/>
  <c r="A1" i="5"/>
  <c r="N204" i="1" l="1"/>
  <c r="O204" i="1"/>
  <c r="AT188" i="3" s="1"/>
  <c r="N198" i="1"/>
  <c r="O198" i="1"/>
  <c r="AT182" i="3" s="1"/>
  <c r="BR198" i="1" s="1"/>
  <c r="O199" i="1"/>
  <c r="N199" i="1"/>
  <c r="AT183" i="3" s="1"/>
  <c r="O186" i="1"/>
  <c r="N186" i="1"/>
  <c r="N180" i="1"/>
  <c r="O180" i="1"/>
  <c r="N168" i="1"/>
  <c r="O168" i="1"/>
  <c r="O169" i="1"/>
  <c r="N170" i="1"/>
  <c r="N169" i="1"/>
  <c r="O170" i="1"/>
  <c r="O167" i="1"/>
  <c r="N167" i="1"/>
  <c r="N80" i="1"/>
  <c r="O80" i="1"/>
  <c r="O105" i="1"/>
  <c r="O101" i="1"/>
  <c r="O103" i="1"/>
  <c r="N102" i="1"/>
  <c r="N101" i="1"/>
  <c r="O160" i="1"/>
  <c r="O107" i="1"/>
  <c r="O27" i="1"/>
  <c r="N104" i="1"/>
  <c r="N160" i="1"/>
  <c r="N122" i="1"/>
  <c r="N107" i="1"/>
  <c r="N98" i="1"/>
  <c r="O108" i="1"/>
  <c r="N81" i="1"/>
  <c r="N34" i="1"/>
  <c r="O127" i="1"/>
  <c r="O98" i="1"/>
  <c r="N103" i="1"/>
  <c r="O34" i="1"/>
  <c r="N27" i="1"/>
  <c r="O104" i="1"/>
  <c r="O122" i="1"/>
  <c r="O106" i="1"/>
  <c r="N106" i="1"/>
  <c r="O81" i="1"/>
  <c r="N108" i="1"/>
  <c r="N105" i="1"/>
  <c r="N127" i="1"/>
  <c r="O102" i="1"/>
  <c r="N113" i="1"/>
  <c r="O113" i="1"/>
  <c r="O28" i="1"/>
  <c r="N28" i="1"/>
  <c r="O91" i="1"/>
  <c r="O92" i="1"/>
  <c r="N92" i="1"/>
  <c r="N91" i="1"/>
  <c r="AT102" i="3" l="1"/>
  <c r="BW198" i="1"/>
  <c r="H198" i="1"/>
  <c r="AT180" i="3"/>
  <c r="BR180" i="1" s="1"/>
  <c r="AT169" i="3"/>
  <c r="BR169" i="1" s="1"/>
  <c r="H169" i="1" s="1"/>
  <c r="BR189" i="1"/>
  <c r="H189" i="1" s="1"/>
  <c r="BR181" i="1"/>
  <c r="H181" i="1" s="1"/>
  <c r="AT168" i="3"/>
  <c r="BR168" i="1" s="1"/>
  <c r="H168" i="1" s="1"/>
  <c r="AT98" i="3"/>
  <c r="BR98" i="1" s="1"/>
  <c r="H98" i="1" s="1"/>
  <c r="AT170" i="3"/>
  <c r="BR170" i="1" s="1"/>
  <c r="H170" i="1" s="1"/>
  <c r="AT167" i="3"/>
  <c r="BR167" i="1" s="1"/>
  <c r="H167" i="1" s="1"/>
  <c r="AT34" i="3"/>
  <c r="BR34" i="1" s="1"/>
  <c r="H34" i="1" s="1"/>
  <c r="AT105" i="3"/>
  <c r="BR105" i="1" s="1"/>
  <c r="H105" i="1" s="1"/>
  <c r="AT160" i="3"/>
  <c r="BR160" i="1" s="1"/>
  <c r="H160" i="1" s="1"/>
  <c r="AT107" i="3"/>
  <c r="BR107" i="1" s="1"/>
  <c r="H107" i="1" s="1"/>
  <c r="BR102" i="1"/>
  <c r="H102" i="1" s="1"/>
  <c r="AT80" i="3"/>
  <c r="AT122" i="3"/>
  <c r="AT81" i="3"/>
  <c r="AT106" i="3"/>
  <c r="AT92" i="3"/>
  <c r="AT91" i="3"/>
  <c r="AT127" i="3"/>
  <c r="BR204" i="1" s="1"/>
  <c r="AT103" i="3"/>
  <c r="AT101" i="3"/>
  <c r="AT108" i="3"/>
  <c r="AT28" i="3"/>
  <c r="AT104" i="3"/>
  <c r="AT113" i="3"/>
  <c r="AT27" i="3"/>
  <c r="H204" i="1" l="1"/>
  <c r="BW204" i="1"/>
  <c r="BW189" i="1"/>
  <c r="BR186" i="1"/>
  <c r="H186" i="1" s="1"/>
  <c r="BR199" i="1"/>
  <c r="H180" i="1"/>
  <c r="BW180" i="1"/>
  <c r="BW34" i="1"/>
  <c r="BW181" i="1"/>
  <c r="BW186" i="1"/>
  <c r="BW102" i="1"/>
  <c r="BW98" i="1"/>
  <c r="BR103" i="1"/>
  <c r="H103" i="1" s="1"/>
  <c r="BR101" i="1"/>
  <c r="H101" i="1" s="1"/>
  <c r="BR127" i="1"/>
  <c r="H127" i="1" s="1"/>
  <c r="BR92" i="1"/>
  <c r="H92" i="1" s="1"/>
  <c r="BR108" i="1"/>
  <c r="H108" i="1" s="1"/>
  <c r="BR106" i="1"/>
  <c r="H106" i="1" s="1"/>
  <c r="BR104" i="1"/>
  <c r="H104" i="1" s="1"/>
  <c r="BR91" i="1"/>
  <c r="H91" i="1" s="1"/>
  <c r="BR81" i="1"/>
  <c r="H81" i="1" s="1"/>
  <c r="BR122" i="1"/>
  <c r="H122" i="1" s="1"/>
  <c r="BR28" i="1"/>
  <c r="H28" i="1" s="1"/>
  <c r="BR27" i="1"/>
  <c r="H27" i="1" s="1"/>
  <c r="BR113" i="1"/>
  <c r="H113" i="1" s="1"/>
  <c r="BR80" i="1"/>
  <c r="H80" i="1" s="1"/>
  <c r="AN2" i="1"/>
  <c r="BS2" i="1"/>
  <c r="BW199" i="1" l="1"/>
  <c r="H199" i="1"/>
  <c r="BW92" i="1"/>
  <c r="BW28" i="1"/>
  <c r="BW113" i="1"/>
  <c r="BW91" i="1"/>
  <c r="BW122" i="1"/>
  <c r="BW81" i="1"/>
  <c r="BW101" i="1"/>
  <c r="BN2" i="1"/>
  <c r="A2" i="1"/>
  <c r="F39" i="9" l="1"/>
  <c r="B39" i="9"/>
  <c r="F40" i="9"/>
  <c r="B40" i="9"/>
  <c r="B38" i="9"/>
  <c r="F37" i="9"/>
  <c r="F38" i="9"/>
  <c r="B37" i="9"/>
  <c r="B36" i="9"/>
  <c r="F36" i="9"/>
  <c r="B35" i="9"/>
  <c r="F35" i="9"/>
  <c r="B34" i="9"/>
  <c r="F34" i="9"/>
  <c r="D24" i="14"/>
  <c r="E24" i="14" s="1"/>
  <c r="C12" i="14"/>
  <c r="G12" i="14" s="1"/>
  <c r="C105" i="14"/>
  <c r="G105" i="14" s="1"/>
  <c r="C80" i="14"/>
  <c r="G80" i="14" s="1"/>
  <c r="C35" i="14"/>
  <c r="G35" i="14" s="1"/>
  <c r="C111" i="14"/>
  <c r="G111" i="14" s="1"/>
  <c r="B87" i="14"/>
  <c r="F87" i="14" s="1"/>
  <c r="D56" i="14"/>
  <c r="E56" i="14" s="1"/>
  <c r="F2" i="9"/>
  <c r="C73" i="14"/>
  <c r="G73" i="14" s="1"/>
  <c r="C116" i="14"/>
  <c r="G116" i="14" s="1"/>
  <c r="F13" i="9"/>
  <c r="D115" i="14"/>
  <c r="E115" i="14" s="1"/>
  <c r="B24" i="9"/>
  <c r="F32" i="9"/>
  <c r="F18" i="9"/>
  <c r="B8" i="9"/>
  <c r="B89" i="14"/>
  <c r="F89" i="14" s="1"/>
  <c r="D10" i="14"/>
  <c r="E10" i="14" s="1"/>
  <c r="C34" i="14"/>
  <c r="G34" i="14" s="1"/>
  <c r="C14" i="14"/>
  <c r="G14" i="14" s="1"/>
  <c r="D52" i="14"/>
  <c r="E52" i="14" s="1"/>
  <c r="B106" i="14"/>
  <c r="F106" i="14" s="1"/>
  <c r="C74" i="14"/>
  <c r="G74" i="14" s="1"/>
  <c r="B103" i="14"/>
  <c r="F103" i="14" s="1"/>
  <c r="F31" i="9"/>
  <c r="B12" i="9"/>
  <c r="B13" i="9"/>
  <c r="B3" i="9"/>
  <c r="B16" i="9"/>
  <c r="B43" i="14"/>
  <c r="F43" i="14" s="1"/>
  <c r="C106" i="14"/>
  <c r="G106" i="14" s="1"/>
  <c r="B95" i="14"/>
  <c r="F95" i="14" s="1"/>
  <c r="D98" i="14"/>
  <c r="E98" i="14" s="1"/>
  <c r="B118" i="14"/>
  <c r="F118" i="14" s="1"/>
  <c r="D107" i="14"/>
  <c r="E107" i="14" s="1"/>
  <c r="B88" i="14"/>
  <c r="F88" i="14" s="1"/>
  <c r="D69" i="14"/>
  <c r="E69" i="14" s="1"/>
  <c r="C87" i="14"/>
  <c r="G87" i="14" s="1"/>
  <c r="D73" i="14"/>
  <c r="E73" i="14" s="1"/>
  <c r="D66" i="14"/>
  <c r="E66" i="14" s="1"/>
  <c r="C89" i="14"/>
  <c r="G89" i="14" s="1"/>
  <c r="C83" i="14"/>
  <c r="G83" i="14" s="1"/>
  <c r="D76" i="14"/>
  <c r="E76" i="14" s="1"/>
  <c r="F21" i="9"/>
  <c r="F17" i="9"/>
  <c r="B11" i="9"/>
  <c r="B114" i="14"/>
  <c r="F114" i="14" s="1"/>
  <c r="B117" i="14"/>
  <c r="F117" i="14" s="1"/>
  <c r="D112" i="14"/>
  <c r="E112" i="14" s="1"/>
  <c r="B99" i="14"/>
  <c r="F99" i="14" s="1"/>
  <c r="D48" i="14"/>
  <c r="E48" i="14" s="1"/>
  <c r="C95" i="14"/>
  <c r="G95" i="14" s="1"/>
  <c r="D80" i="14"/>
  <c r="E80" i="14" s="1"/>
  <c r="C118" i="14"/>
  <c r="G118" i="14" s="1"/>
  <c r="D35" i="14"/>
  <c r="E35" i="14" s="1"/>
  <c r="C88" i="14"/>
  <c r="G88" i="14" s="1"/>
  <c r="C61" i="14"/>
  <c r="G61" i="14" s="1"/>
  <c r="C59" i="14"/>
  <c r="G59" i="14" s="1"/>
  <c r="D111" i="14"/>
  <c r="E111" i="14" s="1"/>
  <c r="B100" i="14"/>
  <c r="F100" i="14" s="1"/>
  <c r="C17" i="14"/>
  <c r="G17" i="14" s="1"/>
  <c r="D89" i="14"/>
  <c r="E89" i="14" s="1"/>
  <c r="C38" i="14"/>
  <c r="G38" i="14" s="1"/>
  <c r="C72" i="14"/>
  <c r="G72" i="14" s="1"/>
  <c r="C23" i="14"/>
  <c r="G23" i="14" s="1"/>
  <c r="D47" i="14"/>
  <c r="E47" i="14" s="1"/>
  <c r="D78" i="14"/>
  <c r="E78" i="14" s="1"/>
  <c r="D39" i="14"/>
  <c r="E39" i="14" s="1"/>
  <c r="B25" i="9"/>
  <c r="F11" i="9"/>
  <c r="F10" i="9"/>
  <c r="F5" i="9"/>
  <c r="B2" i="9"/>
  <c r="A2" i="14"/>
  <c r="C114" i="14"/>
  <c r="G114" i="14" s="1"/>
  <c r="D116" i="14"/>
  <c r="E116" i="14" s="1"/>
  <c r="C117" i="14"/>
  <c r="G117" i="14" s="1"/>
  <c r="D12" i="14"/>
  <c r="E12" i="14" s="1"/>
  <c r="B27" i="14"/>
  <c r="F27" i="14" s="1"/>
  <c r="D106" i="14"/>
  <c r="E106" i="14" s="1"/>
  <c r="B21" i="14"/>
  <c r="F21" i="14" s="1"/>
  <c r="B41" i="14"/>
  <c r="F41" i="14" s="1"/>
  <c r="C100" i="14"/>
  <c r="G100" i="14" s="1"/>
  <c r="D87" i="14"/>
  <c r="E87" i="14" s="1"/>
  <c r="C32" i="14"/>
  <c r="G32" i="14" s="1"/>
  <c r="B26" i="14"/>
  <c r="F26" i="14" s="1"/>
  <c r="B96" i="14"/>
  <c r="F96" i="14" s="1"/>
  <c r="B29" i="9"/>
  <c r="B28" i="9"/>
  <c r="F25" i="9"/>
  <c r="F24" i="9"/>
  <c r="F23" i="9"/>
  <c r="B21" i="9"/>
  <c r="C27" i="14"/>
  <c r="G27" i="14" s="1"/>
  <c r="B108" i="14"/>
  <c r="F108" i="14" s="1"/>
  <c r="C21" i="14"/>
  <c r="G21" i="14" s="1"/>
  <c r="B11" i="14"/>
  <c r="F11" i="14" s="1"/>
  <c r="D118" i="14"/>
  <c r="E118" i="14" s="1"/>
  <c r="B65" i="14"/>
  <c r="F65" i="14" s="1"/>
  <c r="D88" i="14"/>
  <c r="E88" i="14" s="1"/>
  <c r="D61" i="14"/>
  <c r="E61" i="14" s="1"/>
  <c r="D59" i="14"/>
  <c r="E59" i="14" s="1"/>
  <c r="C41" i="14"/>
  <c r="G41" i="14" s="1"/>
  <c r="D100" i="14"/>
  <c r="E100" i="14" s="1"/>
  <c r="D17" i="14"/>
  <c r="E17" i="14" s="1"/>
  <c r="C26" i="14"/>
  <c r="G26" i="14" s="1"/>
  <c r="B81" i="14"/>
  <c r="F81" i="14" s="1"/>
  <c r="B50" i="14"/>
  <c r="F50" i="14" s="1"/>
  <c r="B68" i="14"/>
  <c r="F68" i="14" s="1"/>
  <c r="B49" i="14"/>
  <c r="F49" i="14" s="1"/>
  <c r="C5" i="14"/>
  <c r="G5" i="14" s="1"/>
  <c r="B32" i="9"/>
  <c r="B18" i="9"/>
  <c r="B15" i="9"/>
  <c r="F9" i="9"/>
  <c r="B9" i="14"/>
  <c r="F9" i="14" s="1"/>
  <c r="D99" i="14"/>
  <c r="E99" i="14" s="1"/>
  <c r="B75" i="14"/>
  <c r="F75" i="14" s="1"/>
  <c r="C108" i="14"/>
  <c r="G108" i="14" s="1"/>
  <c r="B30" i="14"/>
  <c r="F30" i="14" s="1"/>
  <c r="D95" i="14"/>
  <c r="E95" i="14" s="1"/>
  <c r="C11" i="14"/>
  <c r="G11" i="14" s="1"/>
  <c r="C65" i="14"/>
  <c r="G65" i="14" s="1"/>
  <c r="B58" i="14"/>
  <c r="F58" i="14" s="1"/>
  <c r="C37" i="14"/>
  <c r="G37" i="14" s="1"/>
  <c r="D32" i="14"/>
  <c r="E32" i="14" s="1"/>
  <c r="D26" i="14"/>
  <c r="E26" i="14" s="1"/>
  <c r="C33" i="14"/>
  <c r="G33" i="14" s="1"/>
  <c r="C81" i="14"/>
  <c r="G81" i="14" s="1"/>
  <c r="C50" i="14"/>
  <c r="G50" i="14" s="1"/>
  <c r="C68" i="14"/>
  <c r="G68" i="14" s="1"/>
  <c r="C49" i="14"/>
  <c r="G49" i="14" s="1"/>
  <c r="B29" i="14"/>
  <c r="F29" i="14" s="1"/>
  <c r="B13" i="14"/>
  <c r="F13" i="14" s="1"/>
  <c r="B8" i="14"/>
  <c r="F8" i="14" s="1"/>
  <c r="B31" i="14"/>
  <c r="F31" i="14" s="1"/>
  <c r="F3" i="9"/>
  <c r="C9" i="14"/>
  <c r="G9" i="14" s="1"/>
  <c r="B57" i="14"/>
  <c r="F57" i="14" s="1"/>
  <c r="C30" i="14"/>
  <c r="G30" i="14" s="1"/>
  <c r="B101" i="14"/>
  <c r="F101" i="14" s="1"/>
  <c r="B85" i="14"/>
  <c r="F85" i="14" s="1"/>
  <c r="C58" i="14"/>
  <c r="G58" i="14" s="1"/>
  <c r="C84" i="14"/>
  <c r="G84" i="14" s="1"/>
  <c r="B94" i="14"/>
  <c r="F94" i="14" s="1"/>
  <c r="D81" i="14"/>
  <c r="E81" i="14" s="1"/>
  <c r="D50" i="14"/>
  <c r="E50" i="14" s="1"/>
  <c r="D68" i="14"/>
  <c r="E68" i="14" s="1"/>
  <c r="D49" i="14"/>
  <c r="E49" i="14" s="1"/>
  <c r="C45" i="14"/>
  <c r="G45" i="14" s="1"/>
  <c r="C29" i="14"/>
  <c r="G29" i="14" s="1"/>
  <c r="C13" i="14"/>
  <c r="G13" i="14" s="1"/>
  <c r="C8" i="14"/>
  <c r="G8" i="14" s="1"/>
  <c r="C31" i="14"/>
  <c r="G31" i="14" s="1"/>
  <c r="F28" i="9"/>
  <c r="D117" i="14"/>
  <c r="E117" i="14" s="1"/>
  <c r="D21" i="14"/>
  <c r="E21" i="14" s="1"/>
  <c r="B22" i="14"/>
  <c r="F22" i="14" s="1"/>
  <c r="D41" i="14"/>
  <c r="E41" i="14" s="1"/>
  <c r="B31" i="9"/>
  <c r="B27" i="9"/>
  <c r="B5" i="9"/>
  <c r="F4" i="9"/>
  <c r="B9" i="9"/>
  <c r="F26" i="9"/>
  <c r="C110" i="14"/>
  <c r="G110" i="14" s="1"/>
  <c r="D108" i="14"/>
  <c r="E108" i="14" s="1"/>
  <c r="B109" i="14"/>
  <c r="F109" i="14" s="1"/>
  <c r="C22" i="14"/>
  <c r="G22" i="14" s="1"/>
  <c r="C101" i="14"/>
  <c r="G101" i="14" s="1"/>
  <c r="B28" i="14"/>
  <c r="F28" i="14" s="1"/>
  <c r="C85" i="14"/>
  <c r="G85" i="14" s="1"/>
  <c r="D58" i="14"/>
  <c r="E58" i="14" s="1"/>
  <c r="D37" i="14"/>
  <c r="E37" i="14" s="1"/>
  <c r="C94" i="14"/>
  <c r="G94" i="14" s="1"/>
  <c r="D33" i="14"/>
  <c r="E33" i="14" s="1"/>
  <c r="F29" i="9"/>
  <c r="B110" i="14"/>
  <c r="F110" i="14" s="1"/>
  <c r="F33" i="9"/>
  <c r="B22" i="9"/>
  <c r="B14" i="9"/>
  <c r="B7" i="9"/>
  <c r="B23" i="9"/>
  <c r="F22" i="9"/>
  <c r="B56" i="14"/>
  <c r="F56" i="14" s="1"/>
  <c r="B93" i="14"/>
  <c r="F93" i="14" s="1"/>
  <c r="D30" i="14"/>
  <c r="E30" i="14" s="1"/>
  <c r="C109" i="14"/>
  <c r="G109" i="14" s="1"/>
  <c r="B51" i="14"/>
  <c r="F51" i="14" s="1"/>
  <c r="D11" i="14"/>
  <c r="E11" i="14" s="1"/>
  <c r="D65" i="14"/>
  <c r="E65" i="14" s="1"/>
  <c r="C28" i="14"/>
  <c r="G28" i="14" s="1"/>
  <c r="B36" i="14"/>
  <c r="F36" i="14" s="1"/>
  <c r="C55" i="14"/>
  <c r="G55" i="14" s="1"/>
  <c r="D84" i="14"/>
  <c r="E84" i="14" s="1"/>
  <c r="B4" i="14"/>
  <c r="F4" i="14" s="1"/>
  <c r="D94" i="14"/>
  <c r="E94" i="14" s="1"/>
  <c r="C64" i="14"/>
  <c r="G64" i="14" s="1"/>
  <c r="B24" i="14"/>
  <c r="F24" i="14" s="1"/>
  <c r="D90" i="14"/>
  <c r="E90" i="14" s="1"/>
  <c r="D70" i="14"/>
  <c r="E70" i="14" s="1"/>
  <c r="D16" i="14"/>
  <c r="E16" i="14" s="1"/>
  <c r="F30" i="9"/>
  <c r="F20" i="9"/>
  <c r="F15" i="9"/>
  <c r="B10" i="9"/>
  <c r="F14" i="9"/>
  <c r="B26" i="9"/>
  <c r="C56" i="14"/>
  <c r="G56" i="14" s="1"/>
  <c r="D9" i="14"/>
  <c r="E9" i="14" s="1"/>
  <c r="B79" i="14"/>
  <c r="F79" i="14" s="1"/>
  <c r="D57" i="14"/>
  <c r="E57" i="14" s="1"/>
  <c r="B52" i="14"/>
  <c r="F52" i="14" s="1"/>
  <c r="C51" i="14"/>
  <c r="G51" i="14" s="1"/>
  <c r="D22" i="14"/>
  <c r="E22" i="14" s="1"/>
  <c r="D101" i="14"/>
  <c r="E101" i="14" s="1"/>
  <c r="C36" i="14"/>
  <c r="G36" i="14" s="1"/>
  <c r="D85" i="14"/>
  <c r="E85" i="14" s="1"/>
  <c r="C82" i="14"/>
  <c r="G82" i="14" s="1"/>
  <c r="B115" i="14"/>
  <c r="F115" i="14" s="1"/>
  <c r="C4" i="14"/>
  <c r="G4" i="14" s="1"/>
  <c r="B113" i="14"/>
  <c r="F113" i="14" s="1"/>
  <c r="D60" i="14"/>
  <c r="E60" i="14" s="1"/>
  <c r="D63" i="14"/>
  <c r="E63" i="14" s="1"/>
  <c r="D97" i="14"/>
  <c r="E97" i="14" s="1"/>
  <c r="D44" i="14"/>
  <c r="E44" i="14" s="1"/>
  <c r="C24" i="14"/>
  <c r="G24" i="14" s="1"/>
  <c r="H24" i="14" s="1"/>
  <c r="D114" i="14"/>
  <c r="E114" i="14" s="1"/>
  <c r="B19" i="9"/>
  <c r="F6" i="9"/>
  <c r="F19" i="9"/>
  <c r="A2" i="5"/>
  <c r="C79" i="14"/>
  <c r="G79" i="14" s="1"/>
  <c r="C52" i="14"/>
  <c r="G52" i="14" s="1"/>
  <c r="B48" i="14"/>
  <c r="F48" i="14" s="1"/>
  <c r="D109" i="14"/>
  <c r="E109" i="14" s="1"/>
  <c r="B98" i="14"/>
  <c r="F98" i="14" s="1"/>
  <c r="B107" i="14"/>
  <c r="F107" i="14" s="1"/>
  <c r="D36" i="14"/>
  <c r="E36" i="14" s="1"/>
  <c r="D55" i="14"/>
  <c r="E55" i="14" s="1"/>
  <c r="C115" i="14"/>
  <c r="G115" i="14" s="1"/>
  <c r="D4" i="14"/>
  <c r="E4" i="14" s="1"/>
  <c r="D64" i="14"/>
  <c r="E64" i="14" s="1"/>
  <c r="D113" i="14"/>
  <c r="E113" i="14" s="1"/>
  <c r="D102" i="14"/>
  <c r="E102" i="14" s="1"/>
  <c r="C6" i="14"/>
  <c r="G6" i="14" s="1"/>
  <c r="D71" i="14"/>
  <c r="E71" i="14" s="1"/>
  <c r="C53" i="14"/>
  <c r="G53" i="14" s="1"/>
  <c r="D43" i="14"/>
  <c r="E43" i="14" s="1"/>
  <c r="C57" i="14"/>
  <c r="G57" i="14" s="1"/>
  <c r="D79" i="14"/>
  <c r="E79" i="14" s="1"/>
  <c r="C99" i="14"/>
  <c r="G99" i="14" s="1"/>
  <c r="D27" i="14"/>
  <c r="E27" i="14" s="1"/>
  <c r="C93" i="14"/>
  <c r="G93" i="14" s="1"/>
  <c r="B6" i="14"/>
  <c r="F6" i="14" s="1"/>
  <c r="B53" i="14"/>
  <c r="F53" i="14" s="1"/>
  <c r="D18" i="14"/>
  <c r="E18" i="14" s="1"/>
  <c r="C39" i="14"/>
  <c r="G39" i="14" s="1"/>
  <c r="D3" i="14"/>
  <c r="E3" i="14" s="1"/>
  <c r="C16" i="14"/>
  <c r="G16" i="14" s="1"/>
  <c r="D15" i="14"/>
  <c r="E15" i="14" s="1"/>
  <c r="C78" i="14"/>
  <c r="G78" i="14" s="1"/>
  <c r="D92" i="14"/>
  <c r="E92" i="14" s="1"/>
  <c r="C70" i="14"/>
  <c r="G70" i="14" s="1"/>
  <c r="D62" i="14"/>
  <c r="E62" i="14" s="1"/>
  <c r="C47" i="14"/>
  <c r="G47" i="14" s="1"/>
  <c r="D67" i="14"/>
  <c r="E67" i="14" s="1"/>
  <c r="C90" i="14"/>
  <c r="G90" i="14" s="1"/>
  <c r="D42" i="14"/>
  <c r="E42" i="14" s="1"/>
  <c r="C10" i="14"/>
  <c r="G10" i="14" s="1"/>
  <c r="H10" i="14" s="1"/>
  <c r="D96" i="14"/>
  <c r="E96" i="14" s="1"/>
  <c r="C76" i="14"/>
  <c r="G76" i="14" s="1"/>
  <c r="C44" i="14"/>
  <c r="G44" i="14" s="1"/>
  <c r="D54" i="14"/>
  <c r="E54" i="14" s="1"/>
  <c r="C97" i="14"/>
  <c r="G97" i="14" s="1"/>
  <c r="D77" i="14"/>
  <c r="E77" i="14" s="1"/>
  <c r="C63" i="14"/>
  <c r="G63" i="14" s="1"/>
  <c r="D40" i="14"/>
  <c r="E40" i="14" s="1"/>
  <c r="C60" i="14"/>
  <c r="G60" i="14" s="1"/>
  <c r="B39" i="14"/>
  <c r="F39" i="14" s="1"/>
  <c r="B16" i="14"/>
  <c r="F16" i="14" s="1"/>
  <c r="B78" i="14"/>
  <c r="F78" i="14" s="1"/>
  <c r="B70" i="14"/>
  <c r="F70" i="14" s="1"/>
  <c r="B47" i="14"/>
  <c r="F47" i="14" s="1"/>
  <c r="B90" i="14"/>
  <c r="F90" i="14" s="1"/>
  <c r="B10" i="14"/>
  <c r="F10" i="14" s="1"/>
  <c r="B76" i="14"/>
  <c r="F76" i="14" s="1"/>
  <c r="B44" i="14"/>
  <c r="F44" i="14" s="1"/>
  <c r="B97" i="14"/>
  <c r="F97" i="14" s="1"/>
  <c r="B63" i="14"/>
  <c r="F63" i="14" s="1"/>
  <c r="B60" i="14"/>
  <c r="F60" i="14" s="1"/>
  <c r="B33" i="14"/>
  <c r="F33" i="14" s="1"/>
  <c r="B66" i="14"/>
  <c r="F66" i="14" s="1"/>
  <c r="B32" i="14"/>
  <c r="F32" i="14" s="1"/>
  <c r="B84" i="14"/>
  <c r="F84" i="14" s="1"/>
  <c r="B82" i="14"/>
  <c r="F82" i="14" s="1"/>
  <c r="B111" i="14"/>
  <c r="F111" i="14" s="1"/>
  <c r="B61" i="14"/>
  <c r="F61" i="14" s="1"/>
  <c r="D7" i="14"/>
  <c r="E7" i="14" s="1"/>
  <c r="C102" i="14"/>
  <c r="G102" i="14" s="1"/>
  <c r="D104" i="14"/>
  <c r="E104" i="14" s="1"/>
  <c r="C71" i="14"/>
  <c r="G71" i="14" s="1"/>
  <c r="C43" i="14"/>
  <c r="G43" i="14" s="1"/>
  <c r="D75" i="14"/>
  <c r="E75" i="14" s="1"/>
  <c r="B102" i="14"/>
  <c r="F102" i="14" s="1"/>
  <c r="B71" i="14"/>
  <c r="F71" i="14" s="1"/>
  <c r="D91" i="14"/>
  <c r="E91" i="14" s="1"/>
  <c r="C18" i="14"/>
  <c r="G18" i="14" s="1"/>
  <c r="D19" i="14"/>
  <c r="E19" i="14" s="1"/>
  <c r="C3" i="14"/>
  <c r="G3" i="14" s="1"/>
  <c r="D20" i="14"/>
  <c r="E20" i="14" s="1"/>
  <c r="C15" i="14"/>
  <c r="G15" i="14" s="1"/>
  <c r="D46" i="14"/>
  <c r="E46" i="14" s="1"/>
  <c r="C92" i="14"/>
  <c r="G92" i="14" s="1"/>
  <c r="D25" i="14"/>
  <c r="E25" i="14" s="1"/>
  <c r="C62" i="14"/>
  <c r="G62" i="14" s="1"/>
  <c r="D86" i="14"/>
  <c r="E86" i="14" s="1"/>
  <c r="C67" i="14"/>
  <c r="G67" i="14" s="1"/>
  <c r="D5" i="14"/>
  <c r="E5" i="14" s="1"/>
  <c r="C42" i="14"/>
  <c r="G42" i="14" s="1"/>
  <c r="D45" i="14"/>
  <c r="E45" i="14" s="1"/>
  <c r="C96" i="14"/>
  <c r="G96" i="14" s="1"/>
  <c r="D23" i="14"/>
  <c r="E23" i="14" s="1"/>
  <c r="C54" i="14"/>
  <c r="G54" i="14" s="1"/>
  <c r="D72" i="14"/>
  <c r="E72" i="14" s="1"/>
  <c r="C77" i="14"/>
  <c r="G77" i="14" s="1"/>
  <c r="D38" i="14"/>
  <c r="E38" i="14" s="1"/>
  <c r="C40" i="14"/>
  <c r="G40" i="14" s="1"/>
  <c r="D83" i="14"/>
  <c r="E83" i="14" s="1"/>
  <c r="C113" i="14"/>
  <c r="G113" i="14" s="1"/>
  <c r="B18" i="14"/>
  <c r="F18" i="14" s="1"/>
  <c r="B3" i="14"/>
  <c r="F3" i="14" s="1"/>
  <c r="B15" i="14"/>
  <c r="F15" i="14" s="1"/>
  <c r="B92" i="14"/>
  <c r="F92" i="14" s="1"/>
  <c r="B62" i="14"/>
  <c r="F62" i="14" s="1"/>
  <c r="B67" i="14"/>
  <c r="F67" i="14" s="1"/>
  <c r="B42" i="14"/>
  <c r="F42" i="14" s="1"/>
  <c r="C7" i="14"/>
  <c r="G7" i="14" s="1"/>
  <c r="D103" i="14"/>
  <c r="E103" i="14" s="1"/>
  <c r="C104" i="14"/>
  <c r="G104" i="14" s="1"/>
  <c r="D105" i="14"/>
  <c r="E105" i="14" s="1"/>
  <c r="C75" i="14"/>
  <c r="G75" i="14" s="1"/>
  <c r="D110" i="14"/>
  <c r="E110" i="14" s="1"/>
  <c r="C112" i="14"/>
  <c r="G112" i="14" s="1"/>
  <c r="B7" i="14"/>
  <c r="F7" i="14" s="1"/>
  <c r="B104" i="14"/>
  <c r="F104" i="14" s="1"/>
  <c r="D31" i="14"/>
  <c r="E31" i="14" s="1"/>
  <c r="C91" i="14"/>
  <c r="G91" i="14" s="1"/>
  <c r="D74" i="14"/>
  <c r="E74" i="14" s="1"/>
  <c r="C19" i="14"/>
  <c r="G19" i="14" s="1"/>
  <c r="D8" i="14"/>
  <c r="E8" i="14" s="1"/>
  <c r="C20" i="14"/>
  <c r="G20" i="14" s="1"/>
  <c r="D14" i="14"/>
  <c r="E14" i="14" s="1"/>
  <c r="C46" i="14"/>
  <c r="G46" i="14" s="1"/>
  <c r="D13" i="14"/>
  <c r="E13" i="14" s="1"/>
  <c r="C25" i="14"/>
  <c r="G25" i="14" s="1"/>
  <c r="D34" i="14"/>
  <c r="E34" i="14" s="1"/>
  <c r="C86" i="14"/>
  <c r="G86" i="14" s="1"/>
  <c r="D29" i="14"/>
  <c r="E29" i="14" s="1"/>
  <c r="B91" i="14"/>
  <c r="F91" i="14" s="1"/>
  <c r="B19" i="14"/>
  <c r="F19" i="14" s="1"/>
  <c r="B20" i="14"/>
  <c r="F20" i="14" s="1"/>
  <c r="B46" i="14"/>
  <c r="F46" i="14" s="1"/>
  <c r="B25" i="14"/>
  <c r="F25" i="14" s="1"/>
  <c r="B86" i="14"/>
  <c r="F86" i="14" s="1"/>
  <c r="B5" i="14"/>
  <c r="F5" i="14" s="1"/>
  <c r="B45" i="14"/>
  <c r="F45" i="14" s="1"/>
  <c r="B23" i="14"/>
  <c r="F23" i="14" s="1"/>
  <c r="B72" i="14"/>
  <c r="F72" i="14" s="1"/>
  <c r="B38" i="14"/>
  <c r="F38" i="14" s="1"/>
  <c r="B83" i="14"/>
  <c r="F83" i="14" s="1"/>
  <c r="B64" i="14"/>
  <c r="F64" i="14" s="1"/>
  <c r="B17" i="14"/>
  <c r="F17" i="14" s="1"/>
  <c r="B37" i="14"/>
  <c r="F37" i="14" s="1"/>
  <c r="B55" i="14"/>
  <c r="F55" i="14" s="1"/>
  <c r="B69" i="14"/>
  <c r="F69" i="14" s="1"/>
  <c r="B59" i="14"/>
  <c r="F59" i="14" s="1"/>
  <c r="D6" i="14"/>
  <c r="E6" i="14" s="1"/>
  <c r="C103" i="14"/>
  <c r="G103" i="14" s="1"/>
  <c r="D53" i="14"/>
  <c r="E53" i="14" s="1"/>
  <c r="B17" i="9"/>
  <c r="B30" i="9"/>
  <c r="B20" i="9"/>
  <c r="B33" i="9"/>
  <c r="B6" i="9"/>
  <c r="F12" i="9"/>
  <c r="F27" i="9"/>
  <c r="F16" i="9"/>
  <c r="F7" i="9"/>
  <c r="B4" i="9"/>
  <c r="F8" i="9"/>
  <c r="B116" i="14"/>
  <c r="F116" i="14" s="1"/>
  <c r="B12" i="14"/>
  <c r="F12" i="14" s="1"/>
  <c r="D93" i="14"/>
  <c r="E93" i="14" s="1"/>
  <c r="B112" i="14"/>
  <c r="F112" i="14" s="1"/>
  <c r="B105" i="14"/>
  <c r="F105" i="14" s="1"/>
  <c r="C48" i="14"/>
  <c r="G48" i="14" s="1"/>
  <c r="D51" i="14"/>
  <c r="E51" i="14" s="1"/>
  <c r="C98" i="14"/>
  <c r="G98" i="14" s="1"/>
  <c r="B80" i="14"/>
  <c r="F80" i="14" s="1"/>
  <c r="C107" i="14"/>
  <c r="G107" i="14" s="1"/>
  <c r="B35" i="14"/>
  <c r="F35" i="14" s="1"/>
  <c r="D28" i="14"/>
  <c r="E28" i="14" s="1"/>
  <c r="C69" i="14"/>
  <c r="G69" i="14" s="1"/>
  <c r="D82" i="14"/>
  <c r="E82" i="14" s="1"/>
  <c r="B73" i="14"/>
  <c r="F73" i="14" s="1"/>
  <c r="C66" i="14"/>
  <c r="G66" i="14" s="1"/>
  <c r="B40" i="14"/>
  <c r="F40" i="14" s="1"/>
  <c r="B77" i="14"/>
  <c r="F77" i="14" s="1"/>
  <c r="B54" i="14"/>
  <c r="F54" i="14" s="1"/>
  <c r="B34" i="14"/>
  <c r="F34" i="14" s="1"/>
  <c r="B14" i="14"/>
  <c r="F14" i="14" s="1"/>
  <c r="B74" i="14"/>
  <c r="F74" i="14" s="1"/>
  <c r="H80" i="14" l="1"/>
  <c r="I80" i="14" s="1"/>
  <c r="J80" i="14" s="1"/>
  <c r="H12" i="14"/>
  <c r="I12" i="14" s="1"/>
  <c r="J12" i="14" s="1"/>
  <c r="H105" i="14"/>
  <c r="I105" i="14" s="1"/>
  <c r="J105" i="14" s="1"/>
  <c r="H66" i="14"/>
  <c r="I66" i="14" s="1"/>
  <c r="J66" i="14" s="1"/>
  <c r="H69" i="14"/>
  <c r="I69" i="14" s="1"/>
  <c r="J69" i="14" s="1"/>
  <c r="H35" i="14"/>
  <c r="I35" i="14" s="1"/>
  <c r="J35" i="14" s="1"/>
  <c r="H34" i="14"/>
  <c r="I34" i="14" s="1"/>
  <c r="J34" i="14" s="1"/>
  <c r="H102" i="14"/>
  <c r="I102" i="14" s="1"/>
  <c r="J102" i="14" s="1"/>
  <c r="H47" i="14"/>
  <c r="I47" i="14" s="1"/>
  <c r="J47" i="14" s="1"/>
  <c r="H14" i="14"/>
  <c r="I14" i="14" s="1"/>
  <c r="J14" i="14" s="1"/>
  <c r="H56" i="14"/>
  <c r="I56" i="14" s="1"/>
  <c r="J56" i="14" s="1"/>
  <c r="H25" i="14"/>
  <c r="I25" i="14" s="1"/>
  <c r="J25" i="14" s="1"/>
  <c r="H48" i="14"/>
  <c r="I48" i="14" s="1"/>
  <c r="J48" i="14" s="1"/>
  <c r="H111" i="14"/>
  <c r="I111" i="14" s="1"/>
  <c r="J111" i="14" s="1"/>
  <c r="H39" i="14"/>
  <c r="I39" i="14" s="1"/>
  <c r="J39" i="14" s="1"/>
  <c r="H76" i="14"/>
  <c r="I76" i="14" s="1"/>
  <c r="J76" i="14" s="1"/>
  <c r="H73" i="14"/>
  <c r="I73" i="14" s="1"/>
  <c r="J73" i="14" s="1"/>
  <c r="H18" i="14"/>
  <c r="I18" i="14" s="1"/>
  <c r="J18" i="14" s="1"/>
  <c r="H52" i="14"/>
  <c r="I52" i="14" s="1"/>
  <c r="J52" i="14" s="1"/>
  <c r="H98" i="14"/>
  <c r="I98" i="14" s="1"/>
  <c r="J98" i="14" s="1"/>
  <c r="H42" i="14"/>
  <c r="I42" i="14" s="1"/>
  <c r="J42" i="14" s="1"/>
  <c r="H58" i="14"/>
  <c r="I58" i="14" s="1"/>
  <c r="J58" i="14" s="1"/>
  <c r="H40" i="14"/>
  <c r="I40" i="14" s="1"/>
  <c r="J40" i="14" s="1"/>
  <c r="H86" i="14"/>
  <c r="I86" i="14" s="1"/>
  <c r="J86" i="14" s="1"/>
  <c r="H78" i="14"/>
  <c r="I78" i="14" s="1"/>
  <c r="J78" i="14" s="1"/>
  <c r="H62" i="14"/>
  <c r="I62" i="14" s="1"/>
  <c r="J62" i="14" s="1"/>
  <c r="H46" i="14"/>
  <c r="I46" i="14" s="1"/>
  <c r="J46" i="14" s="1"/>
  <c r="H104" i="14"/>
  <c r="I104" i="14" s="1"/>
  <c r="J104" i="14" s="1"/>
  <c r="H115" i="14"/>
  <c r="I115" i="14" s="1"/>
  <c r="J115" i="14" s="1"/>
  <c r="H67" i="14"/>
  <c r="I67" i="14" s="1"/>
  <c r="J67" i="14" s="1"/>
  <c r="H107" i="14"/>
  <c r="I107" i="14" s="1"/>
  <c r="J107" i="14" s="1"/>
  <c r="H113" i="14"/>
  <c r="I113" i="14" s="1"/>
  <c r="J113" i="14" s="1"/>
  <c r="H54" i="14"/>
  <c r="I54" i="14" s="1"/>
  <c r="J54" i="14" s="1"/>
  <c r="H75" i="14"/>
  <c r="I75" i="14" s="1"/>
  <c r="J75" i="14" s="1"/>
  <c r="H116" i="14"/>
  <c r="I116" i="14" s="1"/>
  <c r="J116" i="14" s="1"/>
  <c r="H68" i="14"/>
  <c r="I68" i="14" s="1"/>
  <c r="J68" i="14" s="1"/>
  <c r="H103" i="14"/>
  <c r="I103" i="14" s="1"/>
  <c r="J103" i="14" s="1"/>
  <c r="H61" i="14"/>
  <c r="I61" i="14" s="1"/>
  <c r="J61" i="14" s="1"/>
  <c r="H64" i="14"/>
  <c r="I64" i="14" s="1"/>
  <c r="J64" i="14" s="1"/>
  <c r="H50" i="14"/>
  <c r="I50" i="14" s="1"/>
  <c r="J50" i="14" s="1"/>
  <c r="H60" i="14"/>
  <c r="I60" i="14" s="1"/>
  <c r="J60" i="14" s="1"/>
  <c r="H71" i="14"/>
  <c r="I71" i="14" s="1"/>
  <c r="J71" i="14" s="1"/>
  <c r="H91" i="14"/>
  <c r="I91" i="14" s="1"/>
  <c r="J91" i="14" s="1"/>
  <c r="H15" i="14"/>
  <c r="I15" i="14" s="1"/>
  <c r="J15" i="14" s="1"/>
  <c r="H70" i="14"/>
  <c r="I70" i="14" s="1"/>
  <c r="J70" i="14" s="1"/>
  <c r="H99" i="14"/>
  <c r="I99" i="14" s="1"/>
  <c r="J99" i="14" s="1"/>
  <c r="H28" i="14"/>
  <c r="I28" i="14" s="1"/>
  <c r="J28" i="14" s="1"/>
  <c r="H49" i="14"/>
  <c r="I49" i="14" s="1"/>
  <c r="J49" i="14" s="1"/>
  <c r="H21" i="14"/>
  <c r="I21" i="14" s="1"/>
  <c r="J21" i="14" s="1"/>
  <c r="H32" i="14"/>
  <c r="I32" i="14" s="1"/>
  <c r="J32" i="14" s="1"/>
  <c r="H17" i="14"/>
  <c r="I17" i="14" s="1"/>
  <c r="J17" i="14" s="1"/>
  <c r="H97" i="14"/>
  <c r="I97" i="14" s="1"/>
  <c r="J97" i="14" s="1"/>
  <c r="H108" i="14"/>
  <c r="I108" i="14" s="1"/>
  <c r="J108" i="14" s="1"/>
  <c r="H96" i="14"/>
  <c r="I96" i="14" s="1"/>
  <c r="J96" i="14" s="1"/>
  <c r="H3" i="14"/>
  <c r="I3" i="14" s="1"/>
  <c r="J3" i="14" s="1"/>
  <c r="I10" i="14"/>
  <c r="J10" i="14" s="1"/>
  <c r="H57" i="14"/>
  <c r="I57" i="14" s="1"/>
  <c r="J57" i="14" s="1"/>
  <c r="H51" i="14"/>
  <c r="I51" i="14" s="1"/>
  <c r="J51" i="14" s="1"/>
  <c r="H110" i="14"/>
  <c r="I110" i="14" s="1"/>
  <c r="J110" i="14" s="1"/>
  <c r="H26" i="14"/>
  <c r="I26" i="14" s="1"/>
  <c r="J26" i="14" s="1"/>
  <c r="H112" i="14"/>
  <c r="I112" i="14" s="1"/>
  <c r="J112" i="14" s="1"/>
  <c r="H44" i="14"/>
  <c r="I44" i="14" s="1"/>
  <c r="J44" i="14" s="1"/>
  <c r="H31" i="14"/>
  <c r="I31" i="14" s="1"/>
  <c r="J31" i="14" s="1"/>
  <c r="H16" i="14"/>
  <c r="I16" i="14" s="1"/>
  <c r="J16" i="14" s="1"/>
  <c r="H53" i="14"/>
  <c r="I53" i="14" s="1"/>
  <c r="J53" i="14" s="1"/>
  <c r="H109" i="14"/>
  <c r="I109" i="14" s="1"/>
  <c r="J109" i="14" s="1"/>
  <c r="H8" i="14"/>
  <c r="I8" i="14" s="1"/>
  <c r="J8" i="14" s="1"/>
  <c r="H27" i="14"/>
  <c r="I27" i="14" s="1"/>
  <c r="J27" i="14" s="1"/>
  <c r="H100" i="14"/>
  <c r="I100" i="14" s="1"/>
  <c r="J100" i="14" s="1"/>
  <c r="H74" i="14"/>
  <c r="I74" i="14" s="1"/>
  <c r="J74" i="14" s="1"/>
  <c r="I24" i="14"/>
  <c r="J24" i="14" s="1"/>
  <c r="H94" i="14"/>
  <c r="I94" i="14" s="1"/>
  <c r="J94" i="14" s="1"/>
  <c r="H13" i="14"/>
  <c r="I13" i="14" s="1"/>
  <c r="J13" i="14" s="1"/>
  <c r="H30" i="14"/>
  <c r="I30" i="14" s="1"/>
  <c r="J30" i="14" s="1"/>
  <c r="H81" i="14"/>
  <c r="I81" i="14" s="1"/>
  <c r="J81" i="14" s="1"/>
  <c r="H59" i="14"/>
  <c r="I59" i="14" s="1"/>
  <c r="J59" i="14" s="1"/>
  <c r="H6" i="14"/>
  <c r="I6" i="14" s="1"/>
  <c r="J6" i="14" s="1"/>
  <c r="H29" i="14"/>
  <c r="I29" i="14" s="1"/>
  <c r="J29" i="14" s="1"/>
  <c r="H33" i="14"/>
  <c r="I33" i="14" s="1"/>
  <c r="J33" i="14" s="1"/>
  <c r="H20" i="14"/>
  <c r="I20" i="14" s="1"/>
  <c r="J20" i="14" s="1"/>
  <c r="H79" i="14"/>
  <c r="I79" i="14" s="1"/>
  <c r="J79" i="14" s="1"/>
  <c r="H4" i="14"/>
  <c r="I4" i="14" s="1"/>
  <c r="J4" i="14" s="1"/>
  <c r="H45" i="14"/>
  <c r="I45" i="14" s="1"/>
  <c r="J45" i="14" s="1"/>
  <c r="H9" i="14"/>
  <c r="I9" i="14" s="1"/>
  <c r="J9" i="14" s="1"/>
  <c r="H41" i="14"/>
  <c r="I41" i="14" s="1"/>
  <c r="J41" i="14" s="1"/>
  <c r="H88" i="14"/>
  <c r="I88" i="14" s="1"/>
  <c r="J88" i="14" s="1"/>
  <c r="H90" i="14"/>
  <c r="I90" i="14" s="1"/>
  <c r="J90" i="14" s="1"/>
  <c r="H85" i="14"/>
  <c r="I85" i="14" s="1"/>
  <c r="J85" i="14" s="1"/>
  <c r="H106" i="14"/>
  <c r="I106" i="14" s="1"/>
  <c r="J106" i="14" s="1"/>
  <c r="H19" i="14"/>
  <c r="I19" i="14" s="1"/>
  <c r="J19" i="14" s="1"/>
  <c r="H7" i="14"/>
  <c r="I7" i="14" s="1"/>
  <c r="J7" i="14" s="1"/>
  <c r="H43" i="14"/>
  <c r="I43" i="14" s="1"/>
  <c r="J43" i="14" s="1"/>
  <c r="H82" i="14"/>
  <c r="I82" i="14" s="1"/>
  <c r="J82" i="14" s="1"/>
  <c r="H37" i="14"/>
  <c r="I37" i="14" s="1"/>
  <c r="J37" i="14" s="1"/>
  <c r="H118" i="14"/>
  <c r="I118" i="14" s="1"/>
  <c r="J118" i="14" s="1"/>
  <c r="H83" i="14"/>
  <c r="I83" i="14" s="1"/>
  <c r="J83" i="14" s="1"/>
  <c r="H77" i="14"/>
  <c r="I77" i="14" s="1"/>
  <c r="J77" i="14" s="1"/>
  <c r="H92" i="14"/>
  <c r="I92" i="14" s="1"/>
  <c r="J92" i="14" s="1"/>
  <c r="H93" i="14"/>
  <c r="I93" i="14" s="1"/>
  <c r="J93" i="14" s="1"/>
  <c r="H55" i="14"/>
  <c r="I55" i="14" s="1"/>
  <c r="J55" i="14" s="1"/>
  <c r="H101" i="14"/>
  <c r="I101" i="14" s="1"/>
  <c r="J101" i="14" s="1"/>
  <c r="H117" i="14"/>
  <c r="I117" i="14" s="1"/>
  <c r="J117" i="14" s="1"/>
  <c r="H23" i="14"/>
  <c r="I23" i="14" s="1"/>
  <c r="J23" i="14" s="1"/>
  <c r="H89" i="14"/>
  <c r="I89" i="14" s="1"/>
  <c r="J89" i="14" s="1"/>
  <c r="H63" i="14"/>
  <c r="I63" i="14" s="1"/>
  <c r="J63" i="14" s="1"/>
  <c r="H36" i="14"/>
  <c r="I36" i="14" s="1"/>
  <c r="J36" i="14" s="1"/>
  <c r="H22" i="14"/>
  <c r="I22" i="14" s="1"/>
  <c r="J22" i="14" s="1"/>
  <c r="H65" i="14"/>
  <c r="I65" i="14" s="1"/>
  <c r="J65" i="14" s="1"/>
  <c r="H5" i="14"/>
  <c r="I5" i="14" s="1"/>
  <c r="J5" i="14" s="1"/>
  <c r="H72" i="14"/>
  <c r="I72" i="14" s="1"/>
  <c r="J72" i="14" s="1"/>
  <c r="H95" i="14"/>
  <c r="I95" i="14" s="1"/>
  <c r="J95" i="14" s="1"/>
  <c r="H11" i="14"/>
  <c r="I11" i="14" s="1"/>
  <c r="J11" i="14" s="1"/>
  <c r="H114" i="14"/>
  <c r="I114" i="14" s="1"/>
  <c r="J114" i="14" s="1"/>
  <c r="H38" i="14"/>
  <c r="I38" i="14" s="1"/>
  <c r="J38" i="14" s="1"/>
  <c r="H84" i="14"/>
  <c r="I84" i="14" s="1"/>
  <c r="J84" i="14" s="1"/>
  <c r="Q4" i="9"/>
  <c r="T4" i="9" s="1"/>
  <c r="U4" i="9" s="1"/>
  <c r="L4" i="9"/>
  <c r="N4" i="9" s="1"/>
  <c r="L2" i="9"/>
  <c r="N2" i="9" s="1"/>
  <c r="L6" i="9"/>
  <c r="N6" i="9" s="1"/>
  <c r="D2" i="14"/>
  <c r="E2" i="14" s="1"/>
  <c r="L3" i="9"/>
  <c r="N3" i="9" s="1"/>
  <c r="Q2" i="9"/>
  <c r="T2" i="9" s="1"/>
  <c r="U2" i="9" s="1"/>
  <c r="C2" i="14"/>
  <c r="G2" i="14" s="1"/>
  <c r="L5" i="9"/>
  <c r="N5" i="9" s="1"/>
  <c r="B2" i="14"/>
  <c r="F2" i="14" s="1"/>
  <c r="L7" i="9"/>
  <c r="N7" i="9" s="1"/>
  <c r="Q8" i="9"/>
  <c r="T8" i="9" s="1"/>
  <c r="U8" i="9" s="1"/>
  <c r="Q3" i="9"/>
  <c r="T3" i="9" s="1"/>
  <c r="U3" i="9" s="1"/>
  <c r="Q6" i="9"/>
  <c r="T6" i="9" s="1"/>
  <c r="U6" i="9" s="1"/>
  <c r="L8" i="9"/>
  <c r="N8" i="9" s="1"/>
  <c r="Q5" i="9"/>
  <c r="T5" i="9" s="1"/>
  <c r="U5" i="9" s="1"/>
  <c r="Q7" i="9"/>
  <c r="T7" i="9" s="1"/>
  <c r="U7" i="9" s="1"/>
  <c r="L9" i="9"/>
  <c r="N9" i="9" s="1"/>
  <c r="Q10" i="9"/>
  <c r="T10" i="9" s="1"/>
  <c r="U10" i="9" s="1"/>
  <c r="Q9" i="9"/>
  <c r="T9" i="9" s="1"/>
  <c r="U9" i="9" s="1"/>
  <c r="H87" i="14"/>
  <c r="I87" i="14" s="1"/>
  <c r="J87" i="14" s="1"/>
  <c r="H2" i="14" l="1"/>
  <c r="I2" i="14" s="1"/>
  <c r="J2" i="14" s="1"/>
  <c r="BT2" i="3" l="1"/>
  <c r="V2" i="3"/>
  <c r="AV2" i="3" s="1"/>
  <c r="AD2" i="1" s="1"/>
  <c r="AS2" i="3"/>
  <c r="O2" i="5" l="1"/>
  <c r="P2" i="5" s="1"/>
  <c r="BL2" i="3"/>
  <c r="AE2" i="1"/>
  <c r="AH2" i="1"/>
  <c r="AG2" i="1"/>
  <c r="AF2" i="1"/>
  <c r="BR2" i="1" l="1"/>
  <c r="H2" i="1" s="1"/>
  <c r="R2" i="5"/>
  <c r="Q2" i="5"/>
  <c r="BW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0FE79557-CCD2-44BF-A9B9-46AFD1F639B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B3DBB5ED-6A4D-4E7F-BEA9-24606BC59836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2969CC0F-CCC6-4341-850D-F3120162A47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7898DB6F-470B-458A-A25F-907F8643831F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3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3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4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4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5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5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EC909246-4388-427A-BCE1-58A701F9141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0" authorId="0" shapeId="0" xr:uid="{4D14F203-882D-4BB9-B5C8-84A595BAC9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0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1" authorId="0" shapeId="0" xr:uid="{09B6D4F7-29B7-4A15-926C-0C73164ECA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1" authorId="0" shapeId="0" xr:uid="{FBA24E56-83F0-426E-86AE-772F93A4DB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1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1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2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2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2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2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3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3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3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3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4" authorId="0" shapeId="0" xr:uid="{222C965C-436E-4A86-A9BD-86542048F8E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4" authorId="0" shapeId="0" xr:uid="{59325584-21F2-47D9-8EC1-6F409D7C872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4" authorId="0" shapeId="0" xr:uid="{F85A9C12-4F91-447F-AFED-700E6583AA4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4" authorId="0" shapeId="0" xr:uid="{F8B0A9B1-9C93-4090-A740-B60FC0F9239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5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5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5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5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6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6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6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6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7" authorId="0" shapeId="0" xr:uid="{0E4886D2-FB12-4B6E-804E-C202B1A3CEE8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7" authorId="0" shapeId="0" xr:uid="{41FE87A3-7943-42F0-9FCF-7B86CC2FA864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7" authorId="0" shapeId="0" xr:uid="{E0B63330-A4FB-4F48-BAC8-862F7CE318BA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7" authorId="0" shapeId="0" xr:uid="{FCE331A5-0051-4E37-B3E1-D03C038D0142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8" authorId="0" shapeId="0" xr:uid="{0D72574B-E156-4CFF-9E05-24DFF0A168D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8" authorId="0" shapeId="0" xr:uid="{65FABB62-DAEC-48ED-997A-BD2D931A81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8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9" authorId="0" shapeId="0" xr:uid="{839663E8-D2C5-4FDB-90AC-DFD4EAD37ED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9" authorId="0" shapeId="0" xr:uid="{FF066E7D-C2E8-4766-BBCA-017B758EB4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9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B60ABBB6-C380-4C90-8F70-C183EF2F2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0" authorId="0" shapeId="0" xr:uid="{627CA6C1-49B3-4250-BA1B-5DB36450BD4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0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0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1" authorId="0" shapeId="0" xr:uid="{927F4DF0-6D6D-4BE7-88B4-918A9F4B2AC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1" authorId="0" shapeId="0" xr:uid="{1A29B980-AAD3-4A74-9C92-28FF5F184C5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1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1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2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2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2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3CEB69DF-B7FD-4353-940E-B43A4B661C5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3" authorId="0" shapeId="0" xr:uid="{9963D3C5-0D04-456F-AA75-35BE37EF2A6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3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647017E7-9694-4AA4-90A8-42037A122F7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4" authorId="0" shapeId="0" xr:uid="{C9811092-D718-464C-BE44-2F3BD9896B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4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36BD77C3-9562-48DA-9E49-57E032DC4FA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5" authorId="0" shapeId="0" xr:uid="{C2E4AE3B-5D95-44DB-87CA-8E7382424D1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5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47F0087C-4802-46CE-B1BD-F8FA20EBB2B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6" authorId="0" shapeId="0" xr:uid="{5898E87B-BD2C-4107-8514-F70F4FCC014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6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7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7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8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8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6A04206D-FECE-4252-8597-E9D0C2600D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9" authorId="0" shapeId="0" xr:uid="{8232B0BE-BEA9-4DFC-BD36-339CF62A81C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9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994BE11C-AB31-4FDC-A80C-9C69713DFF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0" authorId="0" shapeId="0" xr:uid="{18843488-02AB-4330-B6DC-0EC6F350AD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0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619E95D7-473A-47AB-B16A-1C406E64F2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1" authorId="0" shapeId="0" xr:uid="{A39AB514-C4B2-4536-A727-913AD89BD28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1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2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2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2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2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3" authorId="0" shapeId="0" xr:uid="{85F87E6C-65E3-465D-820E-27E29A26CF1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33" authorId="0" shapeId="0" xr:uid="{C090543F-3D2E-4FCF-8B85-0A16BA9D716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33" authorId="0" shapeId="0" xr:uid="{5E2C9E3D-97A2-4A76-A97A-20A8E3AFFE2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4" authorId="0" shapeId="0" xr:uid="{9B1D865A-6326-45B6-B406-29DCF04E239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4" authorId="0" shapeId="0" xr:uid="{3978F222-DFA3-4B7B-80CF-21BD34E5A88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4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D48F650D-E42D-45B9-BD9E-9B6A6AFCC1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5" authorId="0" shapeId="0" xr:uid="{63566ED2-ED39-4D4C-8A17-631B10C324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5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5C4CBD6A-B8B2-446E-B0C5-4704115ED39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6" authorId="0" shapeId="0" xr:uid="{717DD64B-CFF3-45EB-BFF4-AC0E66EF111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6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7" authorId="0" shapeId="0" xr:uid="{443AA8AC-F833-4881-AADD-04339C37AFA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7" authorId="0" shapeId="0" xr:uid="{474204EB-76E1-43BA-BCF1-08F62DF5BC7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7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7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8" authorId="0" shapeId="0" xr:uid="{6DDC0AD9-8DB1-464E-801A-4DFA80BF0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8" authorId="0" shapeId="0" xr:uid="{FF664A12-9240-4121-B986-5C0D2142C8C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8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9" authorId="0" shapeId="0" xr:uid="{9F88B2E8-5348-479B-A13A-3960D4673A4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9" authorId="0" shapeId="0" xr:uid="{D657D065-0AB3-4E32-9D91-7CAA712378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9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9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40" authorId="0" shapeId="0" xr:uid="{8651C8EE-A3B3-47B2-B389-D0873965B5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0" authorId="0" shapeId="0" xr:uid="{1D10CC56-1DB2-4CE2-8A95-8365B6BFCF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0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1" authorId="0" shapeId="0" xr:uid="{867416C9-4D23-4F17-B567-4F89773B26D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1" authorId="0" shapeId="0" xr:uid="{9952E722-4F08-4B3F-B1F4-37337BE523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1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1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2" authorId="0" shapeId="0" xr:uid="{48F7589A-3BE3-4719-BCDB-32E83A0AD6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2" authorId="0" shapeId="0" xr:uid="{4BAC5599-9F42-4E9B-8DC4-9B632E7D457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2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2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3" authorId="0" shapeId="0" xr:uid="{6FF6E265-7CE6-4B58-B750-99E734D76CD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3" authorId="0" shapeId="0" xr:uid="{81BE2032-FC03-4DD9-8F60-6AC007A6243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3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F71733A0-C48C-409F-92AC-B74F8F7E95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4" authorId="0" shapeId="0" xr:uid="{8455C2E1-4D8A-4A5D-9764-66CBC255600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4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47B483E5-2500-46CD-8F37-79CA81DD084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5" authorId="0" shapeId="0" xr:uid="{85A0ADB0-CF56-4A00-954D-0C957AF8171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5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BC99FB25-C3B0-4BC0-AE9A-B2011820EAD7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6" authorId="0" shapeId="0" xr:uid="{5B387879-8C80-4630-8C61-EC864C3C477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6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AC4F9FDF-9044-4D8E-9EBC-24826F2D049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7" authorId="0" shapeId="0" xr:uid="{32B52ED5-81E3-4D11-B4E1-167C1018932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7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D5D8378C-EF95-4BAB-9180-47D5C058B9F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8" authorId="0" shapeId="0" xr:uid="{AFE9C259-7E4E-46D1-8547-EF1767B4010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8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C9787CFA-0286-4FBC-BD2A-61FC1FE8E3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9" authorId="0" shapeId="0" xr:uid="{DD457F15-C158-4E57-B1F7-4B6711A47F4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9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949F6839-37F7-4452-A33D-40F81280DA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0" authorId="0" shapeId="0" xr:uid="{A2393C7A-0B22-42D3-9F79-589535272C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0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6E751C45-1388-4CD4-B586-125FC556C46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1" authorId="0" shapeId="0" xr:uid="{84531A56-688F-4738-9765-BCCDDD0E2E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1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42976014-22A1-4F0D-8DAE-E88BF3AFA66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2" authorId="0" shapeId="0" xr:uid="{1933C626-312C-4C71-913B-3E1330C172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2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347E5058-E5DC-47E9-89C8-024C8E99FB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3" authorId="0" shapeId="0" xr:uid="{DCBA4E4D-5764-4E5C-9F63-846F99C0F0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3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F4655DAC-F578-4045-AB4A-D334E856DF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4" authorId="0" shapeId="0" xr:uid="{F9797EE1-F385-45E5-8D22-1710B20342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4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7A8889B9-7079-49D0-9A88-07086D6A2A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5" authorId="0" shapeId="0" xr:uid="{B74FD7B2-09EE-46C4-AC50-ED8EE4B397E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5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434B55CA-A246-4673-AEAD-24AC0D651E9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6" authorId="0" shapeId="0" xr:uid="{CD4227A0-7193-4CF8-BA6F-5C5FCFD960F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6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7" authorId="0" shapeId="0" xr:uid="{3CCD5A43-1F55-4B2E-871A-86CCCD75FB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7" authorId="0" shapeId="0" xr:uid="{96C84B37-5F9D-4C53-88EE-B60DFA4D9AB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7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8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8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8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9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9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9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9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0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60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60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1" authorId="0" shapeId="0" xr:uid="{B49C2E9B-FC07-4BE1-9F37-976A9E5568AC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61" authorId="0" shapeId="0" xr:uid="{CD0D181E-7E85-42AA-9D38-E08EB55C7FA7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61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2" authorId="0" shapeId="0" xr:uid="{9DAF1A09-0613-46FA-8AC4-452229DAFE2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62" authorId="0" shapeId="0" xr:uid="{300A219B-C7EC-4910-9746-B6390E3450B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62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3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63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63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4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4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4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4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5" authorId="0" shapeId="0" xr:uid="{BCDEB8DF-456F-497D-998F-21CE09BA738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5" authorId="0" shapeId="0" xr:uid="{EF1818A5-8385-4299-ADE9-AE457017FE4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5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5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6" authorId="0" shapeId="0" xr:uid="{06AB0AA8-BFB7-4C16-95A0-AD922521D27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6" authorId="0" shapeId="0" xr:uid="{9838DCFF-FC71-4A5D-B7D6-84F4DE3286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6" authorId="0" shapeId="0" xr:uid="{8B7B16B4-3B2A-403A-BE53-50682C187E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6" authorId="0" shapeId="0" xr:uid="{9AE83F57-36A4-4CF6-B2D7-A0A114EA9671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7" authorId="0" shapeId="0" xr:uid="{5E570711-7E67-4C0C-A734-328D3E431B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7" authorId="0" shapeId="0" xr:uid="{BB4F5C09-08A5-4432-ADE8-A1E964C4BC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7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7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2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2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2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2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Z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H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J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K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N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R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B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C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D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N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P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L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L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L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L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L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L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L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L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L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L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L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L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1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2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2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3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4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4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4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5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6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6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L176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7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0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0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1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2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3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L183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5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6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6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6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7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88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88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9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89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89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0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0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1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1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2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<sst xmlns="http://schemas.openxmlformats.org/spreadsheetml/2006/main" count="6070" uniqueCount="1388">
  <si>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</si>
  <si>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</si>
  <si>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</si>
  <si>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</si>
  <si>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</si>
  <si>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</si>
  <si>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</si>
  <si>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</si>
  <si>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</si>
  <si>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</si>
  <si>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</si>
  <si>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</si>
  <si>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</si>
  <si>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</si>
  <si>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</si>
  <si>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</si>
  <si>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</si>
  <si>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</si>
  <si>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</si>
  <si>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</si>
  <si>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</si>
  <si>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</si>
  <si>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</si>
  <si>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</si>
  <si>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</si>
  <si>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</si>
  <si>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</si>
  <si>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</si>
  <si>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</si>
  <si>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</si>
  <si>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</si>
  <si>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</si>
  <si>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</si>
  <si>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</si>
  <si>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</si>
  <si>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</si>
  <si>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</si>
  <si>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</si>
  <si>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</si>
  <si>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</si>
  <si>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</si>
  <si>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</si>
  <si>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</si>
  <si>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</si>
  <si>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</si>
  <si>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</si>
  <si>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</si>
  <si>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</si>
  <si>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</si>
  <si>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</si>
  <si>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</si>
  <si>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</si>
  <si>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</si>
  <si>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</si>
  <si>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</si>
  <si>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</si>
  <si>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</si>
  <si>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</si>
  <si>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</si>
  <si>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</si>
  <si>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</si>
  <si>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</si>
  <si>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</si>
  <si>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</si>
  <si>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</si>
  <si>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</si>
  <si>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</si>
  <si>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</si>
  <si>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</si>
  <si>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</si>
  <si>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</si>
  <si>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</si>
  <si>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Elephantlike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</si>
  <si>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</si>
  <si>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</si>
  <si>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</si>
  <si>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</si>
  <si>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</si>
  <si>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</si>
  <si>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</si>
  <si>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</si>
  <si>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</si>
  <si>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</si>
  <si>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</si>
  <si>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</si>
  <si>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</si>
  <si>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</si>
  <si>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</si>
  <si>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</si>
  <si>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Horselike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</si>
  <si>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</si>
  <si>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</si>
  <si>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</si>
  <si>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</si>
  <si>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</si>
  <si>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</si>
  <si>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</si>
  <si>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</si>
  <si>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</si>
  <si>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</si>
  <si>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</si>
  <si>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</si>
  <si>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</si>
  <si>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</si>
  <si>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</si>
  <si>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</si>
  <si>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</si>
  <si>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</si>
  <si>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</si>
  <si>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Piglike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</si>
  <si>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</si>
  <si>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</si>
  <si>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</si>
  <si>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</si>
  <si>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</si>
  <si>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</si>
  <si>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</si>
  <si>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</si>
  <si>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</si>
  <si>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Rhinolike</t>
  </si>
  <si>
    <t>Rhinoceros</t>
  </si>
  <si>
    <t>Capybara</t>
  </si>
  <si>
    <t>Hydrochaeris hydrochaeris</t>
  </si>
  <si>
    <t>Rodentlike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</si>
  <si>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</si>
  <si>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</si>
  <si>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</si>
  <si>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</si>
  <si>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</si>
  <si>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</si>
  <si>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</si>
  <si>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</si>
  <si>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</si>
  <si>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</si>
  <si>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</si>
  <si>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</si>
  <si>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</si>
  <si>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</si>
  <si>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</si>
  <si>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</si>
  <si>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</si>
  <si>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</si>
  <si>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</si>
  <si>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</si>
  <si>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</si>
  <si>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</si>
  <si>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</si>
  <si>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</si>
  <si>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</si>
  <si>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</si>
  <si>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</si>
  <si>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</si>
  <si>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</si>
  <si>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</si>
  <si>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</si>
  <si>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</si>
  <si>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</si>
  <si>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</si>
  <si>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</si>
  <si>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</si>
  <si>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</si>
  <si>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</si>
  <si>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</si>
  <si>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</si>
  <si>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</si>
  <si>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</si>
  <si>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</si>
  <si>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</si>
  <si>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</si>
  <si>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</si>
  <si>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</si>
  <si>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Slothlike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</si>
  <si>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</si>
  <si>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</si>
  <si>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</si>
  <si>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</si>
  <si>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</si>
  <si>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</si>
  <si>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</si>
  <si>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</si>
  <si>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</si>
  <si>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Ursid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</si>
  <si>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</si>
  <si>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</si>
  <si>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</si>
  <si>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</si>
  <si>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</si>
  <si>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</si>
  <si>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</si>
  <si>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</si>
  <si>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</si>
  <si>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</si>
  <si>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</si>
  <si>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</si>
  <si>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</si>
  <si>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Crocodilian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</si>
  <si>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</si>
  <si>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</si>
  <si>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</si>
  <si>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</si>
  <si>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</si>
  <si>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</si>
  <si>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</si>
  <si>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</si>
  <si>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</si>
  <si>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</si>
  <si>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</si>
  <si>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</si>
  <si>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</si>
  <si>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</si>
  <si>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</si>
  <si>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</si>
  <si>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</si>
  <si>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</si>
  <si>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</si>
  <si>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</si>
  <si>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</si>
  <si>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</si>
  <si>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</si>
  <si>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</si>
  <si>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</si>
  <si>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</si>
  <si>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</si>
  <si>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</si>
  <si>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</si>
  <si>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</si>
  <si>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</si>
  <si>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</si>
  <si>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</si>
  <si>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</si>
  <si>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</si>
  <si>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</si>
  <si>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</si>
  <si>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</si>
  <si>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</si>
  <si>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Dasypus novemcinctus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</si>
  <si>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</si>
  <si>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</si>
  <si>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</si>
  <si>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</si>
  <si>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</si>
  <si>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</si>
  <si>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</si>
  <si>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</si>
  <si>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</si>
  <si>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</si>
  <si>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</si>
  <si>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</si>
  <si>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</si>
  <si>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</si>
  <si>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</si>
  <si>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</si>
  <si>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</si>
  <si>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</si>
  <si>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</si>
  <si>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</si>
  <si>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</si>
  <si>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</si>
  <si>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</si>
  <si>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</si>
  <si>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</si>
  <si>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</si>
  <si>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</si>
  <si>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</si>
  <si>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</si>
  <si>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</si>
  <si>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</si>
  <si>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</si>
  <si>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</si>
  <si>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</si>
  <si>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</si>
  <si>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</si>
  <si>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</si>
  <si>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</si>
  <si>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</si>
  <si>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</si>
  <si>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</si>
  <si>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</si>
  <si>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</si>
  <si>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</si>
  <si>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</si>
  <si>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</si>
  <si>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</si>
  <si>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</si>
  <si>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</si>
  <si>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</si>
  <si>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</si>
  <si>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</si>
  <si>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</si>
  <si>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</si>
  <si>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</si>
  <si>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</si>
  <si>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</si>
  <si>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</si>
  <si>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</si>
  <si>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</si>
  <si>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</si>
  <si>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</si>
  <si>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</si>
  <si>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</si>
  <si>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</si>
  <si>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</si>
  <si>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</si>
  <si>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</si>
  <si>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</si>
  <si>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</si>
  <si>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</si>
  <si>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</si>
  <si>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</si>
  <si>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</si>
  <si>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</si>
  <si>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</si>
  <si>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</si>
  <si>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</si>
  <si>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</si>
  <si>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</si>
  <si>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</si>
  <si>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</si>
  <si>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</si>
  <si>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</si>
  <si>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</si>
  <si>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</si>
  <si>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</si>
  <si>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</si>
  <si>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</si>
  <si>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</si>
  <si>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</si>
  <si>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</si>
  <si>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</si>
  <si>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</si>
  <si>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</si>
  <si>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</si>
  <si>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</si>
  <si>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</si>
  <si>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</si>
  <si>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</si>
  <si>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</si>
  <si>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</si>
  <si>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</si>
  <si>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</si>
  <si>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</si>
  <si>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</si>
  <si>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</si>
  <si>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</si>
  <si>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</si>
  <si>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</si>
  <si>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</si>
  <si>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</si>
  <si>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</si>
  <si>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</si>
  <si>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</si>
  <si>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</si>
  <si>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</si>
  <si>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</si>
  <si>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</si>
  <si>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</si>
  <si>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</si>
  <si>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</si>
  <si>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</si>
  <si>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</si>
  <si>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</si>
  <si>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</si>
  <si>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</si>
  <si>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</si>
  <si>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</si>
  <si>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</si>
  <si>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</si>
  <si>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</si>
  <si>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</si>
  <si>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</si>
  <si>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</si>
  <si>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</si>
  <si>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</si>
  <si>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</si>
  <si>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</si>
  <si>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</si>
  <si>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</si>
  <si>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</si>
  <si>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</si>
  <si>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</si>
  <si>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</si>
  <si>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</si>
  <si>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</si>
  <si>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</si>
  <si>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</si>
  <si>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</si>
  <si>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</si>
  <si>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</si>
  <si>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</si>
  <si>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</si>
  <si>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</si>
  <si>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</si>
  <si>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</si>
  <si>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</si>
  <si>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</si>
  <si>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</si>
  <si>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</si>
  <si>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</si>
  <si>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</si>
  <si>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</si>
  <si>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</si>
  <si>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</si>
  <si>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</si>
  <si>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</si>
  <si>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</si>
  <si>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</si>
  <si>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</si>
  <si>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</si>
  <si>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</si>
  <si>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</si>
  <si>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</si>
  <si>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</si>
  <si>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</si>
  <si>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</si>
  <si>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</si>
  <si>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</si>
  <si>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</si>
  <si>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</si>
  <si>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</si>
  <si>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</si>
  <si>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</si>
  <si>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</si>
  <si>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</si>
  <si>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</si>
  <si>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</si>
  <si>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</si>
  <si>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</si>
  <si>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</si>
  <si>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</si>
  <si>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</si>
  <si>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</si>
  <si>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ClawedBeetle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</si>
  <si>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</si>
  <si>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</si>
  <si>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</si>
  <si>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</si>
  <si>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</si>
  <si>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</si>
  <si>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</si>
  <si>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</si>
  <si>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</si>
  <si>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</si>
  <si>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</si>
  <si>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</si>
  <si>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</si>
  <si>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</si>
  <si>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</si>
  <si>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</si>
  <si>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</si>
  <si>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</si>
  <si>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</si>
  <si>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</si>
  <si>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</si>
  <si>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</si>
  <si>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</si>
  <si>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</si>
  <si>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</si>
  <si>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</si>
  <si>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</si>
  <si>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</si>
  <si>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</si>
  <si>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</si>
  <si>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</si>
  <si>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</si>
  <si>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</si>
  <si>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</si>
  <si>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</si>
  <si>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</si>
  <si>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</si>
  <si>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</si>
  <si>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</si>
  <si>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</si>
  <si>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</si>
  <si>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</si>
  <si>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</si>
  <si>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</si>
  <si>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</si>
  <si>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</si>
  <si>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</si>
  <si>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</si>
  <si>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</si>
  <si>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</si>
  <si>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</si>
  <si>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</si>
  <si>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</si>
  <si>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</si>
  <si>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</si>
  <si>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</si>
  <si>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</si>
  <si>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</si>
  <si>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</si>
  <si>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</si>
  <si>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</si>
  <si>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</si>
  <si>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</si>
  <si>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</si>
  <si>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</si>
  <si>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</si>
  <si>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</si>
  <si>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</si>
  <si>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</si>
  <si>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</si>
  <si>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</si>
  <si>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</si>
  <si>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</si>
  <si>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</si>
  <si>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</si>
  <si>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</si>
  <si>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</si>
  <si>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</si>
  <si>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</si>
  <si>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</si>
  <si>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</si>
  <si>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</si>
  <si>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</si>
  <si>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</si>
  <si>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</si>
  <si>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</si>
  <si>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</si>
  <si>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</si>
  <si>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</si>
  <si>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</si>
  <si>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</si>
  <si>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</si>
  <si>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</si>
  <si>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</si>
  <si>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</si>
  <si>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</si>
  <si>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</si>
  <si>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</si>
  <si>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</si>
  <si>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</si>
  <si>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</si>
  <si>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</si>
  <si>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</si>
  <si>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</si>
  <si>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</si>
  <si>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</si>
  <si>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</si>
  <si>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</si>
  <si>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</si>
  <si>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</si>
  <si>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</si>
  <si>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</si>
  <si>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</si>
  <si>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</si>
  <si>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</si>
  <si>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</si>
  <si>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</si>
  <si>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</si>
  <si>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</si>
  <si>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</si>
  <si>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</si>
  <si>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</si>
  <si>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</si>
  <si>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</si>
  <si>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</si>
  <si>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</si>
  <si>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</si>
  <si>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</si>
  <si>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</si>
  <si>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</si>
  <si>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</si>
  <si>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</si>
  <si>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</si>
  <si>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</si>
  <si>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</si>
  <si>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</si>
  <si>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</si>
  <si>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</si>
  <si>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</si>
  <si>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</si>
  <si>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</si>
  <si>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</si>
  <si>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</si>
  <si>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</si>
  <si>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https://genomics.senescence.info/species/entry.php?species=Dasypus_novemcinctus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</si>
  <si>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</si>
  <si>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</si>
  <si>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</si>
  <si>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</si>
  <si>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</si>
  <si>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</si>
  <si>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</si>
  <si>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</si>
  <si>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</si>
  <si>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</si>
  <si>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</si>
  <si>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</si>
  <si>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</si>
  <si>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</si>
  <si>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</si>
  <si>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</si>
  <si>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</si>
  <si>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</si>
  <si>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</si>
  <si>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</si>
  <si>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</si>
  <si>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</si>
  <si>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</si>
  <si>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</si>
  <si>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</si>
  <si>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</si>
  <si>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</si>
  <si>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</si>
  <si>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</si>
  <si>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</si>
  <si>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</si>
  <si>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</si>
  <si>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</si>
  <si>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</si>
  <si>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</si>
  <si>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</si>
  <si>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</si>
  <si>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</si>
  <si>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</si>
  <si>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</si>
  <si>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</si>
  <si>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</si>
  <si>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</si>
  <si>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</si>
  <si>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</si>
  <si>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</si>
  <si>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</si>
  <si>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</si>
  <si>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</si>
  <si>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</si>
  <si>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</si>
  <si>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</si>
  <si>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</si>
  <si>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</si>
  <si>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</si>
  <si>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</si>
  <si>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</si>
  <si>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</si>
  <si>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</si>
  <si>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</si>
  <si>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</si>
  <si>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</si>
  <si>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</si>
  <si>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</si>
  <si>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</si>
  <si>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</si>
  <si>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</si>
  <si>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</si>
  <si>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</si>
  <si>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</si>
  <si>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</si>
  <si>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</si>
  <si>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</si>
  <si>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</si>
  <si>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</si>
  <si>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</si>
  <si>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</si>
  <si>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</si>
  <si>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</si>
  <si>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</si>
  <si>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</si>
  <si>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</si>
  <si>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</si>
  <si>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</si>
  <si>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</si>
  <si>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</si>
  <si>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</si>
  <si>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</si>
  <si>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</si>
  <si>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</si>
  <si>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</si>
  <si>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</si>
  <si>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</si>
  <si>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</si>
  <si>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</si>
  <si>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</si>
  <si>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</si>
  <si>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</si>
  <si>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</si>
  <si>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</si>
  <si>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</si>
  <si>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</si>
  <si>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</si>
  <si>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</si>
  <si>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</si>
  <si>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</si>
  <si>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</si>
  <si>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</si>
  <si>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</si>
  <si>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</si>
  <si>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</si>
  <si>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</si>
  <si>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</si>
  <si>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</si>
  <si>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</si>
  <si>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</si>
  <si>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</si>
  <si>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</si>
  <si>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</si>
  <si>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</si>
  <si>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</si>
  <si>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</si>
  <si>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</si>
  <si>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</si>
  <si>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</si>
  <si>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</si>
  <si>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</si>
  <si>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</si>
  <si>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</si>
  <si>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</si>
  <si>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</si>
  <si>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</si>
  <si>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</si>
  <si>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</si>
  <si>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</si>
  <si>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</si>
  <si>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</si>
  <si>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</si>
  <si>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</si>
  <si>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</si>
  <si>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</si>
  <si>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</si>
  <si>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</si>
  <si>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</si>
  <si>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</si>
  <si>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</si>
  <si>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</si>
  <si>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</si>
  <si>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</si>
  <si>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</si>
  <si>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</si>
  <si>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</si>
  <si>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</si>
  <si>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</si>
  <si>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</si>
  <si>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</si>
  <si>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</si>
  <si>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</si>
  <si>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</si>
  <si>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</si>
  <si>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</si>
  <si>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</si>
  <si>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</si>
  <si>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</si>
  <si>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</si>
  <si>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</si>
  <si>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</si>
  <si>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</si>
  <si>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</si>
  <si>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</si>
  <si>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</si>
  <si>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</si>
  <si>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</si>
  <si>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</si>
  <si>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</si>
  <si>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</si>
  <si>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</si>
  <si>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</si>
  <si>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</si>
  <si>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</si>
  <si>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</si>
  <si>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</si>
  <si>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</si>
  <si>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</si>
  <si>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</si>
  <si>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</si>
  <si>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</si>
  <si>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</si>
  <si>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</si>
  <si>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</si>
  <si>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</si>
  <si>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</si>
  <si>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</si>
  <si>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</si>
  <si>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</si>
  <si>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</si>
  <si>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</si>
  <si>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</si>
  <si>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</si>
  <si>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</si>
  <si>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</si>
  <si>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</si>
  <si>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</si>
  <si>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</si>
  <si>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</si>
  <si>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</si>
  <si>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</si>
  <si>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</si>
  <si>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</si>
  <si>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</si>
  <si>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</si>
  <si>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</si>
  <si>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</si>
  <si>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</si>
  <si>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</si>
  <si>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</si>
  <si>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</si>
  <si>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</si>
  <si>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</si>
  <si>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</si>
  <si>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</si>
  <si>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</si>
  <si>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</si>
  <si>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</si>
  <si>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</si>
  <si>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</si>
  <si>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</si>
  <si>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</si>
  <si>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</si>
  <si>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</si>
  <si>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</si>
  <si>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</si>
  <si>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</si>
  <si>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</si>
  <si>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</si>
  <si>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</si>
  <si>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</si>
  <si>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</si>
  <si>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</si>
  <si>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</si>
  <si>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</si>
  <si>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</si>
  <si>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</si>
  <si>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</si>
  <si>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</si>
  <si>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</si>
  <si>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</si>
  <si>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</si>
  <si>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</si>
  <si>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</si>
  <si>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</si>
  <si>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</si>
  <si>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</si>
  <si>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</si>
  <si>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</si>
  <si>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</si>
  <si>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</si>
  <si>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</si>
  <si>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</si>
  <si>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</si>
  <si>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</si>
  <si>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</si>
  <si>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</si>
  <si>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</si>
  <si>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</si>
  <si>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</si>
  <si>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</si>
  <si>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</si>
  <si>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</si>
  <si>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</si>
  <si>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</si>
  <si>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</si>
  <si>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</si>
  <si>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</si>
  <si>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</si>
  <si>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</si>
  <si>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</si>
  <si>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</si>
  <si>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</si>
  <si>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</si>
  <si>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</si>
  <si>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</si>
  <si>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</si>
  <si>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</si>
  <si>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</si>
  <si>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</si>
  <si>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</si>
  <si>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</si>
  <si>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</si>
  <si>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</si>
  <si>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</si>
  <si>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</si>
  <si>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</si>
  <si>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</si>
  <si>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</si>
  <si>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</si>
  <si>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</si>
  <si>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</si>
  <si>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</si>
  <si>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</si>
  <si>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</si>
  <si>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</si>
  <si>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</si>
  <si>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</si>
  <si>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</si>
  <si>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</si>
  <si>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</si>
  <si>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</si>
  <si>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</si>
  <si>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</si>
  <si>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</si>
  <si>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</si>
  <si>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</si>
  <si>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</si>
  <si>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</si>
  <si>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</si>
  <si>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</si>
  <si>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</si>
  <si>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</si>
  <si>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</si>
  <si>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</si>
  <si>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</si>
  <si>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</si>
  <si>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</si>
  <si>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</si>
  <si>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</si>
  <si>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</si>
  <si>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</si>
  <si>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</si>
  <si>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</si>
  <si>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</si>
  <si>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</si>
  <si>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</si>
  <si>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</si>
  <si>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</si>
  <si>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</si>
  <si>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</si>
  <si>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</si>
  <si>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</si>
  <si>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</si>
  <si>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</si>
  <si>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</si>
  <si>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</si>
  <si>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</si>
  <si>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</si>
  <si>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</si>
  <si>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</si>
  <si>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</si>
  <si>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</si>
  <si>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</si>
  <si>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</si>
  <si>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</si>
  <si>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</si>
  <si>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MarsupialHopper</t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</si>
  <si>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</si>
  <si>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</si>
  <si>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</si>
  <si>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</si>
  <si>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</si>
  <si>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</si>
  <si>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</si>
  <si>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</si>
  <si>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</si>
  <si>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</si>
  <si>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</si>
  <si>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</si>
  <si>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</si>
  <si>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</si>
  <si>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</si>
  <si>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</si>
  <si>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</si>
  <si>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</si>
  <si>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</si>
  <si>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</si>
  <si>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</si>
  <si>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</si>
  <si>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</si>
  <si>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</si>
  <si>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</si>
  <si>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</si>
  <si>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</si>
  <si>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</si>
  <si>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</si>
  <si>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</si>
  <si>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</si>
  <si>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TuskedPiglike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</si>
  <si>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</si>
  <si>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</si>
  <si>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</si>
  <si>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</si>
  <si>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</si>
  <si>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</si>
  <si>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</si>
  <si>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</si>
  <si>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</si>
  <si>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</si>
  <si>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</si>
  <si>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</si>
  <si>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</si>
  <si>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</si>
  <si>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</si>
  <si>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</si>
  <si>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</si>
  <si>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</si>
  <si>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</si>
  <si>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</si>
  <si>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</si>
  <si>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</si>
  <si>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</si>
  <si>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</si>
  <si>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</si>
  <si>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</si>
  <si>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</si>
  <si>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</si>
  <si>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</si>
  <si>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</si>
  <si>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</si>
  <si>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</si>
  <si>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</si>
  <si>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</si>
  <si>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</si>
  <si>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TuskedPinniped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</si>
  <si>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</si>
  <si>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</si>
  <si>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</si>
  <si>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</si>
  <si>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</si>
  <si>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</si>
  <si>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</si>
  <si>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</si>
  <si>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FrontRightPaw, FrontRightPaw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</si>
  <si>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</si>
  <si>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</si>
  <si>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</si>
  <si>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</si>
  <si>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</si>
  <si>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</si>
  <si>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</si>
  <si>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</si>
  <si>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</si>
  <si>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</si>
  <si>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</si>
  <si>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</si>
  <si>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</si>
  <si>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</si>
  <si>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</si>
  <si>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</si>
  <si>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</si>
  <si>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</si>
  <si>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Procyonid</t>
  </si>
  <si>
    <t>QuadrupedAnimalWithPaws</t>
  </si>
  <si>
    <t>Rodentlike (tailless)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</si>
  <si>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</si>
  <si>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</si>
  <si>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</si>
  <si>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</si>
  <si>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</si>
  <si>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</si>
  <si>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</si>
  <si>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Primate (tailless)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</si>
  <si>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</si>
  <si>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</si>
  <si>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</si>
  <si>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</si>
  <si>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</si>
  <si>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</si>
  <si>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</si>
  <si>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Camelid (humped)</t>
  </si>
  <si>
    <t>Camelid</t>
  </si>
  <si>
    <t>Lizardlike (iguana)</t>
  </si>
  <si>
    <t>Lizardlike (monitor lizard)</t>
  </si>
  <si>
    <t>Bird (aggressive)</t>
  </si>
  <si>
    <t>Bird (strong beak)</t>
  </si>
  <si>
    <t>IgnoreAgressionSizeLimit</t>
  </si>
  <si>
    <t>Ruminant (bovid)</t>
  </si>
  <si>
    <t>manhunterOnTameFailChance adjuster</t>
  </si>
  <si>
    <t>manhunterOnDamageChance adjuster</t>
  </si>
  <si>
    <t>Ruminant  (bovid, blunt horns)</t>
  </si>
  <si>
    <t>Ruminant (cervid)</t>
  </si>
  <si>
    <t>Ruminant (bovid, harmless)</t>
  </si>
  <si>
    <t>Advanced</t>
  </si>
  <si>
    <t>Trainability</t>
  </si>
  <si>
    <t>Intermediate</t>
  </si>
  <si>
    <t>Bird (strong beak, smart)</t>
  </si>
  <si>
    <t>baseManhunterOnTameFailChance</t>
  </si>
  <si>
    <t>baseManhunterOnDamageChance</t>
  </si>
  <si>
    <t>teethScalinngFormula</t>
  </si>
  <si>
    <t>petnessFactor</t>
  </si>
  <si>
    <t>isFertile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</si>
  <si>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</si>
  <si>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</si>
  <si>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</si>
  <si>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</si>
  <si>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</si>
  <si>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</si>
  <si>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</si>
  <si>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Mustelid (semi-aquatic)</t>
  </si>
  <si>
    <t>Felid (can fish)</t>
  </si>
  <si>
    <t>Bird (water)</t>
  </si>
  <si>
    <t>Mustelid (can fish)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</si>
  <si>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</si>
  <si>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</si>
  <si>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</si>
  <si>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</si>
  <si>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</si>
  <si>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</si>
  <si>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</si>
  <si>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</si>
  <si>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</si>
  <si>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</si>
  <si>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</si>
  <si>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</si>
  <si>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Hippolike</t>
  </si>
  <si>
    <t>Rodentlike (tailless, semi-aquatic)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</si>
  <si>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</si>
  <si>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</si>
  <si>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</si>
  <si>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</si>
  <si>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</si>
  <si>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</si>
  <si>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</si>
  <si>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</si>
  <si>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</si>
  <si>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</si>
  <si>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Hyenid</t>
  </si>
  <si>
    <t>ScavengerTier</t>
  </si>
  <si>
    <t>Mustelid (scavenger)</t>
  </si>
  <si>
    <t>Rodentlike (scavenger)</t>
  </si>
  <si>
    <t>teethDamageAdjuster</t>
  </si>
  <si>
    <t>clawDamageAdjuster</t>
  </si>
  <si>
    <t>tuskDamageAdjuster</t>
  </si>
  <si>
    <t>Bite</t>
  </si>
  <si>
    <t>ToxicBite</t>
  </si>
  <si>
    <t>Snake (venomous)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</si>
  <si>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</si>
  <si>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</si>
  <si>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</si>
  <si>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</si>
  <si>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</si>
  <si>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</si>
  <si>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</si>
  <si>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</si>
  <si>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</si>
  <si>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</si>
  <si>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</si>
  <si>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</si>
  <si>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</si>
  <si>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</si>
  <si>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</si>
  <si>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</si>
  <si>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</si>
  <si>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</si>
  <si>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</si>
  <si>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</si>
  <si>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</si>
  <si>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</si>
  <si>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</si>
  <si>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</si>
  <si>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</si>
  <si>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BeetleLike (Scorpion)</t>
  </si>
  <si>
    <t>isTeethless</t>
  </si>
  <si>
    <t>Horn/Tusk attack type</t>
  </si>
  <si>
    <t>Predicted horn/tusk attack force (N)</t>
  </si>
  <si>
    <t>generalDamageAdjuster</t>
  </si>
  <si>
    <t>IsRare</t>
  </si>
  <si>
    <t>Horselike (wild)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</si>
  <si>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</si>
  <si>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</si>
  <si>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</si>
  <si>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</si>
  <si>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</si>
  <si>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</si>
  <si>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</si>
  <si>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</si>
  <si>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</si>
  <si>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</si>
  <si>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</si>
  <si>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</si>
  <si>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Bird (strong beak, smart, scavenger)</t>
  </si>
  <si>
    <t>Bird (scavenger)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</si>
  <si>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</si>
  <si>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</si>
  <si>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</si>
  <si>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</si>
  <si>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</si>
  <si>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</si>
  <si>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</si>
  <si>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</si>
  <si>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</si>
  <si>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</si>
  <si>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</si>
  <si>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</si>
  <si>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</si>
  <si>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</si>
  <si>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</si>
  <si>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</si>
  <si>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</si>
  <si>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</si>
  <si>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</si>
  <si>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</si>
  <si>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</si>
  <si>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</si>
  <si>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</si>
  <si>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</si>
  <si>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</si>
  <si>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</si>
  <si>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</si>
  <si>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</si>
  <si>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</si>
  <si>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</si>
  <si>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</si>
  <si>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</si>
  <si>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</si>
  <si>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</si>
  <si>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</si>
  <si>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</si>
  <si>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</si>
  <si>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</si>
  <si>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</si>
  <si>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</si>
  <si>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</si>
  <si>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</si>
  <si>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</si>
  <si>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</si>
  <si>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</si>
  <si>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</si>
  <si>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</si>
  <si>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</si>
  <si>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</si>
  <si>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</si>
  <si>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</si>
  <si>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</si>
  <si>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</si>
  <si>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</si>
  <si>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</si>
  <si>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</si>
  <si>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</si>
  <si>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</si>
  <si>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</si>
  <si>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</si>
  <si>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Leather_PhotonozoaM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</si>
  <si>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</si>
  <si>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</si>
  <si>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</si>
  <si>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</si>
  <si>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</si>
  <si>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</si>
  <si>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</si>
  <si>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</si>
  <si>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Xenobovid (PHOTONOZOA)</t>
  </si>
  <si>
    <t>Xenosnake</t>
  </si>
  <si>
    <t>Untamable</t>
  </si>
  <si>
    <t>Xenobovid</t>
  </si>
  <si>
    <t>Xenosnake (PHOTONOZOA)</t>
  </si>
  <si>
    <t>Paragnathia (PHOTONOZOA)</t>
  </si>
  <si>
    <t>tongue</t>
  </si>
  <si>
    <t>TongueAttackTool</t>
  </si>
  <si>
    <t>Leather_PhotonozoaS</t>
  </si>
  <si>
    <t>Asciotaurus</t>
  </si>
  <si>
    <t>Asciotaurus validus</t>
  </si>
  <si>
    <t>&lt;li&gt;Asciotaurus&lt;/li&gt;</t>
  </si>
  <si>
    <t>Xenofelid (PHOTONOZOA)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</si>
  <si>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</si>
  <si>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</si>
  <si>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</si>
  <si>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</si>
  <si>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</si>
  <si>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</si>
  <si>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</si>
  <si>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</si>
  <si>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</si>
  <si>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</si>
  <si>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</si>
  <si>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</si>
  <si>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</si>
  <si>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</si>
  <si>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</si>
  <si>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</si>
  <si>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</si>
  <si>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</si>
  <si>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</si>
  <si>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</si>
  <si>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</si>
  <si>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</si>
  <si>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</si>
  <si>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</si>
  <si>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</si>
  <si>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</si>
  <si>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</si>
  <si>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</si>
  <si>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</si>
  <si>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</si>
  <si>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</si>
  <si>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</si>
  <si>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</si>
  <si>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</si>
  <si>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</si>
  <si>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</si>
  <si>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</si>
  <si>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</si>
  <si>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</si>
  <si>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</si>
  <si>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</si>
  <si>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</si>
  <si>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</si>
  <si>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</si>
  <si>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</si>
  <si>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</si>
  <si>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</si>
  <si>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</si>
  <si>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</si>
  <si>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</si>
  <si>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</si>
  <si>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</si>
  <si>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</si>
  <si>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</si>
  <si>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</si>
  <si>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</si>
  <si>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</si>
  <si>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</si>
  <si>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</si>
  <si>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</si>
  <si>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</si>
  <si>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</si>
  <si>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</si>
  <si>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</si>
  <si>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</si>
  <si>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</si>
  <si>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</si>
  <si>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</si>
  <si>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</si>
  <si>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</si>
  <si>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</si>
  <si>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</si>
  <si>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</si>
  <si>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</si>
  <si>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</si>
  <si>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</si>
  <si>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</si>
  <si>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</si>
  <si>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</si>
  <si>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</si>
  <si>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</si>
  <si>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</si>
  <si>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</si>
  <si>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</si>
  <si>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</si>
  <si>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</si>
  <si>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</si>
  <si>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</si>
  <si>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</si>
  <si>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</si>
  <si>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</si>
  <si>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</si>
  <si>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</si>
  <si>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</si>
  <si>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</si>
  <si>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</si>
  <si>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</si>
  <si>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</si>
  <si>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</si>
  <si>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</si>
  <si>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</si>
  <si>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</si>
  <si>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</si>
  <si>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</si>
  <si>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</si>
  <si>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</si>
  <si>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Crocodilian (untameable)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</si>
  <si>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</si>
  <si>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</si>
  <si>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</si>
  <si>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</si>
  <si>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</si>
  <si>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</si>
  <si>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Ursid (untameable)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</si>
  <si>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</si>
  <si>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</si>
  <si>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</si>
  <si>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</si>
  <si>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</si>
  <si>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</si>
  <si>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</si>
  <si>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</si>
  <si>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</si>
  <si>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</si>
  <si>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</si>
  <si>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</si>
  <si>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</si>
  <si>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</si>
  <si>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</si>
  <si>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</si>
  <si>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</si>
  <si>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</si>
  <si>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Felid (flu)</t>
  </si>
  <si>
    <t>VAEWaste_FluClaws</t>
  </si>
  <si>
    <t>VAEWaste_FluBite</t>
  </si>
  <si>
    <t>ScorpionLike</t>
  </si>
  <si>
    <t>left pincer, right pincer</t>
  </si>
  <si>
    <t>Sting</t>
  </si>
  <si>
    <t>Snake (three-headed)</t>
  </si>
  <si>
    <t>Hydra</t>
  </si>
  <si>
    <t>Ruminant (bovid, two-headed)</t>
  </si>
  <si>
    <t>Wasteffalo_Body</t>
  </si>
  <si>
    <t>LeftPincer, RightPincer</t>
  </si>
  <si>
    <t>UseMeatFrom</t>
  </si>
  <si>
    <t>useMeatFrom</t>
  </si>
  <si>
    <t>ToxicLeather</t>
  </si>
  <si>
    <t>VAEWaste_Sting</t>
  </si>
  <si>
    <t>BeetleLike (WasteScorpion)</t>
  </si>
  <si>
    <t>Ruminant (cervid, two-headed)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</si>
</sst>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Dasypus novemcinctus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72"/>
  <sheetViews>
    <sheetView tabSelected="1" topLeftCell="A40" zoomScale="85" zoomScaleNormal="85" workbookViewId="0">
      <pane xSplit="1" topLeftCell="AI1" activePane="topRight" state="frozen"/>
      <selection pane="topRight" activeCell="AL74" sqref="AL74"/>
    </sheetView>
  </sheetViews>
  <sheetFormatPr defaultRowHeight="15" x14ac:dyDescent="0.25"/>
  <cols>
    <col min="1" max="1" width="34.710937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20.425781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8.285156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309</v>
      </c>
      <c r="B1" s="39" t="s">
        <v>1069</v>
      </c>
      <c r="C1" s="39" t="s">
        <v>1068</v>
      </c>
      <c r="D1" s="39" t="s">
        <v>931</v>
      </c>
      <c r="E1" s="39" t="s">
        <v>1067</v>
      </c>
      <c r="F1" s="39" t="s">
        <v>1070</v>
      </c>
      <c r="G1" s="39" t="s">
        <v>1071</v>
      </c>
      <c r="H1" s="29" t="s">
        <v>935</v>
      </c>
      <c r="I1" s="29" t="s">
        <v>936</v>
      </c>
      <c r="J1" s="29" t="s">
        <v>937</v>
      </c>
      <c r="K1" s="29" t="s">
        <v>943</v>
      </c>
      <c r="L1" s="29" t="s">
        <v>944</v>
      </c>
      <c r="M1" s="29" t="s">
        <v>949</v>
      </c>
      <c r="N1" s="4" t="s">
        <v>950</v>
      </c>
      <c r="O1" s="29" t="s">
        <v>1137</v>
      </c>
      <c r="P1" s="4" t="s">
        <v>960</v>
      </c>
      <c r="Q1" s="4" t="s">
        <v>9</v>
      </c>
      <c r="R1" s="4" t="s">
        <v>961</v>
      </c>
      <c r="S1" s="4" t="s">
        <v>963</v>
      </c>
      <c r="T1" s="4" t="s">
        <v>964</v>
      </c>
      <c r="U1" s="4" t="s">
        <v>1138</v>
      </c>
      <c r="V1" s="4" t="s">
        <v>976</v>
      </c>
      <c r="W1" s="4" t="s">
        <v>978</v>
      </c>
      <c r="X1" s="4" t="s">
        <v>979</v>
      </c>
      <c r="Y1" s="4" t="s">
        <v>980</v>
      </c>
      <c r="Z1" s="4" t="s">
        <v>11</v>
      </c>
      <c r="AA1" s="4" t="s">
        <v>987</v>
      </c>
      <c r="AB1" s="4" t="s">
        <v>988</v>
      </c>
      <c r="AC1" s="4" t="s">
        <v>989</v>
      </c>
      <c r="AD1" s="39" t="s">
        <v>1002</v>
      </c>
      <c r="AE1" s="4" t="s">
        <v>1003</v>
      </c>
      <c r="AF1" s="4" t="s">
        <v>1004</v>
      </c>
      <c r="AG1" s="4" t="s">
        <v>1006</v>
      </c>
      <c r="AH1" s="4" t="s">
        <v>1005</v>
      </c>
      <c r="AI1" s="43" t="s">
        <v>1014</v>
      </c>
      <c r="AJ1" s="43" t="s">
        <v>1015</v>
      </c>
      <c r="AK1" s="43" t="s">
        <v>1021</v>
      </c>
      <c r="AL1" s="4" t="s">
        <v>676</v>
      </c>
      <c r="AM1" s="43" t="s">
        <v>1063</v>
      </c>
      <c r="AN1" s="43" t="s">
        <v>1061</v>
      </c>
      <c r="AO1" s="43" t="s">
        <v>1062</v>
      </c>
      <c r="AP1" s="43" t="s">
        <v>1064</v>
      </c>
      <c r="AQ1" s="43" t="s">
        <v>1065</v>
      </c>
      <c r="AR1" s="43" t="s">
        <v>1058</v>
      </c>
      <c r="AS1" s="43" t="s">
        <v>1066</v>
      </c>
      <c r="AT1" s="43" t="s">
        <v>1072</v>
      </c>
      <c r="AU1" s="43" t="s">
        <v>1077</v>
      </c>
      <c r="AV1" s="43" t="s">
        <v>1091</v>
      </c>
      <c r="AW1" s="4" t="s">
        <v>861</v>
      </c>
      <c r="AX1" s="43" t="s">
        <v>1097</v>
      </c>
      <c r="AY1" s="43" t="s">
        <v>1098</v>
      </c>
      <c r="AZ1" s="43" t="s">
        <v>1102</v>
      </c>
      <c r="BA1" s="43" t="s">
        <v>1145</v>
      </c>
      <c r="BB1" s="43" t="s">
        <v>1144</v>
      </c>
      <c r="BC1" s="43" t="s">
        <v>1111</v>
      </c>
      <c r="BD1" s="43" t="s">
        <v>1113</v>
      </c>
      <c r="BE1" s="43" t="s">
        <v>1115</v>
      </c>
      <c r="BF1" s="43" t="s">
        <v>1121</v>
      </c>
      <c r="BG1" s="39" t="s">
        <v>1122</v>
      </c>
      <c r="BH1" s="39" t="s">
        <v>1123</v>
      </c>
      <c r="BI1" s="39" t="s">
        <v>1124</v>
      </c>
      <c r="BJ1" s="39" t="s">
        <v>1126</v>
      </c>
      <c r="BK1" s="39" t="s">
        <v>1152</v>
      </c>
      <c r="BL1" s="39" t="s">
        <v>1153</v>
      </c>
      <c r="BM1" s="39" t="s">
        <v>1154</v>
      </c>
    </row>
    <row r="2" spans="1:65" x14ac:dyDescent="0.25">
      <c r="A2" t="s">
        <v>429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H2/1000/AVERAGE(9.5,4.6)</f>
        <v>1.3475177304964539E-2</v>
      </c>
      <c r="J2" s="39">
        <v>1.2</v>
      </c>
      <c r="K2" s="39">
        <v>0.32</v>
      </c>
      <c r="L2" s="39">
        <v>1</v>
      </c>
      <c r="M2" s="39">
        <v>1</v>
      </c>
      <c r="N2" s="4" t="s">
        <v>951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992</v>
      </c>
      <c r="AB2" s="4" t="s">
        <v>994</v>
      </c>
      <c r="AC2" s="4" t="s">
        <v>1108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1019</v>
      </c>
      <c r="AK2" s="4">
        <v>0</v>
      </c>
      <c r="AL2" s="4" t="s">
        <v>1040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1057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1127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1060</v>
      </c>
      <c r="B3" s="39">
        <v>1</v>
      </c>
      <c r="C3" s="39">
        <v>1.25</v>
      </c>
      <c r="D3" s="39">
        <v>0</v>
      </c>
      <c r="E3" s="39">
        <v>11</v>
      </c>
      <c r="F3" s="39">
        <v>0</v>
      </c>
      <c r="G3" s="39">
        <v>0</v>
      </c>
      <c r="H3" s="40">
        <v>1</v>
      </c>
      <c r="I3" s="41">
        <v>1</v>
      </c>
      <c r="J3" s="39">
        <v>1.0900000000000001</v>
      </c>
      <c r="K3" s="39" t="s">
        <v>942</v>
      </c>
      <c r="L3" s="39">
        <v>0</v>
      </c>
      <c r="M3" s="39">
        <v>0</v>
      </c>
      <c r="N3" s="4" t="s">
        <v>957</v>
      </c>
      <c r="O3" s="4">
        <v>1</v>
      </c>
      <c r="P3" s="4">
        <v>1</v>
      </c>
      <c r="Q3" s="4">
        <v>1</v>
      </c>
      <c r="R3" s="4" t="s">
        <v>967</v>
      </c>
      <c r="S3" s="4" t="s">
        <v>965</v>
      </c>
      <c r="T3" s="4" t="s">
        <v>966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0.8</v>
      </c>
      <c r="AA3" s="4" t="s">
        <v>990</v>
      </c>
      <c r="AB3" s="4" t="s">
        <v>995</v>
      </c>
      <c r="AC3" s="4" t="s">
        <v>969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41</v>
      </c>
      <c r="AK3" s="4">
        <v>0</v>
      </c>
      <c r="AL3" s="4" t="s">
        <v>41</v>
      </c>
      <c r="AM3" s="4">
        <v>0</v>
      </c>
      <c r="AN3" s="4">
        <v>0</v>
      </c>
      <c r="AO3" s="4">
        <v>0</v>
      </c>
      <c r="AP3" s="4" t="s">
        <v>45</v>
      </c>
      <c r="AQ3" s="4">
        <v>0</v>
      </c>
      <c r="AR3" s="4" t="s">
        <v>1057</v>
      </c>
      <c r="AS3" s="4">
        <v>0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1</v>
      </c>
      <c r="BC3" s="4">
        <v>0</v>
      </c>
      <c r="BD3" s="4">
        <v>0</v>
      </c>
      <c r="BE3" s="4">
        <v>1</v>
      </c>
      <c r="BF3" s="4">
        <v>1</v>
      </c>
      <c r="BG3" s="39">
        <v>1</v>
      </c>
      <c r="BH3" s="39">
        <v>0.1</v>
      </c>
      <c r="BI3" s="39">
        <v>2.5000000000000001E-2</v>
      </c>
      <c r="BJ3" s="39" t="s">
        <v>1128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1155</v>
      </c>
      <c r="B4" s="39">
        <v>1</v>
      </c>
      <c r="C4" s="39">
        <v>1.25</v>
      </c>
      <c r="D4" s="39">
        <v>0</v>
      </c>
      <c r="E4" s="39">
        <v>11</v>
      </c>
      <c r="F4" s="39">
        <v>0</v>
      </c>
      <c r="G4" s="39">
        <v>0</v>
      </c>
      <c r="H4" s="40">
        <v>1</v>
      </c>
      <c r="I4" s="41">
        <v>1</v>
      </c>
      <c r="J4" s="39">
        <v>1.0900000000000001</v>
      </c>
      <c r="K4" s="39" t="s">
        <v>942</v>
      </c>
      <c r="L4" s="39">
        <v>0</v>
      </c>
      <c r="M4" s="39">
        <v>0</v>
      </c>
      <c r="N4" s="4" t="s">
        <v>957</v>
      </c>
      <c r="O4" s="4">
        <v>1</v>
      </c>
      <c r="P4" s="4">
        <v>1</v>
      </c>
      <c r="Q4" s="4">
        <v>1</v>
      </c>
      <c r="R4" s="4" t="s">
        <v>967</v>
      </c>
      <c r="S4" s="4" t="s">
        <v>965</v>
      </c>
      <c r="T4" s="4" t="s">
        <v>966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0.8</v>
      </c>
      <c r="AA4" s="4" t="s">
        <v>990</v>
      </c>
      <c r="AB4" s="4" t="s">
        <v>995</v>
      </c>
      <c r="AC4" s="4" t="s">
        <v>969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41</v>
      </c>
      <c r="AK4" s="4">
        <v>0</v>
      </c>
      <c r="AL4" s="4" t="s">
        <v>41</v>
      </c>
      <c r="AM4" s="4">
        <v>0</v>
      </c>
      <c r="AN4" s="4">
        <v>0</v>
      </c>
      <c r="AO4" s="4">
        <v>0</v>
      </c>
      <c r="AP4" s="4" t="s">
        <v>45</v>
      </c>
      <c r="AQ4" s="4">
        <v>0</v>
      </c>
      <c r="AR4" s="4" t="s">
        <v>1057</v>
      </c>
      <c r="AS4" s="4">
        <v>0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1</v>
      </c>
      <c r="BA4" s="4">
        <v>0</v>
      </c>
      <c r="BB4" s="4">
        <v>1</v>
      </c>
      <c r="BC4" s="4">
        <v>0</v>
      </c>
      <c r="BD4" s="4">
        <v>0</v>
      </c>
      <c r="BE4" s="4">
        <v>1</v>
      </c>
      <c r="BF4" s="4">
        <v>1</v>
      </c>
      <c r="BG4" s="39">
        <v>1</v>
      </c>
      <c r="BH4" s="39">
        <v>0.1</v>
      </c>
      <c r="BI4" s="39">
        <v>2.5000000000000001E-2</v>
      </c>
      <c r="BJ4" s="39" t="s">
        <v>1128</v>
      </c>
      <c r="BK4" s="39">
        <v>0</v>
      </c>
      <c r="BL4" s="39">
        <v>0</v>
      </c>
      <c r="BM4" s="39">
        <v>0</v>
      </c>
    </row>
    <row r="5" spans="1:65" s="16" customFormat="1" x14ac:dyDescent="0.25">
      <c r="A5" s="16" t="s">
        <v>1049</v>
      </c>
      <c r="B5" s="39">
        <v>0</v>
      </c>
      <c r="C5" s="39">
        <v>1.25</v>
      </c>
      <c r="D5" s="39">
        <v>0</v>
      </c>
      <c r="E5" s="39">
        <v>11</v>
      </c>
      <c r="F5" s="39">
        <v>0</v>
      </c>
      <c r="G5" s="39">
        <v>0</v>
      </c>
      <c r="H5" s="40">
        <v>1</v>
      </c>
      <c r="I5" s="41">
        <v>1</v>
      </c>
      <c r="J5" s="39">
        <v>1.0900000000000001</v>
      </c>
      <c r="K5" s="39" t="s">
        <v>942</v>
      </c>
      <c r="L5" s="39">
        <v>0</v>
      </c>
      <c r="M5" s="39">
        <v>0</v>
      </c>
      <c r="N5" s="4" t="s">
        <v>957</v>
      </c>
      <c r="O5" s="4">
        <v>1</v>
      </c>
      <c r="P5" s="4">
        <v>1</v>
      </c>
      <c r="Q5" s="4">
        <v>1</v>
      </c>
      <c r="R5" s="4" t="s">
        <v>967</v>
      </c>
      <c r="S5" s="4" t="s">
        <v>965</v>
      </c>
      <c r="T5" s="4" t="s">
        <v>966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0.8</v>
      </c>
      <c r="AA5" s="4" t="s">
        <v>990</v>
      </c>
      <c r="AB5" s="4" t="s">
        <v>995</v>
      </c>
      <c r="AC5" s="4" t="s">
        <v>969</v>
      </c>
      <c r="AD5" s="39">
        <v>0</v>
      </c>
      <c r="AE5" s="4" t="s">
        <v>45</v>
      </c>
      <c r="AF5" s="4" t="s">
        <v>45</v>
      </c>
      <c r="AG5" s="4" t="s">
        <v>45</v>
      </c>
      <c r="AH5" s="4" t="s">
        <v>45</v>
      </c>
      <c r="AI5" s="4">
        <v>1</v>
      </c>
      <c r="AJ5" s="4" t="s">
        <v>41</v>
      </c>
      <c r="AK5" s="4">
        <v>0</v>
      </c>
      <c r="AL5" s="4" t="s">
        <v>41</v>
      </c>
      <c r="AM5" s="4">
        <v>0</v>
      </c>
      <c r="AN5" s="4">
        <v>0</v>
      </c>
      <c r="AO5" s="4">
        <v>0</v>
      </c>
      <c r="AP5" s="4" t="s">
        <v>45</v>
      </c>
      <c r="AQ5" s="4">
        <v>0</v>
      </c>
      <c r="AR5" s="4" t="s">
        <v>1059</v>
      </c>
      <c r="AS5" s="4">
        <v>0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1</v>
      </c>
      <c r="BC5" s="4">
        <v>0</v>
      </c>
      <c r="BD5" s="4">
        <v>0</v>
      </c>
      <c r="BE5" s="4">
        <v>1</v>
      </c>
      <c r="BF5" s="4">
        <v>1</v>
      </c>
      <c r="BG5" s="39">
        <v>1</v>
      </c>
      <c r="BH5" s="39">
        <v>0</v>
      </c>
      <c r="BI5" s="39">
        <v>0</v>
      </c>
      <c r="BJ5" s="39" t="s">
        <v>1128</v>
      </c>
      <c r="BK5" s="39">
        <v>0</v>
      </c>
      <c r="BL5" s="39">
        <v>0</v>
      </c>
      <c r="BM5" s="39">
        <v>0</v>
      </c>
    </row>
    <row r="6" spans="1:65" s="16" customFormat="1" x14ac:dyDescent="0.25">
      <c r="A6" s="16" t="s">
        <v>1075</v>
      </c>
      <c r="B6" s="39">
        <v>1</v>
      </c>
      <c r="C6" s="39">
        <v>1.25</v>
      </c>
      <c r="D6" s="39">
        <v>1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942</v>
      </c>
      <c r="L6" s="39">
        <v>0</v>
      </c>
      <c r="M6" s="39">
        <v>0</v>
      </c>
      <c r="N6" s="4" t="s">
        <v>41</v>
      </c>
      <c r="O6" s="4">
        <v>1</v>
      </c>
      <c r="P6" s="4">
        <v>0</v>
      </c>
      <c r="Q6" s="4" t="s">
        <v>45</v>
      </c>
      <c r="R6" s="4" t="s">
        <v>45</v>
      </c>
      <c r="S6" s="4" t="s">
        <v>45</v>
      </c>
      <c r="T6" s="4" t="s">
        <v>45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990</v>
      </c>
      <c r="AB6" s="4" t="s">
        <v>995</v>
      </c>
      <c r="AC6" s="4" t="s">
        <v>969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1</v>
      </c>
      <c r="AR6" s="4" t="s">
        <v>685</v>
      </c>
      <c r="AS6" s="4">
        <v>0</v>
      </c>
      <c r="AT6" s="4">
        <v>1</v>
      </c>
      <c r="AU6" s="4">
        <v>1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2</v>
      </c>
      <c r="BG6" s="39">
        <v>1</v>
      </c>
      <c r="BH6" s="39">
        <v>0</v>
      </c>
      <c r="BI6" s="39">
        <v>0</v>
      </c>
      <c r="BJ6" s="39" t="s">
        <v>1128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1048</v>
      </c>
      <c r="B7" s="39">
        <v>1</v>
      </c>
      <c r="C7" s="39">
        <v>1.5</v>
      </c>
      <c r="D7" s="39">
        <v>1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942</v>
      </c>
      <c r="L7" s="39">
        <v>0</v>
      </c>
      <c r="M7" s="39">
        <v>0</v>
      </c>
      <c r="N7" s="4" t="s">
        <v>41</v>
      </c>
      <c r="O7" s="4">
        <v>1</v>
      </c>
      <c r="P7" s="4">
        <v>1</v>
      </c>
      <c r="Q7" s="4">
        <v>0.9</v>
      </c>
      <c r="R7" s="4" t="s">
        <v>967</v>
      </c>
      <c r="S7" s="4" t="s">
        <v>965</v>
      </c>
      <c r="T7" s="4" t="s">
        <v>966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1</v>
      </c>
      <c r="AA7" s="4" t="s">
        <v>990</v>
      </c>
      <c r="AB7" s="4" t="s">
        <v>995</v>
      </c>
      <c r="AC7" s="4" t="s">
        <v>969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2.5000000000000001E-2</v>
      </c>
      <c r="AO7" s="4">
        <v>0.1</v>
      </c>
      <c r="AP7" s="4" t="s">
        <v>45</v>
      </c>
      <c r="AQ7" s="4">
        <v>0</v>
      </c>
      <c r="AR7" s="4" t="s">
        <v>685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2</v>
      </c>
      <c r="BG7" s="39">
        <v>1</v>
      </c>
      <c r="BH7" s="39">
        <v>0</v>
      </c>
      <c r="BI7" s="39">
        <v>0</v>
      </c>
      <c r="BJ7" s="39" t="s">
        <v>1128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1156</v>
      </c>
      <c r="B8" s="39">
        <v>1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942</v>
      </c>
      <c r="L8" s="39">
        <v>0</v>
      </c>
      <c r="M8" s="39">
        <v>0</v>
      </c>
      <c r="N8" s="4" t="s">
        <v>41</v>
      </c>
      <c r="O8" s="4">
        <v>1</v>
      </c>
      <c r="P8" s="4">
        <v>1</v>
      </c>
      <c r="Q8" s="4">
        <v>1</v>
      </c>
      <c r="R8" s="4" t="s">
        <v>967</v>
      </c>
      <c r="S8" s="4" t="s">
        <v>965</v>
      </c>
      <c r="T8" s="4" t="s">
        <v>966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1</v>
      </c>
      <c r="AA8" s="4" t="s">
        <v>990</v>
      </c>
      <c r="AB8" s="4" t="s">
        <v>995</v>
      </c>
      <c r="AC8" s="4" t="s">
        <v>969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1</v>
      </c>
      <c r="AR8" s="4" t="s">
        <v>685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1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2</v>
      </c>
      <c r="BG8" s="39">
        <v>1</v>
      </c>
      <c r="BH8" s="39">
        <v>0.1</v>
      </c>
      <c r="BI8" s="39">
        <v>2.5000000000000001E-2</v>
      </c>
      <c r="BJ8" s="39" t="s">
        <v>1128</v>
      </c>
      <c r="BK8" s="39">
        <v>0</v>
      </c>
      <c r="BL8" s="39">
        <v>0</v>
      </c>
      <c r="BM8" s="39">
        <v>0</v>
      </c>
    </row>
    <row r="9" spans="1:65" x14ac:dyDescent="0.25">
      <c r="A9" t="s">
        <v>41</v>
      </c>
      <c r="B9" s="39">
        <v>0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942</v>
      </c>
      <c r="L9" s="39">
        <v>0</v>
      </c>
      <c r="M9" s="39">
        <v>0</v>
      </c>
      <c r="N9" s="4" t="s">
        <v>41</v>
      </c>
      <c r="O9" s="4">
        <v>1</v>
      </c>
      <c r="P9" s="4">
        <v>1</v>
      </c>
      <c r="Q9" s="4">
        <v>1</v>
      </c>
      <c r="R9" s="4" t="s">
        <v>967</v>
      </c>
      <c r="S9" s="4" t="s">
        <v>965</v>
      </c>
      <c r="T9" s="4" t="s">
        <v>966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1</v>
      </c>
      <c r="AA9" s="4" t="s">
        <v>990</v>
      </c>
      <c r="AB9" s="4" t="s">
        <v>995</v>
      </c>
      <c r="AC9" s="4" t="s">
        <v>969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1</v>
      </c>
      <c r="AR9" s="4" t="s">
        <v>685</v>
      </c>
      <c r="AS9" s="4">
        <v>0</v>
      </c>
      <c r="AT9" s="4">
        <v>0</v>
      </c>
      <c r="AU9" s="4">
        <v>0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1128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1101</v>
      </c>
      <c r="B10" s="39">
        <v>0</v>
      </c>
      <c r="C10" s="39">
        <v>1.25</v>
      </c>
      <c r="D10" s="39">
        <v>0</v>
      </c>
      <c r="E10" s="39">
        <v>1</v>
      </c>
      <c r="F10" s="39">
        <v>1</v>
      </c>
      <c r="G10" s="39">
        <v>0</v>
      </c>
      <c r="H10" s="40">
        <f>MAX(21.6,12,10,13.1)</f>
        <v>21.6</v>
      </c>
      <c r="I10" s="41">
        <f>MAX(0.54,1.5,1.5,0.86)</f>
        <v>1.5</v>
      </c>
      <c r="J10" s="39">
        <v>1.0900000000000001</v>
      </c>
      <c r="K10" s="42">
        <f>AVERAGE(0.13,0.106,0.134,0.129)</f>
        <v>0.12475</v>
      </c>
      <c r="L10" s="39">
        <v>0</v>
      </c>
      <c r="M10" s="39">
        <v>0</v>
      </c>
      <c r="N10" s="4" t="s">
        <v>55</v>
      </c>
      <c r="O10" s="4">
        <v>0</v>
      </c>
      <c r="P10" s="4">
        <v>0</v>
      </c>
      <c r="Q10" s="4" t="s">
        <v>45</v>
      </c>
      <c r="R10" s="4" t="s">
        <v>45</v>
      </c>
      <c r="S10" s="4" t="s">
        <v>45</v>
      </c>
      <c r="T10" s="4" t="s">
        <v>45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0.8</v>
      </c>
      <c r="AA10" s="4" t="s">
        <v>993</v>
      </c>
      <c r="AB10" s="4" t="s">
        <v>997</v>
      </c>
      <c r="AC10" s="4" t="s">
        <v>1108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1.2</v>
      </c>
      <c r="AJ10" s="4" t="s">
        <v>1016</v>
      </c>
      <c r="AK10" s="4">
        <v>0</v>
      </c>
      <c r="AL10" s="4" t="s">
        <v>1029</v>
      </c>
      <c r="AM10" s="4">
        <v>1</v>
      </c>
      <c r="AN10" s="4">
        <v>0.1</v>
      </c>
      <c r="AO10" s="4">
        <v>0.3</v>
      </c>
      <c r="AP10" s="4">
        <v>1</v>
      </c>
      <c r="AQ10" s="4">
        <v>0</v>
      </c>
      <c r="AR10" s="4" t="s">
        <v>1057</v>
      </c>
      <c r="AS10" s="4">
        <v>1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2</v>
      </c>
      <c r="BA10" s="4">
        <v>0</v>
      </c>
      <c r="BB10" s="4">
        <v>1</v>
      </c>
      <c r="BC10" s="4">
        <v>0</v>
      </c>
      <c r="BD10" s="4">
        <v>0</v>
      </c>
      <c r="BE10" s="4">
        <v>0</v>
      </c>
      <c r="BF10" s="4">
        <v>0</v>
      </c>
      <c r="BG10" s="39">
        <v>1</v>
      </c>
      <c r="BH10" s="39">
        <v>0.2</v>
      </c>
      <c r="BI10" s="39">
        <v>2.5000000000000001E-2</v>
      </c>
      <c r="BJ10" s="39" t="s">
        <v>1125</v>
      </c>
      <c r="BK10" s="39">
        <v>0</v>
      </c>
      <c r="BL10" s="39">
        <v>0</v>
      </c>
      <c r="BM10" s="39">
        <v>0</v>
      </c>
    </row>
    <row r="11" spans="1:65" x14ac:dyDescent="0.25">
      <c r="A11" t="s">
        <v>55</v>
      </c>
      <c r="B11" s="39">
        <v>0</v>
      </c>
      <c r="C11" s="39">
        <v>1.25</v>
      </c>
      <c r="D11" s="39">
        <v>0</v>
      </c>
      <c r="E11" s="39">
        <v>1</v>
      </c>
      <c r="F11" s="39">
        <v>1</v>
      </c>
      <c r="G11" s="39">
        <v>0</v>
      </c>
      <c r="H11" s="40">
        <f>MAX(21.6,12,10,13.1)</f>
        <v>21.6</v>
      </c>
      <c r="I11" s="41">
        <f>MAX(0.54,1.5,1.5,0.86)</f>
        <v>1.5</v>
      </c>
      <c r="J11" s="39">
        <v>1.0900000000000001</v>
      </c>
      <c r="K11" s="42">
        <f>AVERAGE(0.13,0.106,0.134,0.129)</f>
        <v>0.12475</v>
      </c>
      <c r="L11" s="39">
        <v>0</v>
      </c>
      <c r="M11" s="39">
        <v>0</v>
      </c>
      <c r="N11" s="4" t="s">
        <v>55</v>
      </c>
      <c r="O11" s="4">
        <v>0</v>
      </c>
      <c r="P11" s="4">
        <v>0</v>
      </c>
      <c r="Q11" s="4" t="s">
        <v>45</v>
      </c>
      <c r="R11" s="4" t="s">
        <v>45</v>
      </c>
      <c r="S11" s="4" t="s">
        <v>45</v>
      </c>
      <c r="T11" s="4" t="s">
        <v>45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993</v>
      </c>
      <c r="AB11" s="4" t="s">
        <v>997</v>
      </c>
      <c r="AC11" s="4" t="s">
        <v>1108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1.2</v>
      </c>
      <c r="AJ11" s="4" t="s">
        <v>1016</v>
      </c>
      <c r="AK11" s="4">
        <v>0</v>
      </c>
      <c r="AL11" s="4" t="s">
        <v>1029</v>
      </c>
      <c r="AM11" s="4">
        <v>1</v>
      </c>
      <c r="AN11" s="4">
        <v>0.1</v>
      </c>
      <c r="AO11" s="4">
        <v>0.3</v>
      </c>
      <c r="AP11" s="4">
        <v>1</v>
      </c>
      <c r="AQ11" s="4">
        <v>0</v>
      </c>
      <c r="AR11" s="4" t="s">
        <v>1057</v>
      </c>
      <c r="AS11" s="4">
        <v>1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0</v>
      </c>
      <c r="BF11" s="4">
        <v>0</v>
      </c>
      <c r="BG11" s="39">
        <v>1</v>
      </c>
      <c r="BH11" s="39">
        <v>0.2</v>
      </c>
      <c r="BI11" s="39">
        <v>2.5000000000000001E-2</v>
      </c>
      <c r="BJ11" s="39" t="s">
        <v>1125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1136</v>
      </c>
      <c r="B12" s="39">
        <v>1</v>
      </c>
      <c r="C12" s="39">
        <v>1.1000000000000001</v>
      </c>
      <c r="D12" s="39">
        <v>0</v>
      </c>
      <c r="E12" s="39">
        <v>1</v>
      </c>
      <c r="F12" s="39">
        <v>0</v>
      </c>
      <c r="G12" s="39">
        <v>2</v>
      </c>
      <c r="H12" s="40">
        <v>95</v>
      </c>
      <c r="I12" s="41">
        <f>H12/1000/AVERAGE(9.5,4.6)</f>
        <v>1.3475177304964539E-2</v>
      </c>
      <c r="J12" s="39">
        <v>1.2</v>
      </c>
      <c r="K12" s="39">
        <v>0.32</v>
      </c>
      <c r="L12" s="39">
        <v>1</v>
      </c>
      <c r="M12" s="39">
        <v>1</v>
      </c>
      <c r="N12" s="4" t="s">
        <v>951</v>
      </c>
      <c r="O12" s="4">
        <v>0</v>
      </c>
      <c r="P12" s="4">
        <v>0</v>
      </c>
      <c r="Q12" s="4" t="s">
        <v>45</v>
      </c>
      <c r="R12" s="4" t="s">
        <v>45</v>
      </c>
      <c r="S12" s="4" t="s">
        <v>45</v>
      </c>
      <c r="T12" s="4" t="s">
        <v>45</v>
      </c>
      <c r="U12" s="4">
        <v>3</v>
      </c>
      <c r="V12" s="4">
        <v>1.3</v>
      </c>
      <c r="W12" s="4" t="s">
        <v>1376</v>
      </c>
      <c r="X12" s="4" t="s">
        <v>986</v>
      </c>
      <c r="Y12" s="4" t="s">
        <v>1376</v>
      </c>
      <c r="Z12" s="4">
        <v>1.2</v>
      </c>
      <c r="AA12" s="4" t="s">
        <v>992</v>
      </c>
      <c r="AB12" s="4" t="s">
        <v>994</v>
      </c>
      <c r="AC12" s="4" t="s">
        <v>1108</v>
      </c>
      <c r="AD12" s="39">
        <v>1</v>
      </c>
      <c r="AE12" s="4">
        <v>1.1000000000000001</v>
      </c>
      <c r="AF12" s="4" t="s">
        <v>1381</v>
      </c>
      <c r="AG12" s="4" t="s">
        <v>1375</v>
      </c>
      <c r="AH12" s="4" t="s">
        <v>966</v>
      </c>
      <c r="AI12" s="4">
        <v>1</v>
      </c>
      <c r="AJ12" s="4" t="s">
        <v>1019</v>
      </c>
      <c r="AK12" s="4">
        <v>0</v>
      </c>
      <c r="AL12" s="4" t="s">
        <v>1374</v>
      </c>
      <c r="AM12" s="4">
        <v>0</v>
      </c>
      <c r="AN12" s="4">
        <v>1</v>
      </c>
      <c r="AO12" s="4">
        <v>1</v>
      </c>
      <c r="AP12" s="4" t="s">
        <v>45</v>
      </c>
      <c r="AQ12" s="4">
        <v>0</v>
      </c>
      <c r="AR12" s="4" t="s">
        <v>1057</v>
      </c>
      <c r="AS12" s="4">
        <v>1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2</v>
      </c>
      <c r="BA12" s="4">
        <v>0</v>
      </c>
      <c r="BB12" s="4">
        <v>0</v>
      </c>
      <c r="BC12" s="4">
        <v>1</v>
      </c>
      <c r="BD12" s="4">
        <v>0</v>
      </c>
      <c r="BE12" s="4">
        <v>0</v>
      </c>
      <c r="BF12" s="4">
        <v>0</v>
      </c>
      <c r="BG12" s="39">
        <v>0.25</v>
      </c>
      <c r="BH12" s="39">
        <v>0.1</v>
      </c>
      <c r="BI12" s="39">
        <v>2.5000000000000001E-2</v>
      </c>
      <c r="BJ12" s="39" t="s">
        <v>1127</v>
      </c>
      <c r="BK12" s="39">
        <v>1</v>
      </c>
      <c r="BL12" s="39">
        <v>0</v>
      </c>
      <c r="BM12" s="39">
        <v>0</v>
      </c>
    </row>
    <row r="13" spans="1:65" s="16" customFormat="1" x14ac:dyDescent="0.25">
      <c r="A13" s="16" t="s">
        <v>1386</v>
      </c>
      <c r="B13" s="39">
        <v>1</v>
      </c>
      <c r="C13" s="39">
        <v>1.1000000000000001</v>
      </c>
      <c r="D13" s="39">
        <v>0</v>
      </c>
      <c r="E13" s="39">
        <v>1</v>
      </c>
      <c r="F13" s="39">
        <v>0</v>
      </c>
      <c r="G13" s="39">
        <v>2</v>
      </c>
      <c r="H13" s="40">
        <v>95</v>
      </c>
      <c r="I13" s="41">
        <f>H13/1000/AVERAGE(9.5,4.6)</f>
        <v>1.3475177304964539E-2</v>
      </c>
      <c r="J13" s="39">
        <v>1.2</v>
      </c>
      <c r="K13" s="39">
        <v>0.32</v>
      </c>
      <c r="L13" s="39">
        <v>1</v>
      </c>
      <c r="M13" s="39">
        <v>1</v>
      </c>
      <c r="N13" s="4" t="s">
        <v>951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>
        <v>3</v>
      </c>
      <c r="V13" s="4">
        <v>1.3</v>
      </c>
      <c r="W13" s="4" t="s">
        <v>1376</v>
      </c>
      <c r="X13" s="4" t="s">
        <v>986</v>
      </c>
      <c r="Y13" s="4" t="s">
        <v>1385</v>
      </c>
      <c r="Z13" s="4">
        <v>1.2</v>
      </c>
      <c r="AA13" s="4" t="s">
        <v>992</v>
      </c>
      <c r="AB13" s="4" t="s">
        <v>994</v>
      </c>
      <c r="AC13" s="4" t="s">
        <v>1108</v>
      </c>
      <c r="AD13" s="39">
        <v>1</v>
      </c>
      <c r="AE13" s="4">
        <v>1.1000000000000001</v>
      </c>
      <c r="AF13" s="4" t="s">
        <v>1381</v>
      </c>
      <c r="AG13" s="4" t="s">
        <v>1375</v>
      </c>
      <c r="AH13" s="4" t="s">
        <v>966</v>
      </c>
      <c r="AI13" s="4">
        <v>1</v>
      </c>
      <c r="AJ13" s="4" t="s">
        <v>1019</v>
      </c>
      <c r="AK13" s="4">
        <v>0</v>
      </c>
      <c r="AL13" s="4" t="s">
        <v>1374</v>
      </c>
      <c r="AM13" s="4">
        <v>0</v>
      </c>
      <c r="AN13" s="4">
        <v>1</v>
      </c>
      <c r="AO13" s="4">
        <v>1</v>
      </c>
      <c r="AP13" s="4" t="s">
        <v>45</v>
      </c>
      <c r="AQ13" s="4">
        <v>0</v>
      </c>
      <c r="AR13" s="4" t="s">
        <v>1057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2</v>
      </c>
      <c r="BA13" s="4">
        <v>0</v>
      </c>
      <c r="BB13" s="4">
        <v>0</v>
      </c>
      <c r="BC13" s="4">
        <v>1</v>
      </c>
      <c r="BD13" s="4">
        <v>0</v>
      </c>
      <c r="BE13" s="4">
        <v>0</v>
      </c>
      <c r="BF13" s="4">
        <v>0</v>
      </c>
      <c r="BG13" s="39">
        <v>0.25</v>
      </c>
      <c r="BH13" s="39">
        <v>0.1</v>
      </c>
      <c r="BI13" s="39">
        <v>2.5000000000000001E-2</v>
      </c>
      <c r="BJ13" s="39" t="s">
        <v>1127</v>
      </c>
      <c r="BK13" s="39">
        <v>1</v>
      </c>
      <c r="BL13" s="39">
        <v>0</v>
      </c>
      <c r="BM13" s="39">
        <v>0</v>
      </c>
    </row>
    <row r="14" spans="1:65" x14ac:dyDescent="0.25">
      <c r="A14" t="s">
        <v>431</v>
      </c>
      <c r="B14" s="39">
        <v>1</v>
      </c>
      <c r="C14" s="39">
        <v>1.1000000000000001</v>
      </c>
      <c r="D14" s="39">
        <v>0</v>
      </c>
      <c r="E14" s="39">
        <v>1</v>
      </c>
      <c r="F14" s="39">
        <v>0</v>
      </c>
      <c r="G14" s="39">
        <v>2</v>
      </c>
      <c r="H14" s="40">
        <v>95</v>
      </c>
      <c r="I14" s="41">
        <f>H14/1000/AVERAGE(9.5,4.6)</f>
        <v>1.3475177304964539E-2</v>
      </c>
      <c r="J14" s="39">
        <v>1.2</v>
      </c>
      <c r="K14" s="39">
        <v>0.32</v>
      </c>
      <c r="L14" s="39">
        <v>1</v>
      </c>
      <c r="M14" s="39">
        <v>1</v>
      </c>
      <c r="N14" s="4" t="s">
        <v>951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1.2</v>
      </c>
      <c r="AA14" s="4" t="s">
        <v>992</v>
      </c>
      <c r="AB14" s="4" t="s">
        <v>994</v>
      </c>
      <c r="AC14" s="4" t="s">
        <v>1108</v>
      </c>
      <c r="AD14" s="39">
        <v>1</v>
      </c>
      <c r="AE14" s="4">
        <v>1.1000000000000001</v>
      </c>
      <c r="AF14" s="4" t="s">
        <v>1010</v>
      </c>
      <c r="AG14" s="4" t="s">
        <v>1012</v>
      </c>
      <c r="AH14" s="4" t="s">
        <v>966</v>
      </c>
      <c r="AI14" s="4">
        <v>1</v>
      </c>
      <c r="AJ14" s="4" t="s">
        <v>1019</v>
      </c>
      <c r="AK14" s="4">
        <v>0</v>
      </c>
      <c r="AL14" s="4" t="s">
        <v>1134</v>
      </c>
      <c r="AM14" s="4">
        <v>0</v>
      </c>
      <c r="AN14" s="4">
        <v>1</v>
      </c>
      <c r="AO14" s="4">
        <v>1</v>
      </c>
      <c r="AP14" s="4" t="s">
        <v>45</v>
      </c>
      <c r="AQ14" s="4">
        <v>0</v>
      </c>
      <c r="AR14" s="4" t="s">
        <v>1057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2</v>
      </c>
      <c r="BA14" s="4">
        <v>0</v>
      </c>
      <c r="BB14" s="4">
        <v>0</v>
      </c>
      <c r="BC14" s="4">
        <v>1</v>
      </c>
      <c r="BD14" s="4">
        <v>0</v>
      </c>
      <c r="BE14" s="4">
        <v>0</v>
      </c>
      <c r="BF14" s="4">
        <v>0</v>
      </c>
      <c r="BG14" s="39">
        <v>0.25</v>
      </c>
      <c r="BH14" s="39">
        <v>0.1</v>
      </c>
      <c r="BI14" s="39">
        <v>2.5000000000000001E-2</v>
      </c>
      <c r="BJ14" s="39" t="s">
        <v>1127</v>
      </c>
      <c r="BK14" s="39">
        <v>1</v>
      </c>
      <c r="BL14" s="39">
        <v>0</v>
      </c>
      <c r="BM14" s="39">
        <v>0</v>
      </c>
    </row>
    <row r="15" spans="1:65" x14ac:dyDescent="0.25">
      <c r="A15" t="s">
        <v>430</v>
      </c>
      <c r="B15" s="39">
        <v>0</v>
      </c>
      <c r="C15" s="39">
        <v>1.5</v>
      </c>
      <c r="D15" s="39">
        <v>1</v>
      </c>
      <c r="E15" s="39">
        <v>1</v>
      </c>
      <c r="F15" s="39">
        <v>0</v>
      </c>
      <c r="G15" s="39">
        <v>0</v>
      </c>
      <c r="H15" s="40">
        <v>32</v>
      </c>
      <c r="I15" s="41">
        <f>H15/1000/13</f>
        <v>2.4615384615384616E-3</v>
      </c>
      <c r="J15" s="39">
        <v>1.9</v>
      </c>
      <c r="K15" s="39">
        <v>0.32</v>
      </c>
      <c r="L15" s="39">
        <v>1</v>
      </c>
      <c r="M15" s="39">
        <v>1</v>
      </c>
      <c r="N15" s="4" t="s">
        <v>45</v>
      </c>
      <c r="O15" s="4">
        <v>1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 t="s">
        <v>45</v>
      </c>
      <c r="AA15" s="4" t="s">
        <v>45</v>
      </c>
      <c r="AB15" s="4" t="s">
        <v>45</v>
      </c>
      <c r="AC15" s="4" t="s">
        <v>45</v>
      </c>
      <c r="AD15" s="39">
        <v>1</v>
      </c>
      <c r="AE15" s="4">
        <v>1.1000000000000001</v>
      </c>
      <c r="AF15" s="4" t="s">
        <v>1009</v>
      </c>
      <c r="AG15" s="4" t="s">
        <v>1013</v>
      </c>
      <c r="AH15" s="4" t="s">
        <v>966</v>
      </c>
      <c r="AI15" s="4">
        <v>1</v>
      </c>
      <c r="AJ15" s="4" t="s">
        <v>1019</v>
      </c>
      <c r="AK15" s="4">
        <v>0</v>
      </c>
      <c r="AL15" s="4" t="s">
        <v>430</v>
      </c>
      <c r="AM15" s="4">
        <v>0</v>
      </c>
      <c r="AN15" s="4">
        <v>0</v>
      </c>
      <c r="AO15" s="4">
        <v>0</v>
      </c>
      <c r="AP15" s="4" t="s">
        <v>45</v>
      </c>
      <c r="AQ15" s="4">
        <v>0</v>
      </c>
      <c r="AR15" s="4" t="s">
        <v>685</v>
      </c>
      <c r="AS15" s="4">
        <v>0</v>
      </c>
      <c r="AT15" s="4">
        <v>0</v>
      </c>
      <c r="AU15" s="4">
        <v>1</v>
      </c>
      <c r="AV15" s="4" t="s">
        <v>45</v>
      </c>
      <c r="AW15" s="4">
        <v>0</v>
      </c>
      <c r="AX15" s="4">
        <v>0</v>
      </c>
      <c r="AY15" s="4">
        <v>0</v>
      </c>
      <c r="AZ15" s="4">
        <v>1</v>
      </c>
      <c r="BA15" s="4">
        <v>0</v>
      </c>
      <c r="BB15" s="4">
        <v>0</v>
      </c>
      <c r="BC15" s="4">
        <v>1</v>
      </c>
      <c r="BD15" s="4">
        <v>0</v>
      </c>
      <c r="BE15" s="4">
        <v>0</v>
      </c>
      <c r="BF15" s="4">
        <v>1</v>
      </c>
      <c r="BG15" s="39">
        <v>0.25</v>
      </c>
      <c r="BH15" s="39">
        <v>0</v>
      </c>
      <c r="BI15" s="39">
        <v>0</v>
      </c>
      <c r="BJ15" s="39" t="s">
        <v>1127</v>
      </c>
      <c r="BK15" s="39">
        <v>0</v>
      </c>
      <c r="BL15" s="39">
        <v>0</v>
      </c>
      <c r="BM15" s="39">
        <v>0</v>
      </c>
    </row>
    <row r="16" spans="1:65" x14ac:dyDescent="0.25">
      <c r="A16" t="s">
        <v>195</v>
      </c>
      <c r="B16" s="39">
        <v>2</v>
      </c>
      <c r="C16" s="39">
        <v>1.1000000000000001</v>
      </c>
      <c r="D16" s="39">
        <v>0</v>
      </c>
      <c r="E16" s="39">
        <v>1</v>
      </c>
      <c r="F16" s="39">
        <v>0</v>
      </c>
      <c r="G16" s="39">
        <v>0</v>
      </c>
      <c r="H16" s="40">
        <f>AVERAGE(65.2,57.2,43.4)</f>
        <v>55.266666666666673</v>
      </c>
      <c r="I16" s="41">
        <f>AVERAGE(31.29%,20.98%,15.21%)</f>
        <v>0.22493333333333335</v>
      </c>
      <c r="J16" s="39">
        <v>1.86</v>
      </c>
      <c r="K16" s="39">
        <v>0.2</v>
      </c>
      <c r="L16" s="39">
        <v>1</v>
      </c>
      <c r="M16" s="39">
        <v>0</v>
      </c>
      <c r="N16" s="4" t="s">
        <v>468</v>
      </c>
      <c r="O16" s="4">
        <v>0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>
        <v>0.95</v>
      </c>
      <c r="AA16" s="4" t="s">
        <v>993</v>
      </c>
      <c r="AB16" s="4" t="s">
        <v>996</v>
      </c>
      <c r="AC16" s="4" t="s">
        <v>1108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1.2</v>
      </c>
      <c r="AJ16" s="4" t="s">
        <v>1017</v>
      </c>
      <c r="AK16" s="4">
        <v>0</v>
      </c>
      <c r="AL16" s="4" t="s">
        <v>1038</v>
      </c>
      <c r="AM16" s="4">
        <v>0</v>
      </c>
      <c r="AN16" s="4">
        <v>0.1</v>
      </c>
      <c r="AO16" s="4">
        <v>0.3</v>
      </c>
      <c r="AP16" s="4" t="s">
        <v>45</v>
      </c>
      <c r="AQ16" s="4">
        <v>0</v>
      </c>
      <c r="AR16" s="4" t="s">
        <v>685</v>
      </c>
      <c r="AS16" s="4">
        <v>1</v>
      </c>
      <c r="AT16" s="4">
        <v>1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2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1</v>
      </c>
      <c r="BG16" s="39">
        <v>0.25</v>
      </c>
      <c r="BH16" s="39">
        <v>0.1</v>
      </c>
      <c r="BI16" s="39">
        <v>2.5000000000000001E-2</v>
      </c>
      <c r="BJ16" s="39" t="s">
        <v>1127</v>
      </c>
      <c r="BK16" s="39">
        <v>0</v>
      </c>
      <c r="BL16" s="39">
        <v>0</v>
      </c>
      <c r="BM16" s="39">
        <v>0</v>
      </c>
    </row>
    <row r="17" spans="1:65" s="16" customFormat="1" x14ac:dyDescent="0.25">
      <c r="A17" s="16" t="s">
        <v>1345</v>
      </c>
      <c r="B17" s="39">
        <v>2</v>
      </c>
      <c r="C17" s="4" t="s">
        <v>1228</v>
      </c>
      <c r="D17" s="39">
        <v>0</v>
      </c>
      <c r="E17" s="39">
        <v>1</v>
      </c>
      <c r="F17" s="39">
        <v>0</v>
      </c>
      <c r="G17" s="39">
        <v>0</v>
      </c>
      <c r="H17" s="40">
        <f>AVERAGE(65.2,57.2,43.4)</f>
        <v>55.266666666666673</v>
      </c>
      <c r="I17" s="41">
        <f>AVERAGE(31.29%,20.98%,15.21%)</f>
        <v>0.22493333333333335</v>
      </c>
      <c r="J17" s="39">
        <v>1.86</v>
      </c>
      <c r="K17" s="39">
        <v>0.2</v>
      </c>
      <c r="L17" s="39">
        <v>1</v>
      </c>
      <c r="M17" s="39">
        <v>0</v>
      </c>
      <c r="N17" s="4" t="s">
        <v>468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0.95</v>
      </c>
      <c r="AA17" s="4" t="s">
        <v>993</v>
      </c>
      <c r="AB17" s="4" t="s">
        <v>996</v>
      </c>
      <c r="AC17" s="4" t="s">
        <v>1108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1.2</v>
      </c>
      <c r="AJ17" s="4" t="s">
        <v>1017</v>
      </c>
      <c r="AK17" s="4">
        <v>0</v>
      </c>
      <c r="AL17" s="4" t="s">
        <v>1038</v>
      </c>
      <c r="AM17" s="4">
        <v>0</v>
      </c>
      <c r="AN17" s="4">
        <v>0.1</v>
      </c>
      <c r="AO17" s="4">
        <v>0.3</v>
      </c>
      <c r="AP17" s="4" t="s">
        <v>45</v>
      </c>
      <c r="AQ17" s="4">
        <v>0</v>
      </c>
      <c r="AR17" s="4" t="s">
        <v>685</v>
      </c>
      <c r="AS17" s="4">
        <v>1</v>
      </c>
      <c r="AT17" s="4">
        <v>1</v>
      </c>
      <c r="AU17" s="4">
        <v>1</v>
      </c>
      <c r="AV17" s="4" t="s">
        <v>45</v>
      </c>
      <c r="AW17" s="4">
        <v>0</v>
      </c>
      <c r="AX17" s="4">
        <v>0</v>
      </c>
      <c r="AY17" s="4">
        <v>0</v>
      </c>
      <c r="AZ17" s="4">
        <v>2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1</v>
      </c>
      <c r="BG17" s="39">
        <v>0.25</v>
      </c>
      <c r="BH17" s="39">
        <v>0.1</v>
      </c>
      <c r="BI17" s="39">
        <v>2.5000000000000001E-2</v>
      </c>
      <c r="BJ17" s="39" t="s">
        <v>1127</v>
      </c>
      <c r="BK17" s="39">
        <v>0</v>
      </c>
      <c r="BL17" s="39">
        <v>0</v>
      </c>
      <c r="BM17" s="39">
        <v>0</v>
      </c>
    </row>
    <row r="18" spans="1:65" x14ac:dyDescent="0.25">
      <c r="A18" t="s">
        <v>72</v>
      </c>
      <c r="B18" s="39">
        <v>2</v>
      </c>
      <c r="C18" s="39">
        <v>1</v>
      </c>
      <c r="D18" s="39">
        <v>0</v>
      </c>
      <c r="E18" s="39">
        <v>5</v>
      </c>
      <c r="F18" s="39">
        <v>0</v>
      </c>
      <c r="G18" s="39">
        <v>0</v>
      </c>
      <c r="H18" s="40">
        <f>AVERAGE(21.6,12,10,13.1)</f>
        <v>14.175000000000001</v>
      </c>
      <c r="I18" s="41">
        <f>AVERAGE(0.54,1.5,1.5,0.86)</f>
        <v>1.1000000000000001</v>
      </c>
      <c r="J18" s="39">
        <v>1.0900000000000001</v>
      </c>
      <c r="K18" s="42">
        <v>0.08</v>
      </c>
      <c r="L18" s="39">
        <v>0</v>
      </c>
      <c r="M18" s="39">
        <v>0</v>
      </c>
      <c r="N18" s="4" t="s">
        <v>45</v>
      </c>
      <c r="O18" s="4">
        <v>0</v>
      </c>
      <c r="P18" s="4">
        <v>1</v>
      </c>
      <c r="Q18" s="4">
        <v>0.9</v>
      </c>
      <c r="R18" s="4" t="s">
        <v>968</v>
      </c>
      <c r="S18" s="4" t="s">
        <v>970</v>
      </c>
      <c r="T18" s="4" t="s">
        <v>969</v>
      </c>
      <c r="U18" s="4">
        <v>3</v>
      </c>
      <c r="V18" s="4">
        <v>0.7</v>
      </c>
      <c r="W18" s="4" t="s">
        <v>981</v>
      </c>
      <c r="X18" s="4" t="s">
        <v>982</v>
      </c>
      <c r="Y18" s="4" t="s">
        <v>966</v>
      </c>
      <c r="Z18" s="4" t="s">
        <v>45</v>
      </c>
      <c r="AA18" s="4" t="s">
        <v>45</v>
      </c>
      <c r="AB18" s="4" t="s">
        <v>45</v>
      </c>
      <c r="AC18" s="4" t="s">
        <v>45</v>
      </c>
      <c r="AD18" s="39">
        <v>0</v>
      </c>
      <c r="AE18" s="4" t="s">
        <v>45</v>
      </c>
      <c r="AF18" s="4" t="s">
        <v>45</v>
      </c>
      <c r="AG18" s="4" t="s">
        <v>45</v>
      </c>
      <c r="AH18" s="4" t="s">
        <v>45</v>
      </c>
      <c r="AI18" s="4">
        <v>1</v>
      </c>
      <c r="AJ18" s="4" t="s">
        <v>1016</v>
      </c>
      <c r="AK18" s="4">
        <v>1</v>
      </c>
      <c r="AL18" s="4" t="s">
        <v>1035</v>
      </c>
      <c r="AM18" s="4">
        <v>0</v>
      </c>
      <c r="AN18" s="4">
        <v>2.5000000000000001E-2</v>
      </c>
      <c r="AO18" s="4">
        <v>0.3</v>
      </c>
      <c r="AP18" s="4" t="s">
        <v>45</v>
      </c>
      <c r="AQ18" s="4">
        <v>0</v>
      </c>
      <c r="AR18" s="4" t="s">
        <v>1057</v>
      </c>
      <c r="AS18" s="4">
        <v>0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1</v>
      </c>
      <c r="BD18" s="4">
        <v>0</v>
      </c>
      <c r="BE18" s="4">
        <v>0</v>
      </c>
      <c r="BF18" s="4">
        <v>0</v>
      </c>
      <c r="BG18" s="39">
        <v>0.25</v>
      </c>
      <c r="BH18" s="39">
        <v>0.1</v>
      </c>
      <c r="BI18" s="39">
        <v>0.05</v>
      </c>
      <c r="BJ18" s="39" t="s">
        <v>1125</v>
      </c>
      <c r="BK18" s="39">
        <v>0</v>
      </c>
      <c r="BL18" s="39">
        <v>0</v>
      </c>
      <c r="BM18" s="39">
        <v>0</v>
      </c>
    </row>
    <row r="19" spans="1:65" x14ac:dyDescent="0.25">
      <c r="A19" t="s">
        <v>75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MAX(21.6,12,10,13.1)</f>
        <v>21.6</v>
      </c>
      <c r="I19" s="41">
        <f>MAX(0.54,1.5,1.5,0.86)</f>
        <v>1.5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75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993</v>
      </c>
      <c r="AB19" s="4" t="s">
        <v>997</v>
      </c>
      <c r="AC19" s="4" t="s">
        <v>1108</v>
      </c>
      <c r="AD19" s="39">
        <v>1</v>
      </c>
      <c r="AE19" s="4">
        <v>0.65</v>
      </c>
      <c r="AF19" s="4" t="s">
        <v>1007</v>
      </c>
      <c r="AG19" s="4" t="s">
        <v>1013</v>
      </c>
      <c r="AH19" s="4" t="s">
        <v>966</v>
      </c>
      <c r="AI19" s="4">
        <v>1.2</v>
      </c>
      <c r="AJ19" s="4" t="s">
        <v>1016</v>
      </c>
      <c r="AK19" s="4">
        <v>0</v>
      </c>
      <c r="AL19" s="4" t="s">
        <v>1029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1059</v>
      </c>
      <c r="AS19" s="4">
        <v>1</v>
      </c>
      <c r="AT19" s="4">
        <v>0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1125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1074</v>
      </c>
      <c r="B20" s="39">
        <v>2</v>
      </c>
      <c r="C20" s="39">
        <v>1.25</v>
      </c>
      <c r="D20" s="39">
        <v>0</v>
      </c>
      <c r="E20" s="39">
        <v>1</v>
      </c>
      <c r="F20" s="39">
        <v>1</v>
      </c>
      <c r="G20" s="39">
        <v>1</v>
      </c>
      <c r="H20" s="40">
        <f>MAX(21.6,12,10,13.1)</f>
        <v>21.6</v>
      </c>
      <c r="I20" s="41">
        <f>MAX(0.54,1.5,1.5,0.86)</f>
        <v>1.5</v>
      </c>
      <c r="J20" s="39">
        <v>1.0900000000000001</v>
      </c>
      <c r="K20" s="42">
        <f>AVERAGE(0.13,0.106,0.134,0.129)</f>
        <v>0.12475</v>
      </c>
      <c r="L20" s="39">
        <v>0</v>
      </c>
      <c r="M20" s="39">
        <v>0</v>
      </c>
      <c r="N20" s="4" t="s">
        <v>75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0.7</v>
      </c>
      <c r="AA20" s="4" t="s">
        <v>993</v>
      </c>
      <c r="AB20" s="4" t="s">
        <v>997</v>
      </c>
      <c r="AC20" s="4" t="s">
        <v>1108</v>
      </c>
      <c r="AD20" s="39">
        <v>1</v>
      </c>
      <c r="AE20" s="4">
        <v>0.65</v>
      </c>
      <c r="AF20" s="4" t="s">
        <v>1007</v>
      </c>
      <c r="AG20" s="4" t="s">
        <v>1013</v>
      </c>
      <c r="AH20" s="4" t="s">
        <v>966</v>
      </c>
      <c r="AI20" s="4">
        <v>1.2</v>
      </c>
      <c r="AJ20" s="4" t="s">
        <v>1016</v>
      </c>
      <c r="AK20" s="4">
        <v>0</v>
      </c>
      <c r="AL20" s="4" t="s">
        <v>1029</v>
      </c>
      <c r="AM20" s="4">
        <v>1</v>
      </c>
      <c r="AN20" s="4">
        <v>0.1</v>
      </c>
      <c r="AO20" s="4">
        <v>0.3</v>
      </c>
      <c r="AP20" s="4">
        <v>1</v>
      </c>
      <c r="AQ20" s="4">
        <v>0</v>
      </c>
      <c r="AR20" s="4" t="s">
        <v>1059</v>
      </c>
      <c r="AS20" s="4">
        <v>1</v>
      </c>
      <c r="AT20" s="4">
        <v>1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0</v>
      </c>
      <c r="BG20" s="39">
        <v>1.25</v>
      </c>
      <c r="BH20" s="39">
        <v>0.25</v>
      </c>
      <c r="BI20" s="39">
        <v>2.5000000000000001E-2</v>
      </c>
      <c r="BJ20" s="39" t="s">
        <v>1125</v>
      </c>
      <c r="BK20" s="39">
        <v>0</v>
      </c>
      <c r="BL20" s="39">
        <v>0</v>
      </c>
      <c r="BM20" s="39">
        <v>0</v>
      </c>
    </row>
    <row r="21" spans="1:65" s="16" customFormat="1" x14ac:dyDescent="0.25">
      <c r="A21" s="16" t="s">
        <v>1371</v>
      </c>
      <c r="B21" s="39">
        <v>2</v>
      </c>
      <c r="C21" s="39">
        <v>1.25</v>
      </c>
      <c r="D21" s="39">
        <v>0</v>
      </c>
      <c r="E21" s="39">
        <v>1</v>
      </c>
      <c r="F21" s="39">
        <v>1</v>
      </c>
      <c r="G21" s="39">
        <v>1</v>
      </c>
      <c r="H21" s="40">
        <f>MAX(21.6,12,10,13.1)</f>
        <v>21.6</v>
      </c>
      <c r="I21" s="41">
        <f>MAX(0.54,1.5,1.5,0.86)</f>
        <v>1.5</v>
      </c>
      <c r="J21" s="39">
        <v>1.0900000000000001</v>
      </c>
      <c r="K21" s="42">
        <f>AVERAGE(0.13,0.106,0.134,0.129)</f>
        <v>0.12475</v>
      </c>
      <c r="L21" s="39">
        <v>0</v>
      </c>
      <c r="M21" s="39">
        <v>0</v>
      </c>
      <c r="N21" s="4" t="s">
        <v>75</v>
      </c>
      <c r="O21" s="4">
        <v>0</v>
      </c>
      <c r="P21" s="4">
        <v>0</v>
      </c>
      <c r="Q21" s="4" t="s">
        <v>45</v>
      </c>
      <c r="R21" s="4" t="s">
        <v>45</v>
      </c>
      <c r="S21" s="4" t="s">
        <v>45</v>
      </c>
      <c r="T21" s="4" t="s">
        <v>45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0.7</v>
      </c>
      <c r="AA21" s="4" t="s">
        <v>993</v>
      </c>
      <c r="AB21" s="4" t="s">
        <v>997</v>
      </c>
      <c r="AC21" s="4" t="s">
        <v>1373</v>
      </c>
      <c r="AD21" s="39">
        <v>1</v>
      </c>
      <c r="AE21" s="4">
        <v>0.65</v>
      </c>
      <c r="AF21" s="4" t="s">
        <v>1007</v>
      </c>
      <c r="AG21" s="4" t="s">
        <v>1013</v>
      </c>
      <c r="AH21" s="4" t="s">
        <v>1372</v>
      </c>
      <c r="AI21" s="4">
        <v>1.2</v>
      </c>
      <c r="AJ21" s="4" t="s">
        <v>1016</v>
      </c>
      <c r="AK21" s="4">
        <v>0</v>
      </c>
      <c r="AL21" s="4" t="s">
        <v>1029</v>
      </c>
      <c r="AM21" s="4">
        <v>1</v>
      </c>
      <c r="AN21" s="4">
        <v>0.1</v>
      </c>
      <c r="AO21" s="4">
        <v>0.3</v>
      </c>
      <c r="AP21" s="4">
        <v>1</v>
      </c>
      <c r="AQ21" s="4">
        <v>0</v>
      </c>
      <c r="AR21" s="4" t="s">
        <v>1059</v>
      </c>
      <c r="AS21" s="4">
        <v>1</v>
      </c>
      <c r="AT21" s="4">
        <v>0</v>
      </c>
      <c r="AU21" s="4">
        <v>0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1</v>
      </c>
      <c r="BC21" s="4">
        <v>0</v>
      </c>
      <c r="BD21" s="4">
        <v>0</v>
      </c>
      <c r="BE21" s="4">
        <v>0</v>
      </c>
      <c r="BF21" s="4">
        <v>0</v>
      </c>
      <c r="BG21" s="39">
        <v>1.25</v>
      </c>
      <c r="BH21" s="39">
        <v>0.25</v>
      </c>
      <c r="BI21" s="39">
        <v>2.5000000000000001E-2</v>
      </c>
      <c r="BJ21" s="39" t="s">
        <v>1125</v>
      </c>
      <c r="BK21" s="39">
        <v>0</v>
      </c>
      <c r="BL21" s="39">
        <v>0</v>
      </c>
      <c r="BM21" s="39">
        <v>0</v>
      </c>
    </row>
    <row r="22" spans="1:65" x14ac:dyDescent="0.25">
      <c r="A22" t="s">
        <v>291</v>
      </c>
      <c r="B22" s="39">
        <v>0</v>
      </c>
      <c r="C22" s="39">
        <v>1</v>
      </c>
      <c r="D22" s="39">
        <v>1</v>
      </c>
      <c r="E22" s="39">
        <v>1</v>
      </c>
      <c r="F22" s="39">
        <v>0</v>
      </c>
      <c r="G22" s="39">
        <v>0</v>
      </c>
      <c r="H22" s="40">
        <f>AVERAGE(AVERAGE(14.84,16.45,15.67,11.41,11.56,11.45),11.5)</f>
        <v>12.531666666666666</v>
      </c>
      <c r="I22" s="41">
        <f>AVERAGE(63%,61.11%,59.19%,126.33%,114.23%,101.98%)</f>
        <v>0.87639999999999996</v>
      </c>
      <c r="J22" s="39">
        <v>1.0900000000000001</v>
      </c>
      <c r="K22" s="39" t="s">
        <v>942</v>
      </c>
      <c r="L22" s="39">
        <v>0</v>
      </c>
      <c r="M22" s="39">
        <v>0</v>
      </c>
      <c r="N22" s="4" t="s">
        <v>956</v>
      </c>
      <c r="O22" s="4">
        <v>1</v>
      </c>
      <c r="P22" s="4">
        <v>0</v>
      </c>
      <c r="Q22" s="4" t="s">
        <v>45</v>
      </c>
      <c r="R22" s="4" t="s">
        <v>45</v>
      </c>
      <c r="S22" s="4" t="s">
        <v>45</v>
      </c>
      <c r="T22" s="4" t="s">
        <v>45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993</v>
      </c>
      <c r="AB22" s="4" t="s">
        <v>996</v>
      </c>
      <c r="AC22" s="4" t="s">
        <v>1108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1018</v>
      </c>
      <c r="AK22" s="4">
        <v>0</v>
      </c>
      <c r="AL22" s="4" t="s">
        <v>1027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685</v>
      </c>
      <c r="AS22" s="4">
        <v>1</v>
      </c>
      <c r="AT22" s="4">
        <v>1</v>
      </c>
      <c r="AU22" s="4">
        <v>1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1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39">
        <v>0.5</v>
      </c>
      <c r="BH22" s="39">
        <v>0</v>
      </c>
      <c r="BI22" s="39">
        <v>0</v>
      </c>
      <c r="BJ22" s="39" t="s">
        <v>1127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1045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AVERAGE(21.6,12,10,13.1)</f>
        <v>14.175000000000001</v>
      </c>
      <c r="I23" s="41">
        <f>AVERAGE(0.54,1.5,1.5,0.86)</f>
        <v>1.1000000000000001</v>
      </c>
      <c r="J23" s="39">
        <v>1.0900000000000001</v>
      </c>
      <c r="K23" s="39" t="s">
        <v>942</v>
      </c>
      <c r="L23" s="39">
        <v>0</v>
      </c>
      <c r="M23" s="39">
        <v>0</v>
      </c>
      <c r="N23" s="4" t="s">
        <v>955</v>
      </c>
      <c r="O23" s="4">
        <v>0</v>
      </c>
      <c r="P23" s="4">
        <v>1</v>
      </c>
      <c r="Q23" s="4">
        <v>0.95</v>
      </c>
      <c r="R23" s="4" t="s">
        <v>968</v>
      </c>
      <c r="S23" s="4" t="s">
        <v>971</v>
      </c>
      <c r="T23" s="4" t="s">
        <v>969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993</v>
      </c>
      <c r="AB23" s="4" t="s">
        <v>996</v>
      </c>
      <c r="AC23" s="4" t="s">
        <v>1108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1016</v>
      </c>
      <c r="AK23" s="4">
        <v>1</v>
      </c>
      <c r="AL23" s="4" t="s">
        <v>1031</v>
      </c>
      <c r="AM23" s="4">
        <v>0</v>
      </c>
      <c r="AN23" s="4">
        <v>0</v>
      </c>
      <c r="AO23" s="4">
        <v>0</v>
      </c>
      <c r="AP23" s="4" t="s">
        <v>45</v>
      </c>
      <c r="AQ23" s="4">
        <v>0</v>
      </c>
      <c r="AR23" s="4" t="s">
        <v>685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0.5</v>
      </c>
      <c r="BH23" s="39">
        <v>0</v>
      </c>
      <c r="BI23" s="39">
        <v>0</v>
      </c>
      <c r="BJ23" s="39" t="s">
        <v>1125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1044</v>
      </c>
      <c r="B24" s="39">
        <v>0</v>
      </c>
      <c r="C24" s="39">
        <v>0.7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AVERAGE(21.6,12,10,13.1)</f>
        <v>14.175000000000001</v>
      </c>
      <c r="I24" s="41">
        <f>AVERAGE(0.54,1.5,1.5,0.86)</f>
        <v>1.1000000000000001</v>
      </c>
      <c r="J24" s="39">
        <v>1.0900000000000001</v>
      </c>
      <c r="K24" s="39" t="s">
        <v>942</v>
      </c>
      <c r="L24" s="39">
        <v>0</v>
      </c>
      <c r="M24" s="39">
        <v>0</v>
      </c>
      <c r="N24" s="4" t="s">
        <v>955</v>
      </c>
      <c r="O24" s="4">
        <v>0</v>
      </c>
      <c r="P24" s="4">
        <v>1</v>
      </c>
      <c r="Q24" s="4">
        <v>0.95</v>
      </c>
      <c r="R24" s="4" t="s">
        <v>968</v>
      </c>
      <c r="S24" s="4" t="s">
        <v>971</v>
      </c>
      <c r="T24" s="4" t="s">
        <v>969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993</v>
      </c>
      <c r="AB24" s="4" t="s">
        <v>996</v>
      </c>
      <c r="AC24" s="4" t="s">
        <v>1108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1016</v>
      </c>
      <c r="AK24" s="4">
        <v>1</v>
      </c>
      <c r="AL24" s="4" t="s">
        <v>1030</v>
      </c>
      <c r="AM24" s="4">
        <v>0</v>
      </c>
      <c r="AN24" s="4">
        <v>0</v>
      </c>
      <c r="AO24" s="4">
        <v>0</v>
      </c>
      <c r="AP24" s="4" t="s">
        <v>45</v>
      </c>
      <c r="AQ24" s="4">
        <v>0</v>
      </c>
      <c r="AR24" s="4" t="s">
        <v>685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0.5</v>
      </c>
      <c r="BH24" s="39">
        <v>0</v>
      </c>
      <c r="BI24" s="39">
        <v>0</v>
      </c>
      <c r="BJ24" s="39" t="s">
        <v>1125</v>
      </c>
      <c r="BK24" s="39">
        <v>0</v>
      </c>
      <c r="BL24" s="39">
        <v>0</v>
      </c>
      <c r="BM24" s="39">
        <v>0</v>
      </c>
    </row>
    <row r="25" spans="1:65" s="16" customFormat="1" x14ac:dyDescent="0.25">
      <c r="A25" s="16" t="s">
        <v>1142</v>
      </c>
      <c r="B25" s="39">
        <v>0</v>
      </c>
      <c r="C25" s="39">
        <v>1</v>
      </c>
      <c r="D25" s="39">
        <v>1</v>
      </c>
      <c r="E25" s="39">
        <v>5</v>
      </c>
      <c r="F25" s="39">
        <v>1</v>
      </c>
      <c r="G25" s="39">
        <v>0</v>
      </c>
      <c r="H25" s="40">
        <f>AVERAGE(21.6,12,10,13.1)</f>
        <v>14.175000000000001</v>
      </c>
      <c r="I25" s="41">
        <f>AVERAGE(0.54,1.5,1.5,0.86)</f>
        <v>1.1000000000000001</v>
      </c>
      <c r="J25" s="39">
        <v>1.0900000000000001</v>
      </c>
      <c r="K25" s="39" t="s">
        <v>942</v>
      </c>
      <c r="L25" s="39">
        <v>0</v>
      </c>
      <c r="M25" s="39">
        <v>0</v>
      </c>
      <c r="N25" s="4" t="s">
        <v>955</v>
      </c>
      <c r="O25" s="4">
        <v>0</v>
      </c>
      <c r="P25" s="4">
        <v>1</v>
      </c>
      <c r="Q25" s="4">
        <v>0.85</v>
      </c>
      <c r="R25" s="4" t="s">
        <v>968</v>
      </c>
      <c r="S25" s="4" t="s">
        <v>971</v>
      </c>
      <c r="T25" s="4" t="s">
        <v>969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993</v>
      </c>
      <c r="AB25" s="4" t="s">
        <v>996</v>
      </c>
      <c r="AC25" s="4" t="s">
        <v>1108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1016</v>
      </c>
      <c r="AK25" s="4">
        <v>1</v>
      </c>
      <c r="AL25" s="4" t="s">
        <v>1031</v>
      </c>
      <c r="AM25" s="4">
        <v>0</v>
      </c>
      <c r="AN25" s="4">
        <v>0</v>
      </c>
      <c r="AO25" s="4">
        <v>0</v>
      </c>
      <c r="AP25" s="4">
        <v>0.2</v>
      </c>
      <c r="AQ25" s="4">
        <v>0</v>
      </c>
      <c r="AR25" s="4" t="s">
        <v>685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1</v>
      </c>
      <c r="BC25" s="4">
        <v>0</v>
      </c>
      <c r="BD25" s="4">
        <v>0</v>
      </c>
      <c r="BE25" s="4">
        <v>0</v>
      </c>
      <c r="BF25" s="4">
        <v>1</v>
      </c>
      <c r="BG25" s="39">
        <v>0.7</v>
      </c>
      <c r="BH25" s="39">
        <v>0</v>
      </c>
      <c r="BI25" s="39">
        <v>0</v>
      </c>
      <c r="BJ25" s="39" t="s">
        <v>1125</v>
      </c>
      <c r="BK25" s="39">
        <v>0</v>
      </c>
      <c r="BL25" s="39">
        <v>0</v>
      </c>
      <c r="BM25" s="39">
        <v>0</v>
      </c>
    </row>
    <row r="26" spans="1:65" x14ac:dyDescent="0.25">
      <c r="A26" t="s">
        <v>89</v>
      </c>
      <c r="B26" s="39">
        <v>0</v>
      </c>
      <c r="C26" s="39">
        <v>0.7</v>
      </c>
      <c r="D26" s="39">
        <v>1</v>
      </c>
      <c r="E26" s="39">
        <v>5</v>
      </c>
      <c r="F26" s="39">
        <v>1</v>
      </c>
      <c r="G26" s="39">
        <v>0</v>
      </c>
      <c r="H26" s="40">
        <f>AVERAGE(21.6,12,10,13.1)</f>
        <v>14.175000000000001</v>
      </c>
      <c r="I26" s="41">
        <f>AVERAGE(0.54,1.5,1.5,0.86)</f>
        <v>1.1000000000000001</v>
      </c>
      <c r="J26" s="39">
        <v>1.0900000000000001</v>
      </c>
      <c r="K26" s="39" t="s">
        <v>942</v>
      </c>
      <c r="L26" s="39">
        <v>0</v>
      </c>
      <c r="M26" s="39">
        <v>0</v>
      </c>
      <c r="N26" s="4" t="s">
        <v>955</v>
      </c>
      <c r="O26" s="4">
        <v>0</v>
      </c>
      <c r="P26" s="4">
        <v>1</v>
      </c>
      <c r="Q26" s="4">
        <v>0.85</v>
      </c>
      <c r="R26" s="4" t="s">
        <v>968</v>
      </c>
      <c r="S26" s="4" t="s">
        <v>971</v>
      </c>
      <c r="T26" s="4" t="s">
        <v>969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1</v>
      </c>
      <c r="AA26" s="4" t="s">
        <v>993</v>
      </c>
      <c r="AB26" s="4" t="s">
        <v>996</v>
      </c>
      <c r="AC26" s="4" t="s">
        <v>1108</v>
      </c>
      <c r="AD26" s="39">
        <v>0</v>
      </c>
      <c r="AE26" s="4" t="s">
        <v>45</v>
      </c>
      <c r="AF26" s="4" t="s">
        <v>45</v>
      </c>
      <c r="AG26" s="4" t="s">
        <v>45</v>
      </c>
      <c r="AH26" s="4" t="s">
        <v>45</v>
      </c>
      <c r="AI26" s="4">
        <v>1</v>
      </c>
      <c r="AJ26" s="4" t="s">
        <v>1016</v>
      </c>
      <c r="AK26" s="4">
        <v>1</v>
      </c>
      <c r="AL26" s="4" t="s">
        <v>1031</v>
      </c>
      <c r="AM26" s="4">
        <v>0</v>
      </c>
      <c r="AN26" s="4">
        <v>0</v>
      </c>
      <c r="AO26" s="4">
        <v>0</v>
      </c>
      <c r="AP26" s="4">
        <v>0.2</v>
      </c>
      <c r="AQ26" s="4">
        <v>0</v>
      </c>
      <c r="AR26" s="4" t="s">
        <v>685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1</v>
      </c>
      <c r="BC26" s="4">
        <v>0</v>
      </c>
      <c r="BD26" s="4">
        <v>0</v>
      </c>
      <c r="BE26" s="4">
        <v>0</v>
      </c>
      <c r="BF26" s="4">
        <v>1</v>
      </c>
      <c r="BG26" s="39">
        <v>0.7</v>
      </c>
      <c r="BH26" s="39">
        <v>0</v>
      </c>
      <c r="BI26" s="39">
        <v>0</v>
      </c>
      <c r="BJ26" s="39" t="s">
        <v>1125</v>
      </c>
      <c r="BK26" s="39">
        <v>0</v>
      </c>
      <c r="BL26" s="39">
        <v>0</v>
      </c>
      <c r="BM26" s="39">
        <v>0</v>
      </c>
    </row>
    <row r="27" spans="1:65" s="16" customFormat="1" x14ac:dyDescent="0.25">
      <c r="A27" s="16" t="s">
        <v>1046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0</v>
      </c>
      <c r="H27" s="40">
        <v>21</v>
      </c>
      <c r="I27" s="41">
        <v>0.85</v>
      </c>
      <c r="J27" s="39">
        <v>1.0900000000000001</v>
      </c>
      <c r="K27" s="39" t="s">
        <v>942</v>
      </c>
      <c r="L27" s="39">
        <v>0</v>
      </c>
      <c r="M27" s="39">
        <v>0</v>
      </c>
      <c r="N27" s="4" t="s">
        <v>954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0.9</v>
      </c>
      <c r="AA27" s="4" t="s">
        <v>993</v>
      </c>
      <c r="AB27" s="4" t="s">
        <v>996</v>
      </c>
      <c r="AC27" s="4" t="s">
        <v>1108</v>
      </c>
      <c r="AD27" s="39">
        <v>1</v>
      </c>
      <c r="AE27" s="4">
        <v>0.7</v>
      </c>
      <c r="AF27" s="4" t="s">
        <v>1009</v>
      </c>
      <c r="AG27" s="4" t="s">
        <v>1013</v>
      </c>
      <c r="AH27" s="4" t="s">
        <v>966</v>
      </c>
      <c r="AI27" s="4">
        <v>1.2</v>
      </c>
      <c r="AJ27" s="4" t="s">
        <v>1017</v>
      </c>
      <c r="AK27" s="4">
        <v>0</v>
      </c>
      <c r="AL27" s="4" t="s">
        <v>1038</v>
      </c>
      <c r="AM27" s="4">
        <v>0</v>
      </c>
      <c r="AN27" s="4">
        <v>0</v>
      </c>
      <c r="AO27" s="4">
        <v>0</v>
      </c>
      <c r="AP27" s="4" t="s">
        <v>45</v>
      </c>
      <c r="AQ27" s="4">
        <v>0</v>
      </c>
      <c r="AR27" s="4" t="s">
        <v>685</v>
      </c>
      <c r="AS27" s="4">
        <v>0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</v>
      </c>
      <c r="BI27" s="39">
        <v>0</v>
      </c>
      <c r="BJ27" s="39" t="s">
        <v>1127</v>
      </c>
      <c r="BK27" s="39">
        <v>0</v>
      </c>
      <c r="BL27" s="39">
        <v>0</v>
      </c>
      <c r="BM27" s="39">
        <v>0</v>
      </c>
    </row>
    <row r="28" spans="1:65" x14ac:dyDescent="0.25">
      <c r="A28" t="s">
        <v>1047</v>
      </c>
      <c r="B28" s="39">
        <v>1</v>
      </c>
      <c r="C28" s="39">
        <v>1.3</v>
      </c>
      <c r="D28" s="39">
        <v>0</v>
      </c>
      <c r="E28" s="39">
        <v>1</v>
      </c>
      <c r="F28" s="39">
        <v>0</v>
      </c>
      <c r="G28" s="39">
        <v>0</v>
      </c>
      <c r="H28" s="40">
        <v>21</v>
      </c>
      <c r="I28" s="41">
        <v>0.85</v>
      </c>
      <c r="J28" s="39">
        <v>1.0900000000000001</v>
      </c>
      <c r="K28" s="39" t="s">
        <v>942</v>
      </c>
      <c r="L28" s="39">
        <v>0</v>
      </c>
      <c r="M28" s="39">
        <v>0</v>
      </c>
      <c r="N28" s="4" t="s">
        <v>954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0.85</v>
      </c>
      <c r="AA28" s="4" t="s">
        <v>993</v>
      </c>
      <c r="AB28" s="4" t="s">
        <v>996</v>
      </c>
      <c r="AC28" s="4" t="s">
        <v>1109</v>
      </c>
      <c r="AD28" s="39">
        <v>1</v>
      </c>
      <c r="AE28" s="4">
        <v>0.7</v>
      </c>
      <c r="AF28" s="4" t="s">
        <v>1009</v>
      </c>
      <c r="AG28" s="4" t="s">
        <v>1013</v>
      </c>
      <c r="AH28" s="4" t="s">
        <v>966</v>
      </c>
      <c r="AI28" s="4">
        <v>1.2</v>
      </c>
      <c r="AJ28" s="4" t="s">
        <v>1017</v>
      </c>
      <c r="AK28" s="4">
        <v>0</v>
      </c>
      <c r="AL28" s="4" t="s">
        <v>1038</v>
      </c>
      <c r="AM28" s="4">
        <v>0</v>
      </c>
      <c r="AN28" s="4">
        <v>0.1</v>
      </c>
      <c r="AO28" s="4">
        <v>0.3</v>
      </c>
      <c r="AP28" s="4" t="s">
        <v>45</v>
      </c>
      <c r="AQ28" s="4">
        <v>0</v>
      </c>
      <c r="AR28" s="4" t="s">
        <v>1059</v>
      </c>
      <c r="AS28" s="4">
        <v>1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1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39">
        <v>0.5</v>
      </c>
      <c r="BH28" s="39">
        <v>0.2</v>
      </c>
      <c r="BI28" s="39">
        <v>2.5000000000000001E-2</v>
      </c>
      <c r="BJ28" s="39" t="s">
        <v>1127</v>
      </c>
      <c r="BK28" s="39">
        <v>0</v>
      </c>
      <c r="BL28" s="39">
        <v>0</v>
      </c>
      <c r="BM28" s="39">
        <v>0</v>
      </c>
    </row>
    <row r="29" spans="1:65" x14ac:dyDescent="0.25">
      <c r="A29" t="s">
        <v>635</v>
      </c>
      <c r="B29" s="39">
        <v>1</v>
      </c>
      <c r="C29" s="39">
        <v>1.3</v>
      </c>
      <c r="D29" s="39">
        <v>0</v>
      </c>
      <c r="E29" s="39">
        <v>1</v>
      </c>
      <c r="F29" s="39">
        <v>0</v>
      </c>
      <c r="G29" s="39">
        <v>1</v>
      </c>
      <c r="H29" s="40">
        <f>AVERAGE(21.6,12,10,13.1)</f>
        <v>14.175000000000001</v>
      </c>
      <c r="I29" s="41">
        <f>AVERAGE(0.54,1.5,1.5,0.86)</f>
        <v>1.1000000000000001</v>
      </c>
      <c r="J29" s="39">
        <v>1.0900000000000001</v>
      </c>
      <c r="K29" s="39" t="s">
        <v>942</v>
      </c>
      <c r="L29" s="39">
        <v>0</v>
      </c>
      <c r="M29" s="39">
        <v>0</v>
      </c>
      <c r="N29" s="4" t="s">
        <v>952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0.95</v>
      </c>
      <c r="AA29" s="4" t="s">
        <v>993</v>
      </c>
      <c r="AB29" s="4" t="s">
        <v>996</v>
      </c>
      <c r="AC29" s="4" t="s">
        <v>1108</v>
      </c>
      <c r="AD29" s="39">
        <v>1</v>
      </c>
      <c r="AE29" s="4">
        <v>0.7</v>
      </c>
      <c r="AF29" s="4" t="s">
        <v>1007</v>
      </c>
      <c r="AG29" s="4" t="s">
        <v>1013</v>
      </c>
      <c r="AH29" s="4" t="s">
        <v>966</v>
      </c>
      <c r="AI29" s="4">
        <v>1</v>
      </c>
      <c r="AJ29" s="4" t="s">
        <v>1016</v>
      </c>
      <c r="AK29" s="4">
        <v>0</v>
      </c>
      <c r="AL29" s="4" t="s">
        <v>1027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685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0.5</v>
      </c>
      <c r="BH29" s="39">
        <v>0</v>
      </c>
      <c r="BI29" s="39">
        <v>0</v>
      </c>
      <c r="BJ29" s="39" t="s">
        <v>1125</v>
      </c>
      <c r="BK29" s="39">
        <v>0</v>
      </c>
      <c r="BL29" s="39">
        <v>0</v>
      </c>
      <c r="BM29" s="39">
        <v>0</v>
      </c>
    </row>
    <row r="30" spans="1:65" x14ac:dyDescent="0.25">
      <c r="A30" s="16" t="s">
        <v>930</v>
      </c>
      <c r="B30" s="39">
        <v>1</v>
      </c>
      <c r="C30" s="39">
        <v>1.3</v>
      </c>
      <c r="D30" s="39">
        <v>1</v>
      </c>
      <c r="E30" s="39">
        <v>5</v>
      </c>
      <c r="F30" s="39">
        <v>0</v>
      </c>
      <c r="G30" s="39">
        <v>1</v>
      </c>
      <c r="H30" s="40">
        <f>AVERAGE(21.6,12,10,13.1)</f>
        <v>14.175000000000001</v>
      </c>
      <c r="I30" s="41">
        <f>AVERAGE(0.54,1.5,1.5,0.86)</f>
        <v>1.1000000000000001</v>
      </c>
      <c r="J30" s="39">
        <v>1.0900000000000001</v>
      </c>
      <c r="K30" s="39" t="s">
        <v>942</v>
      </c>
      <c r="L30" s="39">
        <v>0</v>
      </c>
      <c r="M30" s="39">
        <v>0</v>
      </c>
      <c r="N30" s="4" t="s">
        <v>45</v>
      </c>
      <c r="O30" s="4">
        <v>0</v>
      </c>
      <c r="P30" s="4">
        <v>1</v>
      </c>
      <c r="Q30" s="4">
        <v>1</v>
      </c>
      <c r="R30" s="43" t="s">
        <v>1135</v>
      </c>
      <c r="S30" s="43" t="s">
        <v>972</v>
      </c>
      <c r="T30" s="4" t="s">
        <v>966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 t="s">
        <v>45</v>
      </c>
      <c r="AA30" s="4" t="s">
        <v>45</v>
      </c>
      <c r="AB30" s="4" t="s">
        <v>45</v>
      </c>
      <c r="AC30" s="4" t="s">
        <v>45</v>
      </c>
      <c r="AD30" s="39">
        <v>1</v>
      </c>
      <c r="AE30" s="4">
        <v>0.7</v>
      </c>
      <c r="AF30" s="4" t="s">
        <v>1007</v>
      </c>
      <c r="AG30" s="4" t="s">
        <v>1013</v>
      </c>
      <c r="AH30" s="4" t="s">
        <v>966</v>
      </c>
      <c r="AI30" s="4">
        <v>1</v>
      </c>
      <c r="AJ30" s="4" t="s">
        <v>1016</v>
      </c>
      <c r="AK30" s="4">
        <v>1</v>
      </c>
      <c r="AL30" s="4" t="s">
        <v>1043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685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1</v>
      </c>
      <c r="BF30" s="4">
        <v>0</v>
      </c>
      <c r="BG30" s="39">
        <v>0.7</v>
      </c>
      <c r="BH30" s="39">
        <v>0</v>
      </c>
      <c r="BI30" s="39">
        <v>0</v>
      </c>
      <c r="BJ30" s="39" t="s">
        <v>1129</v>
      </c>
      <c r="BK30" s="39">
        <v>0</v>
      </c>
      <c r="BL30" s="39">
        <v>0</v>
      </c>
      <c r="BM30" s="39">
        <v>0</v>
      </c>
    </row>
    <row r="31" spans="1:65" x14ac:dyDescent="0.25">
      <c r="A31" t="s">
        <v>636</v>
      </c>
      <c r="B31" s="39">
        <v>0</v>
      </c>
      <c r="C31" s="39">
        <v>1.2</v>
      </c>
      <c r="D31" s="39">
        <v>0</v>
      </c>
      <c r="E31" s="39">
        <v>1</v>
      </c>
      <c r="F31" s="39">
        <v>0</v>
      </c>
      <c r="G31" s="39">
        <v>0</v>
      </c>
      <c r="H31" s="40">
        <f>AVERAGE(21.6,12,10,13.1)</f>
        <v>14.175000000000001</v>
      </c>
      <c r="I31" s="41">
        <f>AVERAGE(0.54,1.5,1.5,0.86)</f>
        <v>1.1000000000000001</v>
      </c>
      <c r="J31" s="39">
        <v>1.0900000000000001</v>
      </c>
      <c r="K31" s="39" t="s">
        <v>942</v>
      </c>
      <c r="L31" s="39">
        <v>0</v>
      </c>
      <c r="M31" s="39">
        <v>0</v>
      </c>
      <c r="N31" s="4" t="s">
        <v>953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0.85</v>
      </c>
      <c r="AA31" s="4" t="s">
        <v>993</v>
      </c>
      <c r="AB31" s="4" t="s">
        <v>996</v>
      </c>
      <c r="AC31" s="4" t="s">
        <v>1108</v>
      </c>
      <c r="AD31" s="39">
        <v>0</v>
      </c>
      <c r="AE31" s="4" t="s">
        <v>45</v>
      </c>
      <c r="AF31" s="4" t="s">
        <v>45</v>
      </c>
      <c r="AG31" s="4" t="s">
        <v>45</v>
      </c>
      <c r="AH31" s="4" t="s">
        <v>45</v>
      </c>
      <c r="AI31" s="4">
        <v>1</v>
      </c>
      <c r="AJ31" s="4" t="s">
        <v>1016</v>
      </c>
      <c r="AK31" s="4">
        <v>0</v>
      </c>
      <c r="AL31" s="4" t="s">
        <v>1027</v>
      </c>
      <c r="AM31" s="4">
        <v>0</v>
      </c>
      <c r="AN31" s="4">
        <v>0</v>
      </c>
      <c r="AO31" s="4">
        <v>0</v>
      </c>
      <c r="AP31" s="4" t="s">
        <v>45</v>
      </c>
      <c r="AQ31" s="4">
        <v>0</v>
      </c>
      <c r="AR31" s="4" t="s">
        <v>685</v>
      </c>
      <c r="AS31" s="4">
        <v>0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0.7</v>
      </c>
      <c r="BH31" s="39">
        <v>0</v>
      </c>
      <c r="BI31" s="39">
        <v>0</v>
      </c>
      <c r="BJ31" s="39" t="s">
        <v>1125</v>
      </c>
      <c r="BK31" s="39">
        <v>0</v>
      </c>
      <c r="BL31" s="39">
        <v>0</v>
      </c>
      <c r="BM31" s="39">
        <v>0</v>
      </c>
    </row>
    <row r="32" spans="1:65" s="16" customFormat="1" x14ac:dyDescent="0.25">
      <c r="A32" s="16" t="s">
        <v>938</v>
      </c>
      <c r="B32" s="39">
        <v>1</v>
      </c>
      <c r="C32" s="39">
        <v>1.2</v>
      </c>
      <c r="D32" s="39">
        <v>0</v>
      </c>
      <c r="E32" s="39">
        <v>1</v>
      </c>
      <c r="F32" s="39">
        <v>0</v>
      </c>
      <c r="G32" s="39">
        <v>0</v>
      </c>
      <c r="H32" s="40">
        <f>AVERAGE(65.5,108.7)</f>
        <v>87.1</v>
      </c>
      <c r="I32" s="41">
        <f>AVERAGE(16.8%,11.9%)</f>
        <v>0.14350000000000002</v>
      </c>
      <c r="J32" s="39">
        <v>0.96</v>
      </c>
      <c r="K32" s="39">
        <v>0.32</v>
      </c>
      <c r="L32" s="39">
        <v>1</v>
      </c>
      <c r="M32" s="39">
        <v>0</v>
      </c>
      <c r="N32" s="4" t="s">
        <v>953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0.85</v>
      </c>
      <c r="AA32" s="4" t="s">
        <v>993</v>
      </c>
      <c r="AB32" s="4" t="s">
        <v>996</v>
      </c>
      <c r="AC32" s="4" t="s">
        <v>1108</v>
      </c>
      <c r="AD32" s="39">
        <v>0</v>
      </c>
      <c r="AE32" s="4" t="s">
        <v>45</v>
      </c>
      <c r="AF32" s="4" t="s">
        <v>45</v>
      </c>
      <c r="AG32" s="4" t="s">
        <v>45</v>
      </c>
      <c r="AH32" s="4" t="s">
        <v>45</v>
      </c>
      <c r="AI32" s="4">
        <v>1</v>
      </c>
      <c r="AJ32" s="4" t="s">
        <v>1016</v>
      </c>
      <c r="AK32" s="4">
        <v>0</v>
      </c>
      <c r="AL32" s="4" t="s">
        <v>1029</v>
      </c>
      <c r="AM32" s="4">
        <v>0</v>
      </c>
      <c r="AN32" s="4">
        <v>0</v>
      </c>
      <c r="AO32" s="4">
        <v>0</v>
      </c>
      <c r="AP32" s="4" t="s">
        <v>45</v>
      </c>
      <c r="AQ32" s="4">
        <v>0</v>
      </c>
      <c r="AR32" s="4" t="s">
        <v>685</v>
      </c>
      <c r="AS32" s="4">
        <v>0</v>
      </c>
      <c r="AT32" s="4">
        <v>0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0.5</v>
      </c>
      <c r="BH32" s="39">
        <v>0</v>
      </c>
      <c r="BI32" s="39">
        <v>0</v>
      </c>
      <c r="BJ32" s="39" t="s">
        <v>1125</v>
      </c>
      <c r="BK32" s="39">
        <v>0</v>
      </c>
      <c r="BL32" s="39">
        <v>0</v>
      </c>
      <c r="BM32" s="39">
        <v>0</v>
      </c>
    </row>
    <row r="33" spans="1:65" x14ac:dyDescent="0.25">
      <c r="A33" t="s">
        <v>463</v>
      </c>
      <c r="B33" s="39">
        <v>2</v>
      </c>
      <c r="C33" s="39">
        <v>2</v>
      </c>
      <c r="D33" s="39">
        <v>0</v>
      </c>
      <c r="E33" s="39">
        <v>1</v>
      </c>
      <c r="F33" s="39">
        <v>0</v>
      </c>
      <c r="G33" s="39">
        <v>0</v>
      </c>
      <c r="H33" s="40">
        <v>200</v>
      </c>
      <c r="I33" s="41">
        <v>0.2</v>
      </c>
      <c r="J33" s="39">
        <v>1.0900000000000001</v>
      </c>
      <c r="K33" s="39" t="s">
        <v>942</v>
      </c>
      <c r="L33" s="39">
        <v>1</v>
      </c>
      <c r="M33" s="39">
        <v>0</v>
      </c>
      <c r="N33" s="4" t="s">
        <v>953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993</v>
      </c>
      <c r="AB33" s="4" t="s">
        <v>996</v>
      </c>
      <c r="AC33" s="4" t="s">
        <v>1108</v>
      </c>
      <c r="AD33" s="39">
        <v>1</v>
      </c>
      <c r="AE33" s="4">
        <v>0.65</v>
      </c>
      <c r="AF33" s="4" t="s">
        <v>1007</v>
      </c>
      <c r="AG33" s="4" t="s">
        <v>1013</v>
      </c>
      <c r="AH33" s="4" t="s">
        <v>966</v>
      </c>
      <c r="AI33" s="4">
        <v>1.5</v>
      </c>
      <c r="AJ33" s="4" t="s">
        <v>41</v>
      </c>
      <c r="AK33" s="4">
        <v>0</v>
      </c>
      <c r="AL33" s="4" t="s">
        <v>1029</v>
      </c>
      <c r="AM33" s="4">
        <v>0</v>
      </c>
      <c r="AN33" s="4">
        <v>1</v>
      </c>
      <c r="AO33" s="4">
        <v>1</v>
      </c>
      <c r="AP33" s="4" t="s">
        <v>45</v>
      </c>
      <c r="AQ33" s="4">
        <v>0</v>
      </c>
      <c r="AR33" s="4" t="s">
        <v>1057</v>
      </c>
      <c r="AS33" s="4">
        <v>1</v>
      </c>
      <c r="AT33" s="4">
        <v>0</v>
      </c>
      <c r="AU33" s="4">
        <v>0</v>
      </c>
      <c r="AV33" s="4" t="s">
        <v>45</v>
      </c>
      <c r="AW33" s="4">
        <v>1</v>
      </c>
      <c r="AX33" s="4">
        <v>1</v>
      </c>
      <c r="AY33" s="4">
        <v>1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</v>
      </c>
      <c r="BH33" s="39">
        <v>0.25</v>
      </c>
      <c r="BI33" s="39">
        <v>0.05</v>
      </c>
      <c r="BJ33" s="39" t="s">
        <v>1125</v>
      </c>
      <c r="BK33" s="39">
        <v>1</v>
      </c>
      <c r="BL33" s="39">
        <v>0</v>
      </c>
      <c r="BM33" s="39">
        <v>1</v>
      </c>
    </row>
    <row r="34" spans="1:65" s="16" customFormat="1" x14ac:dyDescent="0.25">
      <c r="A34" s="16" t="s">
        <v>1076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>MAX(21.6,12,10,13.1)</f>
        <v>21.6</v>
      </c>
      <c r="I34" s="41">
        <f>MAX(0.54,1.5,1.5,0.86)</f>
        <v>1.5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953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993</v>
      </c>
      <c r="AB34" s="4" t="s">
        <v>997</v>
      </c>
      <c r="AC34" s="4" t="s">
        <v>1108</v>
      </c>
      <c r="AD34" s="39">
        <v>1</v>
      </c>
      <c r="AE34" s="4">
        <v>0.65</v>
      </c>
      <c r="AF34" s="4" t="s">
        <v>1007</v>
      </c>
      <c r="AG34" s="4" t="s">
        <v>1013</v>
      </c>
      <c r="AH34" s="4" t="s">
        <v>966</v>
      </c>
      <c r="AI34" s="4">
        <v>1.2</v>
      </c>
      <c r="AJ34" s="4" t="s">
        <v>1016</v>
      </c>
      <c r="AK34" s="4">
        <v>0</v>
      </c>
      <c r="AL34" s="4" t="s">
        <v>1029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1059</v>
      </c>
      <c r="AS34" s="4">
        <v>1</v>
      </c>
      <c r="AT34" s="4">
        <v>1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1127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1073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>MAX(21.6,12,10,13.1)</f>
        <v>21.6</v>
      </c>
      <c r="I35" s="41">
        <f>MAX(0.54,1.5,1.5,0.86)</f>
        <v>1.5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953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993</v>
      </c>
      <c r="AB35" s="4" t="s">
        <v>997</v>
      </c>
      <c r="AC35" s="4" t="s">
        <v>1108</v>
      </c>
      <c r="AD35" s="39">
        <v>1</v>
      </c>
      <c r="AE35" s="4">
        <v>0.65</v>
      </c>
      <c r="AF35" s="4" t="s">
        <v>1007</v>
      </c>
      <c r="AG35" s="4" t="s">
        <v>1013</v>
      </c>
      <c r="AH35" s="4" t="s">
        <v>966</v>
      </c>
      <c r="AI35" s="4">
        <v>1.2</v>
      </c>
      <c r="AJ35" s="4" t="s">
        <v>1016</v>
      </c>
      <c r="AK35" s="4">
        <v>0</v>
      </c>
      <c r="AL35" s="4" t="s">
        <v>1029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1059</v>
      </c>
      <c r="AS35" s="4">
        <v>1</v>
      </c>
      <c r="AT35" s="4">
        <v>1</v>
      </c>
      <c r="AU35" s="4">
        <v>1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1127</v>
      </c>
      <c r="BK35" s="39">
        <v>0</v>
      </c>
      <c r="BL35" s="39">
        <v>0</v>
      </c>
      <c r="BM35" s="39">
        <v>0</v>
      </c>
    </row>
    <row r="36" spans="1:65" s="16" customFormat="1" x14ac:dyDescent="0.25">
      <c r="A36" s="16" t="s">
        <v>1103</v>
      </c>
      <c r="B36" s="39">
        <v>1</v>
      </c>
      <c r="C36" s="39">
        <v>1.5</v>
      </c>
      <c r="D36" s="39">
        <v>0</v>
      </c>
      <c r="E36" s="39">
        <v>1</v>
      </c>
      <c r="F36" s="39">
        <v>1</v>
      </c>
      <c r="G36" s="39">
        <v>0</v>
      </c>
      <c r="H36" s="40">
        <f>MAX(21.6,12,10,13.1)</f>
        <v>21.6</v>
      </c>
      <c r="I36" s="41">
        <f>MAX(0.54,1.5,1.5,0.86)</f>
        <v>1.5</v>
      </c>
      <c r="J36" s="39">
        <v>1.0900000000000001</v>
      </c>
      <c r="K36" s="42">
        <f>AVERAGE(0.13,0.106,0.134,0.129)</f>
        <v>0.12475</v>
      </c>
      <c r="L36" s="39">
        <v>0</v>
      </c>
      <c r="M36" s="39">
        <v>0</v>
      </c>
      <c r="N36" s="4" t="s">
        <v>953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993</v>
      </c>
      <c r="AB36" s="4" t="s">
        <v>997</v>
      </c>
      <c r="AC36" s="4" t="s">
        <v>1108</v>
      </c>
      <c r="AD36" s="39">
        <v>1</v>
      </c>
      <c r="AE36" s="4">
        <v>0.65</v>
      </c>
      <c r="AF36" s="4" t="s">
        <v>1007</v>
      </c>
      <c r="AG36" s="4" t="s">
        <v>1013</v>
      </c>
      <c r="AH36" s="4" t="s">
        <v>966</v>
      </c>
      <c r="AI36" s="4">
        <v>1.2</v>
      </c>
      <c r="AJ36" s="4" t="s">
        <v>1016</v>
      </c>
      <c r="AK36" s="4">
        <v>0</v>
      </c>
      <c r="AL36" s="4" t="s">
        <v>1029</v>
      </c>
      <c r="AM36" s="4">
        <v>1</v>
      </c>
      <c r="AN36" s="4">
        <v>0.1</v>
      </c>
      <c r="AO36" s="4">
        <v>0.3</v>
      </c>
      <c r="AP36" s="4">
        <v>0.5</v>
      </c>
      <c r="AQ36" s="4">
        <v>0</v>
      </c>
      <c r="AR36" s="4" t="s">
        <v>1059</v>
      </c>
      <c r="AS36" s="4">
        <v>1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2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1.1000000000000001</v>
      </c>
      <c r="BH36" s="39">
        <v>0.2</v>
      </c>
      <c r="BI36" s="39">
        <v>2.5000000000000001E-2</v>
      </c>
      <c r="BJ36" s="39" t="s">
        <v>1127</v>
      </c>
      <c r="BK36" s="39">
        <v>0</v>
      </c>
      <c r="BL36" s="39">
        <v>0</v>
      </c>
      <c r="BM36" s="39">
        <v>0</v>
      </c>
    </row>
    <row r="37" spans="1:65" x14ac:dyDescent="0.25">
      <c r="A37" t="s">
        <v>104</v>
      </c>
      <c r="B37" s="39">
        <v>1</v>
      </c>
      <c r="C37" s="39">
        <v>1.5</v>
      </c>
      <c r="D37" s="39">
        <v>0</v>
      </c>
      <c r="E37" s="39">
        <v>1</v>
      </c>
      <c r="F37" s="39">
        <v>1</v>
      </c>
      <c r="G37" s="39">
        <v>0</v>
      </c>
      <c r="H37" s="40">
        <f>MAX(21.6,12,10,13.1)</f>
        <v>21.6</v>
      </c>
      <c r="I37" s="41">
        <f>MAX(0.54,1.5,1.5,0.86)</f>
        <v>1.5</v>
      </c>
      <c r="J37" s="39">
        <v>1.0900000000000001</v>
      </c>
      <c r="K37" s="42">
        <f>AVERAGE(0.13,0.106,0.134,0.129)</f>
        <v>0.12475</v>
      </c>
      <c r="L37" s="39">
        <v>0</v>
      </c>
      <c r="M37" s="39">
        <v>0</v>
      </c>
      <c r="N37" s="4" t="s">
        <v>953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0.8</v>
      </c>
      <c r="AA37" s="4" t="s">
        <v>993</v>
      </c>
      <c r="AB37" s="4" t="s">
        <v>997</v>
      </c>
      <c r="AC37" s="4" t="s">
        <v>1108</v>
      </c>
      <c r="AD37" s="39">
        <v>1</v>
      </c>
      <c r="AE37" s="4">
        <v>0.65</v>
      </c>
      <c r="AF37" s="4" t="s">
        <v>1007</v>
      </c>
      <c r="AG37" s="4" t="s">
        <v>1013</v>
      </c>
      <c r="AH37" s="4" t="s">
        <v>966</v>
      </c>
      <c r="AI37" s="4">
        <v>1.2</v>
      </c>
      <c r="AJ37" s="4" t="s">
        <v>1016</v>
      </c>
      <c r="AK37" s="4">
        <v>0</v>
      </c>
      <c r="AL37" s="4" t="s">
        <v>1029</v>
      </c>
      <c r="AM37" s="4">
        <v>1</v>
      </c>
      <c r="AN37" s="4">
        <v>0.1</v>
      </c>
      <c r="AO37" s="4">
        <v>0.3</v>
      </c>
      <c r="AP37" s="4">
        <v>0.5</v>
      </c>
      <c r="AQ37" s="4">
        <v>0</v>
      </c>
      <c r="AR37" s="4" t="s">
        <v>1059</v>
      </c>
      <c r="AS37" s="4">
        <v>1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1.1000000000000001</v>
      </c>
      <c r="BH37" s="39">
        <v>0.2</v>
      </c>
      <c r="BI37" s="39">
        <v>2.5000000000000001E-2</v>
      </c>
      <c r="BJ37" s="39" t="s">
        <v>1127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962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 t="shared" ref="H38:H45" si="0">AVERAGE(21.6,12,10,13.1)</f>
        <v>14.175000000000001</v>
      </c>
      <c r="I38" s="41">
        <f t="shared" ref="I38:I45" si="1">AVERAGE(0.54,1.5,1.5,0.86)</f>
        <v>1.1000000000000001</v>
      </c>
      <c r="J38" s="39">
        <v>1.0900000000000001</v>
      </c>
      <c r="K38" s="39" t="s">
        <v>942</v>
      </c>
      <c r="L38" s="39">
        <v>0</v>
      </c>
      <c r="M38" s="39">
        <v>0</v>
      </c>
      <c r="N38" s="4" t="s">
        <v>110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>
        <v>1</v>
      </c>
      <c r="V38" s="4">
        <v>0.8</v>
      </c>
      <c r="W38" s="4" t="s">
        <v>981</v>
      </c>
      <c r="X38" s="4" t="s">
        <v>982</v>
      </c>
      <c r="Y38" s="4" t="s">
        <v>966</v>
      </c>
      <c r="Z38" s="4">
        <v>0.95</v>
      </c>
      <c r="AA38" s="4" t="s">
        <v>993</v>
      </c>
      <c r="AB38" s="4" t="s">
        <v>996</v>
      </c>
      <c r="AC38" s="4" t="s">
        <v>1108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</v>
      </c>
      <c r="AJ38" s="4" t="s">
        <v>1016</v>
      </c>
      <c r="AK38" s="4">
        <v>1</v>
      </c>
      <c r="AL38" s="4" t="s">
        <v>1042</v>
      </c>
      <c r="AM38" s="4">
        <v>0</v>
      </c>
      <c r="AN38" s="4">
        <v>2.5000000000000001E-2</v>
      </c>
      <c r="AO38" s="4">
        <v>0.1</v>
      </c>
      <c r="AP38" s="4" t="s">
        <v>45</v>
      </c>
      <c r="AQ38" s="4">
        <v>1</v>
      </c>
      <c r="AR38" s="4" t="s">
        <v>685</v>
      </c>
      <c r="AS38" s="4">
        <v>0</v>
      </c>
      <c r="AT38" s="4">
        <v>0</v>
      </c>
      <c r="AU38" s="4">
        <v>0</v>
      </c>
      <c r="AV38" s="4" t="s">
        <v>45</v>
      </c>
      <c r="AW38" s="4">
        <v>0</v>
      </c>
      <c r="AX38" s="4">
        <v>0</v>
      </c>
      <c r="AY38" s="4">
        <v>0</v>
      </c>
      <c r="AZ38" s="4">
        <v>2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0</v>
      </c>
      <c r="BG38" s="39">
        <v>0.5</v>
      </c>
      <c r="BH38" s="39">
        <v>0.1</v>
      </c>
      <c r="BI38" s="39">
        <v>2.5000000000000001E-2</v>
      </c>
      <c r="BJ38" s="39" t="s">
        <v>1125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1089</v>
      </c>
      <c r="B39" s="39">
        <v>0</v>
      </c>
      <c r="C39" s="39">
        <v>1</v>
      </c>
      <c r="D39" s="39">
        <v>1</v>
      </c>
      <c r="E39" s="39">
        <v>5</v>
      </c>
      <c r="F39" s="39">
        <v>0</v>
      </c>
      <c r="G39" s="39">
        <v>0</v>
      </c>
      <c r="H39" s="40">
        <f>MAX(21.6,12,10,13.1)</f>
        <v>21.6</v>
      </c>
      <c r="I39" s="41">
        <f t="shared" si="1"/>
        <v>1.1000000000000001</v>
      </c>
      <c r="J39" s="39">
        <v>1.0900000000000001</v>
      </c>
      <c r="K39" s="42">
        <v>0.18</v>
      </c>
      <c r="L39" s="39">
        <v>0</v>
      </c>
      <c r="M39" s="39">
        <v>0</v>
      </c>
      <c r="N39" s="4" t="s">
        <v>110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 t="s">
        <v>45</v>
      </c>
      <c r="V39" s="4" t="s">
        <v>45</v>
      </c>
      <c r="W39" s="4" t="s">
        <v>45</v>
      </c>
      <c r="X39" s="4" t="s">
        <v>45</v>
      </c>
      <c r="Y39" s="4" t="s">
        <v>45</v>
      </c>
      <c r="Z39" s="4">
        <v>0.85</v>
      </c>
      <c r="AA39" s="4" t="s">
        <v>993</v>
      </c>
      <c r="AB39" s="4" t="s">
        <v>996</v>
      </c>
      <c r="AC39" s="4" t="s">
        <v>1108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1.2</v>
      </c>
      <c r="AJ39" s="4" t="s">
        <v>1016</v>
      </c>
      <c r="AK39" s="4">
        <v>1</v>
      </c>
      <c r="AL39" s="4" t="s">
        <v>1031</v>
      </c>
      <c r="AM39" s="4">
        <v>0</v>
      </c>
      <c r="AN39" s="4">
        <v>0</v>
      </c>
      <c r="AO39" s="4">
        <v>0</v>
      </c>
      <c r="AP39" s="4" t="s">
        <v>45</v>
      </c>
      <c r="AQ39" s="4">
        <v>1</v>
      </c>
      <c r="AR39" s="4" t="s">
        <v>685</v>
      </c>
      <c r="AS39" s="4">
        <v>0</v>
      </c>
      <c r="AT39" s="4">
        <v>0</v>
      </c>
      <c r="AU39" s="4">
        <v>1</v>
      </c>
      <c r="AV39" s="4" t="s">
        <v>45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1</v>
      </c>
      <c r="BG39" s="39">
        <v>0.25</v>
      </c>
      <c r="BH39" s="39">
        <v>0.1</v>
      </c>
      <c r="BI39" s="39">
        <v>2.5000000000000001E-2</v>
      </c>
      <c r="BJ39" s="39" t="s">
        <v>1125</v>
      </c>
      <c r="BK39" s="39">
        <v>0</v>
      </c>
      <c r="BL39" s="39">
        <v>0</v>
      </c>
      <c r="BM39" s="39">
        <v>0</v>
      </c>
    </row>
    <row r="40" spans="1:65" x14ac:dyDescent="0.25">
      <c r="A40" t="s">
        <v>109</v>
      </c>
      <c r="B40" s="39">
        <v>0</v>
      </c>
      <c r="C40" s="39">
        <v>1</v>
      </c>
      <c r="D40" s="39">
        <v>1</v>
      </c>
      <c r="E40" s="39">
        <v>5</v>
      </c>
      <c r="F40" s="39">
        <v>0</v>
      </c>
      <c r="G40" s="39">
        <v>0</v>
      </c>
      <c r="H40" s="40">
        <f t="shared" si="0"/>
        <v>14.175000000000001</v>
      </c>
      <c r="I40" s="41">
        <f t="shared" si="1"/>
        <v>1.1000000000000001</v>
      </c>
      <c r="J40" s="39">
        <v>1.0900000000000001</v>
      </c>
      <c r="K40" s="39" t="s">
        <v>942</v>
      </c>
      <c r="L40" s="39">
        <v>0</v>
      </c>
      <c r="M40" s="39">
        <v>0</v>
      </c>
      <c r="N40" s="4" t="s">
        <v>110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1.1000000000000001</v>
      </c>
      <c r="AA40" s="4" t="s">
        <v>993</v>
      </c>
      <c r="AB40" s="4" t="s">
        <v>996</v>
      </c>
      <c r="AC40" s="4" t="s">
        <v>1108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</v>
      </c>
      <c r="AJ40" s="4" t="s">
        <v>1016</v>
      </c>
      <c r="AK40" s="4">
        <v>1</v>
      </c>
      <c r="AL40" s="4" t="s">
        <v>1031</v>
      </c>
      <c r="AM40" s="4">
        <v>0</v>
      </c>
      <c r="AN40" s="4">
        <v>0</v>
      </c>
      <c r="AO40" s="4">
        <v>0</v>
      </c>
      <c r="AP40" s="4" t="s">
        <v>45</v>
      </c>
      <c r="AQ40" s="4">
        <v>1</v>
      </c>
      <c r="AR40" s="4" t="s">
        <v>685</v>
      </c>
      <c r="AS40" s="4">
        <v>0</v>
      </c>
      <c r="AT40" s="4">
        <v>0</v>
      </c>
      <c r="AU40" s="4">
        <v>0</v>
      </c>
      <c r="AV40" s="4" t="s">
        <v>45</v>
      </c>
      <c r="AW40" s="4">
        <v>0</v>
      </c>
      <c r="AX40" s="4">
        <v>0</v>
      </c>
      <c r="AY40" s="4">
        <v>0</v>
      </c>
      <c r="AZ40" s="4">
        <v>2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1</v>
      </c>
      <c r="BG40" s="39">
        <v>0.5</v>
      </c>
      <c r="BH40" s="39">
        <v>0</v>
      </c>
      <c r="BI40" s="39">
        <v>0</v>
      </c>
      <c r="BJ40" s="39" t="s">
        <v>1125</v>
      </c>
      <c r="BK40" s="39">
        <v>0</v>
      </c>
      <c r="BL40" s="39">
        <v>0</v>
      </c>
      <c r="BM40" s="39">
        <v>0</v>
      </c>
    </row>
    <row r="41" spans="1:65" s="16" customFormat="1" x14ac:dyDescent="0.25">
      <c r="A41" s="16" t="s">
        <v>998</v>
      </c>
      <c r="B41" s="39">
        <v>0</v>
      </c>
      <c r="C41" s="39">
        <v>1</v>
      </c>
      <c r="D41" s="39">
        <v>0</v>
      </c>
      <c r="E41" s="39">
        <v>1</v>
      </c>
      <c r="F41" s="39">
        <v>0</v>
      </c>
      <c r="G41" s="39">
        <v>0</v>
      </c>
      <c r="H41" s="40">
        <f>MAX(21.6,12,10,13.1)</f>
        <v>21.6</v>
      </c>
      <c r="I41" s="41">
        <f t="shared" si="1"/>
        <v>1.1000000000000001</v>
      </c>
      <c r="J41" s="39">
        <v>1.0900000000000001</v>
      </c>
      <c r="K41" s="42">
        <f>AVERAGE(0.13,0.106,0.134,0.129)</f>
        <v>0.12475</v>
      </c>
      <c r="L41" s="39">
        <v>0</v>
      </c>
      <c r="M41" s="39">
        <v>0</v>
      </c>
      <c r="N41" s="4" t="s">
        <v>45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>
        <v>3</v>
      </c>
      <c r="V41" s="4">
        <v>0.75</v>
      </c>
      <c r="W41" s="4" t="s">
        <v>981</v>
      </c>
      <c r="X41" s="4" t="s">
        <v>982</v>
      </c>
      <c r="Y41" s="4" t="s">
        <v>966</v>
      </c>
      <c r="Z41" s="4" t="s">
        <v>45</v>
      </c>
      <c r="AA41" s="4" t="s">
        <v>45</v>
      </c>
      <c r="AB41" s="4" t="s">
        <v>45</v>
      </c>
      <c r="AC41" s="4" t="s">
        <v>45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1.2</v>
      </c>
      <c r="AJ41" s="4" t="s">
        <v>1016</v>
      </c>
      <c r="AK41" s="4">
        <v>0</v>
      </c>
      <c r="AL41" s="4" t="s">
        <v>1039</v>
      </c>
      <c r="AM41" s="4">
        <v>0</v>
      </c>
      <c r="AN41" s="4">
        <v>0</v>
      </c>
      <c r="AO41" s="4">
        <v>0</v>
      </c>
      <c r="AP41" s="4" t="s">
        <v>45</v>
      </c>
      <c r="AQ41" s="4">
        <v>0</v>
      </c>
      <c r="AR41" s="4" t="s">
        <v>1059</v>
      </c>
      <c r="AS41" s="4">
        <v>0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1</v>
      </c>
      <c r="BG41" s="39">
        <v>0.7</v>
      </c>
      <c r="BH41" s="39">
        <v>0.1</v>
      </c>
      <c r="BI41" s="39">
        <v>2.5000000000000001E-2</v>
      </c>
      <c r="BJ41" s="39" t="s">
        <v>1127</v>
      </c>
      <c r="BK41" s="39">
        <v>0</v>
      </c>
      <c r="BL41" s="39">
        <v>0</v>
      </c>
      <c r="BM41" s="39">
        <v>0</v>
      </c>
    </row>
    <row r="42" spans="1:65" x14ac:dyDescent="0.25">
      <c r="A42" t="s">
        <v>682</v>
      </c>
      <c r="B42" s="39">
        <v>0</v>
      </c>
      <c r="C42" s="39">
        <v>1</v>
      </c>
      <c r="D42" s="39">
        <v>0</v>
      </c>
      <c r="E42" s="39">
        <v>1</v>
      </c>
      <c r="F42" s="39">
        <v>0</v>
      </c>
      <c r="G42" s="39">
        <v>0</v>
      </c>
      <c r="H42" s="40">
        <f>MAX(21.6,12,10,13.1)</f>
        <v>21.6</v>
      </c>
      <c r="I42" s="41">
        <f t="shared" si="1"/>
        <v>1.1000000000000001</v>
      </c>
      <c r="J42" s="39">
        <v>1.0900000000000001</v>
      </c>
      <c r="K42" s="42">
        <f>AVERAGE(0.13,0.106,0.134,0.129)</f>
        <v>0.12475</v>
      </c>
      <c r="L42" s="39">
        <v>0</v>
      </c>
      <c r="M42" s="39">
        <v>0</v>
      </c>
      <c r="N42" s="4" t="s">
        <v>953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993</v>
      </c>
      <c r="AB42" s="4" t="s">
        <v>997</v>
      </c>
      <c r="AC42" s="4" t="s">
        <v>1108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1.2</v>
      </c>
      <c r="AJ42" s="4" t="s">
        <v>1016</v>
      </c>
      <c r="AK42" s="4">
        <v>0</v>
      </c>
      <c r="AL42" s="4" t="s">
        <v>682</v>
      </c>
      <c r="AM42" s="4">
        <v>1</v>
      </c>
      <c r="AN42" s="4">
        <v>0</v>
      </c>
      <c r="AO42" s="4">
        <v>0</v>
      </c>
      <c r="AP42" s="4">
        <v>0.5</v>
      </c>
      <c r="AQ42" s="4">
        <v>0</v>
      </c>
      <c r="AR42" s="4" t="s">
        <v>1059</v>
      </c>
      <c r="AS42" s="4">
        <v>1</v>
      </c>
      <c r="AT42" s="4">
        <v>1</v>
      </c>
      <c r="AU42" s="4">
        <v>1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0.7</v>
      </c>
      <c r="BH42" s="39">
        <v>0.1</v>
      </c>
      <c r="BI42" s="39">
        <v>2.5000000000000001E-2</v>
      </c>
      <c r="BJ42" s="39" t="s">
        <v>1127</v>
      </c>
      <c r="BK42" s="39">
        <v>0</v>
      </c>
      <c r="BL42" s="39">
        <v>0</v>
      </c>
      <c r="BM42" s="39">
        <v>0</v>
      </c>
    </row>
    <row r="43" spans="1:65" x14ac:dyDescent="0.25">
      <c r="A43" t="s">
        <v>475</v>
      </c>
      <c r="B43" s="39">
        <v>2</v>
      </c>
      <c r="C43" s="39">
        <v>1.5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14.175000000000001</v>
      </c>
      <c r="I43" s="41">
        <f t="shared" si="1"/>
        <v>1.1000000000000001</v>
      </c>
      <c r="J43" s="39">
        <v>1.0900000000000001</v>
      </c>
      <c r="K43" s="39" t="s">
        <v>942</v>
      </c>
      <c r="L43" s="39">
        <v>0</v>
      </c>
      <c r="M43" s="39">
        <v>0</v>
      </c>
      <c r="N43" s="4" t="s">
        <v>41</v>
      </c>
      <c r="O43" s="4">
        <v>1</v>
      </c>
      <c r="P43" s="4">
        <v>1</v>
      </c>
      <c r="Q43" s="4">
        <v>0.9</v>
      </c>
      <c r="R43" s="4" t="s">
        <v>974</v>
      </c>
      <c r="S43" s="4" t="s">
        <v>973</v>
      </c>
      <c r="T43" s="4" t="s">
        <v>975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0.9</v>
      </c>
      <c r="AA43" s="4" t="s">
        <v>993</v>
      </c>
      <c r="AB43" s="4" t="s">
        <v>995</v>
      </c>
      <c r="AC43" s="4" t="s">
        <v>1108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</v>
      </c>
      <c r="AJ43" s="4" t="s">
        <v>1020</v>
      </c>
      <c r="AK43" s="4">
        <v>0</v>
      </c>
      <c r="AL43" s="4" t="s">
        <v>1041</v>
      </c>
      <c r="AM43" s="4">
        <v>0</v>
      </c>
      <c r="AN43" s="4">
        <v>0</v>
      </c>
      <c r="AO43" s="4">
        <v>0</v>
      </c>
      <c r="AP43" s="4" t="s">
        <v>45</v>
      </c>
      <c r="AQ43" s="4">
        <v>0</v>
      </c>
      <c r="AR43" s="4" t="s">
        <v>685</v>
      </c>
      <c r="AS43" s="4">
        <v>0</v>
      </c>
      <c r="AT43" s="4">
        <v>1</v>
      </c>
      <c r="AU43" s="4">
        <v>1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2</v>
      </c>
      <c r="BG43" s="39">
        <v>0.5</v>
      </c>
      <c r="BH43" s="39">
        <v>0</v>
      </c>
      <c r="BI43" s="39">
        <v>0</v>
      </c>
      <c r="BJ43" s="39" t="s">
        <v>1127</v>
      </c>
      <c r="BK43" s="39">
        <v>0</v>
      </c>
      <c r="BL43" s="39">
        <v>0</v>
      </c>
      <c r="BM43" s="39">
        <v>0</v>
      </c>
    </row>
    <row r="44" spans="1:65" s="16" customFormat="1" ht="14.25" customHeight="1" x14ac:dyDescent="0.25">
      <c r="A44" s="16" t="s">
        <v>1036</v>
      </c>
      <c r="B44" s="39">
        <v>2</v>
      </c>
      <c r="C44" s="39">
        <v>1.3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14.175000000000001</v>
      </c>
      <c r="I44" s="41">
        <f t="shared" si="1"/>
        <v>1.1000000000000001</v>
      </c>
      <c r="J44" s="39">
        <v>1.0900000000000001</v>
      </c>
      <c r="K44" s="39" t="s">
        <v>942</v>
      </c>
      <c r="L44" s="39">
        <v>0</v>
      </c>
      <c r="M44" s="39">
        <v>0</v>
      </c>
      <c r="N44" s="4" t="s">
        <v>113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993</v>
      </c>
      <c r="AB44" s="4" t="s">
        <v>997</v>
      </c>
      <c r="AC44" s="4" t="s">
        <v>1108</v>
      </c>
      <c r="AD44" s="39">
        <v>1</v>
      </c>
      <c r="AE44" s="4">
        <v>0.65</v>
      </c>
      <c r="AF44" s="4" t="s">
        <v>1008</v>
      </c>
      <c r="AG44" s="4" t="s">
        <v>1011</v>
      </c>
      <c r="AH44" s="4" t="s">
        <v>969</v>
      </c>
      <c r="AI44" s="4">
        <v>1</v>
      </c>
      <c r="AJ44" s="4" t="s">
        <v>1016</v>
      </c>
      <c r="AK44" s="4">
        <v>0</v>
      </c>
      <c r="AL44" s="4" t="s">
        <v>1037</v>
      </c>
      <c r="AM44" s="4">
        <v>2</v>
      </c>
      <c r="AN44" s="4">
        <v>2.5000000000000001E-2</v>
      </c>
      <c r="AO44" s="4">
        <v>0.1</v>
      </c>
      <c r="AP44" s="4" t="s">
        <v>45</v>
      </c>
      <c r="AQ44" s="4">
        <v>0</v>
      </c>
      <c r="AR44" s="4" t="s">
        <v>1057</v>
      </c>
      <c r="AS44" s="4">
        <v>0</v>
      </c>
      <c r="AT44" s="4">
        <v>0</v>
      </c>
      <c r="AU44" s="4">
        <v>0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1130</v>
      </c>
      <c r="BK44" s="39">
        <v>0</v>
      </c>
      <c r="BL44" s="39">
        <v>0</v>
      </c>
      <c r="BM44" s="39">
        <v>0</v>
      </c>
    </row>
    <row r="45" spans="1:65" ht="14.25" customHeight="1" x14ac:dyDescent="0.25">
      <c r="A45" t="s">
        <v>113</v>
      </c>
      <c r="B45" s="39">
        <v>2</v>
      </c>
      <c r="C45" s="39">
        <v>1.3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14.175000000000001</v>
      </c>
      <c r="I45" s="41">
        <f t="shared" si="1"/>
        <v>1.1000000000000001</v>
      </c>
      <c r="J45" s="39">
        <v>1.0900000000000001</v>
      </c>
      <c r="K45" s="39" t="s">
        <v>942</v>
      </c>
      <c r="L45" s="39">
        <v>0</v>
      </c>
      <c r="M45" s="39">
        <v>0</v>
      </c>
      <c r="N45" s="4" t="s">
        <v>113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993</v>
      </c>
      <c r="AB45" s="4" t="s">
        <v>997</v>
      </c>
      <c r="AC45" s="4" t="s">
        <v>1108</v>
      </c>
      <c r="AD45" s="39">
        <v>1</v>
      </c>
      <c r="AE45" s="4">
        <v>0.65</v>
      </c>
      <c r="AF45" s="4" t="s">
        <v>1008</v>
      </c>
      <c r="AG45" s="4" t="s">
        <v>1011</v>
      </c>
      <c r="AH45" s="4" t="s">
        <v>969</v>
      </c>
      <c r="AI45" s="4">
        <v>1</v>
      </c>
      <c r="AJ45" s="4" t="s">
        <v>1016</v>
      </c>
      <c r="AK45" s="4">
        <v>0</v>
      </c>
      <c r="AL45" s="4" t="s">
        <v>116</v>
      </c>
      <c r="AM45" s="4">
        <v>2</v>
      </c>
      <c r="AN45" s="4">
        <v>0</v>
      </c>
      <c r="AO45" s="4">
        <v>0</v>
      </c>
      <c r="AP45" s="4">
        <v>0.5</v>
      </c>
      <c r="AQ45" s="4">
        <v>0</v>
      </c>
      <c r="AR45" s="4" t="s">
        <v>1057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1</v>
      </c>
      <c r="BH45" s="39">
        <v>0.1</v>
      </c>
      <c r="BI45" s="39">
        <v>0.05</v>
      </c>
      <c r="BJ45" s="39" t="s">
        <v>1125</v>
      </c>
      <c r="BK45" s="39">
        <v>0</v>
      </c>
      <c r="BL45" s="39">
        <v>0</v>
      </c>
      <c r="BM45" s="39">
        <v>0</v>
      </c>
    </row>
    <row r="46" spans="1:65" x14ac:dyDescent="0.25">
      <c r="A46" t="s">
        <v>119</v>
      </c>
      <c r="B46" s="39">
        <v>2</v>
      </c>
      <c r="C46" s="39">
        <v>1</v>
      </c>
      <c r="D46" s="39">
        <v>1</v>
      </c>
      <c r="E46" s="39">
        <v>5</v>
      </c>
      <c r="F46" s="39">
        <v>0</v>
      </c>
      <c r="G46" s="39">
        <v>0</v>
      </c>
      <c r="H46" s="40">
        <v>30.5</v>
      </c>
      <c r="I46" s="41">
        <v>0.24</v>
      </c>
      <c r="J46" s="39">
        <v>1.0900000000000001</v>
      </c>
      <c r="K46" s="39" t="s">
        <v>942</v>
      </c>
      <c r="L46" s="39">
        <v>0</v>
      </c>
      <c r="M46" s="39">
        <v>0</v>
      </c>
      <c r="N46" s="4" t="s">
        <v>955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>
        <v>2</v>
      </c>
      <c r="V46" s="4">
        <v>0.7</v>
      </c>
      <c r="W46" s="4" t="s">
        <v>983</v>
      </c>
      <c r="X46" s="4" t="s">
        <v>984</v>
      </c>
      <c r="Y46" s="4" t="s">
        <v>966</v>
      </c>
      <c r="Z46" s="4">
        <v>1</v>
      </c>
      <c r="AA46" s="4" t="s">
        <v>993</v>
      </c>
      <c r="AB46" s="4" t="s">
        <v>996</v>
      </c>
      <c r="AC46" s="4" t="s">
        <v>1108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1.2</v>
      </c>
      <c r="AJ46" s="4" t="s">
        <v>1016</v>
      </c>
      <c r="AK46" s="4">
        <v>0</v>
      </c>
      <c r="AL46" s="4" t="s">
        <v>1034</v>
      </c>
      <c r="AM46" s="4">
        <v>0</v>
      </c>
      <c r="AN46" s="4">
        <v>0.05</v>
      </c>
      <c r="AO46" s="4">
        <v>0.3</v>
      </c>
      <c r="AP46" s="4" t="s">
        <v>45</v>
      </c>
      <c r="AQ46" s="4">
        <v>0</v>
      </c>
      <c r="AR46" s="4" t="s">
        <v>685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0.5</v>
      </c>
      <c r="BH46" s="39">
        <v>0.15</v>
      </c>
      <c r="BI46" s="39">
        <v>2.5000000000000001E-2</v>
      </c>
      <c r="BJ46" s="39" t="s">
        <v>1125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1090</v>
      </c>
      <c r="B47" s="39">
        <v>1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ref="H47:H57" si="2">AVERAGE(21.6,12,10,13.1)</f>
        <v>14.175000000000001</v>
      </c>
      <c r="I47" s="41">
        <f t="shared" ref="I47:I57" si="3">AVERAGE(0.54,1.5,1.5,0.86)</f>
        <v>1.1000000000000001</v>
      </c>
      <c r="J47" s="39">
        <v>1.0900000000000001</v>
      </c>
      <c r="K47" s="39" t="s">
        <v>942</v>
      </c>
      <c r="L47" s="39">
        <v>0</v>
      </c>
      <c r="M47" s="39">
        <v>0</v>
      </c>
      <c r="N47" s="4" t="s">
        <v>952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993</v>
      </c>
      <c r="AB47" s="4" t="s">
        <v>999</v>
      </c>
      <c r="AC47" s="4" t="s">
        <v>1108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1016</v>
      </c>
      <c r="AK47" s="4">
        <v>0</v>
      </c>
      <c r="AL47" s="4" t="s">
        <v>1027</v>
      </c>
      <c r="AM47" s="4">
        <v>0</v>
      </c>
      <c r="AN47" s="4">
        <v>0</v>
      </c>
      <c r="AO47" s="4">
        <v>0</v>
      </c>
      <c r="AP47" s="4">
        <v>0.5</v>
      </c>
      <c r="AQ47" s="4">
        <v>1</v>
      </c>
      <c r="AR47" s="4" t="s">
        <v>685</v>
      </c>
      <c r="AS47" s="4">
        <v>0</v>
      </c>
      <c r="AT47" s="4">
        <v>0</v>
      </c>
      <c r="AU47" s="4">
        <v>1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1125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1028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14.175000000000001</v>
      </c>
      <c r="I48" s="41">
        <f t="shared" si="3"/>
        <v>1.1000000000000001</v>
      </c>
      <c r="J48" s="39">
        <v>1.0900000000000001</v>
      </c>
      <c r="K48" s="39" t="s">
        <v>942</v>
      </c>
      <c r="L48" s="39">
        <v>0</v>
      </c>
      <c r="M48" s="39">
        <v>0</v>
      </c>
      <c r="N48" s="4" t="s">
        <v>952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1</v>
      </c>
      <c r="AA48" s="4" t="s">
        <v>993</v>
      </c>
      <c r="AB48" s="4" t="s">
        <v>999</v>
      </c>
      <c r="AC48" s="4" t="s">
        <v>1108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1016</v>
      </c>
      <c r="AK48" s="4">
        <v>0</v>
      </c>
      <c r="AL48" s="4" t="s">
        <v>1027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685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</v>
      </c>
      <c r="BI48" s="39">
        <v>0</v>
      </c>
      <c r="BJ48" s="39" t="s">
        <v>1127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1104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14.175000000000001</v>
      </c>
      <c r="I49" s="41">
        <f t="shared" si="3"/>
        <v>1.1000000000000001</v>
      </c>
      <c r="J49" s="39">
        <v>1.0900000000000001</v>
      </c>
      <c r="K49" s="39" t="s">
        <v>942</v>
      </c>
      <c r="L49" s="39">
        <v>0</v>
      </c>
      <c r="M49" s="39">
        <v>0</v>
      </c>
      <c r="N49" s="4" t="s">
        <v>952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</v>
      </c>
      <c r="AA49" s="4" t="s">
        <v>993</v>
      </c>
      <c r="AB49" s="4" t="s">
        <v>999</v>
      </c>
      <c r="AC49" s="4" t="s">
        <v>1108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1016</v>
      </c>
      <c r="AK49" s="4">
        <v>0</v>
      </c>
      <c r="AL49" s="4" t="s">
        <v>1029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1059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2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0.1</v>
      </c>
      <c r="BI49" s="39">
        <v>2.5000000000000001E-2</v>
      </c>
      <c r="BJ49" s="39" t="s">
        <v>1127</v>
      </c>
      <c r="BK49" s="39">
        <v>0</v>
      </c>
      <c r="BL49" s="39">
        <v>0</v>
      </c>
      <c r="BM49" s="39">
        <v>0</v>
      </c>
    </row>
    <row r="50" spans="1:65" x14ac:dyDescent="0.25">
      <c r="A50" t="s">
        <v>123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14.175000000000001</v>
      </c>
      <c r="I50" s="41">
        <f t="shared" si="3"/>
        <v>1.1000000000000001</v>
      </c>
      <c r="J50" s="39">
        <v>1.0900000000000001</v>
      </c>
      <c r="K50" s="39" t="s">
        <v>942</v>
      </c>
      <c r="L50" s="39">
        <v>0</v>
      </c>
      <c r="M50" s="39">
        <v>0</v>
      </c>
      <c r="N50" s="4" t="s">
        <v>952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0.95</v>
      </c>
      <c r="AA50" s="4" t="s">
        <v>993</v>
      </c>
      <c r="AB50" s="4" t="s">
        <v>999</v>
      </c>
      <c r="AC50" s="4" t="s">
        <v>1108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1016</v>
      </c>
      <c r="AK50" s="4">
        <v>0</v>
      </c>
      <c r="AL50" s="4" t="s">
        <v>1029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685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1127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1051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14.175000000000001</v>
      </c>
      <c r="I51" s="41">
        <f t="shared" si="3"/>
        <v>1.1000000000000001</v>
      </c>
      <c r="J51" s="39">
        <v>1.0900000000000001</v>
      </c>
      <c r="K51" s="39" t="s">
        <v>942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968</v>
      </c>
      <c r="S51" s="4" t="s">
        <v>971</v>
      </c>
      <c r="T51" s="4" t="s">
        <v>969</v>
      </c>
      <c r="U51" s="4">
        <v>3</v>
      </c>
      <c r="V51" s="4">
        <v>0.85</v>
      </c>
      <c r="W51" s="4" t="s">
        <v>983</v>
      </c>
      <c r="X51" s="4" t="s">
        <v>984</v>
      </c>
      <c r="Y51" s="4" t="s">
        <v>966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1016</v>
      </c>
      <c r="AK51" s="4">
        <v>0</v>
      </c>
      <c r="AL51" s="4" t="s">
        <v>1380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685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1125</v>
      </c>
      <c r="BK51" s="39">
        <v>0</v>
      </c>
      <c r="BL51" s="39">
        <v>0</v>
      </c>
      <c r="BM51" s="39">
        <v>0</v>
      </c>
    </row>
    <row r="52" spans="1:65" s="16" customFormat="1" x14ac:dyDescent="0.25">
      <c r="A52" s="16" t="s">
        <v>1379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14.175000000000001</v>
      </c>
      <c r="I52" s="41">
        <f t="shared" si="3"/>
        <v>1.1000000000000001</v>
      </c>
      <c r="J52" s="39">
        <v>1.0900000000000001</v>
      </c>
      <c r="K52" s="39" t="s">
        <v>942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968</v>
      </c>
      <c r="S52" s="4" t="s">
        <v>971</v>
      </c>
      <c r="T52" s="4" t="s">
        <v>969</v>
      </c>
      <c r="U52" s="4">
        <v>3</v>
      </c>
      <c r="V52" s="4">
        <v>0.85</v>
      </c>
      <c r="W52" s="4" t="s">
        <v>983</v>
      </c>
      <c r="X52" s="4" t="s">
        <v>984</v>
      </c>
      <c r="Y52" s="4" t="s">
        <v>966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1016</v>
      </c>
      <c r="AK52" s="4">
        <v>0</v>
      </c>
      <c r="AL52" s="4" t="s">
        <v>1031</v>
      </c>
      <c r="AM52" s="4">
        <v>0</v>
      </c>
      <c r="AN52" s="4">
        <v>2.5000000000000001E-2</v>
      </c>
      <c r="AO52" s="4">
        <v>0.1</v>
      </c>
      <c r="AP52" s="4" t="s">
        <v>45</v>
      </c>
      <c r="AQ52" s="4">
        <v>0</v>
      </c>
      <c r="AR52" s="4" t="s">
        <v>685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1125</v>
      </c>
      <c r="BK52" s="39">
        <v>0</v>
      </c>
      <c r="BL52" s="39">
        <v>0</v>
      </c>
      <c r="BM52" s="39">
        <v>0</v>
      </c>
    </row>
    <row r="53" spans="1:65" x14ac:dyDescent="0.25">
      <c r="A53" t="s">
        <v>1056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14.175000000000001</v>
      </c>
      <c r="I53" s="41">
        <f t="shared" si="3"/>
        <v>1.1000000000000001</v>
      </c>
      <c r="J53" s="39">
        <v>1.0900000000000001</v>
      </c>
      <c r="K53" s="39" t="s">
        <v>942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968</v>
      </c>
      <c r="S53" s="4" t="s">
        <v>971</v>
      </c>
      <c r="T53" s="4" t="s">
        <v>969</v>
      </c>
      <c r="U53" s="4">
        <v>3</v>
      </c>
      <c r="V53" s="4">
        <v>0.85</v>
      </c>
      <c r="W53" s="4" t="s">
        <v>983</v>
      </c>
      <c r="X53" s="4" t="s">
        <v>984</v>
      </c>
      <c r="Y53" s="4" t="s">
        <v>966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1016</v>
      </c>
      <c r="AK53" s="4">
        <v>0</v>
      </c>
      <c r="AL53" s="4" t="s">
        <v>1031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685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0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1125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1054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14.175000000000001</v>
      </c>
      <c r="I54" s="41">
        <f t="shared" si="3"/>
        <v>1.1000000000000001</v>
      </c>
      <c r="J54" s="39">
        <v>1.0900000000000001</v>
      </c>
      <c r="K54" s="39" t="s">
        <v>942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968</v>
      </c>
      <c r="S54" s="4" t="s">
        <v>971</v>
      </c>
      <c r="T54" s="4" t="s">
        <v>969</v>
      </c>
      <c r="U54" s="4">
        <v>3</v>
      </c>
      <c r="V54" s="4">
        <v>0.85</v>
      </c>
      <c r="W54" s="4" t="s">
        <v>983</v>
      </c>
      <c r="X54" s="4" t="s">
        <v>984</v>
      </c>
      <c r="Y54" s="4" t="s">
        <v>969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1016</v>
      </c>
      <c r="AK54" s="4">
        <v>1</v>
      </c>
      <c r="AL54" s="4" t="s">
        <v>1031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685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1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1125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1055</v>
      </c>
      <c r="B55" s="39">
        <v>0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14.175000000000001</v>
      </c>
      <c r="I55" s="41">
        <f t="shared" si="3"/>
        <v>1.1000000000000001</v>
      </c>
      <c r="J55" s="39">
        <v>1.0900000000000001</v>
      </c>
      <c r="K55" s="39" t="s">
        <v>942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968</v>
      </c>
      <c r="S55" s="4" t="s">
        <v>971</v>
      </c>
      <c r="T55" s="4" t="s">
        <v>969</v>
      </c>
      <c r="U55" s="4">
        <v>3</v>
      </c>
      <c r="V55" s="4">
        <v>0.85</v>
      </c>
      <c r="W55" s="4" t="s">
        <v>983</v>
      </c>
      <c r="X55" s="4" t="s">
        <v>985</v>
      </c>
      <c r="Y55" s="4" t="s">
        <v>966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1016</v>
      </c>
      <c r="AK55" s="4">
        <v>1</v>
      </c>
      <c r="AL55" s="4" t="s">
        <v>1031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685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1125</v>
      </c>
      <c r="BK55" s="39">
        <v>0</v>
      </c>
      <c r="BL55" s="39">
        <v>0</v>
      </c>
      <c r="BM55" s="39">
        <v>0</v>
      </c>
    </row>
    <row r="56" spans="1:65" s="16" customFormat="1" x14ac:dyDescent="0.25">
      <c r="A56" s="16" t="s">
        <v>1387</v>
      </c>
      <c r="B56" s="39">
        <v>0</v>
      </c>
      <c r="C56" s="39">
        <v>0.85</v>
      </c>
      <c r="D56" s="39">
        <v>1</v>
      </c>
      <c r="E56" s="39">
        <v>5</v>
      </c>
      <c r="F56" s="39">
        <v>1</v>
      </c>
      <c r="G56" s="39">
        <v>0</v>
      </c>
      <c r="H56" s="40">
        <f t="shared" si="2"/>
        <v>14.175000000000001</v>
      </c>
      <c r="I56" s="41">
        <f t="shared" si="3"/>
        <v>1.1000000000000001</v>
      </c>
      <c r="J56" s="39">
        <v>1.0900000000000001</v>
      </c>
      <c r="K56" s="39" t="s">
        <v>942</v>
      </c>
      <c r="L56" s="39">
        <v>0</v>
      </c>
      <c r="M56" s="39">
        <v>0</v>
      </c>
      <c r="N56" s="4" t="s">
        <v>45</v>
      </c>
      <c r="O56" s="4">
        <v>0</v>
      </c>
      <c r="P56" s="4">
        <v>1</v>
      </c>
      <c r="Q56" s="4">
        <v>1</v>
      </c>
      <c r="R56" s="4" t="s">
        <v>968</v>
      </c>
      <c r="S56" s="4" t="s">
        <v>971</v>
      </c>
      <c r="T56" s="4" t="s">
        <v>969</v>
      </c>
      <c r="U56" s="4">
        <v>3</v>
      </c>
      <c r="V56" s="4">
        <v>0.85</v>
      </c>
      <c r="W56" s="4" t="s">
        <v>983</v>
      </c>
      <c r="X56" s="4" t="s">
        <v>985</v>
      </c>
      <c r="Y56" s="4" t="s">
        <v>966</v>
      </c>
      <c r="Z56" s="4" t="s">
        <v>45</v>
      </c>
      <c r="AA56" s="4" t="s">
        <v>45</v>
      </c>
      <c r="AB56" s="4" t="s">
        <v>45</v>
      </c>
      <c r="AC56" s="4" t="s">
        <v>45</v>
      </c>
      <c r="AD56" s="39">
        <v>0</v>
      </c>
      <c r="AE56" s="4" t="s">
        <v>45</v>
      </c>
      <c r="AF56" s="4" t="s">
        <v>45</v>
      </c>
      <c r="AG56" s="4" t="s">
        <v>45</v>
      </c>
      <c r="AH56" s="4" t="s">
        <v>45</v>
      </c>
      <c r="AI56" s="4">
        <v>1</v>
      </c>
      <c r="AJ56" s="4" t="s">
        <v>1016</v>
      </c>
      <c r="AK56" s="4">
        <v>1</v>
      </c>
      <c r="AL56" s="4" t="s">
        <v>1380</v>
      </c>
      <c r="AM56" s="4">
        <v>0</v>
      </c>
      <c r="AN56" s="4">
        <v>0</v>
      </c>
      <c r="AO56" s="4">
        <v>0</v>
      </c>
      <c r="AP56" s="4" t="s">
        <v>45</v>
      </c>
      <c r="AQ56" s="4">
        <v>0</v>
      </c>
      <c r="AR56" s="4" t="s">
        <v>685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0</v>
      </c>
      <c r="BD56" s="4">
        <v>0</v>
      </c>
      <c r="BE56" s="4">
        <v>0</v>
      </c>
      <c r="BF56" s="4">
        <v>1</v>
      </c>
      <c r="BG56" s="39">
        <v>0.5</v>
      </c>
      <c r="BH56" s="39">
        <v>0</v>
      </c>
      <c r="BI56" s="39">
        <v>0</v>
      </c>
      <c r="BJ56" s="39" t="s">
        <v>1125</v>
      </c>
      <c r="BK56" s="39">
        <v>0</v>
      </c>
      <c r="BL56" s="39">
        <v>0</v>
      </c>
      <c r="BM56" s="39">
        <v>0</v>
      </c>
    </row>
    <row r="57" spans="1:65" s="16" customFormat="1" x14ac:dyDescent="0.25">
      <c r="A57" s="16" t="s">
        <v>140</v>
      </c>
      <c r="B57" s="39">
        <v>1</v>
      </c>
      <c r="C57" s="39">
        <v>0.85</v>
      </c>
      <c r="D57" s="39">
        <v>1</v>
      </c>
      <c r="E57" s="39">
        <v>5</v>
      </c>
      <c r="F57" s="39">
        <v>1</v>
      </c>
      <c r="G57" s="39">
        <v>0</v>
      </c>
      <c r="H57" s="40">
        <f t="shared" si="2"/>
        <v>14.175000000000001</v>
      </c>
      <c r="I57" s="41">
        <f t="shared" si="3"/>
        <v>1.1000000000000001</v>
      </c>
      <c r="J57" s="39">
        <v>1.0900000000000001</v>
      </c>
      <c r="K57" s="39" t="s">
        <v>942</v>
      </c>
      <c r="L57" s="39">
        <v>0</v>
      </c>
      <c r="M57" s="39">
        <v>0</v>
      </c>
      <c r="N57" s="4" t="s">
        <v>45</v>
      </c>
      <c r="O57" s="4">
        <v>0</v>
      </c>
      <c r="P57" s="4">
        <v>1</v>
      </c>
      <c r="Q57" s="4">
        <v>1</v>
      </c>
      <c r="R57" s="4" t="s">
        <v>968</v>
      </c>
      <c r="S57" s="4" t="s">
        <v>971</v>
      </c>
      <c r="T57" s="4" t="s">
        <v>969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 t="s">
        <v>45</v>
      </c>
      <c r="AA57" s="4" t="s">
        <v>45</v>
      </c>
      <c r="AB57" s="4" t="s">
        <v>45</v>
      </c>
      <c r="AC57" s="4" t="s">
        <v>45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1016</v>
      </c>
      <c r="AK57" s="4">
        <v>1</v>
      </c>
      <c r="AL57" s="4" t="s">
        <v>1031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685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1</v>
      </c>
      <c r="BC57" s="4">
        <v>0</v>
      </c>
      <c r="BD57" s="4">
        <v>0</v>
      </c>
      <c r="BE57" s="4">
        <v>0</v>
      </c>
      <c r="BF57" s="4">
        <v>1</v>
      </c>
      <c r="BG57" s="39">
        <v>0.5</v>
      </c>
      <c r="BH57" s="39">
        <v>0</v>
      </c>
      <c r="BI57" s="39">
        <v>0</v>
      </c>
      <c r="BJ57" s="39" t="s">
        <v>1131</v>
      </c>
      <c r="BK57" s="39">
        <v>0</v>
      </c>
      <c r="BL57" s="39">
        <v>0</v>
      </c>
      <c r="BM57" s="39">
        <v>0</v>
      </c>
    </row>
    <row r="58" spans="1:65" x14ac:dyDescent="0.25">
      <c r="A58" t="s">
        <v>171</v>
      </c>
      <c r="B58" s="39">
        <v>1</v>
      </c>
      <c r="C58" s="39">
        <v>1</v>
      </c>
      <c r="D58" s="39">
        <v>0</v>
      </c>
      <c r="E58" s="39">
        <v>5</v>
      </c>
      <c r="F58" s="39">
        <v>0</v>
      </c>
      <c r="G58" s="39">
        <v>0</v>
      </c>
      <c r="H58" s="40">
        <f>AVERAGE(65.2,57.2,43.4)</f>
        <v>55.266666666666673</v>
      </c>
      <c r="I58" s="41">
        <f>AVERAGE(31.29%,20.98%,15.21%)</f>
        <v>0.22493333333333335</v>
      </c>
      <c r="J58" s="39">
        <v>1.86</v>
      </c>
      <c r="K58" s="39" t="s">
        <v>942</v>
      </c>
      <c r="L58" s="39">
        <v>1</v>
      </c>
      <c r="M58" s="39">
        <v>0</v>
      </c>
      <c r="N58" s="4" t="s">
        <v>955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0.85</v>
      </c>
      <c r="AA58" s="4" t="s">
        <v>993</v>
      </c>
      <c r="AB58" s="4" t="s">
        <v>996</v>
      </c>
      <c r="AC58" s="4" t="s">
        <v>1108</v>
      </c>
      <c r="AD58" s="39">
        <v>1</v>
      </c>
      <c r="AE58" s="4">
        <v>0.65</v>
      </c>
      <c r="AF58" s="4" t="s">
        <v>1007</v>
      </c>
      <c r="AG58" s="4" t="s">
        <v>1013</v>
      </c>
      <c r="AH58" s="4" t="s">
        <v>966</v>
      </c>
      <c r="AI58" s="4">
        <v>1.2</v>
      </c>
      <c r="AJ58" s="4" t="s">
        <v>1016</v>
      </c>
      <c r="AK58" s="4">
        <v>0</v>
      </c>
      <c r="AL58" s="4" t="s">
        <v>1029</v>
      </c>
      <c r="AM58" s="4">
        <v>0</v>
      </c>
      <c r="AN58" s="4">
        <v>0.05</v>
      </c>
      <c r="AO58" s="4">
        <v>0.3</v>
      </c>
      <c r="AP58" s="4" t="s">
        <v>45</v>
      </c>
      <c r="AQ58" s="4">
        <v>0</v>
      </c>
      <c r="AR58" s="4" t="s">
        <v>1059</v>
      </c>
      <c r="AS58" s="4">
        <v>0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1</v>
      </c>
      <c r="BC58" s="4">
        <v>1</v>
      </c>
      <c r="BD58" s="4">
        <v>0</v>
      </c>
      <c r="BE58" s="4">
        <v>0</v>
      </c>
      <c r="BF58" s="4">
        <v>1</v>
      </c>
      <c r="BG58" s="39">
        <v>0.25</v>
      </c>
      <c r="BH58" s="39">
        <v>0.1</v>
      </c>
      <c r="BI58" s="39">
        <v>2.5000000000000001E-2</v>
      </c>
      <c r="BJ58" s="39" t="s">
        <v>1125</v>
      </c>
      <c r="BK58" s="39">
        <v>0</v>
      </c>
      <c r="BL58" s="39">
        <v>0</v>
      </c>
      <c r="BM58" s="39">
        <v>0</v>
      </c>
    </row>
    <row r="59" spans="1:65" x14ac:dyDescent="0.25">
      <c r="A59" t="s">
        <v>672</v>
      </c>
      <c r="B59" s="39">
        <v>0</v>
      </c>
      <c r="C59" s="39">
        <v>1</v>
      </c>
      <c r="D59" s="39">
        <v>0</v>
      </c>
      <c r="E59" s="39">
        <v>11</v>
      </c>
      <c r="F59" s="39">
        <v>0</v>
      </c>
      <c r="G59" s="39">
        <v>0</v>
      </c>
      <c r="H59" s="40">
        <v>267</v>
      </c>
      <c r="I59" s="41">
        <f>H59/1000/54</f>
        <v>4.9444444444444449E-3</v>
      </c>
      <c r="J59" s="39">
        <v>2.7</v>
      </c>
      <c r="K59" s="39">
        <v>0.32</v>
      </c>
      <c r="L59" s="39">
        <v>1</v>
      </c>
      <c r="M59" s="39">
        <v>0</v>
      </c>
      <c r="N59" s="4" t="s">
        <v>956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1</v>
      </c>
      <c r="AA59" s="4" t="s">
        <v>992</v>
      </c>
      <c r="AB59" s="4" t="s">
        <v>1000</v>
      </c>
      <c r="AC59" s="4" t="s">
        <v>1108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1019</v>
      </c>
      <c r="AK59" s="4">
        <v>0</v>
      </c>
      <c r="AL59" s="4" t="s">
        <v>672</v>
      </c>
      <c r="AM59" s="4">
        <v>0</v>
      </c>
      <c r="AN59" s="4">
        <v>0</v>
      </c>
      <c r="AO59" s="4">
        <v>0</v>
      </c>
      <c r="AP59" s="4" t="s">
        <v>45</v>
      </c>
      <c r="AQ59" s="4">
        <v>0</v>
      </c>
      <c r="AR59" s="4" t="s">
        <v>685</v>
      </c>
      <c r="AS59" s="4">
        <v>0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1</v>
      </c>
      <c r="BD59" s="4">
        <v>0</v>
      </c>
      <c r="BE59" s="4">
        <v>0</v>
      </c>
      <c r="BF59" s="4">
        <v>0</v>
      </c>
      <c r="BG59" s="39">
        <v>0.25</v>
      </c>
      <c r="BH59" s="39">
        <v>0</v>
      </c>
      <c r="BI59" s="39">
        <v>0</v>
      </c>
      <c r="BJ59" s="39" t="s">
        <v>1127</v>
      </c>
      <c r="BK59" s="39">
        <v>0</v>
      </c>
      <c r="BL59" s="39">
        <v>0</v>
      </c>
      <c r="BM59" s="39">
        <v>0</v>
      </c>
    </row>
    <row r="60" spans="1:65" s="16" customFormat="1" x14ac:dyDescent="0.25">
      <c r="A60" s="16" t="s">
        <v>1110</v>
      </c>
      <c r="B60" s="39">
        <v>2</v>
      </c>
      <c r="C60" s="39">
        <v>1.5</v>
      </c>
      <c r="D60" s="39">
        <v>0</v>
      </c>
      <c r="E60" s="39">
        <v>1</v>
      </c>
      <c r="F60" s="39">
        <v>0</v>
      </c>
      <c r="G60" s="39">
        <v>0</v>
      </c>
      <c r="H60" s="40">
        <v>21</v>
      </c>
      <c r="I60" s="41">
        <v>0.85</v>
      </c>
      <c r="J60" s="39">
        <v>1.0900000000000001</v>
      </c>
      <c r="K60" s="39" t="s">
        <v>942</v>
      </c>
      <c r="L60" s="39">
        <v>0</v>
      </c>
      <c r="M60" s="39">
        <v>0</v>
      </c>
      <c r="N60" s="4" t="s">
        <v>174</v>
      </c>
      <c r="O60" s="4">
        <v>0</v>
      </c>
      <c r="P60" s="4">
        <v>0</v>
      </c>
      <c r="Q60" s="4" t="s">
        <v>45</v>
      </c>
      <c r="R60" s="4" t="s">
        <v>45</v>
      </c>
      <c r="S60" s="4" t="s">
        <v>45</v>
      </c>
      <c r="T60" s="4" t="s">
        <v>45</v>
      </c>
      <c r="U60" s="4" t="s">
        <v>45</v>
      </c>
      <c r="V60" s="4" t="s">
        <v>45</v>
      </c>
      <c r="W60" s="4" t="s">
        <v>45</v>
      </c>
      <c r="X60" s="4" t="s">
        <v>45</v>
      </c>
      <c r="Y60" s="4" t="s">
        <v>45</v>
      </c>
      <c r="Z60" s="4">
        <v>0.8</v>
      </c>
      <c r="AA60" s="4" t="s">
        <v>992</v>
      </c>
      <c r="AB60" s="4" t="s">
        <v>1001</v>
      </c>
      <c r="AC60" s="4" t="s">
        <v>1109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</v>
      </c>
      <c r="AJ60" s="4" t="s">
        <v>1017</v>
      </c>
      <c r="AK60" s="4">
        <v>0</v>
      </c>
      <c r="AL60" s="4" t="s">
        <v>174</v>
      </c>
      <c r="AM60" s="4">
        <v>0</v>
      </c>
      <c r="AN60" s="4">
        <v>0.1</v>
      </c>
      <c r="AO60" s="4">
        <v>0.3</v>
      </c>
      <c r="AP60" s="4" t="s">
        <v>45</v>
      </c>
      <c r="AQ60" s="4">
        <v>0</v>
      </c>
      <c r="AR60" s="4" t="s">
        <v>685</v>
      </c>
      <c r="AS60" s="4">
        <v>1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1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39">
        <v>0.5</v>
      </c>
      <c r="BH60" s="39">
        <v>0.1</v>
      </c>
      <c r="BI60" s="39">
        <v>2.5000000000000001E-2</v>
      </c>
      <c r="BJ60" s="39" t="s">
        <v>1132</v>
      </c>
      <c r="BK60" s="39">
        <v>0</v>
      </c>
      <c r="BL60" s="39">
        <v>0</v>
      </c>
      <c r="BM60" s="39">
        <v>0</v>
      </c>
    </row>
    <row r="61" spans="1:65" s="16" customFormat="1" x14ac:dyDescent="0.25">
      <c r="A61" s="16" t="s">
        <v>1377</v>
      </c>
      <c r="B61" s="39">
        <v>2</v>
      </c>
      <c r="C61" s="39">
        <v>1.5</v>
      </c>
      <c r="D61" s="39">
        <v>0</v>
      </c>
      <c r="E61" s="39">
        <v>1</v>
      </c>
      <c r="F61" s="39">
        <v>0</v>
      </c>
      <c r="G61" s="39">
        <v>0</v>
      </c>
      <c r="H61" s="40">
        <v>21</v>
      </c>
      <c r="I61" s="41">
        <v>0.85</v>
      </c>
      <c r="J61" s="39">
        <v>1.0900000000000001</v>
      </c>
      <c r="K61" s="39" t="s">
        <v>942</v>
      </c>
      <c r="L61" s="39">
        <v>0</v>
      </c>
      <c r="M61" s="39">
        <v>0</v>
      </c>
      <c r="N61" s="4" t="s">
        <v>174</v>
      </c>
      <c r="O61" s="4">
        <v>0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0.3</v>
      </c>
      <c r="AA61" s="4" t="s">
        <v>992</v>
      </c>
      <c r="AB61" s="4" t="s">
        <v>1001</v>
      </c>
      <c r="AC61" s="4" t="s">
        <v>1109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1017</v>
      </c>
      <c r="AK61" s="4">
        <v>0</v>
      </c>
      <c r="AL61" s="4" t="s">
        <v>1378</v>
      </c>
      <c r="AM61" s="4">
        <v>0</v>
      </c>
      <c r="AN61" s="4">
        <v>0.1</v>
      </c>
      <c r="AO61" s="4">
        <v>0.3</v>
      </c>
      <c r="AP61" s="4" t="s">
        <v>45</v>
      </c>
      <c r="AQ61" s="4">
        <v>0</v>
      </c>
      <c r="AR61" s="4" t="s">
        <v>685</v>
      </c>
      <c r="AS61" s="4">
        <v>1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1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39">
        <v>0.5</v>
      </c>
      <c r="BH61" s="39">
        <v>0.1</v>
      </c>
      <c r="BI61" s="39">
        <v>2.5000000000000001E-2</v>
      </c>
      <c r="BJ61" s="39" t="s">
        <v>1132</v>
      </c>
      <c r="BK61" s="39">
        <v>0</v>
      </c>
      <c r="BL61" s="39">
        <v>0</v>
      </c>
      <c r="BM61" s="39">
        <v>0</v>
      </c>
    </row>
    <row r="62" spans="1:65" x14ac:dyDescent="0.25">
      <c r="A62" t="s">
        <v>174</v>
      </c>
      <c r="B62" s="39">
        <v>2</v>
      </c>
      <c r="C62" s="39">
        <v>1.5</v>
      </c>
      <c r="D62" s="39">
        <v>0</v>
      </c>
      <c r="E62" s="39">
        <v>1</v>
      </c>
      <c r="F62" s="39">
        <v>0</v>
      </c>
      <c r="G62" s="39">
        <v>0</v>
      </c>
      <c r="H62" s="40">
        <v>21</v>
      </c>
      <c r="I62" s="41">
        <v>0.85</v>
      </c>
      <c r="J62" s="39">
        <v>1.0900000000000001</v>
      </c>
      <c r="K62" s="39" t="s">
        <v>942</v>
      </c>
      <c r="L62" s="39">
        <v>0</v>
      </c>
      <c r="M62" s="39">
        <v>0</v>
      </c>
      <c r="N62" s="4" t="s">
        <v>174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0.8</v>
      </c>
      <c r="AA62" s="4" t="s">
        <v>992</v>
      </c>
      <c r="AB62" s="4" t="s">
        <v>1001</v>
      </c>
      <c r="AC62" s="4" t="s">
        <v>1108</v>
      </c>
      <c r="AD62" s="39">
        <v>0</v>
      </c>
      <c r="AE62" s="4" t="s">
        <v>45</v>
      </c>
      <c r="AF62" s="4" t="s">
        <v>45</v>
      </c>
      <c r="AG62" s="4" t="s">
        <v>45</v>
      </c>
      <c r="AH62" s="4" t="s">
        <v>45</v>
      </c>
      <c r="AI62" s="4">
        <v>1</v>
      </c>
      <c r="AJ62" s="4" t="s">
        <v>1017</v>
      </c>
      <c r="AK62" s="4">
        <v>0</v>
      </c>
      <c r="AL62" s="4" t="s">
        <v>174</v>
      </c>
      <c r="AM62" s="4">
        <v>0</v>
      </c>
      <c r="AN62" s="4">
        <v>0.1</v>
      </c>
      <c r="AO62" s="4">
        <v>0.3</v>
      </c>
      <c r="AP62" s="4" t="s">
        <v>45</v>
      </c>
      <c r="AQ62" s="4">
        <v>0</v>
      </c>
      <c r="AR62" s="4" t="s">
        <v>685</v>
      </c>
      <c r="AS62" s="4">
        <v>1</v>
      </c>
      <c r="AT62" s="4">
        <v>0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0</v>
      </c>
      <c r="BA62" s="4">
        <v>1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39">
        <v>0.5</v>
      </c>
      <c r="BH62" s="39">
        <v>0.1</v>
      </c>
      <c r="BI62" s="39">
        <v>2.5000000000000001E-2</v>
      </c>
      <c r="BJ62" s="39" t="s">
        <v>1132</v>
      </c>
      <c r="BK62" s="39">
        <v>0</v>
      </c>
      <c r="BL62" s="39">
        <v>0</v>
      </c>
      <c r="BM62" s="39">
        <v>0</v>
      </c>
    </row>
    <row r="63" spans="1:65" x14ac:dyDescent="0.25">
      <c r="A63" t="s">
        <v>117</v>
      </c>
      <c r="B63" s="39">
        <v>2</v>
      </c>
      <c r="C63" s="39">
        <v>2</v>
      </c>
      <c r="D63" s="39">
        <v>0</v>
      </c>
      <c r="E63" s="39">
        <v>5</v>
      </c>
      <c r="F63" s="39">
        <v>2</v>
      </c>
      <c r="G63" s="39">
        <v>0</v>
      </c>
      <c r="H63" s="40">
        <v>200</v>
      </c>
      <c r="I63" s="41">
        <v>0.2</v>
      </c>
      <c r="J63" s="39">
        <v>1.0900000000000001</v>
      </c>
      <c r="K63" s="39" t="s">
        <v>942</v>
      </c>
      <c r="L63" s="39">
        <v>1</v>
      </c>
      <c r="M63" s="39">
        <v>0</v>
      </c>
      <c r="N63" s="4" t="s">
        <v>45</v>
      </c>
      <c r="O63" s="4">
        <v>0</v>
      </c>
      <c r="P63" s="4">
        <v>1</v>
      </c>
      <c r="Q63" s="4">
        <v>0.9</v>
      </c>
      <c r="R63" s="4" t="s">
        <v>968</v>
      </c>
      <c r="S63" s="4" t="s">
        <v>970</v>
      </c>
      <c r="T63" s="4" t="s">
        <v>969</v>
      </c>
      <c r="U63" s="4">
        <v>2</v>
      </c>
      <c r="V63" s="4">
        <v>0.6</v>
      </c>
      <c r="W63" s="4" t="s">
        <v>983</v>
      </c>
      <c r="X63" s="4" t="s">
        <v>984</v>
      </c>
      <c r="Y63" s="4" t="s">
        <v>966</v>
      </c>
      <c r="Z63" s="4" t="s">
        <v>45</v>
      </c>
      <c r="AA63" s="4" t="s">
        <v>45</v>
      </c>
      <c r="AB63" s="4" t="s">
        <v>45</v>
      </c>
      <c r="AC63" s="4" t="s">
        <v>45</v>
      </c>
      <c r="AD63" s="39">
        <v>0</v>
      </c>
      <c r="AE63" s="4" t="s">
        <v>45</v>
      </c>
      <c r="AF63" s="4" t="s">
        <v>45</v>
      </c>
      <c r="AG63" s="4" t="s">
        <v>45</v>
      </c>
      <c r="AH63" s="4" t="s">
        <v>45</v>
      </c>
      <c r="AI63" s="4">
        <v>1.5</v>
      </c>
      <c r="AJ63" s="4" t="s">
        <v>1016</v>
      </c>
      <c r="AK63" s="4">
        <v>0</v>
      </c>
      <c r="AL63" s="4" t="s">
        <v>1034</v>
      </c>
      <c r="AM63" s="4">
        <v>0</v>
      </c>
      <c r="AN63" s="4">
        <v>0</v>
      </c>
      <c r="AO63" s="4">
        <v>1</v>
      </c>
      <c r="AP63" s="4" t="s">
        <v>45</v>
      </c>
      <c r="AQ63" s="4">
        <v>0</v>
      </c>
      <c r="AR63" s="4" t="s">
        <v>1057</v>
      </c>
      <c r="AS63" s="4">
        <v>0</v>
      </c>
      <c r="AT63" s="4">
        <v>0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1</v>
      </c>
      <c r="BC63" s="4">
        <v>1</v>
      </c>
      <c r="BD63" s="4">
        <v>0</v>
      </c>
      <c r="BE63" s="4">
        <v>0</v>
      </c>
      <c r="BF63" s="4">
        <v>0</v>
      </c>
      <c r="BG63" s="39">
        <v>0.7</v>
      </c>
      <c r="BH63" s="39">
        <v>0.15</v>
      </c>
      <c r="BI63" s="39">
        <v>0.05</v>
      </c>
      <c r="BJ63" s="39" t="s">
        <v>1131</v>
      </c>
      <c r="BK63" s="39">
        <v>0</v>
      </c>
      <c r="BL63" s="39">
        <v>1</v>
      </c>
      <c r="BM63" s="39">
        <v>0</v>
      </c>
    </row>
    <row r="64" spans="1:65" x14ac:dyDescent="0.25">
      <c r="A64" t="s">
        <v>177</v>
      </c>
      <c r="B64" s="39">
        <v>1</v>
      </c>
      <c r="C64" s="39">
        <v>1.3</v>
      </c>
      <c r="D64" s="39">
        <v>1</v>
      </c>
      <c r="E64" s="39">
        <v>1</v>
      </c>
      <c r="F64" s="39">
        <v>0</v>
      </c>
      <c r="G64" s="39">
        <v>0</v>
      </c>
      <c r="H64" s="40">
        <v>165.1</v>
      </c>
      <c r="I64" s="41">
        <f>H64/AVERAGE(985,530,315,500,256,230)</f>
        <v>0.35177556818181821</v>
      </c>
      <c r="J64" s="39">
        <f>AVERAGE(1.52,1.47,1)</f>
        <v>1.33</v>
      </c>
      <c r="K64" s="39">
        <v>0.32</v>
      </c>
      <c r="L64" s="39">
        <v>1</v>
      </c>
      <c r="M64" s="39">
        <v>0</v>
      </c>
      <c r="N64" s="4" t="s">
        <v>956</v>
      </c>
      <c r="O64" s="4">
        <v>1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1</v>
      </c>
      <c r="AA64" s="4" t="s">
        <v>991</v>
      </c>
      <c r="AB64" s="4" t="s">
        <v>995</v>
      </c>
      <c r="AC64" s="4" t="s">
        <v>1108</v>
      </c>
      <c r="AD64" s="39">
        <v>0</v>
      </c>
      <c r="AE64" s="4" t="s">
        <v>45</v>
      </c>
      <c r="AF64" s="4" t="s">
        <v>45</v>
      </c>
      <c r="AG64" s="4" t="s">
        <v>45</v>
      </c>
      <c r="AH64" s="4" t="s">
        <v>45</v>
      </c>
      <c r="AI64" s="4">
        <v>1</v>
      </c>
      <c r="AJ64" s="4" t="s">
        <v>1017</v>
      </c>
      <c r="AK64" s="4">
        <v>0</v>
      </c>
      <c r="AL64" s="4" t="s">
        <v>1133</v>
      </c>
      <c r="AM64" s="4">
        <v>0</v>
      </c>
      <c r="AN64" s="4">
        <v>0</v>
      </c>
      <c r="AO64" s="4">
        <v>0</v>
      </c>
      <c r="AP64" s="4" t="s">
        <v>45</v>
      </c>
      <c r="AQ64" s="4">
        <v>0</v>
      </c>
      <c r="AR64" s="4" t="s">
        <v>685</v>
      </c>
      <c r="AS64" s="4">
        <v>0</v>
      </c>
      <c r="AT64" s="4">
        <v>0</v>
      </c>
      <c r="AU64" s="4">
        <v>0</v>
      </c>
      <c r="AV64" s="4" t="s">
        <v>45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1</v>
      </c>
      <c r="BD64" s="4">
        <v>0</v>
      </c>
      <c r="BE64" s="4">
        <v>0</v>
      </c>
      <c r="BF64" s="4">
        <v>1</v>
      </c>
      <c r="BG64" s="39">
        <v>0.25</v>
      </c>
      <c r="BH64" s="39">
        <v>0</v>
      </c>
      <c r="BI64" s="39">
        <v>0</v>
      </c>
      <c r="BJ64" s="39" t="s">
        <v>1127</v>
      </c>
      <c r="BK64" s="39">
        <v>0</v>
      </c>
      <c r="BL64" s="39">
        <v>0</v>
      </c>
      <c r="BM64" s="39">
        <v>0</v>
      </c>
    </row>
    <row r="65" spans="1:65" x14ac:dyDescent="0.25">
      <c r="A65" t="s">
        <v>181</v>
      </c>
      <c r="B65" s="39">
        <v>1</v>
      </c>
      <c r="C65" s="39">
        <v>1.1000000000000001</v>
      </c>
      <c r="D65" s="39">
        <v>0</v>
      </c>
      <c r="E65" s="39">
        <v>1</v>
      </c>
      <c r="F65" s="39">
        <v>1</v>
      </c>
      <c r="G65" s="39">
        <v>0</v>
      </c>
      <c r="H65" s="40">
        <f>MAX(21.6,12,10,13.1)</f>
        <v>21.6</v>
      </c>
      <c r="I65" s="41">
        <f>MAX(0.54,1.5,1.5,0.86)</f>
        <v>1.5</v>
      </c>
      <c r="J65" s="39">
        <v>1.0900000000000001</v>
      </c>
      <c r="K65" s="42">
        <f>AVERAGE(0.13,0.106,0.134,0.129)</f>
        <v>0.12475</v>
      </c>
      <c r="L65" s="39">
        <v>0</v>
      </c>
      <c r="M65" s="39">
        <v>0</v>
      </c>
      <c r="N65" s="4" t="s">
        <v>953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0.85</v>
      </c>
      <c r="AA65" s="4" t="s">
        <v>993</v>
      </c>
      <c r="AB65" s="4" t="s">
        <v>997</v>
      </c>
      <c r="AC65" s="4" t="s">
        <v>1108</v>
      </c>
      <c r="AD65" s="39">
        <v>1</v>
      </c>
      <c r="AE65" s="4">
        <v>0.65</v>
      </c>
      <c r="AF65" s="4" t="s">
        <v>1007</v>
      </c>
      <c r="AG65" s="4" t="s">
        <v>1013</v>
      </c>
      <c r="AH65" s="4" t="s">
        <v>966</v>
      </c>
      <c r="AI65" s="4">
        <v>1.2</v>
      </c>
      <c r="AJ65" s="4" t="s">
        <v>1016</v>
      </c>
      <c r="AK65" s="4">
        <v>0</v>
      </c>
      <c r="AL65" s="4" t="s">
        <v>1027</v>
      </c>
      <c r="AM65" s="4">
        <v>1</v>
      </c>
      <c r="AN65" s="4">
        <v>0.1</v>
      </c>
      <c r="AO65" s="4">
        <v>0.3</v>
      </c>
      <c r="AP65" s="4">
        <v>0.5</v>
      </c>
      <c r="AQ65" s="4">
        <v>0</v>
      </c>
      <c r="AR65" s="4" t="s">
        <v>1057</v>
      </c>
      <c r="AS65" s="4">
        <v>1</v>
      </c>
      <c r="AT65" s="4">
        <v>1</v>
      </c>
      <c r="AU65" s="4">
        <v>0</v>
      </c>
      <c r="AV65" s="4" t="s">
        <v>45</v>
      </c>
      <c r="AW65" s="4">
        <v>0</v>
      </c>
      <c r="AX65" s="4">
        <v>0</v>
      </c>
      <c r="AY65" s="4">
        <v>0</v>
      </c>
      <c r="AZ65" s="4">
        <v>2</v>
      </c>
      <c r="BA65" s="4">
        <v>0</v>
      </c>
      <c r="BB65" s="4">
        <v>1</v>
      </c>
      <c r="BC65" s="4">
        <v>0</v>
      </c>
      <c r="BD65" s="4">
        <v>0</v>
      </c>
      <c r="BE65" s="4">
        <v>0</v>
      </c>
      <c r="BF65" s="4">
        <v>0</v>
      </c>
      <c r="BG65" s="39">
        <v>0.7</v>
      </c>
      <c r="BH65" s="39">
        <v>0.15</v>
      </c>
      <c r="BI65" s="39">
        <v>2.5000000000000001E-2</v>
      </c>
      <c r="BJ65" s="39" t="s">
        <v>1125</v>
      </c>
      <c r="BK65" s="39">
        <v>0</v>
      </c>
      <c r="BL65" s="39">
        <v>0</v>
      </c>
      <c r="BM65" s="39">
        <v>0</v>
      </c>
    </row>
    <row r="66" spans="1:65" s="16" customFormat="1" x14ac:dyDescent="0.25">
      <c r="A66" s="16" t="s">
        <v>1352</v>
      </c>
      <c r="B66" s="39">
        <v>1</v>
      </c>
      <c r="C66" s="4" t="s">
        <v>1228</v>
      </c>
      <c r="D66" s="39">
        <v>0</v>
      </c>
      <c r="E66" s="39">
        <v>1</v>
      </c>
      <c r="F66" s="39">
        <v>1</v>
      </c>
      <c r="G66" s="39">
        <v>0</v>
      </c>
      <c r="H66" s="40">
        <f>MAX(21.6,12,10,13.1)</f>
        <v>21.6</v>
      </c>
      <c r="I66" s="41">
        <f>MAX(0.54,1.5,1.5,0.86)</f>
        <v>1.5</v>
      </c>
      <c r="J66" s="39">
        <v>1.0900000000000001</v>
      </c>
      <c r="K66" s="42">
        <f>AVERAGE(0.13,0.106,0.134,0.129)</f>
        <v>0.12475</v>
      </c>
      <c r="L66" s="39">
        <v>0</v>
      </c>
      <c r="M66" s="39">
        <v>0</v>
      </c>
      <c r="N66" s="4" t="s">
        <v>953</v>
      </c>
      <c r="O66" s="4">
        <v>0</v>
      </c>
      <c r="P66" s="4">
        <v>0</v>
      </c>
      <c r="Q66" s="4" t="s">
        <v>45</v>
      </c>
      <c r="R66" s="4" t="s">
        <v>45</v>
      </c>
      <c r="S66" s="4" t="s">
        <v>45</v>
      </c>
      <c r="T66" s="4" t="s">
        <v>45</v>
      </c>
      <c r="U66" s="4" t="s">
        <v>45</v>
      </c>
      <c r="V66" s="4" t="s">
        <v>45</v>
      </c>
      <c r="W66" s="4" t="s">
        <v>45</v>
      </c>
      <c r="X66" s="4" t="s">
        <v>45</v>
      </c>
      <c r="Y66" s="4" t="s">
        <v>45</v>
      </c>
      <c r="Z66" s="4">
        <v>0.85</v>
      </c>
      <c r="AA66" s="4" t="s">
        <v>993</v>
      </c>
      <c r="AB66" s="4" t="s">
        <v>997</v>
      </c>
      <c r="AC66" s="4" t="s">
        <v>1108</v>
      </c>
      <c r="AD66" s="39">
        <v>1</v>
      </c>
      <c r="AE66" s="4">
        <v>0.65</v>
      </c>
      <c r="AF66" s="4" t="s">
        <v>1007</v>
      </c>
      <c r="AG66" s="4" t="s">
        <v>1013</v>
      </c>
      <c r="AH66" s="4" t="s">
        <v>966</v>
      </c>
      <c r="AI66" s="4">
        <v>1.2</v>
      </c>
      <c r="AJ66" s="4" t="s">
        <v>1016</v>
      </c>
      <c r="AK66" s="4">
        <v>0</v>
      </c>
      <c r="AL66" s="4" t="s">
        <v>1027</v>
      </c>
      <c r="AM66" s="4">
        <v>1</v>
      </c>
      <c r="AN66" s="4">
        <v>0.1</v>
      </c>
      <c r="AO66" s="4">
        <v>0.3</v>
      </c>
      <c r="AP66" s="4">
        <v>0.5</v>
      </c>
      <c r="AQ66" s="4">
        <v>0</v>
      </c>
      <c r="AR66" s="4" t="s">
        <v>1057</v>
      </c>
      <c r="AS66" s="4">
        <v>1</v>
      </c>
      <c r="AT66" s="4">
        <v>1</v>
      </c>
      <c r="AU66" s="4">
        <v>0</v>
      </c>
      <c r="AV66" s="4" t="s">
        <v>45</v>
      </c>
      <c r="AW66" s="4">
        <v>0</v>
      </c>
      <c r="AX66" s="4">
        <v>0</v>
      </c>
      <c r="AY66" s="4">
        <v>0</v>
      </c>
      <c r="AZ66" s="4">
        <v>2</v>
      </c>
      <c r="BA66" s="4">
        <v>0</v>
      </c>
      <c r="BB66" s="4">
        <v>1</v>
      </c>
      <c r="BC66" s="4">
        <v>0</v>
      </c>
      <c r="BD66" s="4">
        <v>0</v>
      </c>
      <c r="BE66" s="4">
        <v>0</v>
      </c>
      <c r="BF66" s="4">
        <v>0</v>
      </c>
      <c r="BG66" s="39">
        <v>0.7</v>
      </c>
      <c r="BH66" s="39">
        <v>0.15</v>
      </c>
      <c r="BI66" s="39">
        <v>2.5000000000000001E-2</v>
      </c>
      <c r="BJ66" s="39" t="s">
        <v>1125</v>
      </c>
      <c r="BK66" s="39">
        <v>0</v>
      </c>
      <c r="BL66" s="39">
        <v>0</v>
      </c>
      <c r="BM66" s="39">
        <v>0</v>
      </c>
    </row>
    <row r="67" spans="1:65" s="16" customFormat="1" x14ac:dyDescent="0.25">
      <c r="A67" s="16" t="s">
        <v>1026</v>
      </c>
      <c r="B67" s="39">
        <v>1</v>
      </c>
      <c r="C67" s="39">
        <v>1.1000000000000001</v>
      </c>
      <c r="D67" s="39">
        <v>0</v>
      </c>
      <c r="E67" s="39">
        <v>1</v>
      </c>
      <c r="F67" s="39">
        <v>1</v>
      </c>
      <c r="G67" s="39">
        <v>0</v>
      </c>
      <c r="H67" s="40">
        <f>MAX(21.6,12,10,13.1)</f>
        <v>21.6</v>
      </c>
      <c r="I67" s="41">
        <f>MAX(0.54,1.5,1.5,0.86)</f>
        <v>1.5</v>
      </c>
      <c r="J67" s="39">
        <v>1.0900000000000001</v>
      </c>
      <c r="K67" s="42">
        <f>AVERAGE(0.13,0.106,0.134,0.129)</f>
        <v>0.12475</v>
      </c>
      <c r="L67" s="39">
        <v>0</v>
      </c>
      <c r="M67" s="39">
        <v>0</v>
      </c>
      <c r="N67" s="4" t="s">
        <v>953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0.85</v>
      </c>
      <c r="AA67" s="4" t="s">
        <v>993</v>
      </c>
      <c r="AB67" s="4" t="s">
        <v>997</v>
      </c>
      <c r="AC67" s="4" t="s">
        <v>1108</v>
      </c>
      <c r="AD67" s="39">
        <v>1</v>
      </c>
      <c r="AE67" s="4">
        <v>0.65</v>
      </c>
      <c r="AF67" s="4" t="s">
        <v>1007</v>
      </c>
      <c r="AG67" s="4" t="s">
        <v>1013</v>
      </c>
      <c r="AH67" s="4" t="s">
        <v>966</v>
      </c>
      <c r="AI67" s="4">
        <v>1.2</v>
      </c>
      <c r="AJ67" s="4" t="s">
        <v>1016</v>
      </c>
      <c r="AK67" s="4">
        <v>0</v>
      </c>
      <c r="AL67" s="4" t="s">
        <v>1029</v>
      </c>
      <c r="AM67" s="4">
        <v>1</v>
      </c>
      <c r="AN67" s="4">
        <v>0</v>
      </c>
      <c r="AO67" s="4">
        <v>0</v>
      </c>
      <c r="AP67" s="4">
        <v>0.5</v>
      </c>
      <c r="AQ67" s="4">
        <v>0</v>
      </c>
      <c r="AR67" s="4" t="s">
        <v>1057</v>
      </c>
      <c r="AS67" s="4">
        <v>0</v>
      </c>
      <c r="AT67" s="4">
        <v>1</v>
      </c>
      <c r="AU67" s="4">
        <v>0</v>
      </c>
      <c r="AV67" s="4" t="s">
        <v>45</v>
      </c>
      <c r="AW67" s="4">
        <v>0</v>
      </c>
      <c r="AX67" s="4">
        <v>0</v>
      </c>
      <c r="AY67" s="4">
        <v>0</v>
      </c>
      <c r="AZ67" s="4">
        <v>1</v>
      </c>
      <c r="BA67" s="4">
        <v>0</v>
      </c>
      <c r="BB67" s="4">
        <v>1</v>
      </c>
      <c r="BC67" s="4">
        <v>0</v>
      </c>
      <c r="BD67" s="4">
        <v>0</v>
      </c>
      <c r="BE67" s="4">
        <v>0</v>
      </c>
      <c r="BF67" s="4">
        <v>0</v>
      </c>
      <c r="BG67" s="39">
        <v>0.7</v>
      </c>
      <c r="BH67" s="39">
        <v>0.1</v>
      </c>
      <c r="BI67" s="39">
        <v>2.5000000000000001E-2</v>
      </c>
      <c r="BJ67" s="39" t="s">
        <v>1125</v>
      </c>
      <c r="BK67" s="39">
        <v>0</v>
      </c>
      <c r="BL67" s="39">
        <v>0</v>
      </c>
      <c r="BM67" s="39">
        <v>0</v>
      </c>
    </row>
    <row r="68" spans="1:65" s="16" customFormat="1" x14ac:dyDescent="0.25">
      <c r="A68" s="16" t="s">
        <v>1238</v>
      </c>
      <c r="B68" s="39">
        <v>2</v>
      </c>
      <c r="C68" s="4" t="s">
        <v>1228</v>
      </c>
      <c r="D68" s="39">
        <v>0</v>
      </c>
      <c r="E68" s="39">
        <v>1</v>
      </c>
      <c r="F68" s="39">
        <v>2</v>
      </c>
      <c r="G68" s="39">
        <v>2</v>
      </c>
      <c r="H68" s="40">
        <v>1833.2</v>
      </c>
      <c r="I68" s="41">
        <v>1.2031000000000001</v>
      </c>
      <c r="J68" s="39">
        <v>2.21</v>
      </c>
      <c r="K68" s="42">
        <v>0.27100000000000002</v>
      </c>
      <c r="L68" s="39">
        <v>1</v>
      </c>
      <c r="M68" s="39">
        <v>0</v>
      </c>
      <c r="N68" s="4" t="s">
        <v>951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0.5</v>
      </c>
      <c r="AA68" s="4" t="s">
        <v>993</v>
      </c>
      <c r="AB68" s="4" t="s">
        <v>997</v>
      </c>
      <c r="AC68" s="4" t="s">
        <v>1108</v>
      </c>
      <c r="AD68" s="39">
        <v>1</v>
      </c>
      <c r="AE68" s="4">
        <v>0.45</v>
      </c>
      <c r="AF68" s="4" t="s">
        <v>1007</v>
      </c>
      <c r="AG68" s="4" t="s">
        <v>1013</v>
      </c>
      <c r="AH68" s="4" t="s">
        <v>966</v>
      </c>
      <c r="AI68" s="4">
        <v>1.2</v>
      </c>
      <c r="AJ68" s="4" t="s">
        <v>1211</v>
      </c>
      <c r="AK68" s="4">
        <v>0</v>
      </c>
      <c r="AL68" s="4" t="s">
        <v>1239</v>
      </c>
      <c r="AM68" s="4">
        <v>0</v>
      </c>
      <c r="AN68" s="4">
        <v>1</v>
      </c>
      <c r="AO68" s="4">
        <v>1</v>
      </c>
      <c r="AP68" s="4" t="s">
        <v>45</v>
      </c>
      <c r="AQ68" s="4">
        <v>0</v>
      </c>
      <c r="AR68" s="4" t="s">
        <v>1059</v>
      </c>
      <c r="AS68" s="4">
        <v>1</v>
      </c>
      <c r="AT68" s="4">
        <v>1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2.5</v>
      </c>
      <c r="BH68" s="39">
        <v>0.5</v>
      </c>
      <c r="BI68" s="39">
        <v>0.25</v>
      </c>
      <c r="BJ68" s="39" t="s">
        <v>1125</v>
      </c>
      <c r="BK68" s="39">
        <v>1</v>
      </c>
      <c r="BL68" s="39">
        <v>0</v>
      </c>
      <c r="BM68" s="39">
        <v>1</v>
      </c>
    </row>
    <row r="69" spans="1:65" s="16" customFormat="1" x14ac:dyDescent="0.25">
      <c r="A69" s="16" t="s">
        <v>1226</v>
      </c>
      <c r="B69" s="39">
        <v>2</v>
      </c>
      <c r="C69" s="4" t="s">
        <v>1228</v>
      </c>
      <c r="D69" s="39">
        <v>0</v>
      </c>
      <c r="E69" s="39">
        <v>5</v>
      </c>
      <c r="F69" s="39">
        <v>2</v>
      </c>
      <c r="G69" s="39">
        <v>2</v>
      </c>
      <c r="H69" s="40">
        <v>1833.2</v>
      </c>
      <c r="I69" s="41">
        <v>1.2031000000000001</v>
      </c>
      <c r="J69" s="39">
        <v>2.21</v>
      </c>
      <c r="K69" s="42">
        <v>0.27100000000000002</v>
      </c>
      <c r="L69" s="39">
        <v>1</v>
      </c>
      <c r="M69" s="39">
        <v>0</v>
      </c>
      <c r="N69" s="4" t="s">
        <v>45</v>
      </c>
      <c r="O69" s="4">
        <v>0</v>
      </c>
      <c r="P69" s="4">
        <v>1</v>
      </c>
      <c r="Q69" s="4">
        <v>0.8</v>
      </c>
      <c r="R69" s="4" t="s">
        <v>968</v>
      </c>
      <c r="S69" s="4" t="s">
        <v>971</v>
      </c>
      <c r="T69" s="4" t="s">
        <v>969</v>
      </c>
      <c r="U69" s="4">
        <v>2</v>
      </c>
      <c r="V69" s="4">
        <v>0.7</v>
      </c>
      <c r="W69" s="4" t="s">
        <v>983</v>
      </c>
      <c r="X69" s="4" t="s">
        <v>984</v>
      </c>
      <c r="Y69" s="4" t="s">
        <v>966</v>
      </c>
      <c r="Z69" s="4" t="s">
        <v>45</v>
      </c>
      <c r="AA69" s="4" t="s">
        <v>45</v>
      </c>
      <c r="AB69" s="4" t="s">
        <v>45</v>
      </c>
      <c r="AC69" s="4" t="s">
        <v>45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1211</v>
      </c>
      <c r="AK69" s="4">
        <v>0</v>
      </c>
      <c r="AL69" s="4" t="s">
        <v>1229</v>
      </c>
      <c r="AM69" s="4">
        <v>0</v>
      </c>
      <c r="AN69" s="4">
        <v>0.1</v>
      </c>
      <c r="AO69" s="4">
        <v>0.3</v>
      </c>
      <c r="AP69" s="4" t="s">
        <v>45</v>
      </c>
      <c r="AQ69" s="4">
        <v>0</v>
      </c>
      <c r="AR69" s="4" t="s">
        <v>685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1125</v>
      </c>
      <c r="BK69" s="39">
        <v>0</v>
      </c>
      <c r="BL69" s="39">
        <v>1</v>
      </c>
      <c r="BM69" s="39">
        <v>0</v>
      </c>
    </row>
    <row r="70" spans="1:65" s="16" customFormat="1" x14ac:dyDescent="0.25">
      <c r="A70" s="16" t="s">
        <v>1230</v>
      </c>
      <c r="B70" s="39">
        <v>2</v>
      </c>
      <c r="C70" s="4" t="s">
        <v>1228</v>
      </c>
      <c r="D70" s="39">
        <v>0</v>
      </c>
      <c r="E70" s="39">
        <v>1</v>
      </c>
      <c r="F70" s="39">
        <v>2</v>
      </c>
      <c r="G70" s="39">
        <v>2</v>
      </c>
      <c r="H70" s="40">
        <v>1833.2</v>
      </c>
      <c r="I70" s="41">
        <v>1.2031000000000001</v>
      </c>
      <c r="J70" s="39">
        <v>2.21</v>
      </c>
      <c r="K70" s="42">
        <v>0.27100000000000002</v>
      </c>
      <c r="L70" s="39">
        <v>1</v>
      </c>
      <c r="M70" s="39">
        <v>1</v>
      </c>
      <c r="N70" s="4" t="s">
        <v>951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0.6</v>
      </c>
      <c r="AA70" s="4" t="s">
        <v>993</v>
      </c>
      <c r="AB70" s="4" t="s">
        <v>996</v>
      </c>
      <c r="AC70" s="4" t="s">
        <v>1108</v>
      </c>
      <c r="AD70" s="39">
        <v>1</v>
      </c>
      <c r="AE70" s="4">
        <v>0.45</v>
      </c>
      <c r="AF70" s="4" t="s">
        <v>1007</v>
      </c>
      <c r="AG70" s="4" t="s">
        <v>1013</v>
      </c>
      <c r="AH70" s="4" t="s">
        <v>966</v>
      </c>
      <c r="AI70" s="4">
        <v>1.2</v>
      </c>
      <c r="AJ70" s="4" t="s">
        <v>1211</v>
      </c>
      <c r="AK70" s="4">
        <v>0</v>
      </c>
      <c r="AL70" s="4" t="s">
        <v>1227</v>
      </c>
      <c r="AM70" s="4">
        <v>0</v>
      </c>
      <c r="AN70" s="4">
        <v>1</v>
      </c>
      <c r="AO70" s="4">
        <v>1</v>
      </c>
      <c r="AP70" s="4" t="s">
        <v>45</v>
      </c>
      <c r="AQ70" s="4">
        <v>0</v>
      </c>
      <c r="AR70" s="4" t="s">
        <v>685</v>
      </c>
      <c r="AS70" s="4">
        <v>1</v>
      </c>
      <c r="AT70" s="4">
        <v>1</v>
      </c>
      <c r="AU70" s="4">
        <v>0</v>
      </c>
      <c r="AV70" s="4" t="s">
        <v>45</v>
      </c>
      <c r="AW70" s="4">
        <v>1</v>
      </c>
      <c r="AX70" s="4">
        <v>1</v>
      </c>
      <c r="AY70" s="4">
        <v>1</v>
      </c>
      <c r="AZ70" s="4">
        <v>2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39">
        <v>1</v>
      </c>
      <c r="BH70" s="39">
        <v>0.35</v>
      </c>
      <c r="BI70" s="39">
        <v>0.15</v>
      </c>
      <c r="BJ70" s="39" t="s">
        <v>1132</v>
      </c>
      <c r="BK70" s="39">
        <v>1</v>
      </c>
      <c r="BL70" s="39">
        <v>0</v>
      </c>
      <c r="BM70" s="39">
        <v>1</v>
      </c>
    </row>
    <row r="71" spans="1:65" s="16" customFormat="1" x14ac:dyDescent="0.25">
      <c r="A71" s="16" t="s">
        <v>1231</v>
      </c>
      <c r="B71" s="39">
        <v>2</v>
      </c>
      <c r="C71" s="4" t="s">
        <v>1228</v>
      </c>
      <c r="D71" s="39">
        <v>0</v>
      </c>
      <c r="E71" s="39">
        <v>5</v>
      </c>
      <c r="F71" s="39">
        <v>2</v>
      </c>
      <c r="G71" s="39">
        <v>2</v>
      </c>
      <c r="H71" s="40">
        <v>1833.2</v>
      </c>
      <c r="I71" s="41">
        <v>1.2031000000000001</v>
      </c>
      <c r="J71" s="39">
        <v>2.21</v>
      </c>
      <c r="K71" s="42">
        <v>0.27100000000000002</v>
      </c>
      <c r="L71" s="39">
        <v>1</v>
      </c>
      <c r="M71" s="39">
        <v>0</v>
      </c>
      <c r="N71" s="4" t="s">
        <v>951</v>
      </c>
      <c r="O71" s="4">
        <v>0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>
        <v>0.8</v>
      </c>
      <c r="AA71" s="4" t="s">
        <v>1233</v>
      </c>
      <c r="AB71" s="4" t="s">
        <v>1232</v>
      </c>
      <c r="AC71" s="4" t="s">
        <v>966</v>
      </c>
      <c r="AD71" s="39">
        <v>0</v>
      </c>
      <c r="AE71" s="4" t="s">
        <v>45</v>
      </c>
      <c r="AF71" s="4" t="s">
        <v>45</v>
      </c>
      <c r="AG71" s="4" t="s">
        <v>45</v>
      </c>
      <c r="AH71" s="4" t="s">
        <v>45</v>
      </c>
      <c r="AI71" s="4">
        <v>1</v>
      </c>
      <c r="AJ71" s="4" t="s">
        <v>1211</v>
      </c>
      <c r="AK71" s="4">
        <v>0</v>
      </c>
      <c r="AL71" s="4" t="s">
        <v>1222</v>
      </c>
      <c r="AM71" s="4">
        <v>0</v>
      </c>
      <c r="AN71" s="4">
        <v>2.5000000000000001E-2</v>
      </c>
      <c r="AO71" s="4">
        <v>0.1</v>
      </c>
      <c r="AP71" s="4" t="s">
        <v>45</v>
      </c>
      <c r="AQ71" s="4">
        <v>0</v>
      </c>
      <c r="AR71" s="4" t="s">
        <v>685</v>
      </c>
      <c r="AS71" s="4">
        <v>0</v>
      </c>
      <c r="AT71" s="4">
        <v>0</v>
      </c>
      <c r="AU71" s="4">
        <v>0</v>
      </c>
      <c r="AV71" s="4" t="s">
        <v>45</v>
      </c>
      <c r="AW71" s="4">
        <v>1</v>
      </c>
      <c r="AX71" s="4">
        <v>1</v>
      </c>
      <c r="AY71" s="4">
        <v>1</v>
      </c>
      <c r="AZ71" s="4">
        <v>2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39">
        <v>1</v>
      </c>
      <c r="BH71" s="39">
        <v>0.25</v>
      </c>
      <c r="BI71" s="39">
        <v>0.1</v>
      </c>
      <c r="BJ71" s="39" t="s">
        <v>1127</v>
      </c>
      <c r="BK71" s="39">
        <v>0</v>
      </c>
      <c r="BL71" s="39">
        <v>1</v>
      </c>
      <c r="BM71" s="39">
        <v>0</v>
      </c>
    </row>
    <row r="72" spans="1:65" s="16" customFormat="1" x14ac:dyDescent="0.25">
      <c r="A72" s="16" t="s">
        <v>1340</v>
      </c>
      <c r="B72" s="39">
        <v>2</v>
      </c>
      <c r="C72" s="39">
        <v>1</v>
      </c>
      <c r="D72" s="39">
        <v>1</v>
      </c>
      <c r="E72" s="39">
        <v>5</v>
      </c>
      <c r="F72" s="39">
        <v>2</v>
      </c>
      <c r="G72" s="39">
        <v>2</v>
      </c>
      <c r="H72" s="40">
        <v>95</v>
      </c>
      <c r="I72" s="41">
        <f>H72/1000/AVERAGE(9.5,4.6)</f>
        <v>1.3475177304964539E-2</v>
      </c>
      <c r="J72" s="39">
        <v>1.2</v>
      </c>
      <c r="K72" s="39">
        <v>0.32</v>
      </c>
      <c r="L72" s="39">
        <v>1</v>
      </c>
      <c r="M72" s="39">
        <v>1</v>
      </c>
      <c r="N72" s="4" t="s">
        <v>951</v>
      </c>
      <c r="O72" s="4">
        <v>0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 t="s">
        <v>45</v>
      </c>
      <c r="V72" s="4" t="s">
        <v>45</v>
      </c>
      <c r="W72" s="4" t="s">
        <v>45</v>
      </c>
      <c r="X72" s="4" t="s">
        <v>45</v>
      </c>
      <c r="Y72" s="4" t="s">
        <v>45</v>
      </c>
      <c r="Z72" s="4">
        <v>1.2</v>
      </c>
      <c r="AA72" s="4" t="s">
        <v>992</v>
      </c>
      <c r="AB72" s="4" t="s">
        <v>994</v>
      </c>
      <c r="AC72" s="4" t="s">
        <v>1108</v>
      </c>
      <c r="AD72" s="39">
        <v>0</v>
      </c>
      <c r="AE72" s="4" t="s">
        <v>45</v>
      </c>
      <c r="AF72" s="4" t="s">
        <v>45</v>
      </c>
      <c r="AG72" s="4" t="s">
        <v>45</v>
      </c>
      <c r="AH72" s="4" t="s">
        <v>45</v>
      </c>
      <c r="AI72" s="4">
        <v>1</v>
      </c>
      <c r="AJ72" s="4" t="s">
        <v>1019</v>
      </c>
      <c r="AK72" s="4">
        <v>0</v>
      </c>
      <c r="AL72" s="4" t="s">
        <v>1340</v>
      </c>
      <c r="AM72" s="4">
        <v>0</v>
      </c>
      <c r="AN72" s="4">
        <v>2.5000000000000001E-2</v>
      </c>
      <c r="AO72" s="4">
        <v>0.1</v>
      </c>
      <c r="AP72" s="4" t="s">
        <v>45</v>
      </c>
      <c r="AQ72" s="4">
        <v>0</v>
      </c>
      <c r="AR72" s="4" t="s">
        <v>685</v>
      </c>
      <c r="AS72" s="4">
        <v>0</v>
      </c>
      <c r="AT72" s="4">
        <v>0</v>
      </c>
      <c r="AU72" s="4">
        <v>0</v>
      </c>
      <c r="AV72" s="4" t="s">
        <v>45</v>
      </c>
      <c r="AW72" s="4">
        <v>0</v>
      </c>
      <c r="AX72" s="4">
        <v>0</v>
      </c>
      <c r="AY72" s="4">
        <v>0</v>
      </c>
      <c r="AZ72" s="4">
        <v>2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0</v>
      </c>
      <c r="BG72" s="39">
        <v>0.25</v>
      </c>
      <c r="BH72" s="39">
        <v>0.1</v>
      </c>
      <c r="BI72" s="39">
        <v>2.5000000000000001E-2</v>
      </c>
      <c r="BJ72" s="39" t="s">
        <v>1127</v>
      </c>
      <c r="BK72" s="39">
        <v>0</v>
      </c>
      <c r="BL72" s="39">
        <v>0</v>
      </c>
      <c r="BM72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V952"/>
  <sheetViews>
    <sheetView topLeftCell="A176" zoomScaleNormal="100" workbookViewId="0">
      <pane xSplit="1" topLeftCell="X1" activePane="topRight" state="frozen"/>
      <selection pane="topRight" activeCell="Z191" sqref="Z191"/>
    </sheetView>
  </sheetViews>
  <sheetFormatPr defaultColWidth="12.85546875" defaultRowHeight="15" x14ac:dyDescent="0.25"/>
  <cols>
    <col min="1" max="1" width="20" style="5" bestFit="1" customWidth="1"/>
    <col min="2" max="2" width="33.140625" style="12" bestFit="1" customWidth="1"/>
    <col min="3" max="3" width="14.28515625" style="7" bestFit="1" customWidth="1"/>
    <col min="4" max="4" width="16.140625" style="7" customWidth="1"/>
    <col min="5" max="5" width="33.28515625" style="7" bestFit="1" customWidth="1"/>
    <col min="6" max="6" width="15.710937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9.5703125" style="7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1" width="13.7109375" style="4" bestFit="1" customWidth="1"/>
    <col min="22" max="22" width="14.570312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23.85546875" style="4" bestFit="1" customWidth="1"/>
    <col min="27" max="27" width="36.42578125" style="4" bestFit="1" customWidth="1"/>
    <col min="28" max="28" width="35.5703125" style="4" bestFit="1" customWidth="1"/>
    <col min="29" max="29" width="16.7109375" style="4" bestFit="1" customWidth="1"/>
    <col min="30" max="30" width="14.5703125" style="4" bestFit="1" customWidth="1"/>
    <col min="31" max="31" width="22.28515625" style="4" bestFit="1" customWidth="1"/>
    <col min="32" max="32" width="23" style="4" bestFit="1" customWidth="1"/>
    <col min="33" max="33" width="12.7109375" bestFit="1" customWidth="1"/>
    <col min="34" max="34" width="8.85546875" style="16" bestFit="1" customWidth="1"/>
    <col min="35" max="35" width="10.85546875" style="16" bestFit="1" customWidth="1"/>
    <col min="36" max="36" width="15.5703125" bestFit="1" customWidth="1"/>
    <col min="37" max="37" width="6.42578125" style="16" bestFit="1" customWidth="1"/>
    <col min="38" max="38" width="23.28515625" style="7" bestFit="1" customWidth="1"/>
    <col min="39" max="39" width="23.42578125" style="4" bestFit="1" customWidth="1"/>
    <col min="40" max="40" width="13.5703125" style="2" bestFit="1" customWidth="1"/>
    <col min="41" max="41" width="19" style="2" bestFit="1" customWidth="1"/>
    <col min="42" max="42" width="26.7109375" style="2" bestFit="1" customWidth="1"/>
    <col min="43" max="43" width="28.5703125" style="2" bestFit="1" customWidth="1"/>
    <col min="44" max="44" width="22.28515625" style="2" bestFit="1" customWidth="1"/>
    <col min="45" max="45" width="33.42578125" style="2" bestFit="1" customWidth="1"/>
    <col min="46" max="46" width="14" style="46" bestFit="1" customWidth="1"/>
    <col min="47" max="47" width="25" style="2" bestFit="1" customWidth="1"/>
    <col min="48" max="48" width="20.85546875" style="2" bestFit="1" customWidth="1"/>
    <col min="49" max="49" width="20" style="2" bestFit="1" customWidth="1"/>
    <col min="50" max="50" width="19.7109375" style="2" bestFit="1" customWidth="1"/>
    <col min="51" max="51" width="22.85546875" style="2" bestFit="1" customWidth="1"/>
    <col min="52" max="52" width="11.85546875" style="2" bestFit="1" customWidth="1"/>
    <col min="53" max="53" width="12.42578125" style="2" bestFit="1" customWidth="1"/>
    <col min="54" max="54" width="12.7109375" style="2" bestFit="1" customWidth="1"/>
    <col min="55" max="55" width="12.5703125" style="2" bestFit="1" customWidth="1"/>
    <col min="56" max="56" width="14.7109375" style="2" bestFit="1" customWidth="1"/>
    <col min="57" max="57" width="18.5703125" style="2" bestFit="1" customWidth="1"/>
    <col min="58" max="58" width="15.5703125" style="2" bestFit="1" customWidth="1"/>
    <col min="59" max="59" width="19.42578125" style="2" bestFit="1" customWidth="1"/>
    <col min="60" max="60" width="13.7109375" style="2" bestFit="1" customWidth="1"/>
    <col min="61" max="61" width="14.5703125" style="2" bestFit="1" customWidth="1"/>
    <col min="62" max="62" width="18.140625" style="2" bestFit="1" customWidth="1"/>
    <col min="63" max="63" width="19.42578125" style="2" bestFit="1" customWidth="1"/>
    <col min="64" max="64" width="13.7109375" style="2" bestFit="1" customWidth="1"/>
    <col min="65" max="65" width="20.140625" style="2" bestFit="1" customWidth="1"/>
    <col min="66" max="66" width="29.85546875" style="2" bestFit="1" customWidth="1"/>
    <col min="67" max="67" width="30" style="2" bestFit="1" customWidth="1"/>
    <col min="68" max="68" width="24.140625" style="2" bestFit="1" customWidth="1"/>
    <col min="69" max="69" width="22.85546875" style="2" bestFit="1" customWidth="1"/>
    <col min="70" max="70" width="25.140625" style="2" bestFit="1" customWidth="1"/>
    <col min="71" max="71" width="25.28515625" style="2" bestFit="1" customWidth="1"/>
    <col min="72" max="72" width="18" style="2" bestFit="1" customWidth="1"/>
    <col min="73" max="73" width="20.85546875" style="4" bestFit="1" customWidth="1"/>
    <col min="74" max="74" width="23.140625" style="4" bestFit="1" customWidth="1"/>
  </cols>
  <sheetData>
    <row r="1" spans="1:74" x14ac:dyDescent="0.25">
      <c r="A1" s="36" t="s">
        <v>0</v>
      </c>
      <c r="B1" s="32" t="s">
        <v>241</v>
      </c>
      <c r="C1" s="38" t="s">
        <v>240</v>
      </c>
      <c r="D1" s="38" t="s">
        <v>242</v>
      </c>
      <c r="E1" s="38" t="s">
        <v>36</v>
      </c>
      <c r="F1" s="38" t="s">
        <v>507</v>
      </c>
      <c r="G1" s="38" t="s">
        <v>508</v>
      </c>
      <c r="H1" s="38" t="s">
        <v>21</v>
      </c>
      <c r="I1" s="29" t="s">
        <v>1157</v>
      </c>
      <c r="J1" s="38" t="s">
        <v>22</v>
      </c>
      <c r="K1" s="38" t="s">
        <v>242</v>
      </c>
      <c r="L1" s="38" t="s">
        <v>637</v>
      </c>
      <c r="M1" s="38" t="s">
        <v>242</v>
      </c>
      <c r="N1" s="29" t="s">
        <v>1096</v>
      </c>
      <c r="O1" s="29" t="s">
        <v>1095</v>
      </c>
      <c r="P1" s="29" t="s">
        <v>933</v>
      </c>
      <c r="Q1" s="29" t="s">
        <v>934</v>
      </c>
      <c r="R1" s="29" t="s">
        <v>946</v>
      </c>
      <c r="S1" s="29" t="s">
        <v>958</v>
      </c>
      <c r="T1" s="29" t="s">
        <v>1033</v>
      </c>
      <c r="U1" s="29" t="s">
        <v>259</v>
      </c>
      <c r="V1" s="29" t="s">
        <v>258</v>
      </c>
      <c r="W1" s="29" t="s">
        <v>260</v>
      </c>
      <c r="X1" s="29" t="s">
        <v>664</v>
      </c>
      <c r="Y1" s="43" t="s">
        <v>37</v>
      </c>
      <c r="Z1" s="29" t="s">
        <v>1050</v>
      </c>
      <c r="AA1" s="29" t="s">
        <v>1052</v>
      </c>
      <c r="AB1" s="29" t="s">
        <v>1053</v>
      </c>
      <c r="AC1" s="4" t="s">
        <v>1081</v>
      </c>
      <c r="AD1" s="29" t="s">
        <v>319</v>
      </c>
      <c r="AE1" s="29" t="s">
        <v>674</v>
      </c>
      <c r="AF1" s="29" t="s">
        <v>1382</v>
      </c>
      <c r="AG1" s="29" t="s">
        <v>1093</v>
      </c>
      <c r="AH1" s="29" t="s">
        <v>1092</v>
      </c>
      <c r="AI1" s="29" t="s">
        <v>1094</v>
      </c>
      <c r="AJ1" s="29" t="s">
        <v>932</v>
      </c>
      <c r="AK1" s="29" t="s">
        <v>1141</v>
      </c>
      <c r="AL1" s="38" t="s">
        <v>634</v>
      </c>
      <c r="AM1" s="30" t="s">
        <v>250</v>
      </c>
      <c r="AN1" s="30" t="s">
        <v>304</v>
      </c>
      <c r="AO1" s="30" t="s">
        <v>305</v>
      </c>
      <c r="AP1" s="30" t="s">
        <v>33</v>
      </c>
      <c r="AQ1" s="30" t="s">
        <v>34</v>
      </c>
      <c r="AR1" s="30" t="s">
        <v>35</v>
      </c>
      <c r="AS1" s="30" t="s">
        <v>1139</v>
      </c>
      <c r="AT1" s="45" t="s">
        <v>1099</v>
      </c>
      <c r="AU1" s="30" t="s">
        <v>1100</v>
      </c>
      <c r="AV1" s="30" t="s">
        <v>1105</v>
      </c>
      <c r="AW1" s="30" t="s">
        <v>1106</v>
      </c>
      <c r="AX1" s="30" t="s">
        <v>1107</v>
      </c>
      <c r="AY1" s="30" t="s">
        <v>1140</v>
      </c>
      <c r="AZ1" s="30" t="s">
        <v>1147</v>
      </c>
      <c r="BA1" s="30" t="s">
        <v>1151</v>
      </c>
      <c r="BB1" s="30" t="s">
        <v>1146</v>
      </c>
      <c r="BC1" s="30" t="s">
        <v>1117</v>
      </c>
      <c r="BD1" s="30" t="s">
        <v>1120</v>
      </c>
      <c r="BE1" s="30" t="s">
        <v>252</v>
      </c>
      <c r="BF1" s="30" t="s">
        <v>243</v>
      </c>
      <c r="BG1" s="30" t="s">
        <v>277</v>
      </c>
      <c r="BH1" s="30" t="s">
        <v>251</v>
      </c>
      <c r="BI1" s="30" t="s">
        <v>1112</v>
      </c>
      <c r="BJ1" s="30" t="s">
        <v>1116</v>
      </c>
      <c r="BK1" s="30" t="s">
        <v>1114</v>
      </c>
      <c r="BL1" s="30" t="s">
        <v>1118</v>
      </c>
      <c r="BM1" s="30" t="s">
        <v>1119</v>
      </c>
      <c r="BN1" s="30" t="s">
        <v>265</v>
      </c>
      <c r="BO1" s="30" t="s">
        <v>261</v>
      </c>
      <c r="BP1" s="30" t="s">
        <v>270</v>
      </c>
      <c r="BQ1" s="30" t="s">
        <v>264</v>
      </c>
      <c r="BR1" s="30" t="s">
        <v>266</v>
      </c>
      <c r="BS1" s="30" t="s">
        <v>263</v>
      </c>
      <c r="BT1" s="30" t="s">
        <v>262</v>
      </c>
      <c r="BU1" s="29" t="s">
        <v>1159</v>
      </c>
      <c r="BV1" s="29" t="s">
        <v>1158</v>
      </c>
    </row>
    <row r="2" spans="1:74" x14ac:dyDescent="0.25">
      <c r="A2" s="26" t="s">
        <v>178</v>
      </c>
      <c r="B2" s="6" t="s">
        <v>179</v>
      </c>
      <c r="C2" s="7">
        <f>AVERAGE(407.1,226.7)</f>
        <v>316.89999999999998</v>
      </c>
      <c r="D2" s="7" t="s">
        <v>939</v>
      </c>
      <c r="E2" s="7" t="str">
        <f>Groups!A65</f>
        <v>Ursid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509</v>
      </c>
      <c r="L2" s="7">
        <v>40</v>
      </c>
      <c r="M2" s="7" t="s">
        <v>638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IF(AR2="No","No",IF(_xlfn.XLOOKUP(E2,Groups!A:A,Groups!AM:AM)=1,MROUND(EXP(0.3582*LN(C2)-0.2221)*T2,0.05),IF(_xlfn.XLOOKUP(E2,Groups!A:A,Groups!AM:AM)=2,MROUND(EXP(0.3582*LN(C2)-0.2221)*T2,0.05),"Need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945</v>
      </c>
      <c r="Y2" s="4" t="s">
        <v>56</v>
      </c>
      <c r="Z2" s="4">
        <v>0</v>
      </c>
      <c r="AA2" s="4">
        <v>0</v>
      </c>
      <c r="AB2" s="4">
        <v>0</v>
      </c>
      <c r="AC2" s="4" t="s">
        <v>45</v>
      </c>
      <c r="AD2" s="4" t="s">
        <v>45</v>
      </c>
      <c r="AE2" s="28" t="s">
        <v>383</v>
      </c>
      <c r="AF2" s="4" t="str">
        <f>Animals!C3</f>
        <v>&lt;li&gt;Bear_Grizzly&lt;/li&gt;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4" t="s">
        <v>40</v>
      </c>
      <c r="AM2" s="8">
        <f t="shared" ref="AM2:AM33" si="0">(0.111*C2^0.65)*10000</f>
        <v>46872.965874759968</v>
      </c>
      <c r="AN2" s="8">
        <f>IFERROR(C2*_xlfn.XLOOKUP(E2,Groups!A:A,Groups!K:K),0.106*C2^0.94)</f>
        <v>39.533274999999996</v>
      </c>
      <c r="AO2" s="8">
        <f>AN2*10000/(_xlfn.XLOOKUP(E2,Groups!A:A,Groups!J:J)*AM2)</f>
        <v>7.7377351648570594</v>
      </c>
      <c r="AP2" s="8">
        <f t="shared" ref="AP2:AP33" si="1">EXP(0.8447*LN(C2)+3.996)</f>
        <v>7046.440110974886</v>
      </c>
      <c r="AQ2" s="8">
        <f>IF(_xlfn.XLOOKUP(E2,Groups!A:A,Groups!M:M)=1,EXP(0.7444*LN('Base stats'!C2)+6.5696),EXP(0.7927*LN('Base stats'!C2)+4.28))</f>
        <v>6938.4336807431037</v>
      </c>
      <c r="AR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"No")))))))))))))))</f>
        <v>4713.6189296743614</v>
      </c>
      <c r="AS2" s="8">
        <f>IF(_xlfn.XLOOKUP(E2,Groups!A:A,Groups!U:U)=3,AQ2,IF(_xlfn.XLOOKUP(E2,Groups!A:A,Groups!U:U)=2,AP2,AR2))</f>
        <v>4713.6189296743614</v>
      </c>
      <c r="AT2" s="46">
        <f>IFERROR(AVERAGE(_xlfn.XLOOKUP(B2,Animals!B:B,Animals!N:N),_xlfn.XLOOKUP(B2,Animals!B:B,Animals!O:O)),0)</f>
        <v>0</v>
      </c>
      <c r="AU2" s="8">
        <f>MROUND(40*Animals!AO2*_xlfn.XLOOKUP(Animals!BB2,Leathers!$A$2:$A$100,Leathers!$B$2:$B$100,0)+(140*_xlfn.XLOOKUP(B2,Animals!B:B,Animals!AO:AO)*2),5)</f>
        <v>990</v>
      </c>
      <c r="AV2" s="8">
        <f>IFERROR(ROUND(SQRT(V2-1)*IF(_xlfn.XLOOKUP(E2,Groups!A:A,Groups!BF:BF)=0,2,1)*IF(_xlfn.XLOOKUP('Base stats'!E2,Groups!A:A,Groups!O:O)=0,1,0.1),1),0)</f>
        <v>4.0999999999999996</v>
      </c>
      <c r="AW2" s="8">
        <f t="shared" ref="AW2:AW33" si="2">IFERROR(ROUND(SQRT(U2-1),1),0)</f>
        <v>2.9</v>
      </c>
      <c r="AX2" s="8">
        <f t="shared" ref="AX2:AX33" si="3">IFERROR(ROUND(SQRT(W2),1),0)</f>
        <v>0</v>
      </c>
      <c r="AY2" s="8">
        <f t="shared" ref="AY2:AY33" si="4">ROUND(
  EXP(0.3582*LN(C2)-0.2221) *
  (0.75 + 0.25*(C2^4/(C2^4+10^4))),
1)</f>
        <v>6.3</v>
      </c>
      <c r="AZ2" s="8">
        <f>IF(_xlfn.XLOOKUP(E2,Groups!A:A,Groups!N:N)="Insect",BB2*2.5,IFERROR(AVERAGE(BB2,AR2/9.81/IF(OR(_xlfn.XLOOKUP(E2,Groups!A:A,Groups!N:N)="Pig",_xlfn.XLOOKUP(E2,Groups!A:A,Groups!N:N)="StrongBitingHerbivore"),20,25))*C2^-0.135,BB2))</f>
        <v>5.4953225832400276</v>
      </c>
      <c r="BA2" s="8" t="str">
        <f>IF(W2="No","No",IF(_xlfn.XLOOKUP(E2,Groups!A:A,Groups!U:U)=1,'Base stats'!AZ2,IF(OR(_xlfn.XLOOKUP(E2,Groups!A:A,Groups!BD:BD)=1,_xlfn.XLOOKUP(E2,Groups!A:A,Groups!U:U)=2),BB2,IF(_xlfn.XLOOKUP(B2,Animals!B:B,Animals!AO:AO)&gt;4,AVERAGE(BB2,BD2),BD2))))</f>
        <v>No</v>
      </c>
      <c r="BB2" s="8">
        <f t="shared" ref="BB2:BB33" si="5">(0.0392*C2^IF(OR(Y2="Herbivore",Y2="Dendrovore",Y2="OmnivoreRough"),0.889,0.966))*C2^-0.135</f>
        <v>4.6941011943922941</v>
      </c>
      <c r="BC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D2" s="8">
        <f>(0.048*C2^1.01)/IF(_xlfn.XLOOKUP(E2,Groups!A:A,Groups!M:M)=1,0.25,0.8)*C2^-0.25</f>
        <v>4.7736673497838202</v>
      </c>
      <c r="BE2" s="8">
        <f>EXP(1.076*LN(AP2)-4.5397)*IF(_xlfn.XLOOKUP(E2,Groups!A:A,Groups!BC:BC)=1,1.25,IF(_xlfn.XLOOKUP(E2,Groups!A:A,Groups!BD:BD)=1,3.5,2.5))</f>
        <v>368.79822015740808</v>
      </c>
      <c r="BF2" s="8">
        <f>EXP(1.076*LN(AQ2)-4.5397)*IF(_xlfn.XLOOKUP(E2,Groups!A:A,Groups!M:M)=1,0.8,IF(_xlfn.XLOOKUP(E2,Groups!A:A,Groups!BC:BC)=1,1.3,3))</f>
        <v>435.26315562346088</v>
      </c>
      <c r="BG2" s="8" t="str">
        <f>IF(W2="No","No",IF(_xlfn.XLOOKUP(E2,Groups!A:A,Groups!U:U)=1,'Base stats'!BH2,IF(OR(_xlfn.XLOOKUP(E2,Groups!A:A,Groups!BD:BD)=1,_xlfn.XLOOKUP(E2,Groups!A:A,Groups!U:U)=2),BE2,BF2))*1.2)</f>
        <v>No</v>
      </c>
      <c r="BH2" s="8">
        <f>IFERROR(EXP(1.076*LN(AR2)-4.5397)*IF(_xlfn.XLOOKUP(E2,Groups!A:A,Groups!N:N)="Insect",1,IF(OR(_xlfn.XLOOKUP(E2,Groups!A:A,Groups!N:N)="Pig",_xlfn.XLOOKUP(E2,Groups!A:A,Groups!N:N)="StrongBitingHerbivore"),3.5,3.75)),"No")</f>
        <v>358.91699017833798</v>
      </c>
      <c r="BI2" s="8">
        <f>ROUNDDOWN(SQRT((2*BE2)/BB2),0)</f>
        <v>12</v>
      </c>
      <c r="BJ2" s="8">
        <f>ROUNDDOWN(SQRT((2*BF2)/BC2),0)</f>
        <v>11</v>
      </c>
      <c r="BK2" s="8" t="str">
        <f t="shared" ref="BK2:BK33" si="6">IF(W2="No","No",ROUNDDOWN(SQRT((2*BG2)/BA2),0))</f>
        <v>No</v>
      </c>
      <c r="BL2" s="8">
        <f t="shared" ref="BL2:BL33" si="7">IF(V2="No","No",ROUNDDOWN(SQRT((2*BH2)/AZ2),0))</f>
        <v>11</v>
      </c>
      <c r="BM2" s="8">
        <f>ROUNDDOWN(SQRT((2*BF2)/BD2),0)</f>
        <v>13</v>
      </c>
      <c r="BN2" s="8" cm="1">
        <f t="array" ref="BN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O2" s="8" t="str">
        <f>IF(W2="No","No",IF(_xlfn.XLOOKUP(E2,Groups!A:A,Groups!BD:BD)=1,(AM2*5%),EXP(0.7354*LN(C2)^0.4078)*2/IF(_xlfn.XLOOKUP(E2,Groups!A:A,Groups!BL:BL)=1,1000,100)))</f>
        <v>No</v>
      </c>
      <c r="BP2" s="8">
        <f>IF(BH2="No","No",IF(_xlfn.XLOOKUP(E2,Groups!A:A,Groups!BF:BF)=1,(0.0315*C2+2.1825)*2,(0.7354*C2^0.4078)*2)/IF(_xlfn.XLOOKUP(E2,Groups!A:A,Groups!BM:BM)=1,1000,100))</f>
        <v>0.15396773123122506</v>
      </c>
      <c r="BQ2" s="8">
        <f t="shared" ref="BQ2:BQ33" si="8">BE2/(AM2*5%)</f>
        <v>0.15736073588464672</v>
      </c>
      <c r="BR2" s="8">
        <f>IF(BN2="No","No",BF2/BN2)</f>
        <v>2826.9764848960012</v>
      </c>
      <c r="BS2" s="8" t="str">
        <f t="shared" ref="BS2:BS33" si="9">IF(W2="No","No",BG2/BO2)</f>
        <v>No</v>
      </c>
      <c r="BT2" s="8">
        <f>IF(BH2="No","No",BH2/BP2)</f>
        <v>2331.1182629516375</v>
      </c>
      <c r="BU2" s="4">
        <v>0</v>
      </c>
      <c r="BV2" s="4">
        <v>1</v>
      </c>
    </row>
    <row r="3" spans="1:74" x14ac:dyDescent="0.25">
      <c r="A3" s="26" t="s">
        <v>182</v>
      </c>
      <c r="B3" s="6" t="s">
        <v>183</v>
      </c>
      <c r="C3" s="7">
        <f>AVERAGE(AVERAGE(268.7,174.9),AVERAGE(199.127,378.75))</f>
        <v>255.36924999999999</v>
      </c>
      <c r="D3" s="7" t="s">
        <v>940</v>
      </c>
      <c r="E3" s="7" t="str">
        <f>Groups!A65</f>
        <v>Ursid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510</v>
      </c>
      <c r="L3" s="7">
        <v>48</v>
      </c>
      <c r="M3" s="7" t="s">
        <v>638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IF(AR3="No","No",IF(_xlfn.XLOOKUP(E3,Groups!A:A,Groups!AM:AM)=1,MROUND(EXP(0.3582*LN(C3)-0.2221)*T3,0.05),IF(_xlfn.XLOOKUP(E3,Groups!A:A,Groups!AM:AM)=2,MROUND(EXP(0.3582*LN(C3)-0.2221)*T3,0.05),"Need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945</v>
      </c>
      <c r="Y3" s="4" t="s">
        <v>53</v>
      </c>
      <c r="Z3" s="4">
        <v>0</v>
      </c>
      <c r="AA3" s="4">
        <v>0</v>
      </c>
      <c r="AB3" s="4">
        <v>0</v>
      </c>
      <c r="AC3" s="4" t="s">
        <v>45</v>
      </c>
      <c r="AD3" s="4" t="s">
        <v>45</v>
      </c>
      <c r="AE3" s="28" t="s">
        <v>383</v>
      </c>
      <c r="AF3" s="4" t="s">
        <v>45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4" t="s">
        <v>40</v>
      </c>
      <c r="AM3" s="8">
        <f t="shared" si="0"/>
        <v>40736.392777747897</v>
      </c>
      <c r="AN3" s="8">
        <f>IFERROR(C3*_xlfn.XLOOKUP(E3,Groups!A:A,Groups!K:K),0.106*C3^0.94)</f>
        <v>31.857313937499999</v>
      </c>
      <c r="AO3" s="8">
        <f>AN3*10000/(_xlfn.XLOOKUP(E3,Groups!A:A,Groups!J:J)*AM3)</f>
        <v>7.1746395612640699</v>
      </c>
      <c r="AP3" s="8">
        <f t="shared" si="1"/>
        <v>5871.8650646906135</v>
      </c>
      <c r="AQ3" s="8">
        <f>IF(_xlfn.XLOOKUP(E3,Groups!A:A,Groups!M:M)=1,EXP(0.7444*LN('Base stats'!C3)+6.5696),EXP(0.7927*LN('Base stats'!C3)+4.28))</f>
        <v>5847.1324622769125</v>
      </c>
      <c r="AR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"No")))))))))))))))</f>
        <v>4294.1142156389687</v>
      </c>
      <c r="AS3" s="8">
        <f>IF(_xlfn.XLOOKUP(E3,Groups!A:A,Groups!U:U)=3,AQ3,IF(_xlfn.XLOOKUP(E3,Groups!A:A,Groups!U:U)=2,AP3,AR3))</f>
        <v>4294.1142156389687</v>
      </c>
      <c r="AT3" s="46">
        <f>IFERROR(AVERAGE(_xlfn.XLOOKUP(B3,Animals!B:B,Animals!N:N),_xlfn.XLOOKUP(B3,Animals!B:B,Animals!O:O)),0)</f>
        <v>0</v>
      </c>
      <c r="AU3" s="8">
        <f>MROUND(40*Animals!AO3*_xlfn.XLOOKUP(Animals!BB3,Leathers!$A$2:$A$100,Leathers!$B$2:$B$100,0)+(140*_xlfn.XLOOKUP(B3,Animals!B:B,Animals!AO:AO)*2),5)</f>
        <v>880</v>
      </c>
      <c r="AV3" s="8">
        <f>IFERROR(ROUND(SQRT(V3-1)*IF(_xlfn.XLOOKUP(E3,Groups!A:A,Groups!BF:BF)=0,2,1)*IF(_xlfn.XLOOKUP('Base stats'!E3,Groups!A:A,Groups!O:O)=0,1,0.1),1),0)</f>
        <v>3.8</v>
      </c>
      <c r="AW3" s="8">
        <f t="shared" si="2"/>
        <v>2.6</v>
      </c>
      <c r="AX3" s="8">
        <f t="shared" si="3"/>
        <v>0</v>
      </c>
      <c r="AY3" s="8">
        <f t="shared" si="4"/>
        <v>5.8</v>
      </c>
      <c r="AZ3" s="8">
        <f>IF(_xlfn.XLOOKUP(E3,Groups!A:A,Groups!N:N)="Insect",BB3*2.5,IFERROR(AVERAGE(BB3,AR3/9.81/IF(OR(_xlfn.XLOOKUP(E3,Groups!A:A,Groups!N:N)="Pig",_xlfn.XLOOKUP(E3,Groups!A:A,Groups!N:N)="StrongBitingHerbivore"),20,25))*C3^-0.135,BB3))</f>
        <v>5.0707492684384547</v>
      </c>
      <c r="BA3" s="8" t="str">
        <f>IF(W3="No","No",IF(_xlfn.XLOOKUP(E3,Groups!A:A,Groups!U:U)=1,'Base stats'!AZ3,IF(OR(_xlfn.XLOOKUP(E3,Groups!A:A,Groups!BD:BD)=1,_xlfn.XLOOKUP(E3,Groups!A:A,Groups!U:U)=2),BB3,IF(_xlfn.XLOOKUP(B3,Animals!B:B,Animals!AO:AO)&gt;4,AVERAGE(BB3,BD3),BD3))))</f>
        <v>No</v>
      </c>
      <c r="BB3" s="8">
        <f t="shared" si="5"/>
        <v>3.9232246249126477</v>
      </c>
      <c r="BC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D3" s="8">
        <f>(0.048*C3^1.01)/IF(_xlfn.XLOOKUP(E3,Groups!A:A,Groups!M:M)=1,0.25,0.8)*C3^-0.25</f>
        <v>4.0513464851855776</v>
      </c>
      <c r="BE3" s="8">
        <f>EXP(1.076*LN(AP3)-4.5397)*IF(_xlfn.XLOOKUP(E3,Groups!A:A,Groups!BC:BC)=1,1.25,IF(_xlfn.XLOOKUP(E3,Groups!A:A,Groups!BD:BD)=1,3.5,2.5))</f>
        <v>303.09334256608031</v>
      </c>
      <c r="BF3" s="8">
        <f>EXP(1.076*LN(AQ3)-4.5397)*IF(_xlfn.XLOOKUP(E3,Groups!A:A,Groups!M:M)=1,0.8,IF(_xlfn.XLOOKUP(E3,Groups!A:A,Groups!BC:BC)=1,1.3,3))</f>
        <v>362.06387124720493</v>
      </c>
      <c r="BG3" s="8" t="str">
        <f>IF(W3="No","No",IF(_xlfn.XLOOKUP(E3,Groups!A:A,Groups!U:U)=1,'Base stats'!BH3,IF(OR(_xlfn.XLOOKUP(E3,Groups!A:A,Groups!BD:BD)=1,_xlfn.XLOOKUP(E3,Groups!A:A,Groups!U:U)=2),BE3,BF3))*1.2)</f>
        <v>No</v>
      </c>
      <c r="BH3" s="8">
        <f>IFERROR(EXP(1.076*LN(AR3)-4.5397)*IF(_xlfn.XLOOKUP(E3,Groups!A:A,Groups!N:N)="Insect",1,IF(OR(_xlfn.XLOOKUP(E3,Groups!A:A,Groups!N:N)="Pig",_xlfn.XLOOKUP(E3,Groups!A:A,Groups!N:N)="StrongBitingHerbivore"),3.5,3.75)),"No")</f>
        <v>324.66583741526347</v>
      </c>
      <c r="BI3" s="8">
        <f t="shared" ref="BI3:BI66" si="10">ROUNDDOWN(SQRT((2*BE3)/BB3),0)</f>
        <v>12</v>
      </c>
      <c r="BJ3" s="8">
        <f t="shared" ref="BJ3:BJ66" si="11">ROUNDDOWN(SQRT((2*BF3)/BC3),0)</f>
        <v>11</v>
      </c>
      <c r="BK3" s="8" t="str">
        <f t="shared" si="6"/>
        <v>No</v>
      </c>
      <c r="BL3" s="8">
        <f t="shared" si="7"/>
        <v>11</v>
      </c>
      <c r="BM3" s="8">
        <f t="shared" ref="BM3:BM66" si="12">ROUNDDOWN(SQRT((2*BF3)/BD3),0)</f>
        <v>13</v>
      </c>
      <c r="BN3" s="8" cm="1">
        <f t="array" ref="BN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O3" s="8" t="str">
        <f>IF(W3="No","No",IF(_xlfn.XLOOKUP(E3,Groups!A:A,Groups!BD:BD)=1,(AM3*5%),EXP(0.7354*LN(C3)^0.4078)*2/IF(_xlfn.XLOOKUP(E3,Groups!A:A,Groups!BL:BL)=1,1000,100)))</f>
        <v>No</v>
      </c>
      <c r="BP3" s="8">
        <f>IF(BH3="No","No",IF(_xlfn.XLOOKUP(E3,Groups!A:A,Groups!BF:BF)=1,(0.0315*C3+2.1825)*2,(0.7354*C3^0.4078)*2)/IF(_xlfn.XLOOKUP(E3,Groups!A:A,Groups!BM:BM)=1,1000,100))</f>
        <v>0.14099281341876332</v>
      </c>
      <c r="BQ3" s="8">
        <f t="shared" si="8"/>
        <v>0.14880715836559977</v>
      </c>
      <c r="BR3" s="8">
        <f t="shared" ref="BR3:BR66" si="13">IF(BN3="No","No",BF3/BN3)</f>
        <v>2567.9597595647488</v>
      </c>
      <c r="BS3" s="8" t="str">
        <f t="shared" si="9"/>
        <v>No</v>
      </c>
      <c r="BT3" s="8">
        <f t="shared" ref="BT3:BT66" si="14">IF(BH3="No","No",BH3/BP3)</f>
        <v>2302.7119577433509</v>
      </c>
      <c r="BU3" s="4">
        <v>0</v>
      </c>
      <c r="BV3" s="4">
        <v>1</v>
      </c>
    </row>
    <row r="4" spans="1:74" x14ac:dyDescent="0.25">
      <c r="A4" s="26" t="s">
        <v>184</v>
      </c>
      <c r="B4" s="6" t="s">
        <v>185</v>
      </c>
      <c r="C4" s="7">
        <v>6</v>
      </c>
      <c r="D4" s="7" t="s">
        <v>511</v>
      </c>
      <c r="E4" s="7" t="str">
        <f>Groups!A67</f>
        <v>Procyonid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511</v>
      </c>
      <c r="L4" s="7">
        <v>24</v>
      </c>
      <c r="M4" s="7" t="s">
        <v>638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IF(AR4="No","No",IF(_xlfn.XLOOKUP(E4,Groups!A:A,Groups!AM:AM)=1,MROUND(EXP(0.3582*LN(C4)-0.2221)*T4,0.05),IF(_xlfn.XLOOKUP(E4,Groups!A:A,Groups!AM:AM)=2,MROUND(EXP(0.3582*LN(C4)-0.2221)*T4,0.05),"Need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945</v>
      </c>
      <c r="Y4" s="4" t="s">
        <v>53</v>
      </c>
      <c r="Z4" s="4">
        <v>0</v>
      </c>
      <c r="AA4" s="4">
        <v>0</v>
      </c>
      <c r="AB4" s="4">
        <v>0</v>
      </c>
      <c r="AC4" s="4" t="s">
        <v>45</v>
      </c>
      <c r="AD4" s="4" t="s">
        <v>45</v>
      </c>
      <c r="AE4" s="28" t="s">
        <v>394</v>
      </c>
      <c r="AF4" s="4" t="s">
        <v>45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4" t="s">
        <v>40</v>
      </c>
      <c r="AM4" s="8">
        <f t="shared" si="0"/>
        <v>3557.3065460643379</v>
      </c>
      <c r="AN4" s="8">
        <f>IFERROR(C4*_xlfn.XLOOKUP(E4,Groups!A:A,Groups!K:K),0.106*C4^0.94)</f>
        <v>0.74849999999999994</v>
      </c>
      <c r="AO4" s="8">
        <f>AN4*10000/(_xlfn.XLOOKUP(E4,Groups!A:A,Groups!J:J)*AM4)</f>
        <v>1.9303853598621024</v>
      </c>
      <c r="AP4" s="8">
        <f t="shared" si="1"/>
        <v>247.02739061475725</v>
      </c>
      <c r="AQ4" s="8">
        <f>IF(_xlfn.XLOOKUP(E4,Groups!A:A,Groups!M:M)=1,EXP(0.7444*LN('Base stats'!C4)+6.5696),EXP(0.7927*LN('Base stats'!C4)+4.28))</f>
        <v>298.96536520817432</v>
      </c>
      <c r="AR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"No")))))))))))))))</f>
        <v>180.4283918773483</v>
      </c>
      <c r="AS4" s="8">
        <f>IF(_xlfn.XLOOKUP(E4,Groups!A:A,Groups!U:U)=3,AQ4,IF(_xlfn.XLOOKUP(E4,Groups!A:A,Groups!U:U)=2,AP4,AR4))</f>
        <v>180.4283918773483</v>
      </c>
      <c r="AT4" s="46">
        <f>IFERROR(AVERAGE(_xlfn.XLOOKUP(B4,Animals!B:B,Animals!N:N),_xlfn.XLOOKUP(B4,Animals!B:B,Animals!O:O)),0)</f>
        <v>0</v>
      </c>
      <c r="AU4" s="8">
        <f>MROUND(40*Animals!AO4*_xlfn.XLOOKUP(Animals!BB4,Leathers!$A$2:$A$100,Leathers!$B$2:$B$100,0)+(140*_xlfn.XLOOKUP(B4,Animals!B:B,Animals!AO:AO)*2),5)</f>
        <v>125</v>
      </c>
      <c r="AV4" s="8">
        <f>IFERROR(ROUND(SQRT(V4-1)*IF(_xlfn.XLOOKUP(E4,Groups!A:A,Groups!BF:BF)=0,2,1)*IF(_xlfn.XLOOKUP('Base stats'!E4,Groups!A:A,Groups!O:O)=0,1,0.1),1),0)</f>
        <v>1.7</v>
      </c>
      <c r="AW4" s="8">
        <f t="shared" si="2"/>
        <v>0.5</v>
      </c>
      <c r="AX4" s="8">
        <f t="shared" si="3"/>
        <v>0</v>
      </c>
      <c r="AY4" s="8">
        <f t="shared" si="4"/>
        <v>1.2</v>
      </c>
      <c r="AZ4" s="8">
        <f>IF(_xlfn.XLOOKUP(E4,Groups!A:A,Groups!N:N)="Insect",BB4*2.5,IFERROR(AVERAGE(BB4,AR4/9.81/IF(OR(_xlfn.XLOOKUP(E4,Groups!A:A,Groups!N:N)="Pig",_xlfn.XLOOKUP(E4,Groups!A:A,Groups!N:N)="StrongBitingHerbivore"),20,25))*C4^-0.135,BB4))</f>
        <v>0.35702234514254111</v>
      </c>
      <c r="BA4" s="8" t="str">
        <f>IF(W4="No","No",IF(_xlfn.XLOOKUP(E4,Groups!A:A,Groups!U:U)=1,'Base stats'!AZ4,IF(OR(_xlfn.XLOOKUP(E4,Groups!A:A,Groups!BD:BD)=1,_xlfn.XLOOKUP(E4,Groups!A:A,Groups!U:U)=2),BB4,IF(_xlfn.XLOOKUP(B4,Animals!B:B,Animals!AO:AO)&gt;4,AVERAGE(BB4,BD4),BD4))))</f>
        <v>No</v>
      </c>
      <c r="BB4" s="8">
        <f t="shared" si="5"/>
        <v>0.17375197750865831</v>
      </c>
      <c r="BC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D4" s="8">
        <f>(0.048*C4^1.01)/IF(_xlfn.XLOOKUP(E4,Groups!A:A,Groups!M:M)=1,0.25,0.8)*C4^-0.25</f>
        <v>0.23417805828463806</v>
      </c>
      <c r="BE4" s="8">
        <f>EXP(1.076*LN(AP4)-4.5397)*IF(_xlfn.XLOOKUP(E4,Groups!A:A,Groups!BC:BC)=1,1.25,IF(_xlfn.XLOOKUP(E4,Groups!A:A,Groups!BD:BD)=1,3.5,2.5))</f>
        <v>10.022292847033164</v>
      </c>
      <c r="BF4" s="8">
        <f>EXP(1.076*LN(AQ4)-4.5397)*IF(_xlfn.XLOOKUP(E4,Groups!A:A,Groups!M:M)=1,0.8,IF(_xlfn.XLOOKUP(E4,Groups!A:A,Groups!BC:BC)=1,1.3,3))</f>
        <v>14.768033224201108</v>
      </c>
      <c r="BG4" s="8" t="str">
        <f>IF(W4="No","No",IF(_xlfn.XLOOKUP(E4,Groups!A:A,Groups!U:U)=1,'Base stats'!BH4,IF(OR(_xlfn.XLOOKUP(E4,Groups!A:A,Groups!BD:BD)=1,_xlfn.XLOOKUP(E4,Groups!A:A,Groups!U:U)=2),BE4,BF4))*1.2)</f>
        <v>No</v>
      </c>
      <c r="BH4" s="8">
        <f>IFERROR(EXP(1.076*LN(AR4)-4.5397)*IF(_xlfn.XLOOKUP(E4,Groups!A:A,Groups!N:N)="Insect",1,IF(OR(_xlfn.XLOOKUP(E4,Groups!A:A,Groups!N:N)="Pig",_xlfn.XLOOKUP(E4,Groups!A:A,Groups!N:N)="StrongBitingHerbivore"),3.5,3.75)),"No")</f>
        <v>10.721329843129723</v>
      </c>
      <c r="BI4" s="8">
        <f t="shared" si="10"/>
        <v>10</v>
      </c>
      <c r="BJ4" s="8">
        <f t="shared" si="11"/>
        <v>10</v>
      </c>
      <c r="BK4" s="8" t="str">
        <f t="shared" si="6"/>
        <v>No</v>
      </c>
      <c r="BL4" s="8">
        <f t="shared" si="7"/>
        <v>7</v>
      </c>
      <c r="BM4" s="8">
        <f t="shared" si="12"/>
        <v>11</v>
      </c>
      <c r="BN4" s="8" cm="1">
        <f t="array" ref="BN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O4" s="8" t="str">
        <f>IF(W4="No","No",IF(_xlfn.XLOOKUP(E4,Groups!A:A,Groups!BD:BD)=1,(AM4*5%),EXP(0.7354*LN(C4)^0.4078)*2/IF(_xlfn.XLOOKUP(E4,Groups!A:A,Groups!BL:BL)=1,1000,100)))</f>
        <v>No</v>
      </c>
      <c r="BP4" s="8">
        <f>IF(BH4="No","No",IF(_xlfn.XLOOKUP(E4,Groups!A:A,Groups!BF:BF)=1,(0.0315*C4+2.1825)*2,(0.7354*C4^0.4078)*2)/IF(_xlfn.XLOOKUP(E4,Groups!A:A,Groups!BM:BM)=1,1000,100))</f>
        <v>3.0541031512019721E-2</v>
      </c>
      <c r="BQ4" s="8">
        <f t="shared" si="8"/>
        <v>5.6347647959220322E-2</v>
      </c>
      <c r="BR4" s="8">
        <f t="shared" si="13"/>
        <v>483.54729663891686</v>
      </c>
      <c r="BS4" s="8" t="str">
        <f t="shared" si="9"/>
        <v>No</v>
      </c>
      <c r="BT4" s="8">
        <f t="shared" si="14"/>
        <v>351.04674964597183</v>
      </c>
      <c r="BU4" s="4">
        <v>0</v>
      </c>
      <c r="BV4" s="4">
        <v>1</v>
      </c>
    </row>
    <row r="5" spans="1:74" x14ac:dyDescent="0.25">
      <c r="A5" s="26" t="s">
        <v>38</v>
      </c>
      <c r="B5" s="6" t="s">
        <v>39</v>
      </c>
      <c r="C5" s="7">
        <v>111</v>
      </c>
      <c r="D5" s="7" t="s">
        <v>947</v>
      </c>
      <c r="E5" s="7" t="str">
        <f>Groups!A9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512</v>
      </c>
      <c r="L5" s="7">
        <f>11.3*(2.3/1.95)*3.6</f>
        <v>47.981538461538463</v>
      </c>
      <c r="M5" s="7" t="s">
        <v>639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945</v>
      </c>
      <c r="Y5" s="4" t="s">
        <v>42</v>
      </c>
      <c r="Z5" s="4">
        <v>0</v>
      </c>
      <c r="AA5" s="4">
        <v>0</v>
      </c>
      <c r="AB5" s="4">
        <v>0</v>
      </c>
      <c r="AC5" s="4" t="s">
        <v>45</v>
      </c>
      <c r="AD5" s="4" t="s">
        <v>320</v>
      </c>
      <c r="AE5" s="28" t="s">
        <v>384</v>
      </c>
      <c r="AF5" s="4" t="str">
        <f>Animals!C6</f>
        <v>&lt;li&gt;Cassowary&lt;/li&gt;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4" t="s">
        <v>40</v>
      </c>
      <c r="AM5" s="8">
        <f t="shared" si="0"/>
        <v>23701.886548539122</v>
      </c>
      <c r="AN5" s="8">
        <f>IFERROR(C5*_xlfn.XLOOKUP(E5,Groups!A:A,Groups!K:K),0.106*C5^0.94)</f>
        <v>8.8697109140438197</v>
      </c>
      <c r="AO5" s="8">
        <f>AN5*10000/(_xlfn.XLOOKUP(E5,Groups!A:A,Groups!J:J)*AM5)</f>
        <v>3.4332074983824747</v>
      </c>
      <c r="AP5" s="8">
        <f t="shared" si="1"/>
        <v>2904.8590869878603</v>
      </c>
      <c r="AQ5" s="8">
        <f>IF(_xlfn.XLOOKUP(E5,Groups!A:A,Groups!M:M)=1,EXP(0.7444*LN('Base stats'!C5)+6.5696),EXP(0.7927*LN('Base stats'!C5)+4.28))</f>
        <v>3020.7021718557112</v>
      </c>
      <c r="AR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"No")))))))))))))))</f>
        <v>365.80152242272635</v>
      </c>
      <c r="AS5" s="8">
        <f>IF(_xlfn.XLOOKUP(E5,Groups!A:A,Groups!U:U)=3,AQ5,IF(_xlfn.XLOOKUP(E5,Groups!A:A,Groups!U:U)=2,AP5,AR5))</f>
        <v>365.80152242272635</v>
      </c>
      <c r="AT5" s="46">
        <f>IFERROR(AVERAGE(_xlfn.XLOOKUP(B5,Animals!B:B,Animals!N:N),_xlfn.XLOOKUP(B5,Animals!B:B,Animals!O:O)),0)</f>
        <v>0</v>
      </c>
      <c r="AU5" s="8">
        <f>MROUND(40*Animals!AO5*_xlfn.XLOOKUP(Animals!BB5,Leathers!$A$2:$A$100,Leathers!$B$2:$B$100,0)+(140*_xlfn.XLOOKUP(B5,Animals!B:B,Animals!AO:AO)*2),5)</f>
        <v>460</v>
      </c>
      <c r="AV5" s="8">
        <f>IFERROR(ROUND(SQRT(V5-1)*IF(_xlfn.XLOOKUP(E5,Groups!A:A,Groups!BF:BF)=0,2,1)*IF(_xlfn.XLOOKUP('Base stats'!E5,Groups!A:A,Groups!O:O)=0,1,0.1),1),0)</f>
        <v>0.2</v>
      </c>
      <c r="AW5" s="8">
        <f t="shared" si="2"/>
        <v>2.1</v>
      </c>
      <c r="AX5" s="8">
        <f t="shared" si="3"/>
        <v>0</v>
      </c>
      <c r="AY5" s="8">
        <f t="shared" si="4"/>
        <v>4.3</v>
      </c>
      <c r="AZ5" s="8">
        <f>IF(_xlfn.XLOOKUP(E5,Groups!A:A,Groups!N:N)="Insect",BB5*2.5,IFERROR(AVERAGE(BB5,AR5/9.81/IF(OR(_xlfn.XLOOKUP(E5,Groups!A:A,Groups!N:N)="Pig",_xlfn.XLOOKUP(E5,Groups!A:A,Groups!N:N)="StrongBitingHerbivore"),20,25))*C5^-0.135,BB5))</f>
        <v>0.75656945039250134</v>
      </c>
      <c r="BA5" s="8" t="str">
        <f>IF(W5="No","No",IF(_xlfn.XLOOKUP(E5,Groups!A:A,Groups!U:U)=1,'Base stats'!AZ5,IF(OR(_xlfn.XLOOKUP(E5,Groups!A:A,Groups!BD:BD)=1,_xlfn.XLOOKUP(E5,Groups!A:A,Groups!U:U)=2),BB5,IF(_xlfn.XLOOKUP(B5,Animals!B:B,Animals!AO:AO)&gt;4,AVERAGE(BB5,BD5),BD5))))</f>
        <v>No</v>
      </c>
      <c r="BB5" s="8">
        <f t="shared" si="5"/>
        <v>1.3660279738562071</v>
      </c>
      <c r="BC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D5" s="8">
        <f>(0.048*C5^1.01)/IF(_xlfn.XLOOKUP(E5,Groups!A:A,Groups!M:M)=1,0.25,0.8)*C5^-0.25</f>
        <v>2.1507835900693246</v>
      </c>
      <c r="BE5" s="8">
        <f>EXP(1.076*LN(AP5)-4.5397)*IF(_xlfn.XLOOKUP(E5,Groups!A:A,Groups!BC:BC)=1,1.25,IF(_xlfn.XLOOKUP(E5,Groups!A:A,Groups!BD:BD)=1,3.5,2.5))</f>
        <v>142.13332778712689</v>
      </c>
      <c r="BF5" s="8">
        <f>EXP(1.076*LN(AQ5)-4.5397)*IF(_xlfn.XLOOKUP(E5,Groups!A:A,Groups!M:M)=1,0.8,IF(_xlfn.XLOOKUP(E5,Groups!A:A,Groups!BC:BC)=1,1.3,3))</f>
        <v>177.88965958918951</v>
      </c>
      <c r="BG5" s="8" t="str">
        <f>IF(W5="No","No",IF(_xlfn.XLOOKUP(E5,Groups!A:A,Groups!U:U)=1,'Base stats'!BH5,IF(OR(_xlfn.XLOOKUP(E5,Groups!A:A,Groups!BD:BD)=1,_xlfn.XLOOKUP(E5,Groups!A:A,Groups!U:U)=2),BE5,BF5))*1.2)</f>
        <v>No</v>
      </c>
      <c r="BH5" s="8">
        <f>IFERROR(EXP(1.076*LN(AR5)-4.5397)*IF(_xlfn.XLOOKUP(E5,Groups!A:A,Groups!N:N)="Insect",1,IF(OR(_xlfn.XLOOKUP(E5,Groups!A:A,Groups!N:N)="Pig",_xlfn.XLOOKUP(E5,Groups!A:A,Groups!N:N)="StrongBitingHerbivore"),3.5,3.75)),"No")</f>
        <v>22.93595223548451</v>
      </c>
      <c r="BI5" s="8">
        <f t="shared" si="10"/>
        <v>14</v>
      </c>
      <c r="BJ5" s="8">
        <f t="shared" si="11"/>
        <v>8</v>
      </c>
      <c r="BK5" s="8" t="str">
        <f t="shared" si="6"/>
        <v>No</v>
      </c>
      <c r="BL5" s="8">
        <f t="shared" si="7"/>
        <v>7</v>
      </c>
      <c r="BM5" s="8">
        <f t="shared" si="12"/>
        <v>12</v>
      </c>
      <c r="BN5" s="8" cm="1">
        <f t="array" ref="BN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O5" s="8" t="str">
        <f>IF(W5="No","No",IF(_xlfn.XLOOKUP(E5,Groups!A:A,Groups!BD:BD)=1,(AM5*5%),EXP(0.7354*LN(C5)^0.4078)*2/IF(_xlfn.XLOOKUP(E5,Groups!A:A,Groups!BL:BL)=1,1000,100)))</f>
        <v>No</v>
      </c>
      <c r="BP5" s="8">
        <f>IF(BH5="No","No",IF(_xlfn.XLOOKUP(E5,Groups!A:A,Groups!BF:BF)=1,(0.0315*C5+2.1825)*2,(0.7354*C5^0.4078)*2)/IF(_xlfn.XLOOKUP(E5,Groups!A:A,Groups!BM:BM)=1,1000,100))</f>
        <v>0.10037749006033786</v>
      </c>
      <c r="BQ5" s="8">
        <f t="shared" si="8"/>
        <v>0.11993418962330435</v>
      </c>
      <c r="BR5" s="8">
        <f t="shared" si="13"/>
        <v>1772.2066917817765</v>
      </c>
      <c r="BS5" s="8" t="str">
        <f t="shared" si="9"/>
        <v>No</v>
      </c>
      <c r="BT5" s="8">
        <f t="shared" si="14"/>
        <v>228.49696900866411</v>
      </c>
      <c r="BU5" s="4">
        <v>0</v>
      </c>
      <c r="BV5" s="4">
        <v>1</v>
      </c>
    </row>
    <row r="6" spans="1:74" x14ac:dyDescent="0.25">
      <c r="A6" s="26" t="s">
        <v>43</v>
      </c>
      <c r="B6" s="6" t="s">
        <v>44</v>
      </c>
      <c r="C6" s="7">
        <f>44</f>
        <v>44</v>
      </c>
      <c r="D6" s="7" t="s">
        <v>513</v>
      </c>
      <c r="E6" s="7" t="str">
        <f>Groups!A7</f>
        <v>Bird (aggressive)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513</v>
      </c>
      <c r="L6" s="7">
        <f>$L$5*(C6/C5)^0.165</f>
        <v>41.187513001127201</v>
      </c>
      <c r="M6" s="7" t="s">
        <v>638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945</v>
      </c>
      <c r="Y6" s="4" t="s">
        <v>42</v>
      </c>
      <c r="Z6" s="4">
        <v>0</v>
      </c>
      <c r="AA6" s="4">
        <v>0</v>
      </c>
      <c r="AB6" s="4">
        <v>0</v>
      </c>
      <c r="AC6" s="4" t="s">
        <v>45</v>
      </c>
      <c r="AD6" s="4" t="s">
        <v>45</v>
      </c>
      <c r="AE6" s="28" t="s">
        <v>384</v>
      </c>
      <c r="AF6" s="4" t="s">
        <v>45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4" t="s">
        <v>40</v>
      </c>
      <c r="AM6" s="8">
        <f t="shared" si="0"/>
        <v>12988.745833032934</v>
      </c>
      <c r="AN6" s="8">
        <f>IFERROR(C6*_xlfn.XLOOKUP(E6,Groups!A:A,Groups!K:K),0.106*C6^0.94)</f>
        <v>3.7166475696464318</v>
      </c>
      <c r="AO6" s="8">
        <f>AN6*10000/(_xlfn.XLOOKUP(E6,Groups!A:A,Groups!J:J)*AM6)</f>
        <v>2.6251714032681663</v>
      </c>
      <c r="AP6" s="8">
        <f t="shared" si="1"/>
        <v>1329.429236703344</v>
      </c>
      <c r="AQ6" s="8">
        <f>IF(_xlfn.XLOOKUP(E6,Groups!A:A,Groups!M:M)=1,EXP(0.7444*LN('Base stats'!C6)+6.5696),EXP(0.7927*LN('Base stats'!C6)+4.28))</f>
        <v>1450.5921375918902</v>
      </c>
      <c r="AR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"No")))))))))))))))</f>
        <v>192.81963633688059</v>
      </c>
      <c r="AS6" s="8">
        <f>IF(_xlfn.XLOOKUP(E6,Groups!A:A,Groups!U:U)=3,AQ6,IF(_xlfn.XLOOKUP(E6,Groups!A:A,Groups!U:U)=2,AP6,AR6))</f>
        <v>192.81963633688059</v>
      </c>
      <c r="AT6" s="46">
        <f>IFERROR(AVERAGE(_xlfn.XLOOKUP(B6,Animals!B:B,Animals!N:N),_xlfn.XLOOKUP(B6,Animals!B:B,Animals!O:O)),0)</f>
        <v>0</v>
      </c>
      <c r="AU6" s="8">
        <f>MROUND(40*Animals!AO6*_xlfn.XLOOKUP(Animals!BB6,Leathers!$A$2:$A$100,Leathers!$B$2:$B$100,0)+(140*_xlfn.XLOOKUP(B6,Animals!B:B,Animals!AO:AO)*2),5)</f>
        <v>280</v>
      </c>
      <c r="AV6" s="8">
        <f>IFERROR(ROUND(SQRT(V6-1)*IF(_xlfn.XLOOKUP(E6,Groups!A:A,Groups!BF:BF)=0,2,1)*IF(_xlfn.XLOOKUP('Base stats'!E6,Groups!A:A,Groups!O:O)=0,1,0.1),1),0)</f>
        <v>0.4</v>
      </c>
      <c r="AW6" s="8">
        <f t="shared" si="2"/>
        <v>3.4</v>
      </c>
      <c r="AX6" s="8">
        <f t="shared" si="3"/>
        <v>0</v>
      </c>
      <c r="AY6" s="8">
        <f t="shared" si="4"/>
        <v>3.1</v>
      </c>
      <c r="AZ6" s="8">
        <f>IF(_xlfn.XLOOKUP(E6,Groups!A:A,Groups!N:N)="Insect",BB6*2.5,IFERROR(AVERAGE(BB6,AR6/9.81/IF(OR(_xlfn.XLOOKUP(E6,Groups!A:A,Groups!N:N)="Pig",_xlfn.XLOOKUP(E6,Groups!A:A,Groups!N:N)="StrongBitingHerbivore"),20,25))*C6^-0.135,BB6))</f>
        <v>0.43981945581240772</v>
      </c>
      <c r="BA6" s="8" t="str">
        <f>IF(W6="No","No",IF(_xlfn.XLOOKUP(E6,Groups!A:A,Groups!U:U)=1,'Base stats'!AZ6,IF(OR(_xlfn.XLOOKUP(E6,Groups!A:A,Groups!BD:BD)=1,_xlfn.XLOOKUP(E6,Groups!A:A,Groups!U:U)=2),BB6,IF(_xlfn.XLOOKUP(B6,Animals!B:B,Animals!AO:AO)&gt;4,AVERAGE(BB6,BD6),BD6))))</f>
        <v>No</v>
      </c>
      <c r="BB6" s="8">
        <f t="shared" si="5"/>
        <v>0.67990680055587938</v>
      </c>
      <c r="BC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D6" s="8">
        <f>(0.048*C6^1.01)/IF(_xlfn.XLOOKUP(E6,Groups!A:A,Groups!M:M)=1,0.25,0.8)*C6^-0.25</f>
        <v>1.0645726010205852</v>
      </c>
      <c r="BE6" s="8">
        <f>EXP(1.076*LN(AP6)-4.5397)*IF(_xlfn.XLOOKUP(E6,Groups!A:A,Groups!BC:BC)=1,1.25,IF(_xlfn.XLOOKUP(E6,Groups!A:A,Groups!BD:BD)=1,3.5,2.5))</f>
        <v>61.296705303612796</v>
      </c>
      <c r="BF6" s="8">
        <f>EXP(1.076*LN(AQ6)-4.5397)*IF(_xlfn.XLOOKUP(E6,Groups!A:A,Groups!M:M)=1,0.8,IF(_xlfn.XLOOKUP(E6,Groups!A:A,Groups!BC:BC)=1,1.3,3))</f>
        <v>80.7936741959725</v>
      </c>
      <c r="BG6" s="8" t="str">
        <f>IF(W6="No","No",IF(_xlfn.XLOOKUP(E6,Groups!A:A,Groups!U:U)=1,'Base stats'!BH6,IF(OR(_xlfn.XLOOKUP(E6,Groups!A:A,Groups!BD:BD)=1,_xlfn.XLOOKUP(E6,Groups!A:A,Groups!U:U)=2),BE6,BF6))*1.2)</f>
        <v>No</v>
      </c>
      <c r="BH6" s="8">
        <f>IFERROR(EXP(1.076*LN(AR6)-4.5397)*IF(_xlfn.XLOOKUP(E6,Groups!A:A,Groups!N:N)="Insect",1,IF(OR(_xlfn.XLOOKUP(E6,Groups!A:A,Groups!N:N)="Pig",_xlfn.XLOOKUP(E6,Groups!A:A,Groups!N:N)="StrongBitingHerbivore"),3.5,3.75)),"No")</f>
        <v>11.515621009597833</v>
      </c>
      <c r="BI6" s="8">
        <f t="shared" si="10"/>
        <v>13</v>
      </c>
      <c r="BJ6" s="8">
        <f t="shared" si="11"/>
        <v>8</v>
      </c>
      <c r="BK6" s="8" t="str">
        <f t="shared" si="6"/>
        <v>No</v>
      </c>
      <c r="BL6" s="8">
        <f t="shared" si="7"/>
        <v>7</v>
      </c>
      <c r="BM6" s="8">
        <f t="shared" si="12"/>
        <v>12</v>
      </c>
      <c r="BN6" s="8" cm="1">
        <f t="array" ref="BN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O6" s="8" t="str">
        <f>IF(W6="No","No",IF(_xlfn.XLOOKUP(E6,Groups!A:A,Groups!BD:BD)=1,(AM6*5%),EXP(0.7354*LN(C6)^0.4078)*2/IF(_xlfn.XLOOKUP(E6,Groups!A:A,Groups!BL:BL)=1,1000,100)))</f>
        <v>No</v>
      </c>
      <c r="BP6" s="8">
        <f>IF(BH6="No","No",IF(_xlfn.XLOOKUP(E6,Groups!A:A,Groups!BF:BF)=1,(0.0315*C6+2.1825)*2,(0.7354*C6^0.4078)*2)/IF(_xlfn.XLOOKUP(E6,Groups!A:A,Groups!BM:BM)=1,1000,100))</f>
        <v>6.8826173140535019E-2</v>
      </c>
      <c r="BQ6" s="8">
        <f t="shared" si="8"/>
        <v>9.4384332546908756E-2</v>
      </c>
      <c r="BR6" s="8">
        <f t="shared" si="13"/>
        <v>1173.8800881897246</v>
      </c>
      <c r="BS6" s="8" t="str">
        <f t="shared" si="9"/>
        <v>No</v>
      </c>
      <c r="BT6" s="8">
        <f t="shared" si="14"/>
        <v>167.31456194846513</v>
      </c>
      <c r="BU6" s="4">
        <v>0</v>
      </c>
      <c r="BV6" s="4">
        <v>1</v>
      </c>
    </row>
    <row r="7" spans="1:74" x14ac:dyDescent="0.25">
      <c r="A7" s="26" t="s">
        <v>46</v>
      </c>
      <c r="B7" s="6" t="s">
        <v>47</v>
      </c>
      <c r="C7" s="7">
        <v>38.924999999999997</v>
      </c>
      <c r="D7" s="7" t="s">
        <v>514</v>
      </c>
      <c r="E7" s="7" t="str">
        <f>Groups!A9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514</v>
      </c>
      <c r="L7" s="7">
        <f>$L$5*(C7/C5)^0.165</f>
        <v>40.363015055534014</v>
      </c>
      <c r="M7" s="7" t="s">
        <v>638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945</v>
      </c>
      <c r="Y7" s="4" t="s">
        <v>42</v>
      </c>
      <c r="Z7" s="4">
        <v>0</v>
      </c>
      <c r="AA7" s="4">
        <v>0</v>
      </c>
      <c r="AB7" s="4">
        <v>0</v>
      </c>
      <c r="AC7" s="4" t="s">
        <v>45</v>
      </c>
      <c r="AD7" s="4" t="s">
        <v>320</v>
      </c>
      <c r="AE7" s="28" t="s">
        <v>384</v>
      </c>
      <c r="AF7" s="4" t="str">
        <f>Animals!C6</f>
        <v>&lt;li&gt;Cassowary&lt;/li&gt;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4" t="s">
        <v>40</v>
      </c>
      <c r="AM7" s="8">
        <f t="shared" si="0"/>
        <v>11994.208182815728</v>
      </c>
      <c r="AN7" s="8">
        <f>IFERROR(C7*_xlfn.XLOOKUP(E7,Groups!A:A,Groups!K:K),0.106*C7^0.94)</f>
        <v>3.3122321570258504</v>
      </c>
      <c r="AO7" s="8">
        <f>AN7*10000/(_xlfn.XLOOKUP(E7,Groups!A:A,Groups!J:J)*AM7)</f>
        <v>2.5335103842390416</v>
      </c>
      <c r="AP7" s="8">
        <f t="shared" si="1"/>
        <v>1198.6899552298667</v>
      </c>
      <c r="AQ7" s="8">
        <f>IF(_xlfn.XLOOKUP(E7,Groups!A:A,Groups!M:M)=1,EXP(0.7444*LN('Base stats'!C7)+6.5696),EXP(0.7927*LN('Base stats'!C7)+4.28))</f>
        <v>1316.2991795574835</v>
      </c>
      <c r="AR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"No")))))))))))))))</f>
        <v>177.14145730489139</v>
      </c>
      <c r="AS7" s="8">
        <f>IF(_xlfn.XLOOKUP(E7,Groups!A:A,Groups!U:U)=3,AQ7,IF(_xlfn.XLOOKUP(E7,Groups!A:A,Groups!U:U)=2,AP7,AR7))</f>
        <v>177.14145730489139</v>
      </c>
      <c r="AT7" s="46">
        <f>IFERROR(AVERAGE(_xlfn.XLOOKUP(B7,Animals!B:B,Animals!N:N),_xlfn.XLOOKUP(B7,Animals!B:B,Animals!O:O)),0)</f>
        <v>0</v>
      </c>
      <c r="AU7" s="8">
        <f>MROUND(40*Animals!AO7*_xlfn.XLOOKUP(Animals!BB7,Leathers!$A$2:$A$100,Leathers!$B$2:$B$100,0)+(140*_xlfn.XLOOKUP(B7,Animals!B:B,Animals!AO:AO)*2),5)</f>
        <v>265</v>
      </c>
      <c r="AV7" s="8">
        <f>IFERROR(ROUND(SQRT(V7-1)*IF(_xlfn.XLOOKUP(E7,Groups!A:A,Groups!BF:BF)=0,2,1)*IF(_xlfn.XLOOKUP('Base stats'!E7,Groups!A:A,Groups!O:O)=0,1,0.1),1),0)</f>
        <v>0.2</v>
      </c>
      <c r="AW7" s="8">
        <f t="shared" si="2"/>
        <v>1.2</v>
      </c>
      <c r="AX7" s="8">
        <f t="shared" si="3"/>
        <v>0</v>
      </c>
      <c r="AY7" s="8">
        <f t="shared" si="4"/>
        <v>3</v>
      </c>
      <c r="AZ7" s="8">
        <f>IF(_xlfn.XLOOKUP(E7,Groups!A:A,Groups!N:N)="Insect",BB7*2.5,IFERROR(AVERAGE(BB7,AR7/9.81/IF(OR(_xlfn.XLOOKUP(E7,Groups!A:A,Groups!N:N)="Pig",_xlfn.XLOOKUP(E7,Groups!A:A,Groups!N:N)="StrongBitingHerbivore"),20,25))*C7^-0.135,BB7))</f>
        <v>0.40935627162584132</v>
      </c>
      <c r="BA7" s="8" t="str">
        <f>IF(W7="No","No",IF(_xlfn.XLOOKUP(E7,Groups!A:A,Groups!U:U)=1,'Base stats'!AZ7,IF(OR(_xlfn.XLOOKUP(E7,Groups!A:A,Groups!BD:BD)=1,_xlfn.XLOOKUP(E7,Groups!A:A,Groups!U:U)=2),BB7,IF(_xlfn.XLOOKUP(B7,Animals!B:B,Animals!AO:AO)&gt;4,AVERAGE(BB7,BD7),BD7))))</f>
        <v>No</v>
      </c>
      <c r="BB7" s="8">
        <f t="shared" si="5"/>
        <v>0.61989544824565768</v>
      </c>
      <c r="BC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D7" s="8">
        <f>(0.048*C7^1.01)/IF(_xlfn.XLOOKUP(E7,Groups!A:A,Groups!M:M)=1,0.25,0.8)*C7^-0.25</f>
        <v>0.96989562992157141</v>
      </c>
      <c r="BE7" s="8">
        <f>EXP(1.076*LN(AP7)-4.5397)*IF(_xlfn.XLOOKUP(E7,Groups!A:A,Groups!BC:BC)=1,1.25,IF(_xlfn.XLOOKUP(E7,Groups!A:A,Groups!BD:BD)=1,3.5,2.5))</f>
        <v>54.835516318642945</v>
      </c>
      <c r="BF7" s="8">
        <f>EXP(1.076*LN(AQ7)-4.5397)*IF(_xlfn.XLOOKUP(E7,Groups!A:A,Groups!M:M)=1,0.8,IF(_xlfn.XLOOKUP(E7,Groups!A:A,Groups!BC:BC)=1,1.3,3))</f>
        <v>72.774655160809999</v>
      </c>
      <c r="BG7" s="8" t="str">
        <f>IF(W7="No","No",IF(_xlfn.XLOOKUP(E7,Groups!A:A,Groups!U:U)=1,'Base stats'!BH7,IF(OR(_xlfn.XLOOKUP(E7,Groups!A:A,Groups!BD:BD)=1,_xlfn.XLOOKUP(E7,Groups!A:A,Groups!U:U)=2),BE7,BF7))*1.2)</f>
        <v>No</v>
      </c>
      <c r="BH7" s="8">
        <f>IFERROR(EXP(1.076*LN(AR7)-4.5397)*IF(_xlfn.XLOOKUP(E7,Groups!A:A,Groups!N:N)="Insect",1,IF(OR(_xlfn.XLOOKUP(E7,Groups!A:A,Groups!N:N)="Pig",_xlfn.XLOOKUP(E7,Groups!A:A,Groups!N:N)="StrongBitingHerbivore"),3.5,3.75)),"No")</f>
        <v>10.511317578789491</v>
      </c>
      <c r="BI7" s="8">
        <f t="shared" si="10"/>
        <v>13</v>
      </c>
      <c r="BJ7" s="8">
        <f t="shared" si="11"/>
        <v>8</v>
      </c>
      <c r="BK7" s="8" t="str">
        <f t="shared" si="6"/>
        <v>No</v>
      </c>
      <c r="BL7" s="8">
        <f t="shared" si="7"/>
        <v>7</v>
      </c>
      <c r="BM7" s="8">
        <f t="shared" si="12"/>
        <v>12</v>
      </c>
      <c r="BN7" s="8" cm="1">
        <f t="array" ref="BN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O7" s="8" t="str">
        <f>IF(W7="No","No",IF(_xlfn.XLOOKUP(E7,Groups!A:A,Groups!BD:BD)=1,(AM7*5%),EXP(0.7354*LN(C7)^0.4078)*2/IF(_xlfn.XLOOKUP(E7,Groups!A:A,Groups!BL:BL)=1,1000,100)))</f>
        <v>No</v>
      </c>
      <c r="BP7" s="8">
        <f>IF(BH7="No","No",IF(_xlfn.XLOOKUP(E7,Groups!A:A,Groups!BF:BF)=1,(0.0315*C7+2.1825)*2,(0.7354*C7^0.4078)*2)/IF(_xlfn.XLOOKUP(E7,Groups!A:A,Groups!BM:BM)=1,1000,100))</f>
        <v>6.5470981695459313E-2</v>
      </c>
      <c r="BQ7" s="8">
        <f t="shared" si="8"/>
        <v>9.1436659232256065E-2</v>
      </c>
      <c r="BR7" s="8">
        <f t="shared" si="13"/>
        <v>1111.5558874513902</v>
      </c>
      <c r="BS7" s="8" t="str">
        <f t="shared" si="9"/>
        <v>No</v>
      </c>
      <c r="BT7" s="8">
        <f t="shared" si="14"/>
        <v>160.54925871866826</v>
      </c>
      <c r="BU7" s="4">
        <v>0</v>
      </c>
      <c r="BV7" s="4">
        <v>1</v>
      </c>
    </row>
    <row r="8" spans="1:74" x14ac:dyDescent="0.25">
      <c r="A8" s="26" t="s">
        <v>48</v>
      </c>
      <c r="B8" s="27" t="s">
        <v>927</v>
      </c>
      <c r="C8" s="7">
        <v>6.05</v>
      </c>
      <c r="D8" s="7" t="s">
        <v>515</v>
      </c>
      <c r="E8" s="7" t="str">
        <f>Groups!A9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515</v>
      </c>
      <c r="L8" s="7">
        <f>10*1.60934</f>
        <v>16.093399999999999</v>
      </c>
      <c r="M8" s="7" t="s">
        <v>640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945</v>
      </c>
      <c r="Y8" s="4" t="s">
        <v>42</v>
      </c>
      <c r="Z8" s="4">
        <v>0</v>
      </c>
      <c r="AA8" s="4">
        <v>0</v>
      </c>
      <c r="AB8" s="4">
        <v>0</v>
      </c>
      <c r="AC8" s="4" t="s">
        <v>45</v>
      </c>
      <c r="AD8" s="4" t="s">
        <v>407</v>
      </c>
      <c r="AE8" s="28" t="s">
        <v>45</v>
      </c>
      <c r="AF8" s="4" t="s">
        <v>45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4" t="s">
        <v>40</v>
      </c>
      <c r="AM8" s="8">
        <f t="shared" si="0"/>
        <v>3576.5472944670596</v>
      </c>
      <c r="AN8" s="8">
        <f>IFERROR(C8*_xlfn.XLOOKUP(E8,Groups!A:A,Groups!K:K),0.106*C8^0.94)</f>
        <v>0.57564656494124489</v>
      </c>
      <c r="AO8" s="8">
        <f>AN8*10000/(_xlfn.XLOOKUP(E8,Groups!A:A,Groups!J:J)*AM8)</f>
        <v>1.4766087825596328</v>
      </c>
      <c r="AP8" s="8">
        <f t="shared" si="1"/>
        <v>248.76513599148771</v>
      </c>
      <c r="AQ8" s="8">
        <f>IF(_xlfn.XLOOKUP(E8,Groups!A:A,Groups!M:M)=1,EXP(0.7444*LN('Base stats'!C8)+6.5696),EXP(0.7927*LN('Base stats'!C8)+4.28))</f>
        <v>300.93858044455749</v>
      </c>
      <c r="AR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"No")))))))))))))))</f>
        <v>48.849117987211052</v>
      </c>
      <c r="AS8" s="8">
        <f>IF(_xlfn.XLOOKUP(E8,Groups!A:A,Groups!U:U)=3,AQ8,IF(_xlfn.XLOOKUP(E8,Groups!A:A,Groups!U:U)=2,AP8,AR8))</f>
        <v>48.849117987211052</v>
      </c>
      <c r="AT8" s="46">
        <f>IFERROR(AVERAGE(_xlfn.XLOOKUP(B8,Animals!B:B,Animals!N:N),_xlfn.XLOOKUP(B8,Animals!B:B,Animals!O:O)),0)</f>
        <v>0</v>
      </c>
      <c r="AU8" s="8">
        <f>MROUND(40*Animals!AO8*_xlfn.XLOOKUP(Animals!BB8,Leathers!$A$2:$A$100,Leathers!$B$2:$B$100,0)+(140*_xlfn.XLOOKUP(B8,Animals!B:B,Animals!AO:AO)*2),5)</f>
        <v>100</v>
      </c>
      <c r="AV8" s="8">
        <f>IFERROR(ROUND(SQRT(V8-1)*IF(_xlfn.XLOOKUP(E8,Groups!A:A,Groups!BF:BF)=0,2,1)*IF(_xlfn.XLOOKUP('Base stats'!E8,Groups!A:A,Groups!O:O)=0,1,0.1),1),0)</f>
        <v>0.2</v>
      </c>
      <c r="AW8" s="8">
        <f t="shared" si="2"/>
        <v>1.7</v>
      </c>
      <c r="AX8" s="8">
        <f t="shared" si="3"/>
        <v>0</v>
      </c>
      <c r="AY8" s="8">
        <f t="shared" si="4"/>
        <v>1.2</v>
      </c>
      <c r="AZ8" s="8">
        <f>IF(_xlfn.XLOOKUP(E8,Groups!A:A,Groups!N:N)="Insect",BB8*2.5,IFERROR(AVERAGE(BB8,AR8/9.81/IF(OR(_xlfn.XLOOKUP(E8,Groups!A:A,Groups!N:N)="Pig",_xlfn.XLOOKUP(E8,Groups!A:A,Groups!N:N)="StrongBitingHerbivore"),20,25))*C8^-0.135,BB8))</f>
        <v>0.13783123466243782</v>
      </c>
      <c r="BA8" s="8" t="str">
        <f>IF(W8="No","No",IF(_xlfn.XLOOKUP(E8,Groups!A:A,Groups!U:U)=1,'Base stats'!AZ8,IF(OR(_xlfn.XLOOKUP(E8,Groups!A:A,Groups!BD:BD)=1,_xlfn.XLOOKUP(E8,Groups!A:A,Groups!U:U)=2),BB8,IF(_xlfn.XLOOKUP(B8,Animals!B:B,Animals!AO:AO)&gt;4,AVERAGE(BB8,BD8),BD8))))</f>
        <v>No</v>
      </c>
      <c r="BB8" s="8">
        <f t="shared" si="5"/>
        <v>0.15231042133409653</v>
      </c>
      <c r="BC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D8" s="8">
        <f>(0.048*C8^1.01)/IF(_xlfn.XLOOKUP(E8,Groups!A:A,Groups!M:M)=1,0.25,0.8)*C8^-0.25</f>
        <v>0.23565970794424401</v>
      </c>
      <c r="BE8" s="8">
        <f>EXP(1.076*LN(AP8)-4.5397)*IF(_xlfn.XLOOKUP(E8,Groups!A:A,Groups!BC:BC)=1,1.25,IF(_xlfn.XLOOKUP(E8,Groups!A:A,Groups!BD:BD)=1,3.5,2.5))</f>
        <v>10.098174401377193</v>
      </c>
      <c r="BF8" s="8">
        <f>EXP(1.076*LN(AQ8)-4.5397)*IF(_xlfn.XLOOKUP(E8,Groups!A:A,Groups!M:M)=1,0.8,IF(_xlfn.XLOOKUP(E8,Groups!A:A,Groups!BC:BC)=1,1.3,3))</f>
        <v>14.872938469288957</v>
      </c>
      <c r="BG8" s="8" t="str">
        <f>IF(W8="No","No",IF(_xlfn.XLOOKUP(E8,Groups!A:A,Groups!U:U)=1,'Base stats'!BH8,IF(OR(_xlfn.XLOOKUP(E8,Groups!A:A,Groups!BD:BD)=1,_xlfn.XLOOKUP(E8,Groups!A:A,Groups!U:U)=2),BE8,BF8))*1.2)</f>
        <v>No</v>
      </c>
      <c r="BH8" s="8">
        <f>IFERROR(EXP(1.076*LN(AR8)-4.5397)*IF(_xlfn.XLOOKUP(E8,Groups!A:A,Groups!N:N)="Insect",1,IF(OR(_xlfn.XLOOKUP(E8,Groups!A:A,Groups!N:N)="Pig",_xlfn.XLOOKUP(E8,Groups!A:A,Groups!N:N)="StrongBitingHerbivore"),3.5,3.75)),"No")</f>
        <v>2.6282970404018968</v>
      </c>
      <c r="BI8" s="8">
        <f t="shared" si="10"/>
        <v>11</v>
      </c>
      <c r="BJ8" s="8">
        <f t="shared" si="11"/>
        <v>7</v>
      </c>
      <c r="BK8" s="8" t="str">
        <f t="shared" si="6"/>
        <v>No</v>
      </c>
      <c r="BL8" s="8">
        <f t="shared" si="7"/>
        <v>6</v>
      </c>
      <c r="BM8" s="8">
        <f t="shared" si="12"/>
        <v>11</v>
      </c>
      <c r="BN8" s="8" cm="1">
        <f t="array" ref="BN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O8" s="8" t="str">
        <f>IF(W8="No","No",IF(_xlfn.XLOOKUP(E8,Groups!A:A,Groups!BD:BD)=1,(AM8*5%),EXP(0.7354*LN(C8)^0.4078)*2/IF(_xlfn.XLOOKUP(E8,Groups!A:A,Groups!BL:BL)=1,1000,100)))</f>
        <v>No</v>
      </c>
      <c r="BP8" s="8">
        <f>IF(BH8="No","No",IF(_xlfn.XLOOKUP(E8,Groups!A:A,Groups!BF:BF)=1,(0.0315*C8+2.1825)*2,(0.7354*C8^0.4078)*2)/IF(_xlfn.XLOOKUP(E8,Groups!A:A,Groups!BM:BM)=1,1000,100))</f>
        <v>3.0644565145643288E-2</v>
      </c>
      <c r="BQ8" s="8">
        <f t="shared" si="8"/>
        <v>5.6468843104628477E-2</v>
      </c>
      <c r="BR8" s="8">
        <f t="shared" si="13"/>
        <v>485.33690716780922</v>
      </c>
      <c r="BS8" s="8" t="str">
        <f t="shared" si="9"/>
        <v>No</v>
      </c>
      <c r="BT8" s="8">
        <f t="shared" si="14"/>
        <v>85.767150811587214</v>
      </c>
      <c r="BU8" s="4">
        <v>0</v>
      </c>
      <c r="BV8" s="4">
        <v>1</v>
      </c>
    </row>
    <row r="9" spans="1:74" x14ac:dyDescent="0.25">
      <c r="A9" s="26" t="s">
        <v>49</v>
      </c>
      <c r="B9" s="27" t="s">
        <v>929</v>
      </c>
      <c r="C9" s="7">
        <f>AVERAGE(AVERAGE(7,9),AVERAGE(5,7))</f>
        <v>7</v>
      </c>
      <c r="D9" s="7" t="s">
        <v>948</v>
      </c>
      <c r="E9" s="7" t="str">
        <f>Groups!A6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524</v>
      </c>
      <c r="L9" s="7">
        <f>8.2*1.60934</f>
        <v>13.196587999999998</v>
      </c>
      <c r="M9" s="7" t="s">
        <v>640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945</v>
      </c>
      <c r="Y9" s="4" t="s">
        <v>42</v>
      </c>
      <c r="Z9" s="4">
        <v>0</v>
      </c>
      <c r="AA9" s="4">
        <v>0</v>
      </c>
      <c r="AB9" s="4">
        <v>0</v>
      </c>
      <c r="AC9" s="4" t="s">
        <v>45</v>
      </c>
      <c r="AD9" s="4" t="s">
        <v>407</v>
      </c>
      <c r="AE9" s="28" t="s">
        <v>45</v>
      </c>
      <c r="AF9" s="4" t="s">
        <v>45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4" t="s">
        <v>40</v>
      </c>
      <c r="AM9" s="8">
        <f t="shared" si="0"/>
        <v>3932.2100134345378</v>
      </c>
      <c r="AN9" s="8">
        <f>IFERROR(C9*_xlfn.XLOOKUP(E9,Groups!A:A,Groups!K:K),0.106*C9^0.94)</f>
        <v>0.66023420902049956</v>
      </c>
      <c r="AO9" s="8">
        <f>AN9*10000/(_xlfn.XLOOKUP(E9,Groups!A:A,Groups!J:J)*AM9)</f>
        <v>1.5404046471259409</v>
      </c>
      <c r="AP9" s="8">
        <f t="shared" si="1"/>
        <v>281.38119135361171</v>
      </c>
      <c r="AQ9" s="8">
        <f>IF(_xlfn.XLOOKUP(E9,Groups!A:A,Groups!M:M)=1,EXP(0.7444*LN('Base stats'!C9)+6.5696),EXP(0.7927*LN('Base stats'!C9)+4.28))</f>
        <v>337.82329913378123</v>
      </c>
      <c r="AR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"No")))))))))))))))</f>
        <v>54.036828409463233</v>
      </c>
      <c r="AS9" s="8">
        <f>IF(_xlfn.XLOOKUP(E9,Groups!A:A,Groups!U:U)=3,AQ9,IF(_xlfn.XLOOKUP(E9,Groups!A:A,Groups!U:U)=2,AP9,AR9))</f>
        <v>54.036828409463233</v>
      </c>
      <c r="AT9" s="46">
        <f>IFERROR(AVERAGE(_xlfn.XLOOKUP(B9,Animals!B:B,Animals!N:N),_xlfn.XLOOKUP(B9,Animals!B:B,Animals!O:O)),0)</f>
        <v>0</v>
      </c>
      <c r="AU9" s="8">
        <f>MROUND(40*Animals!AO9*_xlfn.XLOOKUP(Animals!BB9,Leathers!$A$2:$A$100,Leathers!$B$2:$B$100,0)+(140*_xlfn.XLOOKUP(B9,Animals!B:B,Animals!AO:AO)*2),5)</f>
        <v>100</v>
      </c>
      <c r="AV9" s="8">
        <f>IFERROR(ROUND(SQRT(V9-1)*IF(_xlfn.XLOOKUP(E9,Groups!A:A,Groups!BF:BF)=0,2,1)*IF(_xlfn.XLOOKUP('Base stats'!E9,Groups!A:A,Groups!O:O)=0,1,0.1),1),0)</f>
        <v>0.2</v>
      </c>
      <c r="AW9" s="8">
        <f t="shared" si="2"/>
        <v>0</v>
      </c>
      <c r="AX9" s="8">
        <f t="shared" si="3"/>
        <v>0</v>
      </c>
      <c r="AY9" s="8">
        <f t="shared" si="4"/>
        <v>1.3</v>
      </c>
      <c r="AZ9" s="8">
        <f>IF(_xlfn.XLOOKUP(E9,Groups!A:A,Groups!N:N)="Insect",BB9*2.5,IFERROR(AVERAGE(BB9,AR9/9.81/IF(OR(_xlfn.XLOOKUP(E9,Groups!A:A,Groups!N:N)="Pig",_xlfn.XLOOKUP(E9,Groups!A:A,Groups!N:N)="StrongBitingHerbivore"),20,25))*C9^-0.135,BB9))</f>
        <v>0.15008443392714035</v>
      </c>
      <c r="BA9" s="8" t="str">
        <f>IF(W9="No","No",IF(_xlfn.XLOOKUP(E9,Groups!A:A,Groups!U:U)=1,'Base stats'!AZ9,IF(OR(_xlfn.XLOOKUP(E9,Groups!A:A,Groups!BD:BD)=1,_xlfn.XLOOKUP(E9,Groups!A:A,Groups!U:U)=2),BB9,IF(_xlfn.XLOOKUP(B9,Animals!B:B,Animals!AO:AO)&gt;4,AVERAGE(BB9,BD9),BD9))))</f>
        <v>No</v>
      </c>
      <c r="BB9" s="8">
        <f t="shared" si="5"/>
        <v>0.17001607632285015</v>
      </c>
      <c r="BC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D9" s="8">
        <f>(0.048*C9^1.01)/IF(_xlfn.XLOOKUP(E9,Groups!A:A,Groups!M:M)=1,0.25,0.8)*C9^-0.25</f>
        <v>0.26328478406986983</v>
      </c>
      <c r="BE9" s="8">
        <f>EXP(1.076*LN(AP9)-4.5397)*IF(_xlfn.XLOOKUP(E9,Groups!A:A,Groups!BC:BC)=1,1.25,IF(_xlfn.XLOOKUP(E9,Groups!A:A,Groups!BD:BD)=1,3.5,2.5))</f>
        <v>11.529615867397807</v>
      </c>
      <c r="BF9" s="8">
        <f>EXP(1.076*LN(AQ9)-4.5397)*IF(_xlfn.XLOOKUP(E9,Groups!A:A,Groups!M:M)=1,0.8,IF(_xlfn.XLOOKUP(E9,Groups!A:A,Groups!BC:BC)=1,1.3,3))</f>
        <v>16.843199922878384</v>
      </c>
      <c r="BG9" s="8" t="str">
        <f>IF(W9="No","No",IF(_xlfn.XLOOKUP(E9,Groups!A:A,Groups!U:U)=1,'Base stats'!BH9,IF(OR(_xlfn.XLOOKUP(E9,Groups!A:A,Groups!BD:BD)=1,_xlfn.XLOOKUP(E9,Groups!A:A,Groups!U:U)=2),BE9,BF9))*1.2)</f>
        <v>No</v>
      </c>
      <c r="BH9" s="8">
        <f>IFERROR(EXP(1.076*LN(AR9)-4.5397)*IF(_xlfn.XLOOKUP(E9,Groups!A:A,Groups!N:N)="Insect",1,IF(OR(_xlfn.XLOOKUP(E9,Groups!A:A,Groups!N:N)="Pig",_xlfn.XLOOKUP(E9,Groups!A:A,Groups!N:N)="StrongBitingHerbivore"),3.5,3.75)),"No")</f>
        <v>2.9298061607967276</v>
      </c>
      <c r="BI9" s="8">
        <f t="shared" si="10"/>
        <v>11</v>
      </c>
      <c r="BJ9" s="8">
        <f t="shared" si="11"/>
        <v>7</v>
      </c>
      <c r="BK9" s="8" t="str">
        <f t="shared" si="6"/>
        <v>No</v>
      </c>
      <c r="BL9" s="8">
        <f t="shared" si="7"/>
        <v>6</v>
      </c>
      <c r="BM9" s="8">
        <f t="shared" si="12"/>
        <v>11</v>
      </c>
      <c r="BN9" s="8" t="str" cm="1">
        <f t="array" ref="BN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O9" s="8" t="str">
        <f>IF(W9="No","No",IF(_xlfn.XLOOKUP(E9,Groups!A:A,Groups!BD:BD)=1,(AM9*5%),EXP(0.7354*LN(C9)^0.4078)*2/IF(_xlfn.XLOOKUP(E9,Groups!A:A,Groups!BL:BL)=1,1000,100)))</f>
        <v>No</v>
      </c>
      <c r="BP9" s="8">
        <f>IF(BH9="No","No",IF(_xlfn.XLOOKUP(E9,Groups!A:A,Groups!BF:BF)=1,(0.0315*C9+2.1825)*2,(0.7354*C9^0.4078)*2)/IF(_xlfn.XLOOKUP(E9,Groups!A:A,Groups!BM:BM)=1,1000,100))</f>
        <v>3.2522550888977909E-2</v>
      </c>
      <c r="BQ9" s="8">
        <f t="shared" si="8"/>
        <v>5.8641912959920536E-2</v>
      </c>
      <c r="BR9" s="8" t="str">
        <f t="shared" si="13"/>
        <v>No</v>
      </c>
      <c r="BS9" s="8" t="str">
        <f t="shared" si="9"/>
        <v>No</v>
      </c>
      <c r="BT9" s="8">
        <f t="shared" si="14"/>
        <v>90.085374016269327</v>
      </c>
      <c r="BU9" s="4">
        <v>0</v>
      </c>
      <c r="BV9" s="4">
        <v>1</v>
      </c>
    </row>
    <row r="10" spans="1:74" x14ac:dyDescent="0.25">
      <c r="A10" s="26" t="s">
        <v>50</v>
      </c>
      <c r="B10" s="27" t="s">
        <v>928</v>
      </c>
      <c r="C10" s="7">
        <v>1.048</v>
      </c>
      <c r="D10" s="7" t="s">
        <v>516</v>
      </c>
      <c r="E10" s="7" t="str">
        <f>Groups!A6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516</v>
      </c>
      <c r="L10" s="7">
        <f>8.2*1.60934</f>
        <v>13.196587999999998</v>
      </c>
      <c r="M10" s="7" t="s">
        <v>640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945</v>
      </c>
      <c r="Y10" s="4" t="s">
        <v>42</v>
      </c>
      <c r="Z10" s="4">
        <v>0</v>
      </c>
      <c r="AA10" s="4">
        <v>0</v>
      </c>
      <c r="AB10" s="4">
        <v>0</v>
      </c>
      <c r="AC10" s="4" t="s">
        <v>45</v>
      </c>
      <c r="AD10" s="4" t="s">
        <v>407</v>
      </c>
      <c r="AE10" s="28" t="s">
        <v>45</v>
      </c>
      <c r="AF10" s="4" t="s">
        <v>45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4" t="s">
        <v>40</v>
      </c>
      <c r="AM10" s="8">
        <f t="shared" si="0"/>
        <v>1144.3472031391052</v>
      </c>
      <c r="AN10" s="8">
        <f>IFERROR(C10*_xlfn.XLOOKUP(E10,Groups!A:A,Groups!K:K),0.106*C10^0.94)</f>
        <v>0.1107759468834274</v>
      </c>
      <c r="AO10" s="8">
        <f>AN10*10000/(_xlfn.XLOOKUP(E10,Groups!A:A,Groups!J:J)*AM10)</f>
        <v>0.8880985490118829</v>
      </c>
      <c r="AP10" s="8">
        <f t="shared" si="1"/>
        <v>56.577001290545205</v>
      </c>
      <c r="AQ10" s="8">
        <f>IF(_xlfn.XLOOKUP(E10,Groups!A:A,Groups!M:M)=1,EXP(0.7444*LN('Base stats'!C10)+6.5696),EXP(0.7927*LN('Base stats'!C10)+4.28))</f>
        <v>74.975741799342956</v>
      </c>
      <c r="AR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"No")))))))))))))))</f>
        <v>14.520180493209054</v>
      </c>
      <c r="AS10" s="8">
        <f>IF(_xlfn.XLOOKUP(E10,Groups!A:A,Groups!U:U)=3,AQ10,IF(_xlfn.XLOOKUP(E10,Groups!A:A,Groups!U:U)=2,AP10,AR10))</f>
        <v>14.520180493209054</v>
      </c>
      <c r="AT10" s="46">
        <f>IFERROR(AVERAGE(_xlfn.XLOOKUP(B10,Animals!B:B,Animals!N:N),_xlfn.XLOOKUP(B10,Animals!B:B,Animals!O:O)),0)</f>
        <v>0</v>
      </c>
      <c r="AU10" s="8">
        <f>MROUND(40*Animals!AO10*_xlfn.XLOOKUP(Animals!BB10,Leathers!$A$2:$A$100,Leathers!$B$2:$B$100,0)+(140*_xlfn.XLOOKUP(B10,Animals!B:B,Animals!AO:AO)*2),5)</f>
        <v>40</v>
      </c>
      <c r="AV10" s="8">
        <f>IFERROR(ROUND(SQRT(V10-1)*IF(_xlfn.XLOOKUP(E10,Groups!A:A,Groups!BF:BF)=0,2,1)*IF(_xlfn.XLOOKUP('Base stats'!E10,Groups!A:A,Groups!O:O)=0,1,0.1),1),0)</f>
        <v>0.1</v>
      </c>
      <c r="AW10" s="8">
        <f t="shared" si="2"/>
        <v>0</v>
      </c>
      <c r="AX10" s="8">
        <f t="shared" si="3"/>
        <v>0</v>
      </c>
      <c r="AY10" s="8">
        <f t="shared" si="4"/>
        <v>0.6</v>
      </c>
      <c r="AZ10" s="8">
        <f>IF(_xlfn.XLOOKUP(E10,Groups!A:A,Groups!N:N)="Insect",BB10*2.5,IFERROR(AVERAGE(BB10,AR10/9.81/IF(OR(_xlfn.XLOOKUP(E10,Groups!A:A,Groups!N:N)="Pig",_xlfn.XLOOKUP(E10,Groups!A:A,Groups!N:N)="StrongBitingHerbivore"),20,25))*C10^-0.135,BB10))</f>
        <v>4.9593186081444286E-2</v>
      </c>
      <c r="BA10" s="8" t="str">
        <f>IF(W10="No","No",IF(_xlfn.XLOOKUP(E10,Groups!A:A,Groups!U:U)=1,'Base stats'!AZ10,IF(OR(_xlfn.XLOOKUP(E10,Groups!A:A,Groups!BD:BD)=1,_xlfn.XLOOKUP(E10,Groups!A:A,Groups!U:U)=2),BB10,IF(_xlfn.XLOOKUP(B10,Animals!B:B,Animals!AO:AO)&gt;4,AVERAGE(BB10,BD10),BD10))))</f>
        <v>No</v>
      </c>
      <c r="BB10" s="8">
        <f t="shared" si="5"/>
        <v>4.0610512861484392E-2</v>
      </c>
      <c r="BC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D10" s="8">
        <f>(0.048*C10^1.01)/IF(_xlfn.XLOOKUP(E10,Groups!A:A,Groups!M:M)=1,0.25,0.8)*C10^-0.25</f>
        <v>6.2176436123280387E-2</v>
      </c>
      <c r="BE10" s="8">
        <f>EXP(1.076*LN(AP10)-4.5397)*IF(_xlfn.XLOOKUP(E10,Groups!A:A,Groups!BC:BC)=1,1.25,IF(_xlfn.XLOOKUP(E10,Groups!A:A,Groups!BD:BD)=1,3.5,2.5))</f>
        <v>2.0521727128529421</v>
      </c>
      <c r="BF10" s="8">
        <f>EXP(1.076*LN(AQ10)-4.5397)*IF(_xlfn.XLOOKUP(E10,Groups!A:A,Groups!M:M)=1,0.8,IF(_xlfn.XLOOKUP(E10,Groups!A:A,Groups!BC:BC)=1,1.3,3))</f>
        <v>3.3340287855159279</v>
      </c>
      <c r="BG10" s="8" t="str">
        <f>IF(W10="No","No",IF(_xlfn.XLOOKUP(E10,Groups!A:A,Groups!U:U)=1,'Base stats'!BH10,IF(OR(_xlfn.XLOOKUP(E10,Groups!A:A,Groups!BD:BD)=1,_xlfn.XLOOKUP(E10,Groups!A:A,Groups!U:U)=2),BE10,BF10))*1.2)</f>
        <v>No</v>
      </c>
      <c r="BH10" s="8">
        <f>IFERROR(EXP(1.076*LN(AR10)-4.5397)*IF(_xlfn.XLOOKUP(E10,Groups!A:A,Groups!N:N)="Insect",1,IF(OR(_xlfn.XLOOKUP(E10,Groups!A:A,Groups!N:N)="Pig",_xlfn.XLOOKUP(E10,Groups!A:A,Groups!N:N)="StrongBitingHerbivore"),3.5,3.75)),"No")</f>
        <v>0.71243704930306051</v>
      </c>
      <c r="BI10" s="8">
        <f t="shared" si="10"/>
        <v>10</v>
      </c>
      <c r="BJ10" s="8">
        <f t="shared" si="11"/>
        <v>7</v>
      </c>
      <c r="BK10" s="8" t="str">
        <f t="shared" si="6"/>
        <v>No</v>
      </c>
      <c r="BL10" s="8">
        <f t="shared" si="7"/>
        <v>5</v>
      </c>
      <c r="BM10" s="8">
        <f t="shared" si="12"/>
        <v>10</v>
      </c>
      <c r="BN10" s="8" t="str" cm="1">
        <f t="array" ref="BN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O10" s="8" t="str">
        <f>IF(W10="No","No",IF(_xlfn.XLOOKUP(E10,Groups!A:A,Groups!BD:BD)=1,(AM10*5%),EXP(0.7354*LN(C10)^0.4078)*2/IF(_xlfn.XLOOKUP(E10,Groups!A:A,Groups!BL:BL)=1,1000,100)))</f>
        <v>No</v>
      </c>
      <c r="BP10" s="8">
        <f>IF(BH10="No","No",IF(_xlfn.XLOOKUP(E10,Groups!A:A,Groups!BF:BF)=1,(0.0315*C10+2.1825)*2,(0.7354*C10^0.4078)*2)/IF(_xlfn.XLOOKUP(E10,Groups!A:A,Groups!BM:BM)=1,1000,100))</f>
        <v>1.4991909512646557E-2</v>
      </c>
      <c r="BQ10" s="8">
        <f t="shared" si="8"/>
        <v>3.586625994669352E-2</v>
      </c>
      <c r="BR10" s="8" t="str">
        <f t="shared" si="13"/>
        <v>No</v>
      </c>
      <c r="BS10" s="8" t="str">
        <f t="shared" si="9"/>
        <v>No</v>
      </c>
      <c r="BT10" s="8">
        <f t="shared" si="14"/>
        <v>47.521434724647854</v>
      </c>
      <c r="BU10" s="4">
        <v>0</v>
      </c>
      <c r="BV10" s="4">
        <v>1</v>
      </c>
    </row>
    <row r="11" spans="1:74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948</v>
      </c>
      <c r="E11" s="7" t="str">
        <f>Groups!A9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525</v>
      </c>
      <c r="L11" s="7">
        <f>10*1.60934</f>
        <v>16.093399999999999</v>
      </c>
      <c r="M11" s="7" t="s">
        <v>640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945</v>
      </c>
      <c r="Y11" s="4" t="s">
        <v>1023</v>
      </c>
      <c r="Z11" s="4">
        <v>0</v>
      </c>
      <c r="AA11" s="4">
        <v>0</v>
      </c>
      <c r="AB11" s="4">
        <v>0</v>
      </c>
      <c r="AC11" s="4" t="s">
        <v>45</v>
      </c>
      <c r="AD11" s="4" t="s">
        <v>407</v>
      </c>
      <c r="AE11" s="28" t="s">
        <v>45</v>
      </c>
      <c r="AF11" s="4" t="s">
        <v>45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4" t="s">
        <v>40</v>
      </c>
      <c r="AM11" s="8">
        <f t="shared" si="0"/>
        <v>1947.6204584070247</v>
      </c>
      <c r="AN11" s="8">
        <f>IFERROR(C11*_xlfn.XLOOKUP(E11,Groups!A:A,Groups!K:K),0.106*C11^0.94)</f>
        <v>0.23901747952605451</v>
      </c>
      <c r="AO11" s="8">
        <f>AN11*10000/(_xlfn.XLOOKUP(E11,Groups!A:A,Groups!J:J)*AM11)</f>
        <v>1.1258974527699281</v>
      </c>
      <c r="AP11" s="8">
        <f t="shared" si="1"/>
        <v>112.91816303911712</v>
      </c>
      <c r="AQ11" s="8">
        <f>IF(_xlfn.XLOOKUP(E11,Groups!A:A,Groups!M:M)=1,EXP(0.7444*LN('Base stats'!C11)+6.5696),EXP(0.7927*LN('Base stats'!C11)+4.28))</f>
        <v>143.40653066072181</v>
      </c>
      <c r="AR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"No")))))))))))))))</f>
        <v>25.576506755668081</v>
      </c>
      <c r="AS11" s="8">
        <f>IF(_xlfn.XLOOKUP(E11,Groups!A:A,Groups!U:U)=3,AQ11,IF(_xlfn.XLOOKUP(E11,Groups!A:A,Groups!U:U)=2,AP11,AR11))</f>
        <v>25.576506755668081</v>
      </c>
      <c r="AT11" s="46">
        <f>IFERROR(AVERAGE(_xlfn.XLOOKUP(B11,Animals!B:B,Animals!N:N),_xlfn.XLOOKUP(B11,Animals!B:B,Animals!O:O)),0)</f>
        <v>0</v>
      </c>
      <c r="AU11" s="8">
        <f>MROUND(40*Animals!AO11*_xlfn.XLOOKUP(Animals!BB11,Leathers!$A$2:$A$100,Leathers!$B$2:$B$100,0)+(140*_xlfn.XLOOKUP(B11,Animals!B:B,Animals!AO:AO)*2),5)</f>
        <v>55</v>
      </c>
      <c r="AV11" s="8">
        <f>IFERROR(ROUND(SQRT(V11-1)*IF(_xlfn.XLOOKUP(E11,Groups!A:A,Groups!BF:BF)=0,2,1)*IF(_xlfn.XLOOKUP('Base stats'!E11,Groups!A:A,Groups!O:O)=0,1,0.1),1),0)</f>
        <v>0.1</v>
      </c>
      <c r="AW11" s="8">
        <f t="shared" si="2"/>
        <v>1</v>
      </c>
      <c r="AX11" s="8">
        <f t="shared" si="3"/>
        <v>0</v>
      </c>
      <c r="AY11" s="8">
        <f t="shared" si="4"/>
        <v>0.8</v>
      </c>
      <c r="AZ11" s="8">
        <f>IF(_xlfn.XLOOKUP(E11,Groups!A:A,Groups!N:N)="Insect",BB11*2.5,IFERROR(AVERAGE(BB11,AR11/9.81/IF(OR(_xlfn.XLOOKUP(E11,Groups!A:A,Groups!N:N)="Pig",_xlfn.XLOOKUP(E11,Groups!A:A,Groups!N:N)="StrongBitingHerbivore"),20,25))*C11^-0.135,BB11))</f>
        <v>7.9877250620426374E-2</v>
      </c>
      <c r="BA11" s="8" t="str">
        <f>IF(W11="No","No",IF(_xlfn.XLOOKUP(E11,Groups!A:A,Groups!U:U)=1,'Base stats'!AZ11,IF(OR(_xlfn.XLOOKUP(E11,Groups!A:A,Groups!BD:BD)=1,_xlfn.XLOOKUP(E11,Groups!A:A,Groups!U:U)=2),BB11,IF(_xlfn.XLOOKUP(B11,Animals!B:B,Animals!AO:AO)&gt;4,AVERAGE(BB11,BD11),BD11))))</f>
        <v>No</v>
      </c>
      <c r="BB11" s="8">
        <f t="shared" si="5"/>
        <v>7.5255185733858032E-2</v>
      </c>
      <c r="BC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D11" s="8">
        <f>(0.048*C11^1.01)/IF(_xlfn.XLOOKUP(E11,Groups!A:A,Groups!M:M)=1,0.25,0.8)*C11^-0.25</f>
        <v>0.11578587900160472</v>
      </c>
      <c r="BE11" s="8">
        <f>EXP(1.076*LN(AP11)-4.5397)*IF(_xlfn.XLOOKUP(E11,Groups!A:A,Groups!BC:BC)=1,1.25,IF(_xlfn.XLOOKUP(E11,Groups!A:A,Groups!BD:BD)=1,3.5,2.5))</f>
        <v>4.3166536361177759</v>
      </c>
      <c r="BF11" s="8">
        <f>EXP(1.076*LN(AQ11)-4.5397)*IF(_xlfn.XLOOKUP(E11,Groups!A:A,Groups!M:M)=1,0.8,IF(_xlfn.XLOOKUP(E11,Groups!A:A,Groups!BC:BC)=1,1.3,3))</f>
        <v>6.699197217835331</v>
      </c>
      <c r="BG11" s="8" t="str">
        <f>IF(W11="No","No",IF(_xlfn.XLOOKUP(E11,Groups!A:A,Groups!U:U)=1,'Base stats'!BH11,IF(OR(_xlfn.XLOOKUP(E11,Groups!A:A,Groups!BD:BD)=1,_xlfn.XLOOKUP(E11,Groups!A:A,Groups!U:U)=2),BE11,BF11))*1.2)</f>
        <v>No</v>
      </c>
      <c r="BH11" s="8">
        <f>IFERROR(EXP(1.076*LN(AR11)-4.5397)*IF(_xlfn.XLOOKUP(E11,Groups!A:A,Groups!N:N)="Insect",1,IF(OR(_xlfn.XLOOKUP(E11,Groups!A:A,Groups!N:N)="Pig",_xlfn.XLOOKUP(E11,Groups!A:A,Groups!N:N)="StrongBitingHerbivore"),3.5,3.75)),"No")</f>
        <v>1.3100919248383684</v>
      </c>
      <c r="BI11" s="8">
        <f t="shared" si="10"/>
        <v>10</v>
      </c>
      <c r="BJ11" s="8">
        <f t="shared" si="11"/>
        <v>7</v>
      </c>
      <c r="BK11" s="8" t="str">
        <f t="shared" si="6"/>
        <v>No</v>
      </c>
      <c r="BL11" s="8">
        <f t="shared" si="7"/>
        <v>5</v>
      </c>
      <c r="BM11" s="8">
        <f t="shared" si="12"/>
        <v>10</v>
      </c>
      <c r="BN11" s="8" cm="1">
        <f t="array" ref="BN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O11" s="8" t="str">
        <f>IF(W11="No","No",IF(_xlfn.XLOOKUP(E11,Groups!A:A,Groups!BD:BD)=1,(AM11*5%),EXP(0.7354*LN(C11)^0.4078)*2/IF(_xlfn.XLOOKUP(E11,Groups!A:A,Groups!BL:BL)=1,1000,100)))</f>
        <v>No</v>
      </c>
      <c r="BP11" s="8">
        <f>IF(BH11="No","No",IF(_xlfn.XLOOKUP(E11,Groups!A:A,Groups!BF:BF)=1,(0.0315*C11+2.1825)*2,(0.7354*C11^0.4078)*2)/IF(_xlfn.XLOOKUP(E11,Groups!A:A,Groups!BM:BM)=1,1000,100))</f>
        <v>2.0929036865173018E-2</v>
      </c>
      <c r="BQ11" s="8">
        <f t="shared" si="8"/>
        <v>4.4327462442537734E-2</v>
      </c>
      <c r="BR11" s="8">
        <f t="shared" si="13"/>
        <v>320.09104198115949</v>
      </c>
      <c r="BS11" s="8" t="str">
        <f t="shared" si="9"/>
        <v>No</v>
      </c>
      <c r="BT11" s="8">
        <f t="shared" si="14"/>
        <v>62.596856858636819</v>
      </c>
      <c r="BU11" s="4">
        <v>0</v>
      </c>
      <c r="BV11" s="4">
        <v>1</v>
      </c>
    </row>
    <row r="12" spans="1:74" x14ac:dyDescent="0.25">
      <c r="A12" s="26" t="s">
        <v>90</v>
      </c>
      <c r="B12" s="6" t="s">
        <v>91</v>
      </c>
      <c r="C12" s="7">
        <v>434</v>
      </c>
      <c r="D12" s="7" t="s">
        <v>1181</v>
      </c>
      <c r="E12" s="7" t="str">
        <f>Groups!A24</f>
        <v>Camelid (humped)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526</v>
      </c>
      <c r="L12" s="7">
        <v>40</v>
      </c>
      <c r="M12" s="7" t="s">
        <v>641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945</v>
      </c>
      <c r="Y12" s="4" t="s">
        <v>42</v>
      </c>
      <c r="Z12" s="4">
        <v>0</v>
      </c>
      <c r="AA12" s="4">
        <v>0</v>
      </c>
      <c r="AB12" s="4">
        <v>0</v>
      </c>
      <c r="AC12" s="4" t="s">
        <v>45</v>
      </c>
      <c r="AD12" s="4" t="s">
        <v>407</v>
      </c>
      <c r="AE12" s="28" t="s">
        <v>386</v>
      </c>
      <c r="AF12" s="4" t="s">
        <v>45</v>
      </c>
      <c r="AG12" s="4">
        <v>1</v>
      </c>
      <c r="AH12" s="4">
        <v>0</v>
      </c>
      <c r="AI12" s="4">
        <v>0</v>
      </c>
      <c r="AJ12" s="4">
        <v>0</v>
      </c>
      <c r="AK12" s="4">
        <v>0</v>
      </c>
      <c r="AL12" s="44" t="s">
        <v>40</v>
      </c>
      <c r="AM12" s="8">
        <f t="shared" si="0"/>
        <v>57503.1059283387</v>
      </c>
      <c r="AN12" s="8">
        <f>IFERROR(C12*_xlfn.XLOOKUP(E12,Groups!A:A,Groups!K:K),0.106*C12^0.94)</f>
        <v>31.955543689617564</v>
      </c>
      <c r="AO12" s="8">
        <f>AN12*10000/(_xlfn.XLOOKUP(E12,Groups!A:A,Groups!J:J)*AM12)</f>
        <v>5.0983354874461044</v>
      </c>
      <c r="AP12" s="8">
        <f t="shared" si="1"/>
        <v>9190.271132938391</v>
      </c>
      <c r="AQ12" s="8">
        <f>IF(_xlfn.XLOOKUP(E12,Groups!A:A,Groups!M:M)=1,EXP(0.7444*LN('Base stats'!C12)+6.5696),EXP(0.7927*LN('Base stats'!C12)+4.28))</f>
        <v>8902.6334230295633</v>
      </c>
      <c r="AR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"No")))))))))))))))</f>
        <v>4993.5714774520839</v>
      </c>
      <c r="AS12" s="8">
        <f>IF(_xlfn.XLOOKUP(E12,Groups!A:A,Groups!U:U)=3,AQ12,IF(_xlfn.XLOOKUP(E12,Groups!A:A,Groups!U:U)=2,AP12,AR12))</f>
        <v>4993.5714774520839</v>
      </c>
      <c r="AT12" s="46">
        <f>IFERROR(AVERAGE(_xlfn.XLOOKUP(B12,Animals!B:B,Animals!N:N),_xlfn.XLOOKUP(B12,Animals!B:B,Animals!O:O)),0)</f>
        <v>0</v>
      </c>
      <c r="AU12" s="8">
        <f>MROUND(40*Animals!AO12*_xlfn.XLOOKUP(Animals!BB12,Leathers!$A$2:$A$100,Leathers!$B$2:$B$100,0)+(140*_xlfn.XLOOKUP(B12,Animals!B:B,Animals!AO:AO)*2),5)</f>
        <v>1025</v>
      </c>
      <c r="AV12" s="8">
        <f>IFERROR(ROUND(SQRT(V12-1)*IF(_xlfn.XLOOKUP(E12,Groups!A:A,Groups!BF:BF)=0,2,1)*IF(_xlfn.XLOOKUP('Base stats'!E12,Groups!A:A,Groups!O:O)=0,1,0.1),1),0)</f>
        <v>1.9</v>
      </c>
      <c r="AW12" s="8">
        <f t="shared" si="2"/>
        <v>0</v>
      </c>
      <c r="AX12" s="8">
        <f t="shared" si="3"/>
        <v>0</v>
      </c>
      <c r="AY12" s="8">
        <f t="shared" si="4"/>
        <v>7.1</v>
      </c>
      <c r="AZ12" s="8">
        <f>IF(_xlfn.XLOOKUP(E12,Groups!A:A,Groups!N:N)="Insect",BB12*2.5,IFERROR(AVERAGE(BB12,AR12/9.81/IF(OR(_xlfn.XLOOKUP(E12,Groups!A:A,Groups!N:N)="Pig",_xlfn.XLOOKUP(E12,Groups!A:A,Groups!N:N)="StrongBitingHerbivore"),20,25))*C12^-0.135,BB12))</f>
        <v>6.4467160294158043</v>
      </c>
      <c r="BA12" s="8" t="str">
        <f>IF(W12="No","No",IF(_xlfn.XLOOKUP(E12,Groups!A:A,Groups!U:U)=1,'Base stats'!AZ12,IF(OR(_xlfn.XLOOKUP(E12,Groups!A:A,Groups!BD:BD)=1,_xlfn.XLOOKUP(E12,Groups!A:A,Groups!U:U)=2),BB12,IF(_xlfn.XLOOKUP(B12,Animals!B:B,Animals!AO:AO)&gt;4,AVERAGE(BB12,BD12),BD12))))</f>
        <v>No</v>
      </c>
      <c r="BB12" s="8">
        <f t="shared" si="5"/>
        <v>3.81903222593724</v>
      </c>
      <c r="BC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D12" s="8">
        <f>(0.048*C12^1.01)/IF(_xlfn.XLOOKUP(E12,Groups!A:A,Groups!M:M)=1,0.25,0.8)*C12^-0.25</f>
        <v>6.0623840430207787</v>
      </c>
      <c r="BE12" s="8">
        <f>EXP(1.076*LN(AP12)-4.5397)*IF(_xlfn.XLOOKUP(E12,Groups!A:A,Groups!BC:BC)=1,1.25,IF(_xlfn.XLOOKUP(E12,Groups!A:A,Groups!BD:BD)=1,3.5,2.5))</f>
        <v>490.81138254794962</v>
      </c>
      <c r="BF12" s="8">
        <f>EXP(1.076*LN(AQ12)-4.5397)*IF(_xlfn.XLOOKUP(E12,Groups!A:A,Groups!M:M)=1,0.8,IF(_xlfn.XLOOKUP(E12,Groups!A:A,Groups!BC:BC)=1,1.3,3))</f>
        <v>569.16277963499192</v>
      </c>
      <c r="BG12" s="8" t="str">
        <f>IF(W12="No","No",IF(_xlfn.XLOOKUP(E12,Groups!A:A,Groups!U:U)=1,'Base stats'!BH12,IF(OR(_xlfn.XLOOKUP(E12,Groups!A:A,Groups!BD:BD)=1,_xlfn.XLOOKUP(E12,Groups!A:A,Groups!U:U)=2),BE12,BF12))*1.2)</f>
        <v>No</v>
      </c>
      <c r="BH12" s="8">
        <f>IFERROR(EXP(1.076*LN(AR12)-4.5397)*IF(_xlfn.XLOOKUP(E12,Groups!A:A,Groups!N:N)="Insect",1,IF(OR(_xlfn.XLOOKUP(E12,Groups!A:A,Groups!N:N)="Pig",_xlfn.XLOOKUP(E12,Groups!A:A,Groups!N:N)="StrongBitingHerbivore"),3.5,3.75)),"No")</f>
        <v>356.44449529492431</v>
      </c>
      <c r="BI12" s="8">
        <f t="shared" si="10"/>
        <v>16</v>
      </c>
      <c r="BJ12" s="8">
        <f t="shared" si="11"/>
        <v>11</v>
      </c>
      <c r="BK12" s="8" t="str">
        <f t="shared" si="6"/>
        <v>No</v>
      </c>
      <c r="BL12" s="8">
        <f t="shared" si="7"/>
        <v>10</v>
      </c>
      <c r="BM12" s="8">
        <f t="shared" si="12"/>
        <v>13</v>
      </c>
      <c r="BN12" s="8" cm="1">
        <f t="array" ref="BN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O12" s="8" t="str">
        <f>IF(W12="No","No",IF(_xlfn.XLOOKUP(E12,Groups!A:A,Groups!BD:BD)=1,(AM12*5%),EXP(0.7354*LN(C12)^0.4078)*2/IF(_xlfn.XLOOKUP(E12,Groups!A:A,Groups!BL:BL)=1,1000,100)))</f>
        <v>No</v>
      </c>
      <c r="BP12" s="8">
        <f>IF(BH12="No","No",IF(_xlfn.XLOOKUP(E12,Groups!A:A,Groups!BF:BF)=1,(0.0315*C12+2.1825)*2,(0.7354*C12^0.4078)*2)/IF(_xlfn.XLOOKUP(E12,Groups!A:A,Groups!BM:BM)=1,1000,100))</f>
        <v>0.31707000000000002</v>
      </c>
      <c r="BQ12" s="8">
        <f t="shared" si="8"/>
        <v>0.17070778164908404</v>
      </c>
      <c r="BR12" s="8">
        <f t="shared" si="13"/>
        <v>7.3079431848808003</v>
      </c>
      <c r="BS12" s="8" t="str">
        <f t="shared" si="9"/>
        <v>No</v>
      </c>
      <c r="BT12" s="8">
        <f t="shared" si="14"/>
        <v>1124.1823423689541</v>
      </c>
      <c r="BU12" s="4">
        <v>0</v>
      </c>
      <c r="BV12" s="4">
        <v>1</v>
      </c>
    </row>
    <row r="13" spans="1:74" x14ac:dyDescent="0.25">
      <c r="A13" s="26" t="s">
        <v>100</v>
      </c>
      <c r="B13" s="6" t="s">
        <v>101</v>
      </c>
      <c r="C13" s="7">
        <f>AVERAGE(70,85)</f>
        <v>77.5</v>
      </c>
      <c r="D13" s="7" t="s">
        <v>1032</v>
      </c>
      <c r="E13" s="7" t="str">
        <f>Groups!A23</f>
        <v>Camelid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528</v>
      </c>
      <c r="L13" s="7">
        <v>56</v>
      </c>
      <c r="M13" s="7" t="s">
        <v>638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945</v>
      </c>
      <c r="Y13" s="4" t="s">
        <v>42</v>
      </c>
      <c r="Z13" s="4">
        <v>0</v>
      </c>
      <c r="AA13" s="4">
        <v>0</v>
      </c>
      <c r="AB13" s="4">
        <v>0</v>
      </c>
      <c r="AC13" s="4" t="s">
        <v>45</v>
      </c>
      <c r="AD13" s="4" t="s">
        <v>408</v>
      </c>
      <c r="AE13" s="28" t="s">
        <v>386</v>
      </c>
      <c r="AF13" s="4" t="s">
        <v>45</v>
      </c>
      <c r="AG13" s="4">
        <v>1</v>
      </c>
      <c r="AH13" s="4">
        <v>0</v>
      </c>
      <c r="AI13" s="4">
        <v>0</v>
      </c>
      <c r="AJ13" s="4">
        <v>0</v>
      </c>
      <c r="AK13" s="4">
        <v>0</v>
      </c>
      <c r="AL13" s="44" t="s">
        <v>40</v>
      </c>
      <c r="AM13" s="8">
        <f t="shared" si="0"/>
        <v>18765.886505262843</v>
      </c>
      <c r="AN13" s="8">
        <f>IFERROR(C13*_xlfn.XLOOKUP(E13,Groups!A:A,Groups!K:K),0.106*C13^0.94)</f>
        <v>6.3277522310129504</v>
      </c>
      <c r="AO13" s="8">
        <f>AN13*10000/(_xlfn.XLOOKUP(E13,Groups!A:A,Groups!J:J)*AM13)</f>
        <v>3.0935267963656261</v>
      </c>
      <c r="AP13" s="8">
        <f t="shared" si="1"/>
        <v>2144.5387490756016</v>
      </c>
      <c r="AQ13" s="8">
        <f>IF(_xlfn.XLOOKUP(E13,Groups!A:A,Groups!M:M)=1,EXP(0.7444*LN('Base stats'!C13)+6.5696),EXP(0.7927*LN('Base stats'!C13)+4.28))</f>
        <v>2272.1125583746043</v>
      </c>
      <c r="AR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"No")))))))))))))))</f>
        <v>1583.5043206490773</v>
      </c>
      <c r="AS13" s="8">
        <f>IF(_xlfn.XLOOKUP(E13,Groups!A:A,Groups!U:U)=3,AQ13,IF(_xlfn.XLOOKUP(E13,Groups!A:A,Groups!U:U)=2,AP13,AR13))</f>
        <v>1583.5043206490773</v>
      </c>
      <c r="AT13" s="46">
        <f>IFERROR(AVERAGE(_xlfn.XLOOKUP(B13,Animals!B:B,Animals!N:N),_xlfn.XLOOKUP(B13,Animals!B:B,Animals!O:O)),0)</f>
        <v>0</v>
      </c>
      <c r="AU13" s="8">
        <f>MROUND(40*Animals!AO13*_xlfn.XLOOKUP(Animals!BB13,Leathers!$A$2:$A$100,Leathers!$B$2:$B$100,0)+(140*_xlfn.XLOOKUP(B13,Animals!B:B,Animals!AO:AO)*2),5)</f>
        <v>390</v>
      </c>
      <c r="AV13" s="8">
        <f>IFERROR(ROUND(SQRT(V13-1)*IF(_xlfn.XLOOKUP(E13,Groups!A:A,Groups!BF:BF)=0,2,1)*IF(_xlfn.XLOOKUP('Base stats'!E13,Groups!A:A,Groups!O:O)=0,1,0.1),1),0)</f>
        <v>1.2</v>
      </c>
      <c r="AW13" s="8">
        <f t="shared" si="2"/>
        <v>0</v>
      </c>
      <c r="AX13" s="8">
        <f t="shared" si="3"/>
        <v>0</v>
      </c>
      <c r="AY13" s="8">
        <f t="shared" si="4"/>
        <v>3.8</v>
      </c>
      <c r="AZ13" s="8">
        <f>IF(_xlfn.XLOOKUP(E13,Groups!A:A,Groups!N:N)="Insect",BB13*2.5,IFERROR(AVERAGE(BB13,AR13/9.81/IF(OR(_xlfn.XLOOKUP(E13,Groups!A:A,Groups!N:N)="Pig",_xlfn.XLOOKUP(E13,Groups!A:A,Groups!N:N)="StrongBitingHerbivore"),20,25))*C13^-0.135,BB13))</f>
        <v>2.5325839556204608</v>
      </c>
      <c r="BA13" s="8" t="str">
        <f>IF(W13="No","No",IF(_xlfn.XLOOKUP(E13,Groups!A:A,Groups!U:U)=1,'Base stats'!AZ13,IF(OR(_xlfn.XLOOKUP(E13,Groups!A:A,Groups!BD:BD)=1,_xlfn.XLOOKUP(E13,Groups!A:A,Groups!U:U)=2),BB13,IF(_xlfn.XLOOKUP(B13,Animals!B:B,Animals!AO:AO)&gt;4,AVERAGE(BB13,BD13),BD13))))</f>
        <v>No</v>
      </c>
      <c r="BB13" s="8">
        <f t="shared" si="5"/>
        <v>1.041884436623707</v>
      </c>
      <c r="BC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D13" s="8">
        <f>(0.048*C13^1.01)/IF(_xlfn.XLOOKUP(E13,Groups!A:A,Groups!M:M)=1,0.25,0.8)*C13^-0.25</f>
        <v>1.6368939528194573</v>
      </c>
      <c r="BE13" s="8">
        <f>EXP(1.076*LN(AP13)-4.5397)*IF(_xlfn.XLOOKUP(E13,Groups!A:A,Groups!BC:BC)=1,1.25,IF(_xlfn.XLOOKUP(E13,Groups!A:A,Groups!BD:BD)=1,3.5,2.5))</f>
        <v>102.538892686501</v>
      </c>
      <c r="BF13" s="8">
        <f>EXP(1.076*LN(AQ13)-4.5397)*IF(_xlfn.XLOOKUP(E13,Groups!A:A,Groups!M:M)=1,0.8,IF(_xlfn.XLOOKUP(E13,Groups!A:A,Groups!BC:BC)=1,1.3,3))</f>
        <v>130.94023178217128</v>
      </c>
      <c r="BG13" s="8" t="str">
        <f>IF(W13="No","No",IF(_xlfn.XLOOKUP(E13,Groups!A:A,Groups!U:U)=1,'Base stats'!BH13,IF(OR(_xlfn.XLOOKUP(E13,Groups!A:A,Groups!BD:BD)=1,_xlfn.XLOOKUP(E13,Groups!A:A,Groups!U:U)=2),BE13,BF13))*1.2)</f>
        <v>No</v>
      </c>
      <c r="BH13" s="8">
        <f>IFERROR(EXP(1.076*LN(AR13)-4.5397)*IF(_xlfn.XLOOKUP(E13,Groups!A:A,Groups!N:N)="Insect",1,IF(OR(_xlfn.XLOOKUP(E13,Groups!A:A,Groups!N:N)="Pig",_xlfn.XLOOKUP(E13,Groups!A:A,Groups!N:N)="StrongBitingHerbivore"),3.5,3.75)),"No")</f>
        <v>103.58376698325958</v>
      </c>
      <c r="BI13" s="8">
        <f t="shared" si="10"/>
        <v>14</v>
      </c>
      <c r="BJ13" s="8">
        <f t="shared" si="11"/>
        <v>11</v>
      </c>
      <c r="BK13" s="8" t="str">
        <f t="shared" si="6"/>
        <v>No</v>
      </c>
      <c r="BL13" s="8">
        <f t="shared" si="7"/>
        <v>9</v>
      </c>
      <c r="BM13" s="8">
        <f t="shared" si="12"/>
        <v>12</v>
      </c>
      <c r="BN13" s="8" cm="1">
        <f t="array" ref="BN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O13" s="8" t="str">
        <f>IF(W13="No","No",IF(_xlfn.XLOOKUP(E13,Groups!A:A,Groups!BD:BD)=1,(AM13*5%),EXP(0.7354*LN(C13)^0.4078)*2/IF(_xlfn.XLOOKUP(E13,Groups!A:A,Groups!BL:BL)=1,1000,100)))</f>
        <v>No</v>
      </c>
      <c r="BP13" s="8">
        <f>IF(BH13="No","No",IF(_xlfn.XLOOKUP(E13,Groups!A:A,Groups!BF:BF)=1,(0.0315*C13+2.1825)*2,(0.7354*C13^0.4078)*2)/IF(_xlfn.XLOOKUP(E13,Groups!A:A,Groups!BM:BM)=1,1000,100))</f>
        <v>9.2475000000000002E-2</v>
      </c>
      <c r="BQ13" s="8">
        <f t="shared" si="8"/>
        <v>0.10928222619032066</v>
      </c>
      <c r="BR13" s="8">
        <f t="shared" si="13"/>
        <v>7.7754500459296958</v>
      </c>
      <c r="BS13" s="8" t="str">
        <f t="shared" si="9"/>
        <v>No</v>
      </c>
      <c r="BT13" s="8">
        <f t="shared" si="14"/>
        <v>1120.1272450203794</v>
      </c>
      <c r="BU13" s="4">
        <v>0</v>
      </c>
      <c r="BV13" s="4">
        <v>1</v>
      </c>
    </row>
    <row r="14" spans="1:74" x14ac:dyDescent="0.25">
      <c r="A14" s="26" t="s">
        <v>69</v>
      </c>
      <c r="B14" s="6" t="s">
        <v>886</v>
      </c>
      <c r="C14" s="7">
        <f>AVERAGE(1.36,3.17 )</f>
        <v>2.2650000000000001</v>
      </c>
      <c r="D14" s="7" t="s">
        <v>1078</v>
      </c>
      <c r="E14" s="7" t="str">
        <f>Groups!A11</f>
        <v>Canid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517</v>
      </c>
      <c r="L14" s="7">
        <f>MIN(37.5*C14^0.089,79.3*C14^-0.072)</f>
        <v>40.330382234883444</v>
      </c>
      <c r="M14" s="7" t="s">
        <v>638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IF(AR14="No","No",IF(_xlfn.XLOOKUP(E14,Groups!A:A,Groups!AM:AM)=1,MROUND(EXP(0.3582*LN(C14)-0.2221)*T14,0.05),IF(_xlfn.XLOOKUP(E14,Groups!A:A,Groups!AM:AM)=2,MROUND(EXP(0.3582*LN(C14)-0.2221)*T14,0.05),"Need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945</v>
      </c>
      <c r="Y14" s="4" t="s">
        <v>53</v>
      </c>
      <c r="Z14" s="4">
        <v>0</v>
      </c>
      <c r="AA14" s="4">
        <v>0</v>
      </c>
      <c r="AB14" s="4">
        <v>0</v>
      </c>
      <c r="AC14" s="4" t="s">
        <v>45</v>
      </c>
      <c r="AD14" s="4" t="s">
        <v>320</v>
      </c>
      <c r="AE14" s="28" t="s">
        <v>388</v>
      </c>
      <c r="AF14" s="4" t="s">
        <v>45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4" t="s">
        <v>40</v>
      </c>
      <c r="AM14" s="8">
        <f t="shared" si="0"/>
        <v>1888.501407804788</v>
      </c>
      <c r="AN14" s="8">
        <f>IFERROR(C14*_xlfn.XLOOKUP(E14,Groups!A:A,Groups!K:K),0.106*C14^0.94)</f>
        <v>0.28255875000000003</v>
      </c>
      <c r="AO14" s="8">
        <f>AN14*10000/(_xlfn.XLOOKUP(E14,Groups!A:A,Groups!J:J)*AM14)</f>
        <v>1.372666231212947</v>
      </c>
      <c r="AP14" s="8">
        <f t="shared" si="1"/>
        <v>108.48429314626905</v>
      </c>
      <c r="AQ14" s="8">
        <f>IF(_xlfn.XLOOKUP(E14,Groups!A:A,Groups!M:M)=1,EXP(0.7444*LN('Base stats'!C14)+6.5696),EXP(0.7927*LN('Base stats'!C14)+4.28))</f>
        <v>138.1156684708528</v>
      </c>
      <c r="AR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"No")))))))))))))))</f>
        <v>185.62664665026728</v>
      </c>
      <c r="AS14" s="8">
        <f>IF(_xlfn.XLOOKUP(E14,Groups!A:A,Groups!U:U)=3,AQ14,IF(_xlfn.XLOOKUP(E14,Groups!A:A,Groups!U:U)=2,AP14,AR14))</f>
        <v>185.62664665026728</v>
      </c>
      <c r="AT14" s="46">
        <f>IFERROR(AVERAGE(_xlfn.XLOOKUP(B14,Animals!B:B,Animals!N:N),_xlfn.XLOOKUP(B14,Animals!B:B,Animals!O:O)),0)</f>
        <v>0</v>
      </c>
      <c r="AU14" s="8">
        <f>MROUND(40*Animals!AO14*_xlfn.XLOOKUP(Animals!BB14,Leathers!$A$2:$A$100,Leathers!$B$2:$B$100,0)+(140*_xlfn.XLOOKUP(B14,Animals!B:B,Animals!AO:AO)*2),5)</f>
        <v>70</v>
      </c>
      <c r="AV14" s="8">
        <f>IFERROR(ROUND(SQRT(V14-1)*IF(_xlfn.XLOOKUP(E14,Groups!A:A,Groups!BF:BF)=0,2,1)*IF(_xlfn.XLOOKUP('Base stats'!E14,Groups!A:A,Groups!O:O)=0,1,0.1),1),0)</f>
        <v>0</v>
      </c>
      <c r="AW14" s="8">
        <f t="shared" si="2"/>
        <v>0</v>
      </c>
      <c r="AX14" s="8">
        <f t="shared" si="3"/>
        <v>0</v>
      </c>
      <c r="AY14" s="8">
        <f t="shared" si="4"/>
        <v>0.8</v>
      </c>
      <c r="AZ14" s="8">
        <f>IF(_xlfn.XLOOKUP(E14,Groups!A:A,Groups!N:N)="Insect",BB14*2.5,IFERROR(AVERAGE(BB14,AR14/9.81/IF(OR(_xlfn.XLOOKUP(E14,Groups!A:A,Groups!N:N)="Pig",_xlfn.XLOOKUP(E14,Groups!A:A,Groups!N:N)="StrongBitingHerbivore"),20,25))*C14^-0.135,BB14))</f>
        <v>0.3735210150679838</v>
      </c>
      <c r="BA14" s="8" t="str">
        <f>IF(W14="No","No",IF(_xlfn.XLOOKUP(E14,Groups!A:A,Groups!U:U)=1,'Base stats'!AZ14,IF(OR(_xlfn.XLOOKUP(E14,Groups!A:A,Groups!BD:BD)=1,_xlfn.XLOOKUP(E14,Groups!A:A,Groups!U:U)=2),BB14,IF(_xlfn.XLOOKUP(B14,Animals!B:B,Animals!AO:AO)&gt;4,AVERAGE(BB14,BD14),BD14))))</f>
        <v>No</v>
      </c>
      <c r="BB14" s="8">
        <f t="shared" si="5"/>
        <v>7.7329953049139977E-2</v>
      </c>
      <c r="BC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D14" s="8">
        <f>(0.048*C14^1.01)/IF(_xlfn.XLOOKUP(E14,Groups!A:A,Groups!M:M)=1,0.25,0.8)*C14^-0.25</f>
        <v>0.11168711870991857</v>
      </c>
      <c r="BE14" s="8">
        <f>EXP(1.076*LN(AP14)-4.5397)*IF(_xlfn.XLOOKUP(E14,Groups!A:A,Groups!BC:BC)=1,1.25,IF(_xlfn.XLOOKUP(E14,Groups!A:A,Groups!BD:BD)=1,3.5,2.5))</f>
        <v>4.1345485346873936</v>
      </c>
      <c r="BF14" s="8">
        <f>EXP(1.076*LN(AQ14)-4.5397)*IF(_xlfn.XLOOKUP(E14,Groups!A:A,Groups!M:M)=1,0.8,IF(_xlfn.XLOOKUP(E14,Groups!A:A,Groups!BC:BC)=1,1.3,3))</f>
        <v>6.4336289369953583</v>
      </c>
      <c r="BG14" s="8" t="str">
        <f>IF(W14="No","No",IF(_xlfn.XLOOKUP(E14,Groups!A:A,Groups!U:U)=1,'Base stats'!BH14,IF(OR(_xlfn.XLOOKUP(E14,Groups!A:A,Groups!BD:BD)=1,_xlfn.XLOOKUP(E14,Groups!A:A,Groups!U:U)=2),BE14,BF14))*1.2)</f>
        <v>No</v>
      </c>
      <c r="BH14" s="8">
        <f>IFERROR(EXP(1.076*LN(AR14)-4.5397)*IF(_xlfn.XLOOKUP(E14,Groups!A:A,Groups!N:N)="Insect",1,IF(OR(_xlfn.XLOOKUP(E14,Groups!A:A,Groups!N:N)="Pig",_xlfn.XLOOKUP(E14,Groups!A:A,Groups!N:N)="StrongBitingHerbivore"),3.5,3.75)),"No")</f>
        <v>11.05405425139074</v>
      </c>
      <c r="BI14" s="8">
        <f t="shared" si="10"/>
        <v>10</v>
      </c>
      <c r="BJ14" s="8">
        <f t="shared" si="11"/>
        <v>9</v>
      </c>
      <c r="BK14" s="8" t="str">
        <f t="shared" si="6"/>
        <v>No</v>
      </c>
      <c r="BL14" s="8">
        <f t="shared" si="7"/>
        <v>7</v>
      </c>
      <c r="BM14" s="8">
        <f t="shared" si="12"/>
        <v>10</v>
      </c>
      <c r="BN14" s="8" t="str" cm="1">
        <f t="array" ref="BN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O14" s="8" t="str">
        <f>IF(W14="No","No",IF(_xlfn.XLOOKUP(E14,Groups!A:A,Groups!BD:BD)=1,(AM14*5%),EXP(0.7354*LN(C14)^0.4078)*2/IF(_xlfn.XLOOKUP(E14,Groups!A:A,Groups!BL:BL)=1,1000,100)))</f>
        <v>No</v>
      </c>
      <c r="BP14" s="8">
        <f>IF(BH14="No","No",IF(_xlfn.XLOOKUP(E14,Groups!A:A,Groups!BF:BF)=1,(0.0315*C14+2.1825)*2,(0.7354*C14^0.4078)*2)/IF(_xlfn.XLOOKUP(E14,Groups!A:A,Groups!BM:BM)=1,1000,100))</f>
        <v>2.0528179461886172E-2</v>
      </c>
      <c r="BQ14" s="8">
        <f t="shared" si="8"/>
        <v>4.3786554964694809E-2</v>
      </c>
      <c r="BR14" s="8" t="str">
        <f t="shared" si="13"/>
        <v>No</v>
      </c>
      <c r="BS14" s="8" t="str">
        <f t="shared" si="9"/>
        <v>No</v>
      </c>
      <c r="BT14" s="8">
        <f t="shared" si="14"/>
        <v>538.48195705392914</v>
      </c>
      <c r="BU14" s="4">
        <v>0</v>
      </c>
      <c r="BV14" s="4">
        <v>1</v>
      </c>
    </row>
    <row r="15" spans="1:74" s="16" customFormat="1" x14ac:dyDescent="0.25">
      <c r="A15" s="26" t="s">
        <v>63</v>
      </c>
      <c r="B15" s="6" t="s">
        <v>887</v>
      </c>
      <c r="C15" s="7">
        <f>AVERAGE(AVERAGE(29,36),AVERAGE(25,32))</f>
        <v>30.5</v>
      </c>
      <c r="D15" s="7" t="s">
        <v>1079</v>
      </c>
      <c r="E15" s="7" t="str">
        <f>Groups!A11</f>
        <v>Canid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517</v>
      </c>
      <c r="L15" s="7">
        <f>MIN(37.5*C15^0.089,79.3*C15^-0.072)</f>
        <v>50.831620301159781</v>
      </c>
      <c r="M15" s="7" t="s">
        <v>638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IF(AR15="No","No",IF(_xlfn.XLOOKUP(E15,Groups!A:A,Groups!AM:AM)=1,MROUND(EXP(0.3582*LN(C15)-0.2221)*T15,0.05),IF(_xlfn.XLOOKUP(E15,Groups!A:A,Groups!AM:AM)=2,MROUND(EXP(0.3582*LN(C15)-0.2221)*T15,0.05),"Need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945</v>
      </c>
      <c r="Y15" s="4" t="s">
        <v>53</v>
      </c>
      <c r="Z15" s="4">
        <v>0</v>
      </c>
      <c r="AA15" s="4">
        <v>0</v>
      </c>
      <c r="AB15" s="4">
        <v>0</v>
      </c>
      <c r="AC15" s="4" t="s">
        <v>45</v>
      </c>
      <c r="AD15" s="4" t="s">
        <v>320</v>
      </c>
      <c r="AE15" s="28" t="s">
        <v>388</v>
      </c>
      <c r="AF15" s="4" t="str">
        <f>Animals!C14</f>
        <v>&lt;li&gt;YorkshireTerrier&lt;/li&gt;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4" t="s">
        <v>40</v>
      </c>
      <c r="AM15" s="8">
        <f t="shared" si="0"/>
        <v>10235.707678092651</v>
      </c>
      <c r="AN15" s="8">
        <f>IFERROR(C15*_xlfn.XLOOKUP(E15,Groups!A:A,Groups!K:K),0.106*C15^0.94)</f>
        <v>3.804875</v>
      </c>
      <c r="AO15" s="8">
        <f>AN15*10000/(_xlfn.XLOOKUP(E15,Groups!A:A,Groups!J:J)*AM15)</f>
        <v>3.4103269836881278</v>
      </c>
      <c r="AP15" s="8">
        <f t="shared" si="1"/>
        <v>975.50348213642621</v>
      </c>
      <c r="AQ15" s="8">
        <f>IF(_xlfn.XLOOKUP(E15,Groups!A:A,Groups!M:M)=1,EXP(0.7444*LN('Base stats'!C15)+6.5696),EXP(0.7927*LN('Base stats'!C15)+4.28))</f>
        <v>1084.8878993878791</v>
      </c>
      <c r="AR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"No")))))))))))))))</f>
        <v>1634.8142948339298</v>
      </c>
      <c r="AS15" s="8">
        <f>IF(_xlfn.XLOOKUP(E15,Groups!A:A,Groups!U:U)=3,AQ15,IF(_xlfn.XLOOKUP(E15,Groups!A:A,Groups!U:U)=2,AP15,AR15))</f>
        <v>1634.8142948339298</v>
      </c>
      <c r="AT15" s="46">
        <f>IFERROR(AVERAGE(_xlfn.XLOOKUP(B15,Animals!B:B,Animals!N:N),_xlfn.XLOOKUP(B15,Animals!B:B,Animals!O:O)),0)</f>
        <v>0</v>
      </c>
      <c r="AU15" s="8">
        <f>MROUND(40*Animals!AO15*_xlfn.XLOOKUP(Animals!BB15,Leathers!$A$2:$A$100,Leathers!$B$2:$B$100,0)+(140*_xlfn.XLOOKUP(B15,Animals!B:B,Animals!AO:AO)*2),5)</f>
        <v>250</v>
      </c>
      <c r="AV15" s="8">
        <f>IFERROR(ROUND(SQRT(V15-1)*IF(_xlfn.XLOOKUP(E15,Groups!A:A,Groups!BF:BF)=0,2,1)*IF(_xlfn.XLOOKUP('Base stats'!E15,Groups!A:A,Groups!O:O)=0,1,0.1),1),0)</f>
        <v>2.5</v>
      </c>
      <c r="AW15" s="8">
        <f t="shared" si="2"/>
        <v>0</v>
      </c>
      <c r="AX15" s="8">
        <f t="shared" si="3"/>
        <v>0</v>
      </c>
      <c r="AY15" s="8">
        <f t="shared" si="4"/>
        <v>2.7</v>
      </c>
      <c r="AZ15" s="8">
        <f>IF(_xlfn.XLOOKUP(E15,Groups!A:A,Groups!N:N)="Insect",BB15*2.5,IFERROR(AVERAGE(BB15,AR15/9.81/IF(OR(_xlfn.XLOOKUP(E15,Groups!A:A,Groups!N:N)="Pig",_xlfn.XLOOKUP(E15,Groups!A:A,Groups!N:N)="StrongBitingHerbivore"),20,25))*C15^-0.135,BB15))</f>
        <v>2.3126196650372473</v>
      </c>
      <c r="BA15" s="8" t="str">
        <f>IF(W15="No","No",IF(_xlfn.XLOOKUP(E15,Groups!A:A,Groups!U:U)=1,'Base stats'!AZ15,IF(OR(_xlfn.XLOOKUP(E15,Groups!A:A,Groups!BD:BD)=1,_xlfn.XLOOKUP(E15,Groups!A:A,Groups!U:U)=2),BB15,IF(_xlfn.XLOOKUP(B15,Animals!B:B,Animals!AO:AO)&gt;4,AVERAGE(BB15,BD15),BD15))))</f>
        <v>No</v>
      </c>
      <c r="BB15" s="8">
        <f t="shared" si="5"/>
        <v>0.67102582319877924</v>
      </c>
      <c r="BC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D15" s="8">
        <f>(0.048*C15^1.01)/IF(_xlfn.XLOOKUP(E15,Groups!A:A,Groups!M:M)=1,0.25,0.8)*C15^-0.25</f>
        <v>0.80578490671043002</v>
      </c>
      <c r="BE15" s="8">
        <f>EXP(1.076*LN(AP15)-4.5397)*IF(_xlfn.XLOOKUP(E15,Groups!A:A,Groups!BC:BC)=1,1.25,IF(_xlfn.XLOOKUP(E15,Groups!A:A,Groups!BD:BD)=1,3.5,2.5))</f>
        <v>43.932261881608525</v>
      </c>
      <c r="BF15" s="8">
        <f>EXP(1.076*LN(AQ15)-4.5397)*IF(_xlfn.XLOOKUP(E15,Groups!A:A,Groups!M:M)=1,0.8,IF(_xlfn.XLOOKUP(E15,Groups!A:A,Groups!BC:BC)=1,1.3,3))</f>
        <v>59.105610863125953</v>
      </c>
      <c r="BG15" s="8" t="str">
        <f>IF(W15="No","No",IF(_xlfn.XLOOKUP(E15,Groups!A:A,Groups!U:U)=1,'Base stats'!BH15,IF(OR(_xlfn.XLOOKUP(E15,Groups!A:A,Groups!BD:BD)=1,_xlfn.XLOOKUP(E15,Groups!A:A,Groups!U:U)=2),BE15,BF15))*1.2)</f>
        <v>No</v>
      </c>
      <c r="BH15" s="8">
        <f>IFERROR(EXP(1.076*LN(AR15)-4.5397)*IF(_xlfn.XLOOKUP(E15,Groups!A:A,Groups!N:N)="Insect",1,IF(OR(_xlfn.XLOOKUP(E15,Groups!A:A,Groups!N:N)="Pig",_xlfn.XLOOKUP(E15,Groups!A:A,Groups!N:N)="StrongBitingHerbivore"),3.5,3.75)),"No")</f>
        <v>114.85677959605066</v>
      </c>
      <c r="BI15" s="8">
        <f t="shared" si="10"/>
        <v>11</v>
      </c>
      <c r="BJ15" s="8">
        <f t="shared" si="11"/>
        <v>10</v>
      </c>
      <c r="BK15" s="8" t="str">
        <f t="shared" si="6"/>
        <v>No</v>
      </c>
      <c r="BL15" s="8">
        <f t="shared" si="7"/>
        <v>9</v>
      </c>
      <c r="BM15" s="8">
        <f t="shared" si="12"/>
        <v>12</v>
      </c>
      <c r="BN15" s="8" t="str" cm="1">
        <f t="array" ref="BN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O15" s="8" t="str">
        <f>IF(W15="No","No",IF(_xlfn.XLOOKUP(E15,Groups!A:A,Groups!BD:BD)=1,(AM15*5%),EXP(0.7354*LN(C15)^0.4078)*2/IF(_xlfn.XLOOKUP(E15,Groups!A:A,Groups!BL:BL)=1,1000,100)))</f>
        <v>No</v>
      </c>
      <c r="BP15" s="8">
        <f>IF(BH15="No","No",IF(_xlfn.XLOOKUP(E15,Groups!A:A,Groups!BF:BF)=1,(0.0315*C15+2.1825)*2,(0.7354*C15^0.4078)*2)/IF(_xlfn.XLOOKUP(E15,Groups!A:A,Groups!BM:BM)=1,1000,100))</f>
        <v>5.9272206616755349E-2</v>
      </c>
      <c r="BQ15" s="8">
        <f t="shared" si="8"/>
        <v>8.5841181212386833E-2</v>
      </c>
      <c r="BR15" s="8" t="str">
        <f t="shared" si="13"/>
        <v>No</v>
      </c>
      <c r="BS15" s="8" t="str">
        <f t="shared" si="9"/>
        <v>No</v>
      </c>
      <c r="BT15" s="8">
        <f t="shared" si="14"/>
        <v>1937.7847755643097</v>
      </c>
      <c r="BU15" s="4">
        <v>0</v>
      </c>
      <c r="BV15" s="4">
        <v>1</v>
      </c>
    </row>
    <row r="16" spans="1:74" x14ac:dyDescent="0.25">
      <c r="A16" s="26" t="s">
        <v>62</v>
      </c>
      <c r="B16" s="6" t="s">
        <v>888</v>
      </c>
      <c r="C16" s="7">
        <f>AVERAGE(38,34)</f>
        <v>36</v>
      </c>
      <c r="D16" s="7" t="s">
        <v>1080</v>
      </c>
      <c r="E16" s="7" t="str">
        <f>Groups!A11</f>
        <v>Canid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517</v>
      </c>
      <c r="L16" s="7">
        <f>MIN(37.5*C16^0.089,79.3*C16^-0.072)</f>
        <v>51.58722779516075</v>
      </c>
      <c r="M16" s="7" t="s">
        <v>638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IF(AR16="No","No",IF(_xlfn.XLOOKUP(E16,Groups!A:A,Groups!AM:AM)=1,MROUND(EXP(0.3582*LN(C16)-0.2221)*T16,0.05),IF(_xlfn.XLOOKUP(E16,Groups!A:A,Groups!AM:AM)=2,MROUND(EXP(0.3582*LN(C16)-0.2221)*T16,0.05),"Need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945</v>
      </c>
      <c r="Y16" s="4" t="s">
        <v>53</v>
      </c>
      <c r="Z16" s="4">
        <v>0</v>
      </c>
      <c r="AA16" s="4">
        <v>0</v>
      </c>
      <c r="AB16" s="4">
        <v>0</v>
      </c>
      <c r="AC16" s="4" t="s">
        <v>45</v>
      </c>
      <c r="AD16" s="4" t="s">
        <v>320</v>
      </c>
      <c r="AE16" s="28" t="s">
        <v>388</v>
      </c>
      <c r="AF16" s="4" t="str">
        <f>Animals!C14</f>
        <v>&lt;li&gt;YorkshireTerrier&lt;/li&gt;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4" t="s">
        <v>40</v>
      </c>
      <c r="AM16" s="8">
        <f t="shared" si="0"/>
        <v>11400.387263668637</v>
      </c>
      <c r="AN16" s="8">
        <f>IFERROR(C16*_xlfn.XLOOKUP(E16,Groups!A:A,Groups!K:K),0.106*C16^0.94)</f>
        <v>4.4909999999999997</v>
      </c>
      <c r="AO16" s="8">
        <f>AN16*10000/(_xlfn.XLOOKUP(E16,Groups!A:A,Groups!J:J)*AM16)</f>
        <v>3.6140732686940842</v>
      </c>
      <c r="AP16" s="8">
        <f t="shared" si="1"/>
        <v>1122.1462748355216</v>
      </c>
      <c r="AQ16" s="8">
        <f>IF(_xlfn.XLOOKUP(E16,Groups!A:A,Groups!M:M)=1,EXP(0.7444*LN('Base stats'!C16)+6.5696),EXP(0.7927*LN('Base stats'!C16)+4.28))</f>
        <v>1237.2611460422108</v>
      </c>
      <c r="AR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"No")))))))))))))))</f>
        <v>1878.0755264115469</v>
      </c>
      <c r="AS16" s="8">
        <f>IF(_xlfn.XLOOKUP(E16,Groups!A:A,Groups!U:U)=3,AQ16,IF(_xlfn.XLOOKUP(E16,Groups!A:A,Groups!U:U)=2,AP16,AR16))</f>
        <v>1878.0755264115469</v>
      </c>
      <c r="AT16" s="46">
        <f>IFERROR(AVERAGE(_xlfn.XLOOKUP(B16,Animals!B:B,Animals!N:N),_xlfn.XLOOKUP(B16,Animals!B:B,Animals!O:O)),0)</f>
        <v>0</v>
      </c>
      <c r="AU16" s="8">
        <f>MROUND(40*Animals!AO16*_xlfn.XLOOKUP(Animals!BB16,Leathers!$A$2:$A$100,Leathers!$B$2:$B$100,0)+(140*_xlfn.XLOOKUP(B16,Animals!B:B,Animals!AO:AO)*2),5)</f>
        <v>270</v>
      </c>
      <c r="AV16" s="8">
        <f>IFERROR(ROUND(SQRT(V16-1)*IF(_xlfn.XLOOKUP(E16,Groups!A:A,Groups!BF:BF)=0,2,1)*IF(_xlfn.XLOOKUP('Base stats'!E16,Groups!A:A,Groups!O:O)=0,1,0.1),1),0)</f>
        <v>2.6</v>
      </c>
      <c r="AW16" s="8">
        <f t="shared" si="2"/>
        <v>0</v>
      </c>
      <c r="AX16" s="8">
        <f t="shared" si="3"/>
        <v>0</v>
      </c>
      <c r="AY16" s="8">
        <f t="shared" si="4"/>
        <v>2.9</v>
      </c>
      <c r="AZ16" s="8">
        <f>IF(_xlfn.XLOOKUP(E16,Groups!A:A,Groups!N:N)="Insect",BB16*2.5,IFERROR(AVERAGE(BB16,AR16/9.81/IF(OR(_xlfn.XLOOKUP(E16,Groups!A:A,Groups!N:N)="Pig",_xlfn.XLOOKUP(E16,Groups!A:A,Groups!N:N)="StrongBitingHerbivore"),20,25))*C16^-0.135,BB16))</f>
        <v>2.5977117688032751</v>
      </c>
      <c r="BA16" s="8" t="str">
        <f>IF(W16="No","No",IF(_xlfn.XLOOKUP(E16,Groups!A:A,Groups!U:U)=1,'Base stats'!AZ16,IF(OR(_xlfn.XLOOKUP(E16,Groups!A:A,Groups!BD:BD)=1,_xlfn.XLOOKUP(E16,Groups!A:A,Groups!U:U)=2),BB16,IF(_xlfn.XLOOKUP(B16,Animals!B:B,Animals!AO:AO)&gt;4,AVERAGE(BB16,BD16),BD16))))</f>
        <v>No</v>
      </c>
      <c r="BB16" s="8">
        <f t="shared" si="5"/>
        <v>0.77014667571860451</v>
      </c>
      <c r="BC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D16" s="8">
        <f>(0.048*C16^1.01)/IF(_xlfn.XLOOKUP(E16,Groups!A:A,Groups!M:M)=1,0.25,0.8)*C16^-0.25</f>
        <v>0.91398938303272259</v>
      </c>
      <c r="BE16" s="8">
        <f>EXP(1.076*LN(AP16)-4.5397)*IF(_xlfn.XLOOKUP(E16,Groups!A:A,Groups!BC:BC)=1,1.25,IF(_xlfn.XLOOKUP(E16,Groups!A:A,Groups!BD:BD)=1,3.5,2.5))</f>
        <v>51.077141133404595</v>
      </c>
      <c r="BF16" s="8">
        <f>EXP(1.076*LN(AQ16)-4.5397)*IF(_xlfn.XLOOKUP(E16,Groups!A:A,Groups!M:M)=1,0.8,IF(_xlfn.XLOOKUP(E16,Groups!A:A,Groups!BC:BC)=1,1.3,3))</f>
        <v>68.083682006769152</v>
      </c>
      <c r="BG16" s="8" t="str">
        <f>IF(W16="No","No",IF(_xlfn.XLOOKUP(E16,Groups!A:A,Groups!U:U)=1,'Base stats'!BH16,IF(OR(_xlfn.XLOOKUP(E16,Groups!A:A,Groups!BD:BD)=1,_xlfn.XLOOKUP(E16,Groups!A:A,Groups!U:U)=2),BE16,BF16))*1.2)</f>
        <v>No</v>
      </c>
      <c r="BH16" s="8">
        <f>IFERROR(EXP(1.076*LN(AR16)-4.5397)*IF(_xlfn.XLOOKUP(E16,Groups!A:A,Groups!N:N)="Insect",1,IF(OR(_xlfn.XLOOKUP(E16,Groups!A:A,Groups!N:N)="Pig",_xlfn.XLOOKUP(E16,Groups!A:A,Groups!N:N)="StrongBitingHerbivore"),3.5,3.75)),"No")</f>
        <v>133.34595732243451</v>
      </c>
      <c r="BI16" s="8">
        <f t="shared" si="10"/>
        <v>11</v>
      </c>
      <c r="BJ16" s="8">
        <f t="shared" si="11"/>
        <v>10</v>
      </c>
      <c r="BK16" s="8" t="str">
        <f t="shared" si="6"/>
        <v>No</v>
      </c>
      <c r="BL16" s="8">
        <f t="shared" si="7"/>
        <v>10</v>
      </c>
      <c r="BM16" s="8">
        <f t="shared" si="12"/>
        <v>12</v>
      </c>
      <c r="BN16" s="8" t="str" cm="1">
        <f t="array" ref="BN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O16" s="8" t="str">
        <f>IF(W16="No","No",IF(_xlfn.XLOOKUP(E16,Groups!A:A,Groups!BD:BD)=1,(AM16*5%),EXP(0.7354*LN(C16)^0.4078)*2/IF(_xlfn.XLOOKUP(E16,Groups!A:A,Groups!BL:BL)=1,1000,100)))</f>
        <v>No</v>
      </c>
      <c r="BP16" s="8">
        <f>IF(BH16="No","No",IF(_xlfn.XLOOKUP(E16,Groups!A:A,Groups!BF:BF)=1,(0.0315*C16+2.1825)*2,(0.7354*C16^0.4078)*2)/IF(_xlfn.XLOOKUP(E16,Groups!A:A,Groups!BM:BM)=1,1000,100))</f>
        <v>6.3418180977575608E-2</v>
      </c>
      <c r="BQ16" s="8">
        <f t="shared" si="8"/>
        <v>8.960597557274208E-2</v>
      </c>
      <c r="BR16" s="8" t="str">
        <f t="shared" si="13"/>
        <v>No</v>
      </c>
      <c r="BS16" s="8" t="str">
        <f t="shared" si="9"/>
        <v>No</v>
      </c>
      <c r="BT16" s="8">
        <f t="shared" si="14"/>
        <v>2102.645570512107</v>
      </c>
      <c r="BU16" s="4">
        <v>0</v>
      </c>
      <c r="BV16" s="4">
        <v>1</v>
      </c>
    </row>
    <row r="17" spans="1:74" x14ac:dyDescent="0.25">
      <c r="A17" s="26" t="s">
        <v>80</v>
      </c>
      <c r="B17" s="6" t="s">
        <v>81</v>
      </c>
      <c r="C17" s="7">
        <v>63</v>
      </c>
      <c r="D17" s="7" t="s">
        <v>518</v>
      </c>
      <c r="E17" s="7" t="str">
        <f>Groups!A19</f>
        <v>Felid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518</v>
      </c>
      <c r="L17" s="7">
        <v>60</v>
      </c>
      <c r="M17" s="7" t="s">
        <v>638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IF(AR17="No","No",IF(_xlfn.XLOOKUP(E17,Groups!A:A,Groups!AM:AM)=1,MROUND(EXP(0.3582*LN(C17)-0.2221)*T17,0.05),IF(_xlfn.XLOOKUP(E17,Groups!A:A,Groups!AM:AM)=2,MROUND(EXP(0.3582*LN(C17)-0.2221)*T17,0.05),"Need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945</v>
      </c>
      <c r="Y17" s="4" t="s">
        <v>56</v>
      </c>
      <c r="Z17" s="4">
        <v>0</v>
      </c>
      <c r="AA17" s="4">
        <v>0</v>
      </c>
      <c r="AB17" s="4">
        <v>0</v>
      </c>
      <c r="AC17" s="4" t="s">
        <v>45</v>
      </c>
      <c r="AD17" s="4" t="s">
        <v>45</v>
      </c>
      <c r="AE17" s="28" t="s">
        <v>398</v>
      </c>
      <c r="AF17" s="4" t="s">
        <v>45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4" t="s">
        <v>40</v>
      </c>
      <c r="AM17" s="8">
        <f t="shared" si="0"/>
        <v>16401.906654261467</v>
      </c>
      <c r="AN17" s="8">
        <f>IFERROR(C17*_xlfn.XLOOKUP(E17,Groups!A:A,Groups!K:K),0.106*C17^0.94)</f>
        <v>7.8592500000000003</v>
      </c>
      <c r="AO17" s="8">
        <f>AN17*10000/(_xlfn.XLOOKUP(E17,Groups!A:A,Groups!J:J)*AM17)</f>
        <v>4.3960261772640186</v>
      </c>
      <c r="AP17" s="8">
        <f t="shared" si="1"/>
        <v>1800.2951512933766</v>
      </c>
      <c r="AQ17" s="8">
        <f>IF(_xlfn.XLOOKUP(E17,Groups!A:A,Groups!M:M)=1,EXP(0.7444*LN('Base stats'!C17)+6.5696),EXP(0.7927*LN('Base stats'!C17)+4.28))</f>
        <v>1928.0470870394572</v>
      </c>
      <c r="AR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"No")))))))))))))))</f>
        <v>2438.6474828618393</v>
      </c>
      <c r="AS17" s="8">
        <f>IF(_xlfn.XLOOKUP(E17,Groups!A:A,Groups!U:U)=3,AQ17,IF(_xlfn.XLOOKUP(E17,Groups!A:A,Groups!U:U)=2,AP17,AR17))</f>
        <v>2438.6474828618393</v>
      </c>
      <c r="AT17" s="46">
        <f>IFERROR(AVERAGE(_xlfn.XLOOKUP(B17,Animals!B:B,Animals!N:N),_xlfn.XLOOKUP(B17,Animals!B:B,Animals!O:O)),0)</f>
        <v>0</v>
      </c>
      <c r="AU17" s="8">
        <f>MROUND(40*Animals!AO17*_xlfn.XLOOKUP(Animals!BB17,Leathers!$A$2:$A$100,Leathers!$B$2:$B$100,0)+(140*_xlfn.XLOOKUP(B17,Animals!B:B,Animals!AO:AO)*2),5)</f>
        <v>425</v>
      </c>
      <c r="AV17" s="8">
        <f>IFERROR(ROUND(SQRT(V17-1)*IF(_xlfn.XLOOKUP(E17,Groups!A:A,Groups!BF:BF)=0,2,1)*IF(_xlfn.XLOOKUP('Base stats'!E17,Groups!A:A,Groups!O:O)=0,1,0.1),1),0)</f>
        <v>3.3</v>
      </c>
      <c r="AW17" s="8">
        <f t="shared" si="2"/>
        <v>2.2000000000000002</v>
      </c>
      <c r="AX17" s="8">
        <f t="shared" si="3"/>
        <v>0</v>
      </c>
      <c r="AY17" s="8">
        <f t="shared" si="4"/>
        <v>3.5</v>
      </c>
      <c r="AZ17" s="8">
        <f>IF(_xlfn.XLOOKUP(E17,Groups!A:A,Groups!N:N)="Insect",BB17*2.5,IFERROR(AVERAGE(BB17,AR17/9.81/IF(OR(_xlfn.XLOOKUP(E17,Groups!A:A,Groups!N:N)="Pig",_xlfn.XLOOKUP(E17,Groups!A:A,Groups!N:N)="StrongBitingHerbivore"),20,25))*C17^-0.135,BB17))</f>
        <v>3.1922628081541204</v>
      </c>
      <c r="BA17" s="8" t="str">
        <f>IF(W17="No","No",IF(_xlfn.XLOOKUP(E17,Groups!A:A,Groups!U:U)=1,'Base stats'!AZ17,IF(OR(_xlfn.XLOOKUP(E17,Groups!A:A,Groups!BD:BD)=1,_xlfn.XLOOKUP(E17,Groups!A:A,Groups!U:U)=2),BB17,IF(_xlfn.XLOOKUP(B17,Animals!B:B,Animals!AO:AO)&gt;4,AVERAGE(BB17,BD17),BD17))))</f>
        <v>No</v>
      </c>
      <c r="BB17" s="8">
        <f t="shared" si="5"/>
        <v>1.2261343621662715</v>
      </c>
      <c r="BC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D17" s="8">
        <f>(0.048*C17^1.01)/IF(_xlfn.XLOOKUP(E17,Groups!A:A,Groups!M:M)=1,0.25,0.8)*C17^-0.25</f>
        <v>1.3984600617005443</v>
      </c>
      <c r="BE17" s="8">
        <f>EXP(1.076*LN(AP17)-4.5397)*IF(_xlfn.XLOOKUP(E17,Groups!A:A,Groups!BC:BC)=1,1.25,IF(_xlfn.XLOOKUP(E17,Groups!A:A,Groups!BD:BD)=1,3.5,2.5))</f>
        <v>84.942137034811097</v>
      </c>
      <c r="BF17" s="8">
        <f>EXP(1.076*LN(AQ17)-4.5397)*IF(_xlfn.XLOOKUP(E17,Groups!A:A,Groups!M:M)=1,0.8,IF(_xlfn.XLOOKUP(E17,Groups!A:A,Groups!BC:BC)=1,1.3,3))</f>
        <v>109.73399023878679</v>
      </c>
      <c r="BG17" s="8" t="str">
        <f>IF(W17="No","No",IF(_xlfn.XLOOKUP(E17,Groups!A:A,Groups!U:U)=1,'Base stats'!BH17,IF(OR(_xlfn.XLOOKUP(E17,Groups!A:A,Groups!BD:BD)=1,_xlfn.XLOOKUP(E17,Groups!A:A,Groups!U:U)=2),BE17,BF17))*1.2)</f>
        <v>No</v>
      </c>
      <c r="BH17" s="8">
        <f>IFERROR(EXP(1.076*LN(AR17)-4.5397)*IF(_xlfn.XLOOKUP(E17,Groups!A:A,Groups!N:N)="Insect",1,IF(OR(_xlfn.XLOOKUP(E17,Groups!A:A,Groups!N:N)="Pig",_xlfn.XLOOKUP(E17,Groups!A:A,Groups!N:N)="StrongBitingHerbivore"),3.5,3.75)),"No")</f>
        <v>176.61881226386217</v>
      </c>
      <c r="BI17" s="8">
        <f t="shared" si="10"/>
        <v>11</v>
      </c>
      <c r="BJ17" s="8">
        <f t="shared" si="11"/>
        <v>11</v>
      </c>
      <c r="BK17" s="8" t="str">
        <f t="shared" si="6"/>
        <v>No</v>
      </c>
      <c r="BL17" s="8">
        <f t="shared" si="7"/>
        <v>10</v>
      </c>
      <c r="BM17" s="8">
        <f t="shared" si="12"/>
        <v>12</v>
      </c>
      <c r="BN17" s="8" cm="1">
        <f t="array" ref="BN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O17" s="8" t="str">
        <f>IF(W17="No","No",IF(_xlfn.XLOOKUP(E17,Groups!A:A,Groups!BD:BD)=1,(AM17*5%),EXP(0.7354*LN(C17)^0.4078)*2/IF(_xlfn.XLOOKUP(E17,Groups!A:A,Groups!BL:BL)=1,1000,100)))</f>
        <v>No</v>
      </c>
      <c r="BP17" s="8">
        <f>IF(BH17="No","No",IF(_xlfn.XLOOKUP(E17,Groups!A:A,Groups!BF:BF)=1,(0.0315*C17+2.1825)*2,(0.7354*C17^0.4078)*2)/IF(_xlfn.XLOOKUP(E17,Groups!A:A,Groups!BM:BM)=1,1000,100))</f>
        <v>7.9675481601621551E-2</v>
      </c>
      <c r="BQ17" s="8">
        <f t="shared" si="8"/>
        <v>0.10357593031751808</v>
      </c>
      <c r="BR17" s="8">
        <f t="shared" si="13"/>
        <v>1377.2617125486379</v>
      </c>
      <c r="BS17" s="8" t="str">
        <f t="shared" si="9"/>
        <v>No</v>
      </c>
      <c r="BT17" s="8">
        <f t="shared" si="14"/>
        <v>2216.7272630614088</v>
      </c>
      <c r="BU17" s="4">
        <v>0</v>
      </c>
      <c r="BV17" s="4">
        <v>1</v>
      </c>
    </row>
    <row r="18" spans="1:74" x14ac:dyDescent="0.25">
      <c r="A18" s="26" t="s">
        <v>244</v>
      </c>
      <c r="B18" s="6" t="s">
        <v>82</v>
      </c>
      <c r="C18" s="7">
        <v>53.75</v>
      </c>
      <c r="D18" s="7" t="s">
        <v>592</v>
      </c>
      <c r="E18" s="7" t="str">
        <f>Groups!A19</f>
        <v>Felid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592</v>
      </c>
      <c r="L18" s="7">
        <v>60</v>
      </c>
      <c r="M18" s="7" t="s">
        <v>638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IF(AR18="No","No",IF(_xlfn.XLOOKUP(E18,Groups!A:A,Groups!AM:AM)=1,MROUND(EXP(0.3582*LN(C18)-0.2221)*T18,0.05),IF(_xlfn.XLOOKUP(E18,Groups!A:A,Groups!AM:AM)=2,MROUND(EXP(0.3582*LN(C18)-0.2221)*T18,0.05),"Need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945</v>
      </c>
      <c r="Y18" s="4" t="s">
        <v>56</v>
      </c>
      <c r="Z18" s="4">
        <v>0</v>
      </c>
      <c r="AA18" s="4">
        <v>0</v>
      </c>
      <c r="AB18" s="4">
        <v>0</v>
      </c>
      <c r="AC18" s="4" t="s">
        <v>45</v>
      </c>
      <c r="AD18" s="4" t="s">
        <v>45</v>
      </c>
      <c r="AE18" s="28" t="s">
        <v>398</v>
      </c>
      <c r="AF18" s="4" t="s">
        <v>45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4" t="s">
        <v>40</v>
      </c>
      <c r="AM18" s="8">
        <f t="shared" si="0"/>
        <v>14793.43348517449</v>
      </c>
      <c r="AN18" s="8">
        <f>IFERROR(C18*_xlfn.XLOOKUP(E18,Groups!A:A,Groups!K:K),0.106*C18^0.94)</f>
        <v>6.7053124999999998</v>
      </c>
      <c r="AO18" s="8">
        <f>AN18*10000/(_xlfn.XLOOKUP(E18,Groups!A:A,Groups!J:J)*AM18)</f>
        <v>4.1583739503082215</v>
      </c>
      <c r="AP18" s="8">
        <f t="shared" si="1"/>
        <v>1574.3143065176428</v>
      </c>
      <c r="AQ18" s="8">
        <f>IF(_xlfn.XLOOKUP(E18,Groups!A:A,Groups!M:M)=1,EXP(0.7444*LN('Base stats'!C18)+6.5696),EXP(0.7927*LN('Base stats'!C18)+4.28))</f>
        <v>1700.0096811752469</v>
      </c>
      <c r="AR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"No")))))))))))))))</f>
        <v>3237.991051926494</v>
      </c>
      <c r="AS18" s="8">
        <f>IF(_xlfn.XLOOKUP(E18,Groups!A:A,Groups!U:U)=3,AQ18,IF(_xlfn.XLOOKUP(E18,Groups!A:A,Groups!U:U)=2,AP18,AR18))</f>
        <v>3237.991051926494</v>
      </c>
      <c r="AT18" s="46">
        <f>IFERROR(AVERAGE(_xlfn.XLOOKUP(B18,Animals!B:B,Animals!N:N),_xlfn.XLOOKUP(B18,Animals!B:B,Animals!O:O)),0)</f>
        <v>0</v>
      </c>
      <c r="AU18" s="8">
        <f>MROUND(40*Animals!AO18*_xlfn.XLOOKUP(Animals!BB18,Leathers!$A$2:$A$100,Leathers!$B$2:$B$100,0)+(140*_xlfn.XLOOKUP(B18,Animals!B:B,Animals!AO:AO)*2),5)</f>
        <v>405</v>
      </c>
      <c r="AV18" s="8">
        <f>IFERROR(ROUND(SQRT(V18-1)*IF(_xlfn.XLOOKUP(E18,Groups!A:A,Groups!BF:BF)=0,2,1)*IF(_xlfn.XLOOKUP('Base stats'!E18,Groups!A:A,Groups!O:O)=0,1,0.1),1),0)</f>
        <v>3.2</v>
      </c>
      <c r="AW18" s="8">
        <f t="shared" si="2"/>
        <v>2.1</v>
      </c>
      <c r="AX18" s="8">
        <f t="shared" si="3"/>
        <v>0</v>
      </c>
      <c r="AY18" s="8">
        <f t="shared" si="4"/>
        <v>3.3</v>
      </c>
      <c r="AZ18" s="8">
        <f>IF(_xlfn.XLOOKUP(E18,Groups!A:A,Groups!N:N)="Insect",BB18*2.5,IFERROR(AVERAGE(BB18,AR18/9.81/IF(OR(_xlfn.XLOOKUP(E18,Groups!A:A,Groups!N:N)="Pig",_xlfn.XLOOKUP(E18,Groups!A:A,Groups!N:N)="StrongBitingHerbivore"),20,25))*C18^-0.135,BB18))</f>
        <v>4.1688604144045547</v>
      </c>
      <c r="BA18" s="8" t="str">
        <f>IF(W18="No","No",IF(_xlfn.XLOOKUP(E18,Groups!A:A,Groups!U:U)=1,'Base stats'!AZ18,IF(OR(_xlfn.XLOOKUP(E18,Groups!A:A,Groups!BD:BD)=1,_xlfn.XLOOKUP(E18,Groups!A:A,Groups!U:U)=2),BB18,IF(_xlfn.XLOOKUP(B18,Animals!B:B,Animals!AO:AO)&gt;4,AVERAGE(BB18,BD18),BD18))))</f>
        <v>No</v>
      </c>
      <c r="BB18" s="8">
        <f t="shared" si="5"/>
        <v>1.0745597632000488</v>
      </c>
      <c r="BC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D18" s="8">
        <f>(0.048*C18^1.01)/IF(_xlfn.XLOOKUP(E18,Groups!A:A,Groups!M:M)=1,0.25,0.8)*C18^-0.25</f>
        <v>1.2394781821074123</v>
      </c>
      <c r="BE18" s="8">
        <f>EXP(1.076*LN(AP18)-4.5397)*IF(_xlfn.XLOOKUP(E18,Groups!A:A,Groups!BC:BC)=1,1.25,IF(_xlfn.XLOOKUP(E18,Groups!A:A,Groups!BD:BD)=1,3.5,2.5))</f>
        <v>73.526474206851105</v>
      </c>
      <c r="BF18" s="8">
        <f>EXP(1.076*LN(AQ18)-4.5397)*IF(_xlfn.XLOOKUP(E18,Groups!A:A,Groups!M:M)=1,0.8,IF(_xlfn.XLOOKUP(E18,Groups!A:A,Groups!BC:BC)=1,1.3,3))</f>
        <v>95.834150126565405</v>
      </c>
      <c r="BG18" s="8" t="str">
        <f>IF(W18="No","No",IF(_xlfn.XLOOKUP(E18,Groups!A:A,Groups!U:U)=1,'Base stats'!BH18,IF(OR(_xlfn.XLOOKUP(E18,Groups!A:A,Groups!BD:BD)=1,_xlfn.XLOOKUP(E18,Groups!A:A,Groups!U:U)=2),BE18,BF18))*1.2)</f>
        <v>No</v>
      </c>
      <c r="BH18" s="8">
        <f>IFERROR(EXP(1.076*LN(AR18)-4.5397)*IF(_xlfn.XLOOKUP(E18,Groups!A:A,Groups!N:N)="Insect",1,IF(OR(_xlfn.XLOOKUP(E18,Groups!A:A,Groups!N:N)="Pig",_xlfn.XLOOKUP(E18,Groups!A:A,Groups!N:N)="StrongBitingHerbivore"),3.5,3.75)),"No")</f>
        <v>239.61897244609523</v>
      </c>
      <c r="BI18" s="8">
        <f t="shared" si="10"/>
        <v>11</v>
      </c>
      <c r="BJ18" s="8">
        <f t="shared" si="11"/>
        <v>10</v>
      </c>
      <c r="BK18" s="8" t="str">
        <f t="shared" si="6"/>
        <v>No</v>
      </c>
      <c r="BL18" s="8">
        <f t="shared" si="7"/>
        <v>10</v>
      </c>
      <c r="BM18" s="8">
        <f t="shared" si="12"/>
        <v>12</v>
      </c>
      <c r="BN18" s="8" cm="1">
        <f t="array" ref="BN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O18" s="8" t="str">
        <f>IF(W18="No","No",IF(_xlfn.XLOOKUP(E18,Groups!A:A,Groups!BD:BD)=1,(AM18*5%),EXP(0.7354*LN(C18)^0.4078)*2/IF(_xlfn.XLOOKUP(E18,Groups!A:A,Groups!BL:BL)=1,1000,100)))</f>
        <v>No</v>
      </c>
      <c r="BP18" s="8">
        <f>IF(BH18="No","No",IF(_xlfn.XLOOKUP(E18,Groups!A:A,Groups!BF:BF)=1,(0.0315*C18+2.1825)*2,(0.7354*C18^0.4078)*2)/IF(_xlfn.XLOOKUP(E18,Groups!A:A,Groups!BM:BM)=1,1000,100))</f>
        <v>7.4679596144442667E-2</v>
      </c>
      <c r="BQ18" s="8">
        <f t="shared" si="8"/>
        <v>9.9404204278252237E-2</v>
      </c>
      <c r="BR18" s="8">
        <f t="shared" si="13"/>
        <v>1283.2708674696946</v>
      </c>
      <c r="BS18" s="8" t="str">
        <f t="shared" si="9"/>
        <v>No</v>
      </c>
      <c r="BT18" s="8">
        <f t="shared" si="14"/>
        <v>3208.6270523294284</v>
      </c>
      <c r="BU18" s="4">
        <v>0</v>
      </c>
      <c r="BV18" s="4">
        <v>1</v>
      </c>
    </row>
    <row r="19" spans="1:74" x14ac:dyDescent="0.25">
      <c r="A19" s="26" t="s">
        <v>83</v>
      </c>
      <c r="B19" s="6" t="s">
        <v>84</v>
      </c>
      <c r="C19" s="7">
        <v>23</v>
      </c>
      <c r="D19" s="7" t="s">
        <v>519</v>
      </c>
      <c r="E19" s="7" t="str">
        <f>Groups!A19</f>
        <v>Felid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519</v>
      </c>
      <c r="L19" s="7">
        <f>MIN(37.5*C19^0.089,79.3*C19^-0.072)</f>
        <v>49.570699247361198</v>
      </c>
      <c r="M19" s="7" t="s">
        <v>638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IF(AR19="No","No",IF(_xlfn.XLOOKUP(E19,Groups!A:A,Groups!AM:AM)=1,MROUND(EXP(0.3582*LN(C19)-0.2221)*T19,0.05),IF(_xlfn.XLOOKUP(E19,Groups!A:A,Groups!AM:AM)=2,MROUND(EXP(0.3582*LN(C19)-0.2221)*T19,0.05),"Need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945</v>
      </c>
      <c r="Y19" s="4" t="s">
        <v>56</v>
      </c>
      <c r="Z19" s="4">
        <v>0</v>
      </c>
      <c r="AA19" s="4">
        <v>0</v>
      </c>
      <c r="AB19" s="4">
        <v>0</v>
      </c>
      <c r="AC19" s="4" t="s">
        <v>45</v>
      </c>
      <c r="AD19" s="4" t="s">
        <v>45</v>
      </c>
      <c r="AE19" s="28" t="s">
        <v>398</v>
      </c>
      <c r="AF19" s="4" t="s">
        <v>45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4" t="s">
        <v>40</v>
      </c>
      <c r="AM19" s="8">
        <f t="shared" si="0"/>
        <v>8520.1270753585995</v>
      </c>
      <c r="AN19" s="8">
        <f>IFERROR(C19*_xlfn.XLOOKUP(E19,Groups!A:A,Groups!K:K),0.106*C19^0.94)</f>
        <v>2.8692500000000001</v>
      </c>
      <c r="AO19" s="8">
        <f>AN19*10000/(_xlfn.XLOOKUP(E19,Groups!A:A,Groups!J:J)*AM19)</f>
        <v>3.0895542123478164</v>
      </c>
      <c r="AP19" s="8">
        <f t="shared" si="1"/>
        <v>768.58561660384407</v>
      </c>
      <c r="AQ19" s="8">
        <f>IF(_xlfn.XLOOKUP(E19,Groups!A:A,Groups!M:M)=1,EXP(0.7444*LN('Base stats'!C19)+6.5696),EXP(0.7927*LN('Base stats'!C19)+4.28))</f>
        <v>867.40523353073831</v>
      </c>
      <c r="AR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"No")))))))))))))))</f>
        <v>1009.563235891782</v>
      </c>
      <c r="AS19" s="8">
        <f>IF(_xlfn.XLOOKUP(E19,Groups!A:A,Groups!U:U)=3,AQ19,IF(_xlfn.XLOOKUP(E19,Groups!A:A,Groups!U:U)=2,AP19,AR19))</f>
        <v>1009.563235891782</v>
      </c>
      <c r="AT19" s="46">
        <f>IFERROR(AVERAGE(_xlfn.XLOOKUP(B19,Animals!B:B,Animals!N:N),_xlfn.XLOOKUP(B19,Animals!B:B,Animals!O:O)),0)</f>
        <v>0</v>
      </c>
      <c r="AU19" s="8">
        <f>MROUND(40*Animals!AO19*_xlfn.XLOOKUP(Animals!BB19,Leathers!$A$2:$A$100,Leathers!$B$2:$B$100,0)+(140*_xlfn.XLOOKUP(B19,Animals!B:B,Animals!AO:AO)*2),5)</f>
        <v>270</v>
      </c>
      <c r="AV19" s="8">
        <f>IFERROR(ROUND(SQRT(V19-1)*IF(_xlfn.XLOOKUP(E19,Groups!A:A,Groups!BF:BF)=0,2,1)*IF(_xlfn.XLOOKUP('Base stats'!E19,Groups!A:A,Groups!O:O)=0,1,0.1),1),0)</f>
        <v>2.5</v>
      </c>
      <c r="AW19" s="8">
        <f t="shared" si="2"/>
        <v>1.7</v>
      </c>
      <c r="AX19" s="8">
        <f t="shared" si="3"/>
        <v>0</v>
      </c>
      <c r="AY19" s="8">
        <f t="shared" si="4"/>
        <v>2.4</v>
      </c>
      <c r="AZ19" s="8">
        <f>IF(_xlfn.XLOOKUP(E19,Groups!A:A,Groups!N:N)="Insect",BB19*2.5,IFERROR(AVERAGE(BB19,AR19/9.81/IF(OR(_xlfn.XLOOKUP(E19,Groups!A:A,Groups!N:N)="Pig",_xlfn.XLOOKUP(E19,Groups!A:A,Groups!N:N)="StrongBitingHerbivore"),20,25))*C19^-0.135,BB19))</f>
        <v>1.5216986676287889</v>
      </c>
      <c r="BA19" s="8" t="str">
        <f>IF(W19="No","No",IF(_xlfn.XLOOKUP(E19,Groups!A:A,Groups!U:U)=1,'Base stats'!AZ19,IF(OR(_xlfn.XLOOKUP(E19,Groups!A:A,Groups!BD:BD)=1,_xlfn.XLOOKUP(E19,Groups!A:A,Groups!U:U)=2),BB19,IF(_xlfn.XLOOKUP(B19,Animals!B:B,Animals!AO:AO)&gt;4,AVERAGE(BB19,BD19),BD19))))</f>
        <v>No</v>
      </c>
      <c r="BB19" s="8">
        <f t="shared" si="5"/>
        <v>0.53074009611173534</v>
      </c>
      <c r="BC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D19" s="8">
        <f>(0.048*C19^1.01)/IF(_xlfn.XLOOKUP(E19,Groups!A:A,Groups!M:M)=1,0.25,0.8)*C19^-0.25</f>
        <v>0.65022611155398025</v>
      </c>
      <c r="BE19" s="8">
        <f>EXP(1.076*LN(AP19)-4.5397)*IF(_xlfn.XLOOKUP(E19,Groups!A:A,Groups!BC:BC)=1,1.25,IF(_xlfn.XLOOKUP(E19,Groups!A:A,Groups!BD:BD)=1,3.5,2.5))</f>
        <v>33.992117018879853</v>
      </c>
      <c r="BF19" s="8">
        <f>EXP(1.076*LN(AQ19)-4.5397)*IF(_xlfn.XLOOKUP(E19,Groups!A:A,Groups!M:M)=1,0.8,IF(_xlfn.XLOOKUP(E19,Groups!A:A,Groups!BC:BC)=1,1.3,3))</f>
        <v>46.460246351568529</v>
      </c>
      <c r="BG19" s="8" t="str">
        <f>IF(W19="No","No",IF(_xlfn.XLOOKUP(E19,Groups!A:A,Groups!U:U)=1,'Base stats'!BH19,IF(OR(_xlfn.XLOOKUP(E19,Groups!A:A,Groups!BD:BD)=1,_xlfn.XLOOKUP(E19,Groups!A:A,Groups!U:U)=2),BE19,BF19))*1.2)</f>
        <v>No</v>
      </c>
      <c r="BH19" s="8">
        <f>IFERROR(EXP(1.076*LN(AR19)-4.5397)*IF(_xlfn.XLOOKUP(E19,Groups!A:A,Groups!N:N)="Insect",1,IF(OR(_xlfn.XLOOKUP(E19,Groups!A:A,Groups!N:N)="Pig",_xlfn.XLOOKUP(E19,Groups!A:A,Groups!N:N)="StrongBitingHerbivore"),3.5,3.75)),"No")</f>
        <v>68.377352800748639</v>
      </c>
      <c r="BI19" s="8">
        <f t="shared" si="10"/>
        <v>11</v>
      </c>
      <c r="BJ19" s="8">
        <f t="shared" si="11"/>
        <v>10</v>
      </c>
      <c r="BK19" s="8" t="str">
        <f t="shared" si="6"/>
        <v>No</v>
      </c>
      <c r="BL19" s="8">
        <f t="shared" si="7"/>
        <v>9</v>
      </c>
      <c r="BM19" s="8">
        <f t="shared" si="12"/>
        <v>11</v>
      </c>
      <c r="BN19" s="8" cm="1">
        <f t="array" ref="BN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O19" s="8" t="str">
        <f>IF(W19="No","No",IF(_xlfn.XLOOKUP(E19,Groups!A:A,Groups!BD:BD)=1,(AM19*5%),EXP(0.7354*LN(C19)^0.4078)*2/IF(_xlfn.XLOOKUP(E19,Groups!A:A,Groups!BL:BL)=1,1000,100)))</f>
        <v>No</v>
      </c>
      <c r="BP19" s="8">
        <f>IF(BH19="No","No",IF(_xlfn.XLOOKUP(E19,Groups!A:A,Groups!BF:BF)=1,(0.0315*C19+2.1825)*2,(0.7354*C19^0.4078)*2)/IF(_xlfn.XLOOKUP(E19,Groups!A:A,Groups!BM:BM)=1,1000,100))</f>
        <v>5.2828251013544915E-2</v>
      </c>
      <c r="BQ19" s="8">
        <f t="shared" si="8"/>
        <v>7.9792511821073206E-2</v>
      </c>
      <c r="BR19" s="8">
        <f t="shared" si="13"/>
        <v>879.45834776275933</v>
      </c>
      <c r="BS19" s="8" t="str">
        <f t="shared" si="9"/>
        <v>No</v>
      </c>
      <c r="BT19" s="8">
        <f t="shared" si="14"/>
        <v>1294.3330791552612</v>
      </c>
      <c r="BU19" s="4">
        <v>0</v>
      </c>
      <c r="BV19" s="4">
        <v>1</v>
      </c>
    </row>
    <row r="20" spans="1:74" x14ac:dyDescent="0.25">
      <c r="A20" s="26" t="s">
        <v>85</v>
      </c>
      <c r="B20" s="6" t="s">
        <v>86</v>
      </c>
      <c r="C20" s="7">
        <v>3.9</v>
      </c>
      <c r="D20" s="7" t="s">
        <v>520</v>
      </c>
      <c r="E20" s="7" t="str">
        <f>Groups!A19</f>
        <v>Felid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520</v>
      </c>
      <c r="L20" s="7">
        <f>MIN(37.5*C20^0.089,79.3*C20^-0.072)</f>
        <v>42.328805958342251</v>
      </c>
      <c r="M20" s="7" t="s">
        <v>638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IF(AR20="No","No",IF(_xlfn.XLOOKUP(E20,Groups!A:A,Groups!AM:AM)=1,MROUND(EXP(0.3582*LN(C20)-0.2221)*T20,0.05),IF(_xlfn.XLOOKUP(E20,Groups!A:A,Groups!AM:AM)=2,MROUND(EXP(0.3582*LN(C20)-0.2221)*T20,0.05),"Need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945</v>
      </c>
      <c r="Y20" s="4" t="s">
        <v>56</v>
      </c>
      <c r="Z20" s="4">
        <v>0</v>
      </c>
      <c r="AA20" s="4">
        <v>0</v>
      </c>
      <c r="AB20" s="4">
        <v>0</v>
      </c>
      <c r="AC20" s="4" t="s">
        <v>45</v>
      </c>
      <c r="AD20" s="4" t="s">
        <v>45</v>
      </c>
      <c r="AE20" s="28" t="s">
        <v>394</v>
      </c>
      <c r="AF20" s="4" t="s">
        <v>45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4" t="s">
        <v>40</v>
      </c>
      <c r="AM20" s="8">
        <f t="shared" si="0"/>
        <v>2688.5305350669883</v>
      </c>
      <c r="AN20" s="8">
        <f>IFERROR(C20*_xlfn.XLOOKUP(E20,Groups!A:A,Groups!K:K),0.106*C20^0.94)</f>
        <v>0.48652499999999999</v>
      </c>
      <c r="AO20" s="8">
        <f>AN20*10000/(_xlfn.XLOOKUP(E20,Groups!A:A,Groups!J:J)*AM20)</f>
        <v>1.6602125405953509</v>
      </c>
      <c r="AP20" s="8">
        <f t="shared" si="1"/>
        <v>171.67735881815588</v>
      </c>
      <c r="AQ20" s="8">
        <f>IF(_xlfn.XLOOKUP(E20,Groups!A:A,Groups!M:M)=1,EXP(0.7444*LN('Base stats'!C20)+6.5696),EXP(0.7927*LN('Base stats'!C20)+4.28))</f>
        <v>212.47962760416459</v>
      </c>
      <c r="AR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"No")))))))))))))))</f>
        <v>297.07486157149879</v>
      </c>
      <c r="AS20" s="8">
        <f>IF(_xlfn.XLOOKUP(E20,Groups!A:A,Groups!U:U)=3,AQ20,IF(_xlfn.XLOOKUP(E20,Groups!A:A,Groups!U:U)=2,AP20,AR20))</f>
        <v>297.07486157149879</v>
      </c>
      <c r="AT20" s="46">
        <f>IFERROR(AVERAGE(_xlfn.XLOOKUP(B20,Animals!B:B,Animals!N:N),_xlfn.XLOOKUP(B20,Animals!B:B,Animals!O:O)),0)</f>
        <v>0</v>
      </c>
      <c r="AU20" s="8">
        <f>MROUND(40*Animals!AO20*_xlfn.XLOOKUP(Animals!BB20,Leathers!$A$2:$A$100,Leathers!$B$2:$B$100,0)+(140*_xlfn.XLOOKUP(B20,Animals!B:B,Animals!AO:AO)*2),5)</f>
        <v>105</v>
      </c>
      <c r="AV20" s="8">
        <f>IFERROR(ROUND(SQRT(V20-1)*IF(_xlfn.XLOOKUP(E20,Groups!A:A,Groups!BF:BF)=0,2,1)*IF(_xlfn.XLOOKUP('Base stats'!E20,Groups!A:A,Groups!O:O)=0,1,0.1),1),0)</f>
        <v>0.8</v>
      </c>
      <c r="AW20" s="8">
        <f t="shared" si="2"/>
        <v>0.4</v>
      </c>
      <c r="AX20" s="8">
        <f t="shared" si="3"/>
        <v>0</v>
      </c>
      <c r="AY20" s="8">
        <f t="shared" si="4"/>
        <v>1</v>
      </c>
      <c r="AZ20" s="8">
        <f>IF(_xlfn.XLOOKUP(E20,Groups!A:A,Groups!N:N)="Insect",BB20*2.5,IFERROR(AVERAGE(BB20,AR20/9.81/IF(OR(_xlfn.XLOOKUP(E20,Groups!A:A,Groups!N:N)="Pig",_xlfn.XLOOKUP(E20,Groups!A:A,Groups!N:N)="StrongBitingHerbivore"),20,25))*C20^-0.135,BB20))</f>
        <v>0.55454326548305766</v>
      </c>
      <c r="BA20" s="8" t="str">
        <f>IF(W20="No","No",IF(_xlfn.XLOOKUP(E20,Groups!A:A,Groups!U:U)=1,'Base stats'!AZ20,IF(OR(_xlfn.XLOOKUP(E20,Groups!A:A,Groups!BD:BD)=1,_xlfn.XLOOKUP(E20,Groups!A:A,Groups!U:U)=2),BB20,IF(_xlfn.XLOOKUP(B20,Animals!B:B,Animals!AO:AO)&gt;4,AVERAGE(BB20,BD20),BD20))))</f>
        <v>No</v>
      </c>
      <c r="BB20" s="8">
        <f t="shared" si="5"/>
        <v>0.12146768525814348</v>
      </c>
      <c r="BC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D20" s="8">
        <f>(0.048*C20^1.01)/IF(_xlfn.XLOOKUP(E20,Groups!A:A,Groups!M:M)=1,0.25,0.8)*C20^-0.25</f>
        <v>0.16879530074824195</v>
      </c>
      <c r="BE20" s="8">
        <f>EXP(1.076*LN(AP20)-4.5397)*IF(_xlfn.XLOOKUP(E20,Groups!A:A,Groups!BC:BC)=1,1.25,IF(_xlfn.XLOOKUP(E20,Groups!A:A,Groups!BD:BD)=1,3.5,2.5))</f>
        <v>6.7752381015249945</v>
      </c>
      <c r="BF20" s="8">
        <f>EXP(1.076*LN(AQ20)-4.5397)*IF(_xlfn.XLOOKUP(E20,Groups!A:A,Groups!M:M)=1,0.8,IF(_xlfn.XLOOKUP(E20,Groups!A:A,Groups!BC:BC)=1,1.3,3))</f>
        <v>10.226994121049504</v>
      </c>
      <c r="BG20" s="8" t="str">
        <f>IF(W20="No","No",IF(_xlfn.XLOOKUP(E20,Groups!A:A,Groups!U:U)=1,'Base stats'!BH20,IF(OR(_xlfn.XLOOKUP(E20,Groups!A:A,Groups!BD:BD)=1,_xlfn.XLOOKUP(E20,Groups!A:A,Groups!U:U)=2),BE20,BF20))*1.2)</f>
        <v>No</v>
      </c>
      <c r="BH20" s="8">
        <f>IFERROR(EXP(1.076*LN(AR20)-4.5397)*IF(_xlfn.XLOOKUP(E20,Groups!A:A,Groups!N:N)="Insect",1,IF(OR(_xlfn.XLOOKUP(E20,Groups!A:A,Groups!N:N)="Pig",_xlfn.XLOOKUP(E20,Groups!A:A,Groups!N:N)="StrongBitingHerbivore"),3.5,3.75)),"No")</f>
        <v>18.3344683164527</v>
      </c>
      <c r="BI20" s="8">
        <f t="shared" si="10"/>
        <v>10</v>
      </c>
      <c r="BJ20" s="8">
        <f t="shared" si="11"/>
        <v>9</v>
      </c>
      <c r="BK20" s="8" t="str">
        <f t="shared" si="6"/>
        <v>No</v>
      </c>
      <c r="BL20" s="8">
        <f t="shared" si="7"/>
        <v>8</v>
      </c>
      <c r="BM20" s="8">
        <f t="shared" si="12"/>
        <v>11</v>
      </c>
      <c r="BN20" s="8" cm="1">
        <f t="array" ref="BN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O20" s="8" t="str">
        <f>IF(W20="No","No",IF(_xlfn.XLOOKUP(E20,Groups!A:A,Groups!BD:BD)=1,(AM20*5%),EXP(0.7354*LN(C20)^0.4078)*2/IF(_xlfn.XLOOKUP(E20,Groups!A:A,Groups!BL:BL)=1,1000,100)))</f>
        <v>No</v>
      </c>
      <c r="BP20" s="8">
        <f>IF(BH20="No","No",IF(_xlfn.XLOOKUP(E20,Groups!A:A,Groups!BF:BF)=1,(0.0315*C20+2.1825)*2,(0.7354*C20^0.4078)*2)/IF(_xlfn.XLOOKUP(E20,Groups!A:A,Groups!BM:BM)=1,1000,100))</f>
        <v>2.5620627834481265E-2</v>
      </c>
      <c r="BQ20" s="8">
        <f t="shared" si="8"/>
        <v>5.0401050039449752E-2</v>
      </c>
      <c r="BR20" s="8">
        <f t="shared" si="13"/>
        <v>399.17031647778771</v>
      </c>
      <c r="BS20" s="8" t="str">
        <f t="shared" si="9"/>
        <v>No</v>
      </c>
      <c r="BT20" s="8">
        <f t="shared" si="14"/>
        <v>715.61354526126945</v>
      </c>
      <c r="BU20" s="4">
        <v>0</v>
      </c>
      <c r="BV20" s="4">
        <v>1</v>
      </c>
    </row>
    <row r="21" spans="1:74" x14ac:dyDescent="0.25">
      <c r="A21" s="26" t="s">
        <v>92</v>
      </c>
      <c r="B21" s="6" t="s">
        <v>93</v>
      </c>
      <c r="C21" s="7">
        <v>410.3</v>
      </c>
      <c r="D21" s="7" t="s">
        <v>1182</v>
      </c>
      <c r="E21" s="7" t="str">
        <f>Groups!A26</f>
        <v>Horselike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521</v>
      </c>
      <c r="L21" s="7">
        <v>70</v>
      </c>
      <c r="M21" s="7" t="s">
        <v>638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945</v>
      </c>
      <c r="Y21" s="4" t="s">
        <v>42</v>
      </c>
      <c r="Z21" s="4">
        <v>0</v>
      </c>
      <c r="AA21" s="4">
        <v>0</v>
      </c>
      <c r="AB21" s="4">
        <v>0</v>
      </c>
      <c r="AC21" s="4" t="s">
        <v>45</v>
      </c>
      <c r="AD21" s="4" t="s">
        <v>407</v>
      </c>
      <c r="AE21" s="28" t="s">
        <v>401</v>
      </c>
      <c r="AF21" s="4" t="s">
        <v>45</v>
      </c>
      <c r="AG21" s="4">
        <v>1</v>
      </c>
      <c r="AH21" s="4">
        <v>0</v>
      </c>
      <c r="AI21" s="4">
        <v>0</v>
      </c>
      <c r="AJ21" s="4">
        <v>0</v>
      </c>
      <c r="AK21" s="4">
        <v>0</v>
      </c>
      <c r="AL21" s="44" t="s">
        <v>40</v>
      </c>
      <c r="AM21" s="8">
        <f t="shared" si="0"/>
        <v>55442.009741077098</v>
      </c>
      <c r="AN21" s="8">
        <f>IFERROR(C21*_xlfn.XLOOKUP(E21,Groups!A:A,Groups!K:K),0.106*C21^0.94)</f>
        <v>30.312467563019712</v>
      </c>
      <c r="AO21" s="8">
        <f>AN21*10000/(_xlfn.XLOOKUP(E21,Groups!A:A,Groups!J:J)*AM21)</f>
        <v>5.015980372771593</v>
      </c>
      <c r="AP21" s="8">
        <f t="shared" si="1"/>
        <v>8764.509196517929</v>
      </c>
      <c r="AQ21" s="8">
        <f>IF(_xlfn.XLOOKUP(E21,Groups!A:A,Groups!M:M)=1,EXP(0.7444*LN('Base stats'!C21)+6.5696),EXP(0.7927*LN('Base stats'!C21)+4.28))</f>
        <v>8515.025542362484</v>
      </c>
      <c r="AR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"No")))))))))))))))</f>
        <v>4810.0818034589474</v>
      </c>
      <c r="AS21" s="8">
        <f>IF(_xlfn.XLOOKUP(E21,Groups!A:A,Groups!U:U)=3,AQ21,IF(_xlfn.XLOOKUP(E21,Groups!A:A,Groups!U:U)=2,AP21,AR21))</f>
        <v>4810.0818034589474</v>
      </c>
      <c r="AT21" s="46">
        <f>IFERROR(AVERAGE(_xlfn.XLOOKUP(B21,Animals!B:B,Animals!N:N),_xlfn.XLOOKUP(B21,Animals!B:B,Animals!O:O)),0)</f>
        <v>0</v>
      </c>
      <c r="AU21" s="8">
        <f>MROUND(40*Animals!AO21*_xlfn.XLOOKUP(Animals!BB21,Leathers!$A$2:$A$100,Leathers!$B$2:$B$100,0)+(140*_xlfn.XLOOKUP(B21,Animals!B:B,Animals!AO:AO)*2),5)</f>
        <v>1000</v>
      </c>
      <c r="AV21" s="8">
        <f>IFERROR(ROUND(SQRT(V21-1)*IF(_xlfn.XLOOKUP(E21,Groups!A:A,Groups!BF:BF)=0,2,1)*IF(_xlfn.XLOOKUP('Base stats'!E21,Groups!A:A,Groups!O:O)=0,1,0.1),1),0)</f>
        <v>0.7</v>
      </c>
      <c r="AW21" s="8">
        <f t="shared" si="2"/>
        <v>0</v>
      </c>
      <c r="AX21" s="8">
        <f t="shared" si="3"/>
        <v>0</v>
      </c>
      <c r="AY21" s="8">
        <f t="shared" si="4"/>
        <v>6.9</v>
      </c>
      <c r="AZ21" s="8">
        <f>IF(_xlfn.XLOOKUP(E21,Groups!A:A,Groups!N:N)="Insect",BB21*2.5,IFERROR(AVERAGE(BB21,AR21/9.81/IF(OR(_xlfn.XLOOKUP(E21,Groups!A:A,Groups!N:N)="Pig",_xlfn.XLOOKUP(E21,Groups!A:A,Groups!N:N)="StrongBitingHerbivore"),20,25))*C21^-0.135,BB21))</f>
        <v>6.253092249493359</v>
      </c>
      <c r="BA21" s="8" t="str">
        <f>IF(W21="No","No",IF(_xlfn.XLOOKUP(E21,Groups!A:A,Groups!U:U)=1,'Base stats'!AZ21,IF(OR(_xlfn.XLOOKUP(E21,Groups!A:A,Groups!BD:BD)=1,_xlfn.XLOOKUP(E21,Groups!A:A,Groups!U:U)=2),BB21,IF(_xlfn.XLOOKUP(B21,Animals!B:B,Animals!AO:AO)&gt;4,AVERAGE(BB21,BD21),BD21))))</f>
        <v>No</v>
      </c>
      <c r="BB21" s="8">
        <f t="shared" si="5"/>
        <v>3.660703974942348</v>
      </c>
      <c r="BC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D21" s="8">
        <f>(0.048*C21^1.01)/IF(_xlfn.XLOOKUP(E21,Groups!A:A,Groups!M:M)=1,0.25,0.8)*C21^-0.25</f>
        <v>5.8090939892775522</v>
      </c>
      <c r="BE21" s="8">
        <f>EXP(1.076*LN(AP21)-4.5397)*IF(_xlfn.XLOOKUP(E21,Groups!A:A,Groups!BC:BC)=1,1.25,IF(_xlfn.XLOOKUP(E21,Groups!A:A,Groups!BD:BD)=1,3.5,2.5))</f>
        <v>466.3889453261533</v>
      </c>
      <c r="BF21" s="8">
        <f>EXP(1.076*LN(AQ21)-4.5397)*IF(_xlfn.XLOOKUP(E21,Groups!A:A,Groups!M:M)=1,0.8,IF(_xlfn.XLOOKUP(E21,Groups!A:A,Groups!BC:BC)=1,1.3,3))</f>
        <v>542.54364755574011</v>
      </c>
      <c r="BG21" s="8" t="str">
        <f>IF(W21="No","No",IF(_xlfn.XLOOKUP(E21,Groups!A:A,Groups!U:U)=1,'Base stats'!BH21,IF(OR(_xlfn.XLOOKUP(E21,Groups!A:A,Groups!BD:BD)=1,_xlfn.XLOOKUP(E21,Groups!A:A,Groups!U:U)=2),BE21,BF21))*1.2)</f>
        <v>No</v>
      </c>
      <c r="BH21" s="8">
        <f>IFERROR(EXP(1.076*LN(AR21)-4.5397)*IF(_xlfn.XLOOKUP(E21,Groups!A:A,Groups!N:N)="Insect",1,IF(OR(_xlfn.XLOOKUP(E21,Groups!A:A,Groups!N:N)="Pig",_xlfn.XLOOKUP(E21,Groups!A:A,Groups!N:N)="StrongBitingHerbivore"),3.5,3.75)),"No")</f>
        <v>342.37136500224858</v>
      </c>
      <c r="BI21" s="8">
        <f t="shared" si="10"/>
        <v>15</v>
      </c>
      <c r="BJ21" s="8">
        <f t="shared" si="11"/>
        <v>11</v>
      </c>
      <c r="BK21" s="8" t="str">
        <f t="shared" si="6"/>
        <v>No</v>
      </c>
      <c r="BL21" s="8">
        <f t="shared" si="7"/>
        <v>10</v>
      </c>
      <c r="BM21" s="8">
        <f t="shared" si="12"/>
        <v>13</v>
      </c>
      <c r="BN21" s="8" cm="1">
        <f t="array" ref="BN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O21" s="8" t="str">
        <f>IF(W21="No","No",IF(_xlfn.XLOOKUP(E21,Groups!A:A,Groups!BD:BD)=1,(AM21*5%),EXP(0.7354*LN(C21)^0.4078)*2/IF(_xlfn.XLOOKUP(E21,Groups!A:A,Groups!BL:BL)=1,1000,100)))</f>
        <v>No</v>
      </c>
      <c r="BP21" s="8">
        <f>IF(BH21="No","No",IF(_xlfn.XLOOKUP(E21,Groups!A:A,Groups!BF:BF)=1,(0.0315*C21+2.1825)*2,(0.7354*C21^0.4078)*2)/IF(_xlfn.XLOOKUP(E21,Groups!A:A,Groups!BM:BM)=1,1000,100))</f>
        <v>0.30213900000000005</v>
      </c>
      <c r="BQ21" s="8">
        <f t="shared" si="8"/>
        <v>0.16824388131103579</v>
      </c>
      <c r="BR21" s="8">
        <f t="shared" si="13"/>
        <v>7.3300376054213663</v>
      </c>
      <c r="BS21" s="8" t="str">
        <f t="shared" si="9"/>
        <v>No</v>
      </c>
      <c r="BT21" s="8">
        <f t="shared" si="14"/>
        <v>1133.1584634961011</v>
      </c>
      <c r="BU21" s="4">
        <v>0</v>
      </c>
      <c r="BV21" s="4">
        <v>1</v>
      </c>
    </row>
    <row r="22" spans="1:74" x14ac:dyDescent="0.25">
      <c r="A22" s="26" t="s">
        <v>98</v>
      </c>
      <c r="B22" s="6" t="s">
        <v>99</v>
      </c>
      <c r="C22" s="7">
        <v>164.99799999999999</v>
      </c>
      <c r="D22" s="7" t="s">
        <v>534</v>
      </c>
      <c r="E22" s="7" t="str">
        <f>Groups!A26</f>
        <v>Horselike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534</v>
      </c>
      <c r="L22" s="7">
        <v>64</v>
      </c>
      <c r="M22" s="7" t="s">
        <v>638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945</v>
      </c>
      <c r="Y22" s="4" t="s">
        <v>42</v>
      </c>
      <c r="Z22" s="4">
        <v>0</v>
      </c>
      <c r="AA22" s="4">
        <v>0</v>
      </c>
      <c r="AB22" s="4">
        <v>0</v>
      </c>
      <c r="AC22" s="4" t="s">
        <v>45</v>
      </c>
      <c r="AD22" s="4" t="s">
        <v>407</v>
      </c>
      <c r="AE22" s="28" t="s">
        <v>401</v>
      </c>
      <c r="AF22" s="4" t="s">
        <v>45</v>
      </c>
      <c r="AG22" s="4">
        <v>1</v>
      </c>
      <c r="AH22" s="4">
        <v>0</v>
      </c>
      <c r="AI22" s="4">
        <v>0</v>
      </c>
      <c r="AJ22" s="4">
        <v>0</v>
      </c>
      <c r="AK22" s="4">
        <v>0</v>
      </c>
      <c r="AL22" s="44" t="s">
        <v>40</v>
      </c>
      <c r="AM22" s="8">
        <f t="shared" si="0"/>
        <v>30667.905813421588</v>
      </c>
      <c r="AN22" s="8">
        <f>IFERROR(C22*_xlfn.XLOOKUP(E22,Groups!A:A,Groups!K:K),0.106*C22^0.94)</f>
        <v>12.874661649938103</v>
      </c>
      <c r="AO22" s="8">
        <f>AN22*10000/(_xlfn.XLOOKUP(E22,Groups!A:A,Groups!J:J)*AM22)</f>
        <v>3.8514583501278699</v>
      </c>
      <c r="AP22" s="8">
        <f t="shared" si="1"/>
        <v>4060.1772243218525</v>
      </c>
      <c r="AQ22" s="8">
        <f>IF(_xlfn.XLOOKUP(E22,Groups!A:A,Groups!M:M)=1,EXP(0.7444*LN('Base stats'!C22)+6.5696),EXP(0.7927*LN('Base stats'!C22)+4.28))</f>
        <v>4135.9543075014035</v>
      </c>
      <c r="AR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"No")))))))))))))))</f>
        <v>2620.6191143384308</v>
      </c>
      <c r="AS22" s="8">
        <f>IF(_xlfn.XLOOKUP(E22,Groups!A:A,Groups!U:U)=3,AQ22,IF(_xlfn.XLOOKUP(E22,Groups!A:A,Groups!U:U)=2,AP22,AR22))</f>
        <v>2620.6191143384308</v>
      </c>
      <c r="AT22" s="46">
        <f>IFERROR(AVERAGE(_xlfn.XLOOKUP(B22,Animals!B:B,Animals!N:N),_xlfn.XLOOKUP(B22,Animals!B:B,Animals!O:O)),0)</f>
        <v>0</v>
      </c>
      <c r="AU22" s="8">
        <f>MROUND(40*Animals!AO22*_xlfn.XLOOKUP(Animals!BB22,Leathers!$A$2:$A$100,Leathers!$B$2:$B$100,0)+(140*_xlfn.XLOOKUP(B22,Animals!B:B,Animals!AO:AO)*2),5)</f>
        <v>580</v>
      </c>
      <c r="AV22" s="8">
        <f>IFERROR(ROUND(SQRT(V22-1)*IF(_xlfn.XLOOKUP(E22,Groups!A:A,Groups!BF:BF)=0,2,1)*IF(_xlfn.XLOOKUP('Base stats'!E22,Groups!A:A,Groups!O:O)=0,1,0.1),1),0)</f>
        <v>0.7</v>
      </c>
      <c r="AW22" s="8">
        <f t="shared" si="2"/>
        <v>0</v>
      </c>
      <c r="AX22" s="8">
        <f t="shared" si="3"/>
        <v>0</v>
      </c>
      <c r="AY22" s="8">
        <f t="shared" si="4"/>
        <v>5</v>
      </c>
      <c r="AZ22" s="8">
        <f>IF(_xlfn.XLOOKUP(E22,Groups!A:A,Groups!N:N)="Insect",BB22*2.5,IFERROR(AVERAGE(BB22,AR22/9.81/IF(OR(_xlfn.XLOOKUP(E22,Groups!A:A,Groups!N:N)="Pig",_xlfn.XLOOKUP(E22,Groups!A:A,Groups!N:N)="StrongBitingHerbivore"),20,25))*C22^-0.135,BB22))</f>
        <v>3.8143353710262082</v>
      </c>
      <c r="BA22" s="8" t="str">
        <f>IF(W22="No","No",IF(_xlfn.XLOOKUP(E22,Groups!A:A,Groups!U:U)=1,'Base stats'!AZ22,IF(OR(_xlfn.XLOOKUP(E22,Groups!A:A,Groups!BD:BD)=1,_xlfn.XLOOKUP(E22,Groups!A:A,Groups!U:U)=2),BB22,IF(_xlfn.XLOOKUP(B22,Animals!B:B,Animals!AO:AO)&gt;4,AVERAGE(BB22,BD22),BD22))))</f>
        <v>No</v>
      </c>
      <c r="BB22" s="8">
        <f t="shared" si="5"/>
        <v>1.8418955207681615</v>
      </c>
      <c r="BC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D22" s="8">
        <f>(0.048*C22^1.01)/IF(_xlfn.XLOOKUP(E22,Groups!A:A,Groups!M:M)=1,0.25,0.8)*C22^-0.25</f>
        <v>2.9069331678226105</v>
      </c>
      <c r="BE22" s="8">
        <f>EXP(1.076*LN(AP22)-4.5397)*IF(_xlfn.XLOOKUP(E22,Groups!A:A,Groups!BC:BC)=1,1.25,IF(_xlfn.XLOOKUP(E22,Groups!A:A,Groups!BD:BD)=1,3.5,2.5))</f>
        <v>203.78290977632054</v>
      </c>
      <c r="BF22" s="8">
        <f>EXP(1.076*LN(AQ22)-4.5397)*IF(_xlfn.XLOOKUP(E22,Groups!A:A,Groups!M:M)=1,0.8,IF(_xlfn.XLOOKUP(E22,Groups!A:A,Groups!BC:BC)=1,1.3,3))</f>
        <v>249.45377645062257</v>
      </c>
      <c r="BG22" s="8" t="str">
        <f>IF(W22="No","No",IF(_xlfn.XLOOKUP(E22,Groups!A:A,Groups!U:U)=1,'Base stats'!BH22,IF(OR(_xlfn.XLOOKUP(E22,Groups!A:A,Groups!BD:BD)=1,_xlfn.XLOOKUP(E22,Groups!A:A,Groups!U:U)=2),BE22,BF22))*1.2)</f>
        <v>No</v>
      </c>
      <c r="BH22" s="8">
        <f>IFERROR(EXP(1.076*LN(AR22)-4.5397)*IF(_xlfn.XLOOKUP(E22,Groups!A:A,Groups!N:N)="Insect",1,IF(OR(_xlfn.XLOOKUP(E22,Groups!A:A,Groups!N:N)="Pig",_xlfn.XLOOKUP(E22,Groups!A:A,Groups!N:N)="StrongBitingHerbivore"),3.5,3.75)),"No")</f>
        <v>178.11643163989177</v>
      </c>
      <c r="BI22" s="8">
        <f t="shared" si="10"/>
        <v>14</v>
      </c>
      <c r="BJ22" s="8">
        <f t="shared" si="11"/>
        <v>11</v>
      </c>
      <c r="BK22" s="8" t="str">
        <f t="shared" si="6"/>
        <v>No</v>
      </c>
      <c r="BL22" s="8">
        <f t="shared" si="7"/>
        <v>9</v>
      </c>
      <c r="BM22" s="8">
        <f t="shared" si="12"/>
        <v>13</v>
      </c>
      <c r="BN22" s="8" cm="1">
        <f t="array" ref="BN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O22" s="8" t="str">
        <f>IF(W22="No","No",IF(_xlfn.XLOOKUP(E22,Groups!A:A,Groups!BD:BD)=1,(AM22*5%),EXP(0.7354*LN(C22)^0.4078)*2/IF(_xlfn.XLOOKUP(E22,Groups!A:A,Groups!BL:BL)=1,1000,100)))</f>
        <v>No</v>
      </c>
      <c r="BP22" s="8">
        <f>IF(BH22="No","No",IF(_xlfn.XLOOKUP(E22,Groups!A:A,Groups!BF:BF)=1,(0.0315*C22+2.1825)*2,(0.7354*C22^0.4078)*2)/IF(_xlfn.XLOOKUP(E22,Groups!A:A,Groups!BM:BM)=1,1000,100))</f>
        <v>0.14759874000000001</v>
      </c>
      <c r="BQ22" s="8">
        <f t="shared" si="8"/>
        <v>0.13289652773560848</v>
      </c>
      <c r="BR22" s="8">
        <f t="shared" si="13"/>
        <v>7.6282729889532384</v>
      </c>
      <c r="BS22" s="8" t="str">
        <f t="shared" si="9"/>
        <v>No</v>
      </c>
      <c r="BT22" s="8">
        <f t="shared" si="14"/>
        <v>1206.7611934891297</v>
      </c>
      <c r="BU22" s="4">
        <v>0</v>
      </c>
      <c r="BV22" s="4">
        <v>1</v>
      </c>
    </row>
    <row r="23" spans="1:74" x14ac:dyDescent="0.25">
      <c r="A23" s="26" t="s">
        <v>130</v>
      </c>
      <c r="B23" s="37" t="s">
        <v>889</v>
      </c>
      <c r="C23" s="7">
        <v>4.1749999999999998</v>
      </c>
      <c r="D23" s="7" t="s">
        <v>890</v>
      </c>
      <c r="E23" s="7" t="str">
        <f>Groups!A48</f>
        <v>Rodentlike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890</v>
      </c>
      <c r="L23" s="7">
        <v>72</v>
      </c>
      <c r="M23" s="7" t="s">
        <v>638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945</v>
      </c>
      <c r="Y23" s="4" t="s">
        <v>42</v>
      </c>
      <c r="Z23" s="4">
        <v>0</v>
      </c>
      <c r="AA23" s="4">
        <v>0</v>
      </c>
      <c r="AB23" s="4">
        <v>0</v>
      </c>
      <c r="AC23" s="4" t="s">
        <v>45</v>
      </c>
      <c r="AD23" s="4" t="s">
        <v>45</v>
      </c>
      <c r="AE23" s="28" t="s">
        <v>394</v>
      </c>
      <c r="AF23" s="4" t="s">
        <v>45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4" t="s">
        <v>40</v>
      </c>
      <c r="AM23" s="8">
        <f t="shared" si="0"/>
        <v>2810.2806343124535</v>
      </c>
      <c r="AN23" s="8">
        <f>IFERROR(C23*_xlfn.XLOOKUP(E23,Groups!A:A,Groups!K:K),0.106*C23^0.94)</f>
        <v>0.40618413485698385</v>
      </c>
      <c r="AO23" s="8">
        <f>AN23*10000/(_xlfn.XLOOKUP(E23,Groups!A:A,Groups!J:J)*AM23)</f>
        <v>1.3260099035369324</v>
      </c>
      <c r="AP23" s="8">
        <f t="shared" si="1"/>
        <v>181.84831371738611</v>
      </c>
      <c r="AQ23" s="8">
        <f>IF(_xlfn.XLOOKUP(E23,Groups!A:A,Groups!M:M)=1,EXP(0.7444*LN('Base stats'!C23)+6.5696),EXP(0.7927*LN('Base stats'!C23)+4.28))</f>
        <v>224.27185442642471</v>
      </c>
      <c r="AR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"No")))))))))))))))</f>
        <v>164.75785104561999</v>
      </c>
      <c r="AS23" s="8">
        <f>IF(_xlfn.XLOOKUP(E23,Groups!A:A,Groups!U:U)=3,AQ23,IF(_xlfn.XLOOKUP(E23,Groups!A:A,Groups!U:U)=2,AP23,AR23))</f>
        <v>164.75785104561999</v>
      </c>
      <c r="AT23" s="46">
        <f>IFERROR(AVERAGE(_xlfn.XLOOKUP(B23,Animals!B:B,Animals!N:N),_xlfn.XLOOKUP(B23,Animals!B:B,Animals!O:O)),0)</f>
        <v>0</v>
      </c>
      <c r="AU23" s="8">
        <f>MROUND(40*Animals!AO23*_xlfn.XLOOKUP(Animals!BB23,Leathers!$A$2:$A$100,Leathers!$B$2:$B$100,0)+(140*_xlfn.XLOOKUP(B23,Animals!B:B,Animals!AO:AO)*2),5)</f>
        <v>105</v>
      </c>
      <c r="AV23" s="8">
        <f>IFERROR(ROUND(SQRT(V23-1)*IF(_xlfn.XLOOKUP(E23,Groups!A:A,Groups!BF:BF)=0,2,1)*IF(_xlfn.XLOOKUP('Base stats'!E23,Groups!A:A,Groups!O:O)=0,1,0.1),1),0)</f>
        <v>0</v>
      </c>
      <c r="AW23" s="8">
        <f t="shared" si="2"/>
        <v>0</v>
      </c>
      <c r="AX23" s="8">
        <f t="shared" si="3"/>
        <v>0</v>
      </c>
      <c r="AY23" s="8">
        <f t="shared" si="4"/>
        <v>1</v>
      </c>
      <c r="AZ23" s="8">
        <f>IF(_xlfn.XLOOKUP(E23,Groups!A:A,Groups!N:N)="Insect",BB23*2.5,IFERROR(AVERAGE(BB23,AR23/9.81/IF(OR(_xlfn.XLOOKUP(E23,Groups!A:A,Groups!N:N)="Pig",_xlfn.XLOOKUP(E23,Groups!A:A,Groups!N:N)="StrongBitingHerbivore"),20,25))*C23^-0.135,BB23))</f>
        <v>0.32443344904655447</v>
      </c>
      <c r="BA23" s="8" t="str">
        <f>IF(W23="No","No",IF(_xlfn.XLOOKUP(E23,Groups!A:A,Groups!U:U)=1,'Base stats'!AZ23,IF(OR(_xlfn.XLOOKUP(E23,Groups!A:A,Groups!BD:BD)=1,_xlfn.XLOOKUP(E23,Groups!A:A,Groups!U:U)=2),BB23,IF(_xlfn.XLOOKUP(B23,Animals!B:B,Animals!AO:AO)&gt;4,AVERAGE(BB23,BD23),BD23))))</f>
        <v>No</v>
      </c>
      <c r="BB23" s="8">
        <f t="shared" si="5"/>
        <v>0.11514923387390767</v>
      </c>
      <c r="BC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D23" s="8">
        <f>(0.048*C23^1.01)/IF(_xlfn.XLOOKUP(E23,Groups!A:A,Groups!M:M)=1,0.25,0.8)*C23^-0.25</f>
        <v>0.1777666036650683</v>
      </c>
      <c r="BE23" s="8">
        <f>EXP(1.076*LN(AP23)-4.5397)*IF(_xlfn.XLOOKUP(E23,Groups!A:A,Groups!BC:BC)=1,1.25,IF(_xlfn.XLOOKUP(E23,Groups!A:A,Groups!BD:BD)=1,3.5,2.5))</f>
        <v>7.2080955088625318</v>
      </c>
      <c r="BF23" s="8">
        <f>EXP(1.076*LN(AQ23)-4.5397)*IF(_xlfn.XLOOKUP(E23,Groups!A:A,Groups!M:M)=1,0.8,IF(_xlfn.XLOOKUP(E23,Groups!A:A,Groups!BC:BC)=1,1.3,3))</f>
        <v>10.838975937446341</v>
      </c>
      <c r="BG23" s="8" t="str">
        <f>IF(W23="No","No",IF(_xlfn.XLOOKUP(E23,Groups!A:A,Groups!U:U)=1,'Base stats'!BH23,IF(OR(_xlfn.XLOOKUP(E23,Groups!A:A,Groups!BD:BD)=1,_xlfn.XLOOKUP(E23,Groups!A:A,Groups!U:U)=2),BE23,BF23))*1.2)</f>
        <v>No</v>
      </c>
      <c r="BH23" s="8">
        <f>IFERROR(EXP(1.076*LN(AR23)-4.5397)*IF(_xlfn.XLOOKUP(E23,Groups!A:A,Groups!N:N)="Insect",1,IF(OR(_xlfn.XLOOKUP(E23,Groups!A:A,Groups!N:N)="Pig",_xlfn.XLOOKUP(E23,Groups!A:A,Groups!N:N)="StrongBitingHerbivore"),3.5,3.75)),"No")</f>
        <v>9.7227928295555888</v>
      </c>
      <c r="BI23" s="8">
        <f t="shared" si="10"/>
        <v>11</v>
      </c>
      <c r="BJ23" s="8">
        <f t="shared" si="11"/>
        <v>10</v>
      </c>
      <c r="BK23" s="8" t="str">
        <f t="shared" si="6"/>
        <v>No</v>
      </c>
      <c r="BL23" s="8">
        <f t="shared" si="7"/>
        <v>7</v>
      </c>
      <c r="BM23" s="8">
        <f t="shared" si="12"/>
        <v>11</v>
      </c>
      <c r="BN23" s="8" t="str" cm="1">
        <f t="array" ref="BN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O23" s="8" t="str">
        <f>IF(W23="No","No",IF(_xlfn.XLOOKUP(E23,Groups!A:A,Groups!BD:BD)=1,(AM23*5%),EXP(0.7354*LN(C23)^0.4078)*2/IF(_xlfn.XLOOKUP(E23,Groups!A:A,Groups!BL:BL)=1,1000,100)))</f>
        <v>No</v>
      </c>
      <c r="BP23" s="8">
        <f>IF(BH23="No","No",IF(_xlfn.XLOOKUP(E23,Groups!A:A,Groups!BF:BF)=1,(0.0315*C23+2.1825)*2,(0.7354*C23^0.4078)*2)/IF(_xlfn.XLOOKUP(E23,Groups!A:A,Groups!BM:BM)=1,1000,100))</f>
        <v>2.6342520922891119E-2</v>
      </c>
      <c r="BQ23" s="8">
        <f t="shared" si="8"/>
        <v>5.1298047752629666E-2</v>
      </c>
      <c r="BR23" s="8" t="str">
        <f t="shared" si="13"/>
        <v>No</v>
      </c>
      <c r="BS23" s="8" t="str">
        <f t="shared" si="9"/>
        <v>No</v>
      </c>
      <c r="BT23" s="8">
        <f t="shared" si="14"/>
        <v>369.09120649522492</v>
      </c>
      <c r="BU23" s="4">
        <v>0</v>
      </c>
      <c r="BV23" s="4">
        <v>1</v>
      </c>
    </row>
    <row r="24" spans="1:74" x14ac:dyDescent="0.25">
      <c r="A24" s="26" t="s">
        <v>130</v>
      </c>
      <c r="B24" s="6" t="s">
        <v>131</v>
      </c>
      <c r="C24" s="7">
        <v>4.1749999999999998</v>
      </c>
      <c r="D24" s="7" t="s">
        <v>522</v>
      </c>
      <c r="E24" s="7" t="str">
        <f>Groups!A48</f>
        <v>Rodentlike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522</v>
      </c>
      <c r="L24" s="7">
        <v>72</v>
      </c>
      <c r="M24" s="7" t="s">
        <v>638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945</v>
      </c>
      <c r="Y24" s="4" t="s">
        <v>42</v>
      </c>
      <c r="Z24" s="4">
        <v>0</v>
      </c>
      <c r="AA24" s="4">
        <v>0</v>
      </c>
      <c r="AB24" s="4">
        <v>0</v>
      </c>
      <c r="AC24" s="4" t="s">
        <v>45</v>
      </c>
      <c r="AD24" s="4" t="s">
        <v>45</v>
      </c>
      <c r="AE24" s="28" t="s">
        <v>394</v>
      </c>
      <c r="AF24" s="4" t="str">
        <f>Animals!C23</f>
        <v>&lt;li&gt;Hare&lt;/li&gt;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4" t="s">
        <v>40</v>
      </c>
      <c r="AM24" s="8">
        <f t="shared" si="0"/>
        <v>2810.2806343124535</v>
      </c>
      <c r="AN24" s="8">
        <f>IFERROR(C24*_xlfn.XLOOKUP(E24,Groups!A:A,Groups!K:K),0.106*C24^0.94)</f>
        <v>0.40618413485698385</v>
      </c>
      <c r="AO24" s="8">
        <f>AN24*10000/(_xlfn.XLOOKUP(E24,Groups!A:A,Groups!J:J)*AM24)</f>
        <v>1.3260099035369324</v>
      </c>
      <c r="AP24" s="8">
        <f t="shared" si="1"/>
        <v>181.84831371738611</v>
      </c>
      <c r="AQ24" s="8">
        <f>IF(_xlfn.XLOOKUP(E24,Groups!A:A,Groups!M:M)=1,EXP(0.7444*LN('Base stats'!C24)+6.5696),EXP(0.7927*LN('Base stats'!C24)+4.28))</f>
        <v>224.27185442642471</v>
      </c>
      <c r="AR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"No")))))))))))))))</f>
        <v>164.75785104561999</v>
      </c>
      <c r="AS24" s="8">
        <f>IF(_xlfn.XLOOKUP(E24,Groups!A:A,Groups!U:U)=3,AQ24,IF(_xlfn.XLOOKUP(E24,Groups!A:A,Groups!U:U)=2,AP24,AR24))</f>
        <v>164.75785104561999</v>
      </c>
      <c r="AT24" s="46">
        <f>IFERROR(AVERAGE(_xlfn.XLOOKUP(B24,Animals!B:B,Animals!N:N),_xlfn.XLOOKUP(B24,Animals!B:B,Animals!O:O)),0)</f>
        <v>0</v>
      </c>
      <c r="AU24" s="8">
        <f>MROUND(40*Animals!AO24*_xlfn.XLOOKUP(Animals!BB24,Leathers!$A$2:$A$100,Leathers!$B$2:$B$100,0)+(140*_xlfn.XLOOKUP(B24,Animals!B:B,Animals!AO:AO)*2),5)</f>
        <v>105</v>
      </c>
      <c r="AV24" s="8">
        <f>IFERROR(ROUND(SQRT(V24-1)*IF(_xlfn.XLOOKUP(E24,Groups!A:A,Groups!BF:BF)=0,2,1)*IF(_xlfn.XLOOKUP('Base stats'!E24,Groups!A:A,Groups!O:O)=0,1,0.1),1),0)</f>
        <v>0</v>
      </c>
      <c r="AW24" s="8">
        <f t="shared" si="2"/>
        <v>0</v>
      </c>
      <c r="AX24" s="8">
        <f t="shared" si="3"/>
        <v>0</v>
      </c>
      <c r="AY24" s="8">
        <f t="shared" si="4"/>
        <v>1</v>
      </c>
      <c r="AZ24" s="8">
        <f>IF(_xlfn.XLOOKUP(E24,Groups!A:A,Groups!N:N)="Insect",BB24*2.5,IFERROR(AVERAGE(BB24,AR24/9.81/IF(OR(_xlfn.XLOOKUP(E24,Groups!A:A,Groups!N:N)="Pig",_xlfn.XLOOKUP(E24,Groups!A:A,Groups!N:N)="StrongBitingHerbivore"),20,25))*C24^-0.135,BB24))</f>
        <v>0.32443344904655447</v>
      </c>
      <c r="BA24" s="8" t="str">
        <f>IF(W24="No","No",IF(_xlfn.XLOOKUP(E24,Groups!A:A,Groups!U:U)=1,'Base stats'!AZ24,IF(OR(_xlfn.XLOOKUP(E24,Groups!A:A,Groups!BD:BD)=1,_xlfn.XLOOKUP(E24,Groups!A:A,Groups!U:U)=2),BB24,IF(_xlfn.XLOOKUP(B24,Animals!B:B,Animals!AO:AO)&gt;4,AVERAGE(BB24,BD24),BD24))))</f>
        <v>No</v>
      </c>
      <c r="BB24" s="8">
        <f t="shared" si="5"/>
        <v>0.11514923387390767</v>
      </c>
      <c r="BC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D24" s="8">
        <f>(0.048*C24^1.01)/IF(_xlfn.XLOOKUP(E24,Groups!A:A,Groups!M:M)=1,0.25,0.8)*C24^-0.25</f>
        <v>0.1777666036650683</v>
      </c>
      <c r="BE24" s="8">
        <f>EXP(1.076*LN(AP24)-4.5397)*IF(_xlfn.XLOOKUP(E24,Groups!A:A,Groups!BC:BC)=1,1.25,IF(_xlfn.XLOOKUP(E24,Groups!A:A,Groups!BD:BD)=1,3.5,2.5))</f>
        <v>7.2080955088625318</v>
      </c>
      <c r="BF24" s="8">
        <f>EXP(1.076*LN(AQ24)-4.5397)*IF(_xlfn.XLOOKUP(E24,Groups!A:A,Groups!M:M)=1,0.8,IF(_xlfn.XLOOKUP(E24,Groups!A:A,Groups!BC:BC)=1,1.3,3))</f>
        <v>10.838975937446341</v>
      </c>
      <c r="BG24" s="8" t="str">
        <f>IF(W24="No","No",IF(_xlfn.XLOOKUP(E24,Groups!A:A,Groups!U:U)=1,'Base stats'!BH24,IF(OR(_xlfn.XLOOKUP(E24,Groups!A:A,Groups!BD:BD)=1,_xlfn.XLOOKUP(E24,Groups!A:A,Groups!U:U)=2),BE24,BF24))*1.2)</f>
        <v>No</v>
      </c>
      <c r="BH24" s="8">
        <f>IFERROR(EXP(1.076*LN(AR24)-4.5397)*IF(_xlfn.XLOOKUP(E24,Groups!A:A,Groups!N:N)="Insect",1,IF(OR(_xlfn.XLOOKUP(E24,Groups!A:A,Groups!N:N)="Pig",_xlfn.XLOOKUP(E24,Groups!A:A,Groups!N:N)="StrongBitingHerbivore"),3.5,3.75)),"No")</f>
        <v>9.7227928295555888</v>
      </c>
      <c r="BI24" s="8">
        <f t="shared" si="10"/>
        <v>11</v>
      </c>
      <c r="BJ24" s="8">
        <f t="shared" si="11"/>
        <v>10</v>
      </c>
      <c r="BK24" s="8" t="str">
        <f t="shared" si="6"/>
        <v>No</v>
      </c>
      <c r="BL24" s="8">
        <f t="shared" si="7"/>
        <v>7</v>
      </c>
      <c r="BM24" s="8">
        <f t="shared" si="12"/>
        <v>11</v>
      </c>
      <c r="BN24" s="8" t="str" cm="1">
        <f t="array" ref="BN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O24" s="8" t="str">
        <f>IF(W24="No","No",IF(_xlfn.XLOOKUP(E24,Groups!A:A,Groups!BD:BD)=1,(AM24*5%),EXP(0.7354*LN(C24)^0.4078)*2/IF(_xlfn.XLOOKUP(E24,Groups!A:A,Groups!BL:BL)=1,1000,100)))</f>
        <v>No</v>
      </c>
      <c r="BP24" s="8">
        <f>IF(BH24="No","No",IF(_xlfn.XLOOKUP(E24,Groups!A:A,Groups!BF:BF)=1,(0.0315*C24+2.1825)*2,(0.7354*C24^0.4078)*2)/IF(_xlfn.XLOOKUP(E24,Groups!A:A,Groups!BM:BM)=1,1000,100))</f>
        <v>2.6342520922891119E-2</v>
      </c>
      <c r="BQ24" s="8">
        <f t="shared" si="8"/>
        <v>5.1298047752629666E-2</v>
      </c>
      <c r="BR24" s="8" t="str">
        <f t="shared" si="13"/>
        <v>No</v>
      </c>
      <c r="BS24" s="8" t="str">
        <f t="shared" si="9"/>
        <v>No</v>
      </c>
      <c r="BT24" s="8">
        <f t="shared" si="14"/>
        <v>369.09120649522492</v>
      </c>
      <c r="BU24" s="4">
        <v>0</v>
      </c>
      <c r="BV24" s="4">
        <v>1</v>
      </c>
    </row>
    <row r="25" spans="1:74" x14ac:dyDescent="0.25">
      <c r="A25" s="26" t="s">
        <v>120</v>
      </c>
      <c r="B25" s="6" t="s">
        <v>1183</v>
      </c>
      <c r="C25" s="7">
        <v>2175</v>
      </c>
      <c r="D25" s="7" t="s">
        <v>1184</v>
      </c>
      <c r="E25" s="7" t="str">
        <f>Groups!A46</f>
        <v>Rhinolike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1184</v>
      </c>
      <c r="L25" s="7">
        <f>7.5*3.6</f>
        <v>27</v>
      </c>
      <c r="M25" s="7" t="s">
        <v>1186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945</v>
      </c>
      <c r="Y25" s="4" t="s">
        <v>42</v>
      </c>
      <c r="Z25" s="4">
        <v>0</v>
      </c>
      <c r="AA25" s="4">
        <v>0</v>
      </c>
      <c r="AB25" s="4">
        <v>0</v>
      </c>
      <c r="AC25" s="4" t="s">
        <v>45</v>
      </c>
      <c r="AD25" s="4" t="s">
        <v>45</v>
      </c>
      <c r="AE25" s="28" t="s">
        <v>402</v>
      </c>
      <c r="AF25" s="4" t="s">
        <v>45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4" t="s">
        <v>40</v>
      </c>
      <c r="AM25" s="8">
        <f t="shared" si="0"/>
        <v>163934.92964195029</v>
      </c>
      <c r="AN25" s="8">
        <f>IFERROR(C25*_xlfn.XLOOKUP(E25,Groups!A:A,Groups!K:K),0.106*C25^0.94)</f>
        <v>145.38432046483609</v>
      </c>
      <c r="AO25" s="8">
        <f>AN25*10000/(_xlfn.XLOOKUP(E25,Groups!A:A,Groups!J:J)*AM25)</f>
        <v>8.1361617569552305</v>
      </c>
      <c r="AP25" s="8">
        <f t="shared" si="1"/>
        <v>35858.538732427318</v>
      </c>
      <c r="AQ25" s="8">
        <f>IF(_xlfn.XLOOKUP(E25,Groups!A:A,Groups!M:M)=1,EXP(0.7444*LN('Base stats'!C25)+6.5696),EXP(0.7927*LN('Base stats'!C25)+4.28))</f>
        <v>31943.635306616237</v>
      </c>
      <c r="AR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"No")))))))))))))))</f>
        <v>14623.711991937456</v>
      </c>
      <c r="AS25" s="8">
        <f>IF(_xlfn.XLOOKUP(E25,Groups!A:A,Groups!U:U)=3,AQ25,IF(_xlfn.XLOOKUP(E25,Groups!A:A,Groups!U:U)=2,AP25,AR25))</f>
        <v>35858.538732427318</v>
      </c>
      <c r="AT25" s="46">
        <f>IFERROR(AVERAGE(_xlfn.XLOOKUP(B25,Animals!B:B,Animals!N:N),_xlfn.XLOOKUP(B25,Animals!B:B,Animals!O:O)),0)</f>
        <v>0</v>
      </c>
      <c r="AU25" s="8">
        <f>MROUND(40*Animals!AO25*_xlfn.XLOOKUP(Animals!BB25,Leathers!$A$2:$A$100,Leathers!$B$2:$B$100,0)+(140*_xlfn.XLOOKUP(B25,Animals!B:B,Animals!AO:AO)*2),5)</f>
        <v>1680</v>
      </c>
      <c r="AV25" s="8">
        <f>IFERROR(ROUND(SQRT(V25-1)*IF(_xlfn.XLOOKUP(E25,Groups!A:A,Groups!BF:BF)=0,2,1)*IF(_xlfn.XLOOKUP('Base stats'!E25,Groups!A:A,Groups!O:O)=0,1,0.1),1),0)</f>
        <v>2.2000000000000002</v>
      </c>
      <c r="AW25" s="8">
        <f t="shared" si="2"/>
        <v>0</v>
      </c>
      <c r="AX25" s="8">
        <f t="shared" si="3"/>
        <v>9.5</v>
      </c>
      <c r="AY25" s="8">
        <f t="shared" si="4"/>
        <v>12.6</v>
      </c>
      <c r="AZ25" s="8">
        <f>IF(_xlfn.XLOOKUP(E25,Groups!A:A,Groups!N:N)="Insect",BB25*2.5,IFERROR(AVERAGE(BB25,AR25/9.81/IF(OR(_xlfn.XLOOKUP(E25,Groups!A:A,Groups!N:N)="Pig",_xlfn.XLOOKUP(E25,Groups!A:A,Groups!N:N)="StrongBitingHerbivore"),20,25))*C25^-0.135,BB25))</f>
        <v>15.487105037980371</v>
      </c>
      <c r="BA25" s="8">
        <f>IF(W25="No","No",IF(_xlfn.XLOOKUP(E25,Groups!A:A,Groups!U:U)=1,'Base stats'!AZ25,IF(OR(_xlfn.XLOOKUP(E25,Groups!A:A,Groups!BD:BD)=1,_xlfn.XLOOKUP(E25,Groups!A:A,Groups!U:U)=2),BB25,IF(_xlfn.XLOOKUP(B25,Animals!B:B,Animals!AO:AO)&gt;4,AVERAGE(BB25,BD25),BD25))))</f>
        <v>12.87449936124731</v>
      </c>
      <c r="BB25" s="8">
        <f t="shared" si="5"/>
        <v>12.87449936124731</v>
      </c>
      <c r="BC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D25" s="8">
        <f>(0.048*C25^1.01)/IF(_xlfn.XLOOKUP(E25,Groups!A:A,Groups!M:M)=1,0.25,0.8)*C25^-0.25</f>
        <v>20.635751480804579</v>
      </c>
      <c r="BE25" s="8">
        <f>EXP(1.076*LN(AP25)-4.5397)*IF(_xlfn.XLOOKUP(E25,Groups!A:A,Groups!BC:BC)=1,1.25,IF(_xlfn.XLOOKUP(E25,Groups!A:A,Groups!BD:BD)=1,3.5,2.5))</f>
        <v>2123.8066364122428</v>
      </c>
      <c r="BF25" s="8">
        <f>EXP(1.076*LN(AQ25)-4.5397)*IF(_xlfn.XLOOKUP(E25,Groups!A:A,Groups!M:M)=1,0.8,IF(_xlfn.XLOOKUP(E25,Groups!A:A,Groups!BC:BC)=1,1.3,3))</f>
        <v>2250.4643829685419</v>
      </c>
      <c r="BG25" s="8">
        <f>IF(W25="No","No",IF(_xlfn.XLOOKUP(E25,Groups!A:A,Groups!U:U)=1,'Base stats'!BH25,IF(OR(_xlfn.XLOOKUP(E25,Groups!A:A,Groups!BD:BD)=1,_xlfn.XLOOKUP(E25,Groups!A:A,Groups!U:U)=2),BE25,BF25))*1.2)</f>
        <v>2548.5679636946911</v>
      </c>
      <c r="BH25" s="8">
        <f>IFERROR(EXP(1.076*LN(AR25)-4.5397)*IF(_xlfn.XLOOKUP(E25,Groups!A:A,Groups!N:N)="Insect",1,IF(OR(_xlfn.XLOOKUP(E25,Groups!A:A,Groups!N:N)="Pig",_xlfn.XLOOKUP(E25,Groups!A:A,Groups!N:N)="StrongBitingHerbivore"),3.5,3.75)),"No")</f>
        <v>1132.6699783310287</v>
      </c>
      <c r="BI25" s="8">
        <f t="shared" si="10"/>
        <v>18</v>
      </c>
      <c r="BJ25" s="8">
        <f t="shared" si="11"/>
        <v>12</v>
      </c>
      <c r="BK25" s="8">
        <f t="shared" si="6"/>
        <v>19</v>
      </c>
      <c r="BL25" s="8">
        <f t="shared" si="7"/>
        <v>12</v>
      </c>
      <c r="BM25" s="8">
        <f t="shared" si="12"/>
        <v>14</v>
      </c>
      <c r="BN25" s="8" t="str" cm="1">
        <f t="array" ref="BN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O25" s="8">
        <f>IF(W25="No","No",IF(_xlfn.XLOOKUP(E25,Groups!A:A,Groups!BD:BD)=1,(AM25*5%),EXP(0.7354*LN(C25)^0.4078)*2/IF(_xlfn.XLOOKUP(E25,Groups!A:A,Groups!BL:BL)=1,1000,100)))</f>
        <v>0.10830426171036688</v>
      </c>
      <c r="BP25" s="8">
        <f>IF(BH25="No","No",IF(_xlfn.XLOOKUP(E25,Groups!A:A,Groups!BF:BF)=1,(0.0315*C25+2.1825)*2,(0.7354*C25^0.4078)*2)/IF(_xlfn.XLOOKUP(E25,Groups!A:A,Groups!BM:BM)=1,1000,100))</f>
        <v>0.33772989730193315</v>
      </c>
      <c r="BQ25" s="8">
        <f t="shared" si="8"/>
        <v>0.25910361398279691</v>
      </c>
      <c r="BR25" s="8" t="str">
        <f t="shared" si="13"/>
        <v>No</v>
      </c>
      <c r="BS25" s="8">
        <f t="shared" si="9"/>
        <v>23531.557516270317</v>
      </c>
      <c r="BT25" s="8">
        <f t="shared" si="14"/>
        <v>3353.7746802392594</v>
      </c>
      <c r="BU25" s="4">
        <v>0</v>
      </c>
      <c r="BV25" s="4">
        <v>1</v>
      </c>
    </row>
    <row r="26" spans="1:74" x14ac:dyDescent="0.25">
      <c r="A26" s="26" t="s">
        <v>70</v>
      </c>
      <c r="B26" s="6" t="s">
        <v>71</v>
      </c>
      <c r="C26" s="7">
        <f>AVERAGE(6000,3000)</f>
        <v>4500</v>
      </c>
      <c r="D26" s="7" t="s">
        <v>1185</v>
      </c>
      <c r="E26" s="7" t="str">
        <f>Groups!A18</f>
        <v>Elephantlike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523</v>
      </c>
      <c r="L26" s="7">
        <v>26</v>
      </c>
      <c r="M26" s="7" t="s">
        <v>638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IF(AR26="No","No",IF(_xlfn.XLOOKUP(E26,Groups!A:A,Groups!AM:AM)=1,MROUND(EXP(0.3582*LN(C26)-0.2221)*T26,0.05),IF(_xlfn.XLOOKUP(E26,Groups!A:A,Groups!AM:AM)=2,MROUND(EXP(0.3582*LN(C26)-0.2221)*T26,0.05),"Need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945</v>
      </c>
      <c r="Y26" s="4" t="s">
        <v>42</v>
      </c>
      <c r="Z26" s="4">
        <v>0</v>
      </c>
      <c r="AA26" s="4">
        <v>0</v>
      </c>
      <c r="AB26" s="4">
        <v>0</v>
      </c>
      <c r="AC26" s="4" t="s">
        <v>1082</v>
      </c>
      <c r="AD26" s="4" t="s">
        <v>407</v>
      </c>
      <c r="AE26" s="28" t="s">
        <v>389</v>
      </c>
      <c r="AF26" s="4" t="s">
        <v>45</v>
      </c>
      <c r="AG26" s="4">
        <v>1</v>
      </c>
      <c r="AH26" s="4">
        <v>0</v>
      </c>
      <c r="AI26" s="4">
        <v>0</v>
      </c>
      <c r="AJ26" s="4">
        <v>0</v>
      </c>
      <c r="AK26" s="4">
        <v>0</v>
      </c>
      <c r="AL26" s="44" t="s">
        <v>40</v>
      </c>
      <c r="AM26" s="8">
        <f t="shared" si="0"/>
        <v>262972.97087744245</v>
      </c>
      <c r="AN26" s="8">
        <f>IFERROR(C26*_xlfn.XLOOKUP(E26,Groups!A:A,Groups!K:K),0.106*C26^0.94)</f>
        <v>360</v>
      </c>
      <c r="AO26" s="8">
        <f>AN26*10000/(_xlfn.XLOOKUP(E26,Groups!A:A,Groups!J:J)*AM26)</f>
        <v>12.559284258598639</v>
      </c>
      <c r="AP26" s="8">
        <f t="shared" si="1"/>
        <v>66268.838703367117</v>
      </c>
      <c r="AQ26" s="8">
        <f>IF(_xlfn.XLOOKUP(E26,Groups!A:A,Groups!M:M)=1,EXP(0.7444*LN('Base stats'!C26)+6.5696),EXP(0.7927*LN('Base stats'!C26)+4.28))</f>
        <v>56843.648100459453</v>
      </c>
      <c r="AR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"No")))))))))))))))</f>
        <v>No</v>
      </c>
      <c r="AS26" s="8">
        <f>IF(_xlfn.XLOOKUP(E26,Groups!A:A,Groups!U:U)=3,AQ26,IF(_xlfn.XLOOKUP(E26,Groups!A:A,Groups!U:U)=2,AP26,AR26))</f>
        <v>56843.648100459453</v>
      </c>
      <c r="AT26" s="46">
        <f>IFERROR(AVERAGE(_xlfn.XLOOKUP(B26,Animals!B:B,Animals!N:N),_xlfn.XLOOKUP(B26,Animals!B:B,Animals!O:O)),0)</f>
        <v>0</v>
      </c>
      <c r="AU26" s="8">
        <f>MROUND(40*Animals!AO26*_xlfn.XLOOKUP(Animals!BB26,Leathers!$A$2:$A$100,Leathers!$B$2:$B$100,0)+(140*_xlfn.XLOOKUP(B26,Animals!B:B,Animals!AO:AO)*2),5)</f>
        <v>2000</v>
      </c>
      <c r="AV26" s="8">
        <f>IFERROR(ROUND(SQRT(V26-1)*IF(_xlfn.XLOOKUP(E26,Groups!A:A,Groups!BF:BF)=0,2,1)*IF(_xlfn.XLOOKUP('Base stats'!E26,Groups!A:A,Groups!O:O)=0,1,0.1),1),0)</f>
        <v>0</v>
      </c>
      <c r="AW26" s="8">
        <f t="shared" si="2"/>
        <v>0</v>
      </c>
      <c r="AX26" s="8">
        <f t="shared" si="3"/>
        <v>12.6</v>
      </c>
      <c r="AY26" s="8">
        <f t="shared" si="4"/>
        <v>16.3</v>
      </c>
      <c r="AZ26" s="8">
        <f>IF(_xlfn.XLOOKUP(E26,Groups!A:A,Groups!N:N)="Insect",BB26*2.5,IFERROR(AVERAGE(BB26,AR26/9.81/IF(OR(_xlfn.XLOOKUP(E26,Groups!A:A,Groups!N:N)="Pig",_xlfn.XLOOKUP(E26,Groups!A:A,Groups!N:N)="StrongBitingHerbivore"),20,25))*C26^-0.135,BB26))</f>
        <v>22.274517350066827</v>
      </c>
      <c r="BA26" s="8">
        <f>IF(W26="No","No",IF(_xlfn.XLOOKUP(E26,Groups!A:A,Groups!U:U)=1,'Base stats'!AZ26,IF(OR(_xlfn.XLOOKUP(E26,Groups!A:A,Groups!BD:BD)=1,_xlfn.XLOOKUP(E26,Groups!A:A,Groups!U:U)=2),BB26,IF(_xlfn.XLOOKUP(B26,Animals!B:B,Animals!AO:AO)&gt;4,AVERAGE(BB26,BD26),BD26))))</f>
        <v>29.066535189734225</v>
      </c>
      <c r="BB26" s="8">
        <f t="shared" si="5"/>
        <v>22.274517350066827</v>
      </c>
      <c r="BC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D26" s="8">
        <f>(0.048*C26^1.01)/IF(_xlfn.XLOOKUP(E26,Groups!A:A,Groups!M:M)=1,0.25,0.8)*C26^-0.25</f>
        <v>35.858553029401619</v>
      </c>
      <c r="BE26" s="8">
        <f>EXP(1.076*LN(AP26)-4.5397)*IF(_xlfn.XLOOKUP(E26,Groups!A:A,Groups!BC:BC)=1,1.25,IF(_xlfn.XLOOKUP(E26,Groups!A:A,Groups!BD:BD)=1,3.5,2.5))</f>
        <v>2056.2325274309005</v>
      </c>
      <c r="BF26" s="8">
        <f>EXP(1.076*LN(AQ26)-4.5397)*IF(_xlfn.XLOOKUP(E26,Groups!A:A,Groups!M:M)=1,0.8,IF(_xlfn.XLOOKUP(E26,Groups!A:A,Groups!BC:BC)=1,1.3,3))</f>
        <v>1813.0695438509977</v>
      </c>
      <c r="BG26" s="8">
        <f>IF(W26="No","No",IF(_xlfn.XLOOKUP(E26,Groups!A:A,Groups!U:U)=1,'Base stats'!BH26,IF(OR(_xlfn.XLOOKUP(E26,Groups!A:A,Groups!BD:BD)=1,_xlfn.XLOOKUP(E26,Groups!A:A,Groups!U:U)=2),BE26,BF26))*1.2)</f>
        <v>2175.6834526211969</v>
      </c>
      <c r="BH26" s="8" t="str">
        <f>IFERROR(EXP(1.076*LN(AR26)-4.5397)*IF(_xlfn.XLOOKUP(E26,Groups!A:A,Groups!N:N)="Insect",1,IF(OR(_xlfn.XLOOKUP(E26,Groups!A:A,Groups!N:N)="Pig",_xlfn.XLOOKUP(E26,Groups!A:A,Groups!N:N)="StrongBitingHerbivore"),3.5,3.75)),"No")</f>
        <v>No</v>
      </c>
      <c r="BI26" s="8">
        <f t="shared" si="10"/>
        <v>13</v>
      </c>
      <c r="BJ26" s="8">
        <f t="shared" si="11"/>
        <v>11</v>
      </c>
      <c r="BK26" s="8">
        <f t="shared" si="6"/>
        <v>12</v>
      </c>
      <c r="BL26" s="8" t="str">
        <f t="shared" si="7"/>
        <v>No</v>
      </c>
      <c r="BM26" s="8">
        <f t="shared" si="12"/>
        <v>10</v>
      </c>
      <c r="BN26" s="8" cm="1">
        <f t="array" ref="BN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O26" s="8">
        <f>IF(W26="No","No",IF(_xlfn.XLOOKUP(E26,Groups!A:A,Groups!BD:BD)=1,(AM26*5%),EXP(0.7354*LN(C26)^0.4078)*2/IF(_xlfn.XLOOKUP(E26,Groups!A:A,Groups!BL:BL)=1,1000,100)))</f>
        <v>0.11539690490306942</v>
      </c>
      <c r="BP26" s="8" t="str">
        <f>IF(BH26="No","No",IF(_xlfn.XLOOKUP(E26,Groups!A:A,Groups!BF:BF)=1,(0.0315*C26+2.1825)*2,(0.7354*C26^0.4078)*2)/IF(_xlfn.XLOOKUP(E26,Groups!A:A,Groups!BM:BM)=1,1000,100))</f>
        <v>No</v>
      </c>
      <c r="BQ26" s="8">
        <f t="shared" si="8"/>
        <v>0.15638356448345406</v>
      </c>
      <c r="BR26" s="8">
        <f t="shared" si="13"/>
        <v>2.6608142543520259</v>
      </c>
      <c r="BS26" s="8">
        <f t="shared" si="9"/>
        <v>18853.91514138718</v>
      </c>
      <c r="BT26" s="8" t="str">
        <f t="shared" si="14"/>
        <v>No</v>
      </c>
      <c r="BU26" s="4">
        <v>0</v>
      </c>
      <c r="BV26" s="4">
        <v>1</v>
      </c>
    </row>
    <row r="27" spans="1:74" x14ac:dyDescent="0.25">
      <c r="A27" s="26" t="s">
        <v>117</v>
      </c>
      <c r="B27" s="6" t="s">
        <v>118</v>
      </c>
      <c r="C27" s="7">
        <v>6000</v>
      </c>
      <c r="D27" s="7" t="s">
        <v>538</v>
      </c>
      <c r="E27" s="7" t="str">
        <f>Groups!A63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538</v>
      </c>
      <c r="L27" s="7">
        <v>35</v>
      </c>
      <c r="M27" s="7" t="s">
        <v>638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IF(AR27="No","No",IF(_xlfn.XLOOKUP(E27,Groups!A:A,Groups!AM:AM)=1,MROUND(EXP(0.3582*LN(C27)-0.2221)*T27,0.05),IF(_xlfn.XLOOKUP(E27,Groups!A:A,Groups!AM:AM)=2,MROUND(EXP(0.3582*LN(C27)-0.2221)*T27,0.05),"Need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945</v>
      </c>
      <c r="Y27" s="4" t="s">
        <v>1022</v>
      </c>
      <c r="Z27" s="4">
        <v>0</v>
      </c>
      <c r="AA27" s="4">
        <v>0</v>
      </c>
      <c r="AB27" s="4">
        <v>0</v>
      </c>
      <c r="AC27" s="4" t="s">
        <v>1088</v>
      </c>
      <c r="AD27" s="4" t="s">
        <v>409</v>
      </c>
      <c r="AE27" s="28" t="s">
        <v>404</v>
      </c>
      <c r="AF27" s="4" t="s">
        <v>45</v>
      </c>
      <c r="AG27" s="4">
        <v>0</v>
      </c>
      <c r="AH27" s="4">
        <v>0</v>
      </c>
      <c r="AI27" s="4">
        <v>0</v>
      </c>
      <c r="AJ27" s="4">
        <v>0</v>
      </c>
      <c r="AK27" s="4">
        <v>1</v>
      </c>
      <c r="AL27" s="44" t="s">
        <v>40</v>
      </c>
      <c r="AM27" s="8">
        <f t="shared" si="0"/>
        <v>317045.27964091528</v>
      </c>
      <c r="AN27" s="8">
        <f>IFERROR(C27*_xlfn.XLOOKUP(E27,Groups!A:A,Groups!K:K),0.106*C27^0.94)</f>
        <v>377.37058112331027</v>
      </c>
      <c r="AO27" s="8">
        <f>AN27*10000/(_xlfn.XLOOKUP(E27,Groups!A:A,Groups!J:J)*AM27)</f>
        <v>10.919939975358783</v>
      </c>
      <c r="AP27" s="8">
        <f t="shared" si="1"/>
        <v>84497.743412668031</v>
      </c>
      <c r="AQ27" s="8">
        <f>IF(_xlfn.XLOOKUP(E27,Groups!A:A,Groups!M:M)=1,EXP(0.7444*LN('Base stats'!C27)+6.5696),EXP(0.7927*LN('Base stats'!C27)+4.28))</f>
        <v>71403.726647358781</v>
      </c>
      <c r="AR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"No")))))))))))))))</f>
        <v>No</v>
      </c>
      <c r="AS27" s="8">
        <f>IF(_xlfn.XLOOKUP(E27,Groups!A:A,Groups!U:U)=3,AQ27,IF(_xlfn.XLOOKUP(E27,Groups!A:A,Groups!U:U)=2,AP27,AR27))</f>
        <v>84497.743412668031</v>
      </c>
      <c r="AT27" s="46">
        <f>IFERROR(AVERAGE(_xlfn.XLOOKUP(B27,Animals!B:B,Animals!N:N),_xlfn.XLOOKUP(B27,Animals!B:B,Animals!O:O)),0)</f>
        <v>1.1500000000000001</v>
      </c>
      <c r="AU27" s="8">
        <f>MROUND(40*Animals!AO27*_xlfn.XLOOKUP(Animals!BB27,Leathers!$A$2:$A$100,Leathers!$B$2:$B$100,0)+(140*_xlfn.XLOOKUP(B27,Animals!B:B,Animals!AO:AO)*2),5)</f>
        <v>4620</v>
      </c>
      <c r="AV27" s="8">
        <f>IFERROR(ROUND(SQRT(V27-1)*IF(_xlfn.XLOOKUP(E27,Groups!A:A,Groups!BF:BF)=0,2,1)*IF(_xlfn.XLOOKUP('Base stats'!E27,Groups!A:A,Groups!O:O)=0,1,0.1),1),0)</f>
        <v>0</v>
      </c>
      <c r="AW27" s="8">
        <f t="shared" si="2"/>
        <v>0</v>
      </c>
      <c r="AX27" s="8">
        <f t="shared" si="3"/>
        <v>8.9</v>
      </c>
      <c r="AY27" s="8">
        <f t="shared" si="4"/>
        <v>18.100000000000001</v>
      </c>
      <c r="AZ27" s="8">
        <f>IF(_xlfn.XLOOKUP(E27,Groups!A:A,Groups!N:N)="Insect",BB27*2.5,IFERROR(AVERAGE(BB27,AR27/9.81/IF(OR(_xlfn.XLOOKUP(E27,Groups!A:A,Groups!N:N)="Pig",_xlfn.XLOOKUP(E27,Groups!A:A,Groups!N:N)="StrongBitingHerbivore"),20,25))*C27^-0.135,BB27))</f>
        <v>27.670187995209911</v>
      </c>
      <c r="BA27" s="8">
        <f>IF(W27="No","No",IF(_xlfn.XLOOKUP(E27,Groups!A:A,Groups!U:U)=1,'Base stats'!AZ27,IF(OR(_xlfn.XLOOKUP(E27,Groups!A:A,Groups!BD:BD)=1,_xlfn.XLOOKUP(E27,Groups!A:A,Groups!U:U)=2),BB27,IF(_xlfn.XLOOKUP(B27,Animals!B:B,Animals!AO:AO)&gt;4,AVERAGE(BB27,BD27),BD27))))</f>
        <v>27.670187995209911</v>
      </c>
      <c r="BB27" s="8">
        <f t="shared" si="5"/>
        <v>27.670187995209911</v>
      </c>
      <c r="BC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D27" s="8">
        <f>(0.048*C27^1.01)/IF(_xlfn.XLOOKUP(E27,Groups!A:A,Groups!M:M)=1,0.25,0.8)*C27^-0.25</f>
        <v>44.621709107028508</v>
      </c>
      <c r="BE27" s="8">
        <f>EXP(1.076*LN(AP27)-4.5397)*IF(_xlfn.XLOOKUP(E27,Groups!A:A,Groups!BC:BC)=1,1.25,IF(_xlfn.XLOOKUP(E27,Groups!A:A,Groups!BD:BD)=1,3.5,2.5))</f>
        <v>2670.7220547406591</v>
      </c>
      <c r="BF27" s="8">
        <f>EXP(1.076*LN(AQ27)-4.5397)*IF(_xlfn.XLOOKUP(E27,Groups!A:A,Groups!M:M)=1,0.8,IF(_xlfn.XLOOKUP(E27,Groups!A:A,Groups!BC:BC)=1,1.3,3))</f>
        <v>2317.2898443594122</v>
      </c>
      <c r="BG27" s="8">
        <f>IF(W27="No","No",IF(_xlfn.XLOOKUP(E27,Groups!A:A,Groups!U:U)=1,'Base stats'!BH27,IF(OR(_xlfn.XLOOKUP(E27,Groups!A:A,Groups!BD:BD)=1,_xlfn.XLOOKUP(E27,Groups!A:A,Groups!U:U)=2),BE27,BF27))*1.2)</f>
        <v>3204.8664656887909</v>
      </c>
      <c r="BH27" s="8" t="str">
        <f>IFERROR(EXP(1.076*LN(AR27)-4.5397)*IF(_xlfn.XLOOKUP(E27,Groups!A:A,Groups!N:N)="Insect",1,IF(OR(_xlfn.XLOOKUP(E27,Groups!A:A,Groups!N:N)="Pig",_xlfn.XLOOKUP(E27,Groups!A:A,Groups!N:N)="StrongBitingHerbivore"),3.5,3.75)),"No")</f>
        <v>No</v>
      </c>
      <c r="BI27" s="8">
        <f t="shared" si="10"/>
        <v>13</v>
      </c>
      <c r="BJ27" s="8">
        <f t="shared" si="11"/>
        <v>11</v>
      </c>
      <c r="BK27" s="8">
        <f t="shared" si="6"/>
        <v>15</v>
      </c>
      <c r="BL27" s="8" t="str">
        <f t="shared" si="7"/>
        <v>No</v>
      </c>
      <c r="BM27" s="8">
        <f t="shared" si="12"/>
        <v>10</v>
      </c>
      <c r="BN27" s="8" cm="1">
        <f t="array" ref="BN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O27" s="8">
        <f>IF(W27="No","No",IF(_xlfn.XLOOKUP(E27,Groups!A:A,Groups!BD:BD)=1,(AM27*5%),EXP(0.7354*LN(C27)^0.4078)*2/IF(_xlfn.XLOOKUP(E27,Groups!A:A,Groups!BL:BL)=1,1000,100)))</f>
        <v>1.1822361841876084E-2</v>
      </c>
      <c r="BP27" s="8" t="str">
        <f>IF(BH27="No","No",IF(_xlfn.XLOOKUP(E27,Groups!A:A,Groups!BF:BF)=1,(0.0315*C27+2.1825)*2,(0.7354*C27^0.4078)*2)/IF(_xlfn.XLOOKUP(E27,Groups!A:A,Groups!BM:BM)=1,1000,100))</f>
        <v>No</v>
      </c>
      <c r="BQ27" s="8">
        <f t="shared" si="8"/>
        <v>0.16847574944282484</v>
      </c>
      <c r="BR27" s="8">
        <f t="shared" si="13"/>
        <v>2.5902091152033417</v>
      </c>
      <c r="BS27" s="8">
        <f t="shared" si="9"/>
        <v>271085.12736742728</v>
      </c>
      <c r="BT27" s="8" t="str">
        <f t="shared" si="14"/>
        <v>No</v>
      </c>
      <c r="BU27" s="4">
        <v>0</v>
      </c>
      <c r="BV27" s="4">
        <v>1</v>
      </c>
    </row>
    <row r="28" spans="1:74" x14ac:dyDescent="0.25">
      <c r="A28" s="26" t="s">
        <v>169</v>
      </c>
      <c r="B28" s="6" t="s">
        <v>170</v>
      </c>
      <c r="C28" s="7">
        <f>3705.7</f>
        <v>3705.7</v>
      </c>
      <c r="D28" s="7" t="s">
        <v>1187</v>
      </c>
      <c r="E28" s="7" t="str">
        <f>Groups!A58</f>
        <v>Slothlike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538</v>
      </c>
      <c r="L28" s="7">
        <v>26</v>
      </c>
      <c r="M28" s="7" t="s">
        <v>638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945</v>
      </c>
      <c r="Y28" s="4" t="s">
        <v>42</v>
      </c>
      <c r="Z28" s="4">
        <v>0</v>
      </c>
      <c r="AA28" s="4">
        <v>0</v>
      </c>
      <c r="AB28" s="4">
        <v>0</v>
      </c>
      <c r="AC28" s="4" t="s">
        <v>1083</v>
      </c>
      <c r="AD28" s="4" t="s">
        <v>45</v>
      </c>
      <c r="AE28" s="28" t="s">
        <v>391</v>
      </c>
      <c r="AF28" s="4" t="s">
        <v>45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4" t="s">
        <v>40</v>
      </c>
      <c r="AM28" s="8">
        <f t="shared" si="0"/>
        <v>231786.77140336935</v>
      </c>
      <c r="AN28" s="8">
        <f>IFERROR(C28*_xlfn.XLOOKUP(E28,Groups!A:A,Groups!K:K),0.106*C28^0.94)</f>
        <v>239.90754540941262</v>
      </c>
      <c r="AO28" s="8">
        <f>AN28*10000/(_xlfn.XLOOKUP(E28,Groups!A:A,Groups!J:J)*AM28)</f>
        <v>5.564707188182016</v>
      </c>
      <c r="AP28" s="8">
        <f t="shared" si="1"/>
        <v>56242.608680039491</v>
      </c>
      <c r="AQ28" s="8">
        <f>IF(_xlfn.XLOOKUP(E28,Groups!A:A,Groups!M:M)=1,EXP(0.7444*LN('Base stats'!C28)+6.5696),EXP(0.7927*LN('Base stats'!C28)+4.28))</f>
        <v>48733.077238581551</v>
      </c>
      <c r="AR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"No")))))))))))))))</f>
        <v>20860.831862547027</v>
      </c>
      <c r="AS28" s="8">
        <f>IF(_xlfn.XLOOKUP(E28,Groups!A:A,Groups!U:U)=3,AQ28,IF(_xlfn.XLOOKUP(E28,Groups!A:A,Groups!U:U)=2,AP28,AR28))</f>
        <v>20860.831862547027</v>
      </c>
      <c r="AT28" s="46">
        <f>IFERROR(AVERAGE(_xlfn.XLOOKUP(B28,Animals!B:B,Animals!N:N),_xlfn.XLOOKUP(B28,Animals!B:B,Animals!O:O)),0)</f>
        <v>0.22500000000000001</v>
      </c>
      <c r="AU28" s="8">
        <f>MROUND(40*Animals!AO28*_xlfn.XLOOKUP(Animals!BB28,Leathers!$A$2:$A$100,Leathers!$B$2:$B$100,0)+(140*_xlfn.XLOOKUP(B28,Animals!B:B,Animals!AO:AO)*2),5)</f>
        <v>1955</v>
      </c>
      <c r="AV28" s="8">
        <f>IFERROR(ROUND(SQRT(V28-1)*IF(_xlfn.XLOOKUP(E28,Groups!A:A,Groups!BF:BF)=0,2,1)*IF(_xlfn.XLOOKUP('Base stats'!E28,Groups!A:A,Groups!O:O)=0,1,0.1),1),0)</f>
        <v>1</v>
      </c>
      <c r="AW28" s="8">
        <f t="shared" si="2"/>
        <v>4.0999999999999996</v>
      </c>
      <c r="AX28" s="8">
        <f t="shared" si="3"/>
        <v>0</v>
      </c>
      <c r="AY28" s="8">
        <f t="shared" si="4"/>
        <v>15.2</v>
      </c>
      <c r="AZ28" s="8">
        <f>IF(_xlfn.XLOOKUP(E28,Groups!A:A,Groups!N:N)="Insect",BB28*2.5,IFERROR(AVERAGE(BB28,AR28/9.81/IF(OR(_xlfn.XLOOKUP(E28,Groups!A:A,Groups!N:N)="Pig",_xlfn.XLOOKUP(E28,Groups!A:A,Groups!N:N)="StrongBitingHerbivore"),20,25))*C28^-0.135,BB28))</f>
        <v>20.703328788011245</v>
      </c>
      <c r="BA28" s="8" t="str">
        <f>IF(W28="No","No",IF(_xlfn.XLOOKUP(E28,Groups!A:A,Groups!U:U)=1,'Base stats'!AZ28,IF(OR(_xlfn.XLOOKUP(E28,Groups!A:A,Groups!BD:BD)=1,_xlfn.XLOOKUP(E28,Groups!A:A,Groups!U:U)=2),BB28,IF(_xlfn.XLOOKUP(B28,Animals!B:B,Animals!AO:AO)&gt;4,AVERAGE(BB28,BD28),BD28))))</f>
        <v>No</v>
      </c>
      <c r="BB28" s="8">
        <f t="shared" si="5"/>
        <v>19.240406405231251</v>
      </c>
      <c r="BC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D28" s="8">
        <f>(0.048*C28^1.01)/IF(_xlfn.XLOOKUP(E28,Groups!A:A,Groups!M:M)=1,0.25,0.8)*C28^-0.25</f>
        <v>30.938029276063094</v>
      </c>
      <c r="BE28" s="8">
        <f>EXP(1.076*LN(AP28)-4.5397)*IF(_xlfn.XLOOKUP(E28,Groups!A:A,Groups!BC:BC)=1,1.25,IF(_xlfn.XLOOKUP(E28,Groups!A:A,Groups!BD:BD)=1,3.5,2.5))</f>
        <v>1723.5099079485713</v>
      </c>
      <c r="BF28" s="8">
        <f>EXP(1.076*LN(AQ28)-4.5397)*IF(_xlfn.XLOOKUP(E28,Groups!A:A,Groups!M:M)=1,0.8,IF(_xlfn.XLOOKUP(E28,Groups!A:A,Groups!BC:BC)=1,1.3,3))</f>
        <v>1536.2968496689477</v>
      </c>
      <c r="BG28" s="8" t="str">
        <f>IF(W28="No","No",IF(_xlfn.XLOOKUP(E28,Groups!A:A,Groups!U:U)=1,'Base stats'!BH28,IF(OR(_xlfn.XLOOKUP(E28,Groups!A:A,Groups!BD:BD)=1,_xlfn.XLOOKUP(E28,Groups!A:A,Groups!U:U)=2),BE28,BF28))*1.2)</f>
        <v>No</v>
      </c>
      <c r="BH28" s="8">
        <f>IFERROR(EXP(1.076*LN(AR28)-4.5397)*IF(_xlfn.XLOOKUP(E28,Groups!A:A,Groups!N:N)="Insect",1,IF(OR(_xlfn.XLOOKUP(E28,Groups!A:A,Groups!N:N)="Pig",_xlfn.XLOOKUP(E28,Groups!A:A,Groups!N:N)="StrongBitingHerbivore"),3.5,3.75)),"No")</f>
        <v>1659.9775359153502</v>
      </c>
      <c r="BI28" s="8">
        <f t="shared" si="10"/>
        <v>13</v>
      </c>
      <c r="BJ28" s="8">
        <f t="shared" si="11"/>
        <v>11</v>
      </c>
      <c r="BK28" s="8" t="str">
        <f t="shared" si="6"/>
        <v>No</v>
      </c>
      <c r="BL28" s="8">
        <f t="shared" si="7"/>
        <v>12</v>
      </c>
      <c r="BM28" s="8">
        <f t="shared" si="12"/>
        <v>9</v>
      </c>
      <c r="BN28" s="8" cm="1">
        <f t="array" ref="BN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O28" s="8" t="str">
        <f>IF(W28="No","No",IF(_xlfn.XLOOKUP(E28,Groups!A:A,Groups!BD:BD)=1,(AM28*5%),EXP(0.7354*LN(C28)^0.4078)*2/IF(_xlfn.XLOOKUP(E28,Groups!A:A,Groups!BL:BL)=1,1000,100)))</f>
        <v>No</v>
      </c>
      <c r="BP28" s="8">
        <f>IF(BH28="No","No",IF(_xlfn.XLOOKUP(E28,Groups!A:A,Groups!BF:BF)=1,(0.0315*C28+2.1825)*2,(0.7354*C28^0.4078)*2)/IF(_xlfn.XLOOKUP(E28,Groups!A:A,Groups!BM:BM)=1,1000,100))</f>
        <v>2.378241</v>
      </c>
      <c r="BQ28" s="8">
        <f t="shared" si="8"/>
        <v>0.14871512274091045</v>
      </c>
      <c r="BR28" s="8">
        <f t="shared" si="13"/>
        <v>3660.4647398629722</v>
      </c>
      <c r="BS28" s="8" t="str">
        <f t="shared" si="9"/>
        <v>No</v>
      </c>
      <c r="BT28" s="8">
        <f t="shared" si="14"/>
        <v>697.98541691752439</v>
      </c>
      <c r="BU28" s="4">
        <v>0</v>
      </c>
      <c r="BV28" s="4">
        <v>1</v>
      </c>
    </row>
    <row r="29" spans="1:74" x14ac:dyDescent="0.25">
      <c r="A29" s="26" t="s">
        <v>107</v>
      </c>
      <c r="B29" s="6" t="s">
        <v>108</v>
      </c>
      <c r="C29" s="7">
        <v>150</v>
      </c>
      <c r="D29" s="7" t="s">
        <v>1195</v>
      </c>
      <c r="E29" s="7" t="str">
        <f>Groups!A38</f>
        <v>TuskedPiglike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529</v>
      </c>
      <c r="L29" s="7">
        <f>AVERAGE(5.83,4.56)*3.6*(23.3/11)</f>
        <v>39.614236363636365</v>
      </c>
      <c r="M29" s="7" t="s">
        <v>642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977</v>
      </c>
      <c r="Y29" s="4" t="s">
        <v>1023</v>
      </c>
      <c r="Z29" s="4">
        <v>0</v>
      </c>
      <c r="AA29" s="4">
        <v>0</v>
      </c>
      <c r="AB29" s="4">
        <v>0</v>
      </c>
      <c r="AC29" s="4" t="s">
        <v>45</v>
      </c>
      <c r="AD29" s="4" t="s">
        <v>407</v>
      </c>
      <c r="AE29" s="28" t="s">
        <v>400</v>
      </c>
      <c r="AF29" s="4" t="str">
        <f>Animals!C30</f>
        <v>&lt;li&gt;Pig&lt;/li&gt;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4" t="s">
        <v>40</v>
      </c>
      <c r="AM29" s="8">
        <f t="shared" si="0"/>
        <v>28825.861601687579</v>
      </c>
      <c r="AN29" s="8">
        <f>IFERROR(C29*_xlfn.XLOOKUP(E29,Groups!A:A,Groups!K:K),0.106*C29^0.94)</f>
        <v>11.771495712556113</v>
      </c>
      <c r="AO29" s="8">
        <f>AN29*10000/(_xlfn.XLOOKUP(E29,Groups!A:A,Groups!J:J)*AM29)</f>
        <v>3.7464751271603496</v>
      </c>
      <c r="AP29" s="8">
        <f t="shared" si="1"/>
        <v>3746.1489061563307</v>
      </c>
      <c r="AQ29" s="8">
        <f>IF(_xlfn.XLOOKUP(E29,Groups!A:A,Groups!M:M)=1,EXP(0.7444*LN('Base stats'!C29)+6.5696),EXP(0.7927*LN('Base stats'!C29)+4.28))</f>
        <v>3835.0225645496203</v>
      </c>
      <c r="AR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"No")))))))))))))))</f>
        <v>5967.077582533263</v>
      </c>
      <c r="AS29" s="8">
        <f>IF(_xlfn.XLOOKUP(E29,Groups!A:A,Groups!U:U)=3,AQ29,IF(_xlfn.XLOOKUP(E29,Groups!A:A,Groups!U:U)=2,AP29,AR29))</f>
        <v>5967.077582533263</v>
      </c>
      <c r="AT29" s="46">
        <f>IFERROR(AVERAGE(_xlfn.XLOOKUP(B29,Animals!B:B,Animals!N:N),_xlfn.XLOOKUP(B29,Animals!B:B,Animals!O:O)),0)</f>
        <v>0</v>
      </c>
      <c r="AU29" s="8">
        <f>MROUND(40*Animals!AO29*_xlfn.XLOOKUP(Animals!BB29,Leathers!$A$2:$A$100,Leathers!$B$2:$B$100,0)+(140*_xlfn.XLOOKUP(B29,Animals!B:B,Animals!AO:AO)*2),5)</f>
        <v>535</v>
      </c>
      <c r="AV29" s="8">
        <f>IFERROR(ROUND(SQRT(V29-1)*IF(_xlfn.XLOOKUP(E29,Groups!A:A,Groups!BF:BF)=0,2,1)*IF(_xlfn.XLOOKUP('Base stats'!E29,Groups!A:A,Groups!O:O)=0,1,0.1),1),0)</f>
        <v>5.9</v>
      </c>
      <c r="AW29" s="8">
        <f t="shared" si="2"/>
        <v>0</v>
      </c>
      <c r="AX29" s="8">
        <f t="shared" si="3"/>
        <v>4.0999999999999996</v>
      </c>
      <c r="AY29" s="8">
        <f t="shared" si="4"/>
        <v>4.8</v>
      </c>
      <c r="AZ29" s="8">
        <f>IF(_xlfn.XLOOKUP(E29,Groups!A:A,Groups!N:N)="Insect",BB29*2.5,IFERROR(AVERAGE(BB29,AR29/9.81/IF(OR(_xlfn.XLOOKUP(E29,Groups!A:A,Groups!N:N)="Pig",_xlfn.XLOOKUP(E29,Groups!A:A,Groups!N:N)="StrongBitingHerbivore"),20,25))*C29^-0.135,BB29))</f>
        <v>8.1672088007480177</v>
      </c>
      <c r="BA29" s="8">
        <f>IF(W29="No","No",IF(_xlfn.XLOOKUP(E29,Groups!A:A,Groups!U:U)=1,'Base stats'!AZ29,IF(OR(_xlfn.XLOOKUP(E29,Groups!A:A,Groups!BD:BD)=1,_xlfn.XLOOKUP(E29,Groups!A:A,Groups!U:U)=2),BB29,IF(_xlfn.XLOOKUP(B29,Animals!B:B,Animals!AO:AO)&gt;4,AVERAGE(BB29,BD29),BD29))))</f>
        <v>8.1672088007480177</v>
      </c>
      <c r="BB29" s="8">
        <f t="shared" si="5"/>
        <v>1.7141896806845596</v>
      </c>
      <c r="BC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D29" s="8">
        <f>(0.048*C29^1.01)/IF(_xlfn.XLOOKUP(E29,Groups!A:A,Groups!M:M)=1,0.25,0.8)*C29^-0.25</f>
        <v>2.7038376258152188</v>
      </c>
      <c r="BE29" s="8">
        <f>EXP(1.076*LN(AP29)-4.5397)*IF(_xlfn.XLOOKUP(E29,Groups!A:A,Groups!BC:BC)=1,1.25,IF(_xlfn.XLOOKUP(E29,Groups!A:A,Groups!BD:BD)=1,3.5,2.5))</f>
        <v>186.87484615605439</v>
      </c>
      <c r="BF29" s="8">
        <f>EXP(1.076*LN(AQ29)-4.5397)*IF(_xlfn.XLOOKUP(E29,Groups!A:A,Groups!M:M)=1,0.8,IF(_xlfn.XLOOKUP(E29,Groups!A:A,Groups!BC:BC)=1,1.3,3))</f>
        <v>229.97937056804284</v>
      </c>
      <c r="BG29" s="8">
        <f>IF(W29="No","No",IF(_xlfn.XLOOKUP(E29,Groups!A:A,Groups!U:U)=1,'Base stats'!BH29,IF(OR(_xlfn.XLOOKUP(E29,Groups!A:A,Groups!BD:BD)=1,_xlfn.XLOOKUP(E29,Groups!A:A,Groups!U:U)=2),BE29,BF29))*1.2)</f>
        <v>518.08641358132127</v>
      </c>
      <c r="BH29" s="8">
        <f>IFERROR(EXP(1.076*LN(AR29)-4.5397)*IF(_xlfn.XLOOKUP(E29,Groups!A:A,Groups!N:N)="Insect",1,IF(OR(_xlfn.XLOOKUP(E29,Groups!A:A,Groups!N:N)="Pig",_xlfn.XLOOKUP(E29,Groups!A:A,Groups!N:N)="StrongBitingHerbivore"),3.5,3.75)),"No")</f>
        <v>431.73867798443439</v>
      </c>
      <c r="BI29" s="8">
        <f t="shared" si="10"/>
        <v>14</v>
      </c>
      <c r="BJ29" s="8">
        <f t="shared" si="11"/>
        <v>11</v>
      </c>
      <c r="BK29" s="8">
        <f t="shared" si="6"/>
        <v>11</v>
      </c>
      <c r="BL29" s="8">
        <f t="shared" si="7"/>
        <v>10</v>
      </c>
      <c r="BM29" s="8">
        <f t="shared" si="12"/>
        <v>13</v>
      </c>
      <c r="BN29" s="8" t="str" cm="1">
        <f t="array" ref="BN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O29" s="8">
        <f>IF(W29="No","No",IF(_xlfn.XLOOKUP(E29,Groups!A:A,Groups!BD:BD)=1,(AM29*5%),EXP(0.7354*LN(C29)^0.4078)*2/IF(_xlfn.XLOOKUP(E29,Groups!A:A,Groups!BL:BL)=1,1000,100)))</f>
        <v>8.2648233730893056E-2</v>
      </c>
      <c r="BP29" s="8">
        <f>IF(BH29="No","No",IF(_xlfn.XLOOKUP(E29,Groups!A:A,Groups!BF:BF)=1,(0.0315*C29+2.1825)*2,(0.7354*C29^0.4078)*2)/IF(_xlfn.XLOOKUP(E29,Groups!A:A,Groups!BM:BM)=1,1000,100))</f>
        <v>0.11349157855001941</v>
      </c>
      <c r="BQ29" s="8">
        <f t="shared" si="8"/>
        <v>0.12965776963635597</v>
      </c>
      <c r="BR29" s="8" t="str">
        <f t="shared" si="13"/>
        <v>No</v>
      </c>
      <c r="BS29" s="8">
        <f t="shared" si="9"/>
        <v>6268.5721181681574</v>
      </c>
      <c r="BT29" s="8">
        <f t="shared" si="14"/>
        <v>3804.1472636152748</v>
      </c>
      <c r="BU29" s="4">
        <v>0</v>
      </c>
      <c r="BV29" s="4">
        <v>1</v>
      </c>
    </row>
    <row r="30" spans="1:74" x14ac:dyDescent="0.25">
      <c r="A30" s="26" t="s">
        <v>110</v>
      </c>
      <c r="B30" s="6" t="s">
        <v>543</v>
      </c>
      <c r="C30" s="7">
        <f>AVERAGE(323,244)</f>
        <v>283.5</v>
      </c>
      <c r="D30" s="7" t="s">
        <v>1196</v>
      </c>
      <c r="E30" s="7" t="str">
        <f>Groups!A40</f>
        <v>Piglike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544</v>
      </c>
      <c r="L30" s="7">
        <f>AVERAGE(5.83,4.56)*3.6*(23.3/11)</f>
        <v>39.614236363636365</v>
      </c>
      <c r="M30" s="7" t="s">
        <v>642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945</v>
      </c>
      <c r="Y30" s="4" t="s">
        <v>1023</v>
      </c>
      <c r="Z30" s="4">
        <v>0</v>
      </c>
      <c r="AA30" s="4">
        <v>0</v>
      </c>
      <c r="AB30" s="4">
        <v>0</v>
      </c>
      <c r="AC30" s="4" t="s">
        <v>45</v>
      </c>
      <c r="AD30" s="4" t="s">
        <v>407</v>
      </c>
      <c r="AE30" s="28" t="s">
        <v>400</v>
      </c>
      <c r="AF30" s="4" t="s">
        <v>45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4" t="s">
        <v>40</v>
      </c>
      <c r="AM30" s="8">
        <f t="shared" si="0"/>
        <v>43599.596485102418</v>
      </c>
      <c r="AN30" s="8">
        <f>IFERROR(C30*_xlfn.XLOOKUP(E30,Groups!A:A,Groups!K:K),0.106*C30^0.94)</f>
        <v>21.414391819217006</v>
      </c>
      <c r="AO30" s="8">
        <f>AN30*10000/(_xlfn.XLOOKUP(E30,Groups!A:A,Groups!J:J)*AM30)</f>
        <v>4.5060579937976097</v>
      </c>
      <c r="AP30" s="8">
        <f t="shared" si="1"/>
        <v>6413.7543497019997</v>
      </c>
      <c r="AQ30" s="8">
        <f>IF(_xlfn.XLOOKUP(E30,Groups!A:A,Groups!M:M)=1,EXP(0.7444*LN('Base stats'!C30)+6.5696),EXP(0.7927*LN('Base stats'!C30)+4.28))</f>
        <v>6352.1273405073698</v>
      </c>
      <c r="AR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"No")))))))))))))))</f>
        <v>6402.0427215268337</v>
      </c>
      <c r="AS30" s="8">
        <f>IF(_xlfn.XLOOKUP(E30,Groups!A:A,Groups!U:U)=3,AQ30,IF(_xlfn.XLOOKUP(E30,Groups!A:A,Groups!U:U)=2,AP30,AR30))</f>
        <v>6402.0427215268337</v>
      </c>
      <c r="AT30" s="46">
        <f>IFERROR(AVERAGE(_xlfn.XLOOKUP(B30,Animals!B:B,Animals!N:N),_xlfn.XLOOKUP(B30,Animals!B:B,Animals!O:O)),0)</f>
        <v>0</v>
      </c>
      <c r="AU30" s="8">
        <f>MROUND(40*Animals!AO30*_xlfn.XLOOKUP(Animals!BB30,Leathers!$A$2:$A$100,Leathers!$B$2:$B$100,0)+(140*_xlfn.XLOOKUP(B30,Animals!B:B,Animals!AO:AO)*2),5)</f>
        <v>800</v>
      </c>
      <c r="AV30" s="8">
        <f>IFERROR(ROUND(SQRT(V30-1)*IF(_xlfn.XLOOKUP(E30,Groups!A:A,Groups!BF:BF)=0,2,1)*IF(_xlfn.XLOOKUP('Base stats'!E30,Groups!A:A,Groups!O:O)=0,1,0.1),1),0)</f>
        <v>2</v>
      </c>
      <c r="AW30" s="8">
        <f t="shared" si="2"/>
        <v>0</v>
      </c>
      <c r="AX30" s="8">
        <f t="shared" si="3"/>
        <v>0</v>
      </c>
      <c r="AY30" s="8">
        <f t="shared" si="4"/>
        <v>6.1</v>
      </c>
      <c r="AZ30" s="8">
        <f>IF(_xlfn.XLOOKUP(E30,Groups!A:A,Groups!N:N)="Insect",BB30*2.5,IFERROR(AVERAGE(BB30,AR30/9.81/IF(OR(_xlfn.XLOOKUP(E30,Groups!A:A,Groups!N:N)="Pig",_xlfn.XLOOKUP(E30,Groups!A:A,Groups!N:N)="StrongBitingHerbivore"),20,25))*C30^-0.135,BB30))</f>
        <v>8.2581610620129826</v>
      </c>
      <c r="BA30" s="8" t="str">
        <f>IF(W30="No","No",IF(_xlfn.XLOOKUP(E30,Groups!A:A,Groups!U:U)=1,'Base stats'!AZ30,IF(OR(_xlfn.XLOOKUP(E30,Groups!A:A,Groups!BD:BD)=1,_xlfn.XLOOKUP(E30,Groups!A:A,Groups!U:U)=2),BB30,IF(_xlfn.XLOOKUP(B30,Animals!B:B,Animals!AO:AO)&gt;4,AVERAGE(BB30,BD30),BD30))))</f>
        <v>No</v>
      </c>
      <c r="BB30" s="8">
        <f t="shared" si="5"/>
        <v>2.7701996922971297</v>
      </c>
      <c r="BC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D30" s="8">
        <f>(0.048*C30^1.01)/IF(_xlfn.XLOOKUP(E30,Groups!A:A,Groups!M:M)=1,0.25,0.8)*C30^-0.25</f>
        <v>4.3862317924166936</v>
      </c>
      <c r="BE30" s="8">
        <f>EXP(1.076*LN(AP30)-4.5397)*IF(_xlfn.XLOOKUP(E30,Groups!A:A,Groups!BC:BC)=1,1.25,IF(_xlfn.XLOOKUP(E30,Groups!A:A,Groups!BD:BD)=1,3.5,2.5))</f>
        <v>333.29301181006872</v>
      </c>
      <c r="BF30" s="8">
        <f>EXP(1.076*LN(AQ30)-4.5397)*IF(_xlfn.XLOOKUP(E30,Groups!A:A,Groups!M:M)=1,0.8,IF(_xlfn.XLOOKUP(E30,Groups!A:A,Groups!BC:BC)=1,1.3,3))</f>
        <v>395.81810008560649</v>
      </c>
      <c r="BG30" s="8" t="str">
        <f>IF(W30="No","No",IF(_xlfn.XLOOKUP(E30,Groups!A:A,Groups!U:U)=1,'Base stats'!BH30,IF(OR(_xlfn.XLOOKUP(E30,Groups!A:A,Groups!BD:BD)=1,_xlfn.XLOOKUP(E30,Groups!A:A,Groups!U:U)=2),BE30,BF30))*1.2)</f>
        <v>No</v>
      </c>
      <c r="BH30" s="8">
        <f>IFERROR(EXP(1.076*LN(AR30)-4.5397)*IF(_xlfn.XLOOKUP(E30,Groups!A:A,Groups!N:N)="Insect",1,IF(OR(_xlfn.XLOOKUP(E30,Groups!A:A,Groups!N:N)="Pig",_xlfn.XLOOKUP(E30,Groups!A:A,Groups!N:N)="StrongBitingHerbivore"),3.5,3.75)),"No")</f>
        <v>465.69348680539872</v>
      </c>
      <c r="BI30" s="8">
        <f t="shared" si="10"/>
        <v>15</v>
      </c>
      <c r="BJ30" s="8">
        <f t="shared" si="11"/>
        <v>11</v>
      </c>
      <c r="BK30" s="8" t="str">
        <f t="shared" si="6"/>
        <v>No</v>
      </c>
      <c r="BL30" s="8">
        <f t="shared" si="7"/>
        <v>10</v>
      </c>
      <c r="BM30" s="8">
        <f t="shared" si="12"/>
        <v>13</v>
      </c>
      <c r="BN30" s="8" t="str" cm="1">
        <f t="array" ref="BN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O30" s="8" t="str">
        <f>IF(W30="No","No",IF(_xlfn.XLOOKUP(E30,Groups!A:A,Groups!BD:BD)=1,(AM30*5%),EXP(0.7354*LN(C30)^0.4078)*2/IF(_xlfn.XLOOKUP(E30,Groups!A:A,Groups!BL:BL)=1,1000,100)))</f>
        <v>No</v>
      </c>
      <c r="BP30" s="8">
        <f>IF(BH30="No","No",IF(_xlfn.XLOOKUP(E30,Groups!A:A,Groups!BF:BF)=1,(0.0315*C30+2.1825)*2,(0.7354*C30^0.4078)*2)/IF(_xlfn.XLOOKUP(E30,Groups!A:A,Groups!BM:BM)=1,1000,100))</f>
        <v>0.22225500000000004</v>
      </c>
      <c r="BQ30" s="8">
        <f t="shared" si="8"/>
        <v>0.15288811763381888</v>
      </c>
      <c r="BR30" s="8" t="str">
        <f t="shared" si="13"/>
        <v>No</v>
      </c>
      <c r="BS30" s="8" t="str">
        <f t="shared" si="9"/>
        <v>No</v>
      </c>
      <c r="BT30" s="8">
        <f t="shared" si="14"/>
        <v>2095.3116321585503</v>
      </c>
      <c r="BU30" s="4">
        <v>0</v>
      </c>
      <c r="BV30" s="4">
        <v>0.75</v>
      </c>
    </row>
    <row r="31" spans="1:74" x14ac:dyDescent="0.25">
      <c r="A31" s="26" t="s">
        <v>116</v>
      </c>
      <c r="B31" s="6" t="s">
        <v>271</v>
      </c>
      <c r="C31" s="7">
        <f>AVERAGE(7.7,5.34)</f>
        <v>6.52</v>
      </c>
      <c r="D31" s="7" t="s">
        <v>1197</v>
      </c>
      <c r="E31" s="7" t="str">
        <f>Groups!A45</f>
        <v>Primate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530</v>
      </c>
      <c r="L31" s="7">
        <f>MIN(23.6*C31^0.165,23.3*C31^0.225)</f>
        <v>32.156061919515352</v>
      </c>
      <c r="M31" s="7" t="s">
        <v>638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945</v>
      </c>
      <c r="Y31" s="4" t="s">
        <v>1023</v>
      </c>
      <c r="Z31" s="4">
        <v>0</v>
      </c>
      <c r="AA31" s="4">
        <v>0</v>
      </c>
      <c r="AB31" s="4">
        <v>0</v>
      </c>
      <c r="AC31" s="4" t="s">
        <v>1084</v>
      </c>
      <c r="AD31" s="4" t="s">
        <v>410</v>
      </c>
      <c r="AE31" s="28" t="s">
        <v>394</v>
      </c>
      <c r="AF31" s="4" t="s">
        <v>45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4" t="s">
        <v>40</v>
      </c>
      <c r="AM31" s="8">
        <f t="shared" si="0"/>
        <v>3754.7749863702252</v>
      </c>
      <c r="AN31" s="8">
        <f>IFERROR(C31*_xlfn.XLOOKUP(E31,Groups!A:A,Groups!K:K),0.106*C31^0.94)</f>
        <v>0.61758765354825385</v>
      </c>
      <c r="AO31" s="8">
        <f>AN31*10000/(_xlfn.XLOOKUP(E31,Groups!A:A,Groups!J:J)*AM31)</f>
        <v>1.5089963569692815</v>
      </c>
      <c r="AP31" s="8">
        <f t="shared" si="1"/>
        <v>264.99378830560971</v>
      </c>
      <c r="AQ31" s="8">
        <f>IF(_xlfn.XLOOKUP(E31,Groups!A:A,Groups!M:M)=1,EXP(0.7444*LN('Base stats'!C31)+6.5696),EXP(0.7927*LN('Base stats'!C31)+4.28))</f>
        <v>319.32612558354168</v>
      </c>
      <c r="AR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"No")))))))))))))))</f>
        <v>337.9636156425434</v>
      </c>
      <c r="AS31" s="8">
        <f>IF(_xlfn.XLOOKUP(E31,Groups!A:A,Groups!U:U)=3,AQ31,IF(_xlfn.XLOOKUP(E31,Groups!A:A,Groups!U:U)=2,AP31,AR31))</f>
        <v>337.9636156425434</v>
      </c>
      <c r="AT31" s="46">
        <f>IFERROR(AVERAGE(_xlfn.XLOOKUP(B31,Animals!B:B,Animals!N:N),_xlfn.XLOOKUP(B31,Animals!B:B,Animals!O:O)),0)</f>
        <v>0</v>
      </c>
      <c r="AU31" s="8">
        <f>MROUND(40*Animals!AO31*_xlfn.XLOOKUP(Animals!BB31,Leathers!$A$2:$A$100,Leathers!$B$2:$B$100,0)+(140*_xlfn.XLOOKUP(B31,Animals!B:B,Animals!AO:AO)*2),5)</f>
        <v>125</v>
      </c>
      <c r="AV31" s="8">
        <f>IFERROR(ROUND(SQRT(V31-1)*IF(_xlfn.XLOOKUP(E31,Groups!A:A,Groups!BF:BF)=0,2,1)*IF(_xlfn.XLOOKUP('Base stats'!E31,Groups!A:A,Groups!O:O)=0,1,0.1),1),0)</f>
        <v>1.7</v>
      </c>
      <c r="AW31" s="8">
        <f t="shared" si="2"/>
        <v>0</v>
      </c>
      <c r="AX31" s="8">
        <f t="shared" si="3"/>
        <v>0</v>
      </c>
      <c r="AY31" s="8">
        <f t="shared" si="4"/>
        <v>1.2</v>
      </c>
      <c r="AZ31" s="8">
        <f>IF(_xlfn.XLOOKUP(E31,Groups!A:A,Groups!N:N)="Insect",BB31*2.5,IFERROR(AVERAGE(BB31,AR31/9.81/IF(OR(_xlfn.XLOOKUP(E31,Groups!A:A,Groups!N:N)="Pig",_xlfn.XLOOKUP(E31,Groups!A:A,Groups!N:N)="StrongBitingHerbivore"),20,25))*C31^-0.135,BB31))</f>
        <v>0.59749991840360062</v>
      </c>
      <c r="BA31" s="8" t="str">
        <f>IF(W31="No","No",IF(_xlfn.XLOOKUP(E31,Groups!A:A,Groups!U:U)=1,'Base stats'!AZ31,IF(OR(_xlfn.XLOOKUP(E31,Groups!A:A,Groups!BD:BD)=1,_xlfn.XLOOKUP(E31,Groups!A:A,Groups!U:U)=2),BB31,IF(_xlfn.XLOOKUP(B31,Animals!B:B,Animals!AO:AO)&gt;4,AVERAGE(BB31,BD31),BD31))))</f>
        <v>No</v>
      </c>
      <c r="BB31" s="8">
        <f t="shared" si="5"/>
        <v>0.16114942276054864</v>
      </c>
      <c r="BC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D31" s="8">
        <f>(0.048*C31^1.01)/IF(_xlfn.XLOOKUP(E31,Groups!A:A,Groups!M:M)=1,0.25,0.8)*C31^-0.25</f>
        <v>0.24944765359163026</v>
      </c>
      <c r="BE31" s="8">
        <f>EXP(1.076*LN(AP31)-4.5397)*IF(_xlfn.XLOOKUP(E31,Groups!A:A,Groups!BC:BC)=1,1.25,IF(_xlfn.XLOOKUP(E31,Groups!A:A,Groups!BD:BD)=1,3.5,2.5))</f>
        <v>10.808737150824603</v>
      </c>
      <c r="BF31" s="8">
        <f>EXP(1.076*LN(AQ31)-4.5397)*IF(_xlfn.XLOOKUP(E31,Groups!A:A,Groups!M:M)=1,0.8,IF(_xlfn.XLOOKUP(E31,Groups!A:A,Groups!BC:BC)=1,1.3,3))</f>
        <v>15.852978303072906</v>
      </c>
      <c r="BG31" s="8" t="str">
        <f>IF(W31="No","No",IF(_xlfn.XLOOKUP(E31,Groups!A:A,Groups!U:U)=1,'Base stats'!BH31,IF(OR(_xlfn.XLOOKUP(E31,Groups!A:A,Groups!BD:BD)=1,_xlfn.XLOOKUP(E31,Groups!A:A,Groups!U:U)=2),BE31,BF31))*1.2)</f>
        <v>No</v>
      </c>
      <c r="BH31" s="8">
        <f>IFERROR(EXP(1.076*LN(AR31)-4.5397)*IF(_xlfn.XLOOKUP(E31,Groups!A:A,Groups!N:N)="Insect",1,IF(OR(_xlfn.XLOOKUP(E31,Groups!A:A,Groups!N:N)="Pig",_xlfn.XLOOKUP(E31,Groups!A:A,Groups!N:N)="StrongBitingHerbivore"),3.5,3.75)),"No")</f>
        <v>21.063409541539592</v>
      </c>
      <c r="BI31" s="8">
        <f t="shared" si="10"/>
        <v>11</v>
      </c>
      <c r="BJ31" s="8">
        <f t="shared" si="11"/>
        <v>10</v>
      </c>
      <c r="BK31" s="8" t="str">
        <f t="shared" si="6"/>
        <v>No</v>
      </c>
      <c r="BL31" s="8">
        <f t="shared" si="7"/>
        <v>8</v>
      </c>
      <c r="BM31" s="8">
        <f t="shared" si="12"/>
        <v>11</v>
      </c>
      <c r="BN31" s="8" cm="1">
        <f t="array" ref="BN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O31" s="8" t="str">
        <f>IF(W31="No","No",IF(_xlfn.XLOOKUP(E31,Groups!A:A,Groups!BD:BD)=1,(AM31*5%),EXP(0.7354*LN(C31)^0.4078)*2/IF(_xlfn.XLOOKUP(E31,Groups!A:A,Groups!BL:BL)=1,1000,100)))</f>
        <v>No</v>
      </c>
      <c r="BP31" s="8">
        <f>IF(BH31="No","No",IF(_xlfn.XLOOKUP(E31,Groups!A:A,Groups!BF:BF)=1,(0.0315*C31+2.1825)*2,(0.7354*C31^0.4078)*2)/IF(_xlfn.XLOOKUP(E31,Groups!A:A,Groups!BM:BM)=1,1000,100))</f>
        <v>3.1593940123103695E-2</v>
      </c>
      <c r="BQ31" s="8">
        <f t="shared" si="8"/>
        <v>5.7573288359809308E-2</v>
      </c>
      <c r="BR31" s="8">
        <f t="shared" si="13"/>
        <v>37.49913953942314</v>
      </c>
      <c r="BS31" s="8" t="str">
        <f t="shared" si="9"/>
        <v>No</v>
      </c>
      <c r="BT31" s="8">
        <f t="shared" si="14"/>
        <v>666.69144334221733</v>
      </c>
      <c r="BU31" s="4">
        <v>0</v>
      </c>
      <c r="BV31" s="4">
        <v>1</v>
      </c>
    </row>
    <row r="32" spans="1:74" x14ac:dyDescent="0.25">
      <c r="A32" s="26" t="s">
        <v>102</v>
      </c>
      <c r="B32" s="6" t="s">
        <v>103</v>
      </c>
      <c r="C32" s="7">
        <v>1.53</v>
      </c>
      <c r="D32" s="7" t="s">
        <v>531</v>
      </c>
      <c r="E32" s="7" t="str">
        <f>Groups!A27</f>
        <v>Lizardlike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531</v>
      </c>
      <c r="L32" s="7">
        <f>164.31*1.5/33.3*3.6</f>
        <v>26.644864864864868</v>
      </c>
      <c r="M32" s="7" t="s">
        <v>644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945</v>
      </c>
      <c r="Y32" s="4" t="s">
        <v>42</v>
      </c>
      <c r="Z32" s="4">
        <v>0</v>
      </c>
      <c r="AA32" s="4">
        <v>0</v>
      </c>
      <c r="AB32" s="4">
        <v>0</v>
      </c>
      <c r="AC32" s="4" t="s">
        <v>45</v>
      </c>
      <c r="AD32" s="4" t="s">
        <v>45</v>
      </c>
      <c r="AE32" s="28" t="s">
        <v>395</v>
      </c>
      <c r="AF32" s="4" t="s">
        <v>45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4" t="s">
        <v>40</v>
      </c>
      <c r="AM32" s="8">
        <f t="shared" si="0"/>
        <v>1463.4315334916339</v>
      </c>
      <c r="AN32" s="8">
        <f>IFERROR(C32*_xlfn.XLOOKUP(E32,Groups!A:A,Groups!K:K),0.106*C32^0.94)</f>
        <v>0.15809415375613439</v>
      </c>
      <c r="AO32" s="8">
        <f>AN32*10000/(_xlfn.XLOOKUP(E32,Groups!A:A,Groups!J:J)*AM32)</f>
        <v>0.99109869313185717</v>
      </c>
      <c r="AP32" s="8">
        <f t="shared" si="1"/>
        <v>77.884242674668926</v>
      </c>
      <c r="AQ32" s="8">
        <f>IF(_xlfn.XLOOKUP(E32,Groups!A:A,Groups!M:M)=1,EXP(0.7444*LN('Base stats'!C32)+6.5696),EXP(0.7927*LN('Base stats'!C32)+4.28))</f>
        <v>101.20111087866492</v>
      </c>
      <c r="AR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"No")))))))))))))))</f>
        <v>350.42949816794163</v>
      </c>
      <c r="AS32" s="8">
        <f>IF(_xlfn.XLOOKUP(E32,Groups!A:A,Groups!U:U)=3,AQ32,IF(_xlfn.XLOOKUP(E32,Groups!A:A,Groups!U:U)=2,AP32,AR32))</f>
        <v>350.42949816794163</v>
      </c>
      <c r="AT32" s="46">
        <f>IFERROR(AVERAGE(_xlfn.XLOOKUP(B32,Animals!B:B,Animals!N:N),_xlfn.XLOOKUP(B32,Animals!B:B,Animals!O:O)),0)</f>
        <v>0</v>
      </c>
      <c r="AU32" s="8">
        <f>MROUND(40*Animals!AO32*_xlfn.XLOOKUP(Animals!BB32,Leathers!$A$2:$A$100,Leathers!$B$2:$B$100,0)+(140*_xlfn.XLOOKUP(B32,Animals!B:B,Animals!AO:AO)*2),5)</f>
        <v>90</v>
      </c>
      <c r="AV32" s="8">
        <f>IFERROR(ROUND(SQRT(V32-1)*IF(_xlfn.XLOOKUP(E32,Groups!A:A,Groups!BF:BF)=0,2,1)*IF(_xlfn.XLOOKUP('Base stats'!E32,Groups!A:A,Groups!O:O)=0,1,0.1),1),0)</f>
        <v>0</v>
      </c>
      <c r="AW32" s="8">
        <f t="shared" si="2"/>
        <v>0</v>
      </c>
      <c r="AX32" s="8">
        <f t="shared" si="3"/>
        <v>0</v>
      </c>
      <c r="AY32" s="8">
        <f t="shared" si="4"/>
        <v>0.7</v>
      </c>
      <c r="AZ32" s="8">
        <f>IF(_xlfn.XLOOKUP(E32,Groups!A:A,Groups!N:N)="Insect",BB32*2.5,IFERROR(AVERAGE(BB32,AR32/9.81/IF(OR(_xlfn.XLOOKUP(E32,Groups!A:A,Groups!N:N)="Pig",_xlfn.XLOOKUP(E32,Groups!A:A,Groups!N:N)="StrongBitingHerbivore"),20,25))*C32^-0.135,BB32))</f>
        <v>0.70007432845739126</v>
      </c>
      <c r="BA32" s="8" t="str">
        <f>IF(W32="No","No",IF(_xlfn.XLOOKUP(E32,Groups!A:A,Groups!U:U)=1,'Base stats'!AZ32,IF(OR(_xlfn.XLOOKUP(E32,Groups!A:A,Groups!BD:BD)=1,_xlfn.XLOOKUP(E32,Groups!A:A,Groups!U:U)=2),BB32,IF(_xlfn.XLOOKUP(B32,Animals!B:B,Animals!AO:AO)&gt;4,AVERAGE(BB32,BD32),BD32))))</f>
        <v>No</v>
      </c>
      <c r="BB32" s="8">
        <f t="shared" si="5"/>
        <v>5.4018610133347036E-2</v>
      </c>
      <c r="BC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D32" s="8">
        <f>(0.048*C32^1.01)/IF(_xlfn.XLOOKUP(E32,Groups!A:A,Groups!M:M)=1,0.25,0.8)*C32^-0.25</f>
        <v>8.2892786271995381E-2</v>
      </c>
      <c r="BE32" s="8">
        <f>EXP(1.076*LN(AP32)-4.5397)*IF(_xlfn.XLOOKUP(E32,Groups!A:A,Groups!BC:BC)=1,1.25,IF(_xlfn.XLOOKUP(E32,Groups!A:A,Groups!BD:BD)=1,3.5,2.5))</f>
        <v>2.894497109254401</v>
      </c>
      <c r="BF32" s="8">
        <f>EXP(1.076*LN(AQ32)-4.5397)*IF(_xlfn.XLOOKUP(E32,Groups!A:A,Groups!M:M)=1,0.8,IF(_xlfn.XLOOKUP(E32,Groups!A:A,Groups!BC:BC)=1,1.3,3))</f>
        <v>4.603985596116086</v>
      </c>
      <c r="BG32" s="8" t="str">
        <f>IF(W32="No","No",IF(_xlfn.XLOOKUP(E32,Groups!A:A,Groups!U:U)=1,'Base stats'!BH32,IF(OR(_xlfn.XLOOKUP(E32,Groups!A:A,Groups!BD:BD)=1,_xlfn.XLOOKUP(E32,Groups!A:A,Groups!U:U)=2),BE32,BF32))*1.2)</f>
        <v>No</v>
      </c>
      <c r="BH32" s="8">
        <f>IFERROR(EXP(1.076*LN(AR32)-4.5397)*IF(_xlfn.XLOOKUP(E32,Groups!A:A,Groups!N:N)="Insect",1,IF(OR(_xlfn.XLOOKUP(E32,Groups!A:A,Groups!N:N)="Pig",_xlfn.XLOOKUP(E32,Groups!A:A,Groups!N:N)="StrongBitingHerbivore"),3.5,3.75)),"No")</f>
        <v>21.900544615357333</v>
      </c>
      <c r="BI32" s="8">
        <f t="shared" si="10"/>
        <v>10</v>
      </c>
      <c r="BJ32" s="8">
        <f t="shared" si="11"/>
        <v>9</v>
      </c>
      <c r="BK32" s="8" t="str">
        <f t="shared" si="6"/>
        <v>No</v>
      </c>
      <c r="BL32" s="8">
        <f t="shared" si="7"/>
        <v>7</v>
      </c>
      <c r="BM32" s="8">
        <f t="shared" si="12"/>
        <v>10</v>
      </c>
      <c r="BN32" s="8" cm="1">
        <f t="array" ref="BN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O32" s="8" t="str">
        <f>IF(W32="No","No",IF(_xlfn.XLOOKUP(E32,Groups!A:A,Groups!BD:BD)=1,(AM32*5%),EXP(0.7354*LN(C32)^0.4078)*2/IF(_xlfn.XLOOKUP(E32,Groups!A:A,Groups!BL:BL)=1,1000,100)))</f>
        <v>No</v>
      </c>
      <c r="BP32" s="8">
        <f>IF(BH32="No","No",IF(_xlfn.XLOOKUP(E32,Groups!A:A,Groups!BF:BF)=1,(0.0315*C32+2.1825)*2,(0.7354*C32^0.4078)*2)/IF(_xlfn.XLOOKUP(E32,Groups!A:A,Groups!BM:BM)=1,1000,100))</f>
        <v>1.7493261435342175E-2</v>
      </c>
      <c r="BQ32" s="8">
        <f t="shared" si="8"/>
        <v>3.9557670352344476E-2</v>
      </c>
      <c r="BR32" s="8">
        <f t="shared" si="13"/>
        <v>263.18623391830823</v>
      </c>
      <c r="BS32" s="8" t="str">
        <f t="shared" si="9"/>
        <v>No</v>
      </c>
      <c r="BT32" s="8">
        <f t="shared" si="14"/>
        <v>1251.9417660511829</v>
      </c>
      <c r="BU32" s="4">
        <v>0</v>
      </c>
      <c r="BV32" s="4">
        <v>1</v>
      </c>
    </row>
    <row r="33" spans="1:74" x14ac:dyDescent="0.25">
      <c r="A33" s="26" t="s">
        <v>172</v>
      </c>
      <c r="B33" s="6" t="s">
        <v>173</v>
      </c>
      <c r="C33" s="7">
        <v>8</v>
      </c>
      <c r="D33" s="7" t="s">
        <v>532</v>
      </c>
      <c r="E33" s="7" t="str">
        <f>Groups!A60</f>
        <v>Snake (venomous)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532</v>
      </c>
      <c r="L33" s="7">
        <v>19</v>
      </c>
      <c r="M33" s="7" t="s">
        <v>643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945</v>
      </c>
      <c r="Y33" s="4" t="s">
        <v>56</v>
      </c>
      <c r="Z33" s="4">
        <v>1</v>
      </c>
      <c r="AA33" s="4">
        <v>0</v>
      </c>
      <c r="AB33" s="4">
        <v>0</v>
      </c>
      <c r="AC33" s="4" t="s">
        <v>45</v>
      </c>
      <c r="AD33" s="4" t="s">
        <v>45</v>
      </c>
      <c r="AE33" s="28" t="s">
        <v>395</v>
      </c>
      <c r="AF33" s="4" t="s">
        <v>45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4" t="s">
        <v>40</v>
      </c>
      <c r="AM33" s="8">
        <f t="shared" si="0"/>
        <v>4288.757300426314</v>
      </c>
      <c r="AN33" s="8">
        <f>IFERROR(C33*_xlfn.XLOOKUP(E33,Groups!A:A,Groups!K:K),0.106*C33^0.94)</f>
        <v>0.74853214085447506</v>
      </c>
      <c r="AO33" s="8">
        <f>AN33*10000/(_xlfn.XLOOKUP(E33,Groups!A:A,Groups!J:J)*AM33)</f>
        <v>1.6012254520921798</v>
      </c>
      <c r="AP33" s="8">
        <f t="shared" si="1"/>
        <v>314.9784646370465</v>
      </c>
      <c r="AQ33" s="8">
        <f>IF(_xlfn.XLOOKUP(E33,Groups!A:A,Groups!M:M)=1,EXP(0.7444*LN('Base stats'!C33)+6.5696),EXP(0.7927*LN('Base stats'!C33)+4.28))</f>
        <v>375.54312447761004</v>
      </c>
      <c r="AR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"No")))))))))))))))</f>
        <v>199.99999999999994</v>
      </c>
      <c r="AS33" s="8">
        <f>IF(_xlfn.XLOOKUP(E33,Groups!A:A,Groups!U:U)=3,AQ33,IF(_xlfn.XLOOKUP(E33,Groups!A:A,Groups!U:U)=2,AP33,AR33))</f>
        <v>199.99999999999994</v>
      </c>
      <c r="AT33" s="46">
        <f>IFERROR(AVERAGE(_xlfn.XLOOKUP(B33,Animals!B:B,Animals!N:N),_xlfn.XLOOKUP(B33,Animals!B:B,Animals!O:O)),0)</f>
        <v>0</v>
      </c>
      <c r="AU33" s="8">
        <f>MROUND(40*Animals!AO33*_xlfn.XLOOKUP(Animals!BB33,Leathers!$A$2:$A$100,Leathers!$B$2:$B$100,0)+(140*_xlfn.XLOOKUP(B33,Animals!B:B,Animals!AO:AO)*2),5)</f>
        <v>180</v>
      </c>
      <c r="AV33" s="8">
        <f>IFERROR(ROUND(SQRT(V33-1)*IF(_xlfn.XLOOKUP(E33,Groups!A:A,Groups!BF:BF)=0,2,1)*IF(_xlfn.XLOOKUP('Base stats'!E33,Groups!A:A,Groups!O:O)=0,1,0.1),1),0)</f>
        <v>1</v>
      </c>
      <c r="AW33" s="8">
        <f t="shared" si="2"/>
        <v>0</v>
      </c>
      <c r="AX33" s="8">
        <f t="shared" si="3"/>
        <v>0</v>
      </c>
      <c r="AY33" s="8">
        <f t="shared" si="4"/>
        <v>1.4</v>
      </c>
      <c r="AZ33" s="8">
        <f>IF(_xlfn.XLOOKUP(E33,Groups!A:A,Groups!N:N)="Insect",BB33*2.5,IFERROR(AVERAGE(BB33,AR33/9.81/IF(OR(_xlfn.XLOOKUP(E33,Groups!A:A,Groups!N:N)="Pig",_xlfn.XLOOKUP(E33,Groups!A:A,Groups!N:N)="StrongBitingHerbivore"),20,25))*C33^-0.135,BB33))</f>
        <v>0.39127650212614778</v>
      </c>
      <c r="BA33" s="8" t="str">
        <f>IF(W33="No","No",IF(_xlfn.XLOOKUP(E33,Groups!A:A,Groups!U:U)=1,'Base stats'!AZ33,IF(OR(_xlfn.XLOOKUP(E33,Groups!A:A,Groups!BD:BD)=1,_xlfn.XLOOKUP(E33,Groups!A:A,Groups!U:U)=2),BB33,IF(_xlfn.XLOOKUP(B33,Animals!B:B,Animals!AO:AO)&gt;4,AVERAGE(BB33,BD33),BD33))))</f>
        <v>No</v>
      </c>
      <c r="BB33" s="8">
        <f t="shared" si="5"/>
        <v>0.22067536125102225</v>
      </c>
      <c r="BC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D33" s="8">
        <f>(0.048*C33^1.01)/IF(_xlfn.XLOOKUP(E33,Groups!A:A,Groups!M:M)=1,0.25,0.8)*C33^-0.25</f>
        <v>0.29140677225481115</v>
      </c>
      <c r="BE33" s="8">
        <f>EXP(1.076*LN(AP33)-4.5397)*IF(_xlfn.XLOOKUP(E33,Groups!A:A,Groups!BC:BC)=1,1.25,IF(_xlfn.XLOOKUP(E33,Groups!A:A,Groups!BD:BD)=1,3.5,2.5))</f>
        <v>13.017379206175637</v>
      </c>
      <c r="BF33" s="8">
        <f>EXP(1.076*LN(AQ33)-4.5397)*IF(_xlfn.XLOOKUP(E33,Groups!A:A,Groups!M:M)=1,0.8,IF(_xlfn.XLOOKUP(E33,Groups!A:A,Groups!BC:BC)=1,1.3,3))</f>
        <v>18.875069369328124</v>
      </c>
      <c r="BG33" s="8" t="str">
        <f>IF(W33="No","No",IF(_xlfn.XLOOKUP(E33,Groups!A:A,Groups!U:U)=1,'Base stats'!BH33,IF(OR(_xlfn.XLOOKUP(E33,Groups!A:A,Groups!BD:BD)=1,_xlfn.XLOOKUP(E33,Groups!A:A,Groups!U:U)=2),BE33,BF33))*1.2)</f>
        <v>No</v>
      </c>
      <c r="BH33" s="8">
        <f>IFERROR(EXP(1.076*LN(AR33)-4.5397)*IF(_xlfn.XLOOKUP(E33,Groups!A:A,Groups!N:N)="Insect",1,IF(OR(_xlfn.XLOOKUP(E33,Groups!A:A,Groups!N:N)="Pig",_xlfn.XLOOKUP(E33,Groups!A:A,Groups!N:N)="StrongBitingHerbivore"),3.5,3.75)),"No")</f>
        <v>11.977684893457671</v>
      </c>
      <c r="BI33" s="8">
        <f t="shared" si="10"/>
        <v>10</v>
      </c>
      <c r="BJ33" s="8">
        <f t="shared" si="11"/>
        <v>10</v>
      </c>
      <c r="BK33" s="8" t="str">
        <f t="shared" si="6"/>
        <v>No</v>
      </c>
      <c r="BL33" s="8">
        <f t="shared" si="7"/>
        <v>7</v>
      </c>
      <c r="BM33" s="8">
        <f t="shared" si="12"/>
        <v>11</v>
      </c>
      <c r="BN33" s="8" t="str" cm="1">
        <f t="array" ref="BN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O33" s="8" t="str">
        <f>IF(W33="No","No",IF(_xlfn.XLOOKUP(E33,Groups!A:A,Groups!BD:BD)=1,(AM33*5%),EXP(0.7354*LN(C33)^0.4078)*2/IF(_xlfn.XLOOKUP(E33,Groups!A:A,Groups!BL:BL)=1,1000,100)))</f>
        <v>No</v>
      </c>
      <c r="BP33" s="8">
        <f>IF(BH33="No","No",IF(_xlfn.XLOOKUP(E33,Groups!A:A,Groups!BF:BF)=1,(0.0315*C33+2.1825)*2,(0.7354*C33^0.4078)*2)/IF(_xlfn.XLOOKUP(E33,Groups!A:A,Groups!BM:BM)=1,1000,100))</f>
        <v>3.434264320573633E-2</v>
      </c>
      <c r="BQ33" s="8">
        <f t="shared" si="8"/>
        <v>6.07046670833142E-2</v>
      </c>
      <c r="BR33" s="8" t="str">
        <f t="shared" si="13"/>
        <v>No</v>
      </c>
      <c r="BS33" s="8" t="str">
        <f t="shared" si="9"/>
        <v>No</v>
      </c>
      <c r="BT33" s="8">
        <f t="shared" si="14"/>
        <v>348.77003559985184</v>
      </c>
      <c r="BU33" s="4">
        <v>0</v>
      </c>
      <c r="BV33" s="4">
        <v>1</v>
      </c>
    </row>
    <row r="34" spans="1:74" x14ac:dyDescent="0.25">
      <c r="A34" s="26" t="s">
        <v>175</v>
      </c>
      <c r="B34" s="6" t="s">
        <v>176</v>
      </c>
      <c r="C34" s="7">
        <v>26</v>
      </c>
      <c r="D34" s="7" t="s">
        <v>1198</v>
      </c>
      <c r="E34" s="7" t="str">
        <f>Groups!A64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545</v>
      </c>
      <c r="L34" s="7">
        <f>0.28*3.6*5</f>
        <v>5.0400000000000009</v>
      </c>
      <c r="M34" s="7" t="s">
        <v>645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945</v>
      </c>
      <c r="Y34" s="4" t="s">
        <v>42</v>
      </c>
      <c r="Z34" s="4">
        <v>0</v>
      </c>
      <c r="AA34" s="4">
        <v>0</v>
      </c>
      <c r="AB34" s="4">
        <v>0</v>
      </c>
      <c r="AC34" s="4" t="s">
        <v>45</v>
      </c>
      <c r="AD34" s="4" t="s">
        <v>45</v>
      </c>
      <c r="AE34" s="28" t="s">
        <v>395</v>
      </c>
      <c r="AF34" s="4" t="s">
        <v>45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4" t="s">
        <v>40</v>
      </c>
      <c r="AM34" s="8">
        <f t="shared" ref="AM34:AM65" si="21">(0.111*C34^0.65)*10000</f>
        <v>9226.8966253474555</v>
      </c>
      <c r="AN34" s="8">
        <f>IFERROR(C34*_xlfn.XLOOKUP(E34,Groups!A:A,Groups!K:K),0.106*C34^0.94)</f>
        <v>8.32</v>
      </c>
      <c r="AO34" s="8">
        <f>AN34*10000/(_xlfn.XLOOKUP(E34,Groups!A:A,Groups!J:J)*AM34)</f>
        <v>6.7797866950837253</v>
      </c>
      <c r="AP34" s="8">
        <f t="shared" ref="AP34:AP65" si="22">EXP(0.8447*LN(C34)+3.996)</f>
        <v>852.44964986092737</v>
      </c>
      <c r="AQ34" s="8">
        <f>IF(_xlfn.XLOOKUP(E34,Groups!A:A,Groups!M:M)=1,EXP(0.7444*LN('Base stats'!C34)+6.5696),EXP(0.7927*LN('Base stats'!C34)+4.28))</f>
        <v>955.93806528846119</v>
      </c>
      <c r="AR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"No")))))))))))))))</f>
        <v>521.5952571436178</v>
      </c>
      <c r="AS34" s="8">
        <f>IF(_xlfn.XLOOKUP(E34,Groups!A:A,Groups!U:U)=3,AQ34,IF(_xlfn.XLOOKUP(E34,Groups!A:A,Groups!U:U)=2,AP34,AR34))</f>
        <v>521.5952571436178</v>
      </c>
      <c r="AT34" s="46">
        <f>IFERROR(AVERAGE(_xlfn.XLOOKUP(B34,Animals!B:B,Animals!N:N),_xlfn.XLOOKUP(B34,Animals!B:B,Animals!O:O)),0)</f>
        <v>0.82500000000000007</v>
      </c>
      <c r="AU34" s="8">
        <f>MROUND(40*Animals!AO34*_xlfn.XLOOKUP(Animals!BB34,Leathers!$A$2:$A$100,Leathers!$B$2:$B$100,0)+(140*_xlfn.XLOOKUP(B34,Animals!B:B,Animals!AO:AO)*2),5)</f>
        <v>295</v>
      </c>
      <c r="AV34" s="8">
        <f>IFERROR(ROUND(SQRT(V34-1)*IF(_xlfn.XLOOKUP(E34,Groups!A:A,Groups!BF:BF)=0,2,1)*IF(_xlfn.XLOOKUP('Base stats'!E34,Groups!A:A,Groups!O:O)=0,1,0.1),1),0)</f>
        <v>0.2</v>
      </c>
      <c r="AW34" s="8">
        <f t="shared" ref="AW34:AW65" si="23">IFERROR(ROUND(SQRT(U34-1),1),0)</f>
        <v>0</v>
      </c>
      <c r="AX34" s="8">
        <f t="shared" ref="AX34:AX65" si="24">IFERROR(ROUND(SQRT(W34),1),0)</f>
        <v>0</v>
      </c>
      <c r="AY34" s="8">
        <f t="shared" ref="AY34:AY65" si="25">ROUND(
  EXP(0.3582*LN(C34)-0.2221) *
  (0.75 + 0.25*(C34^4/(C34^4+10^4))),
1)</f>
        <v>2.6</v>
      </c>
      <c r="AZ34" s="8">
        <f>IF(_xlfn.XLOOKUP(E34,Groups!A:A,Groups!N:N)="Insect",BB34*2.5,IFERROR(AVERAGE(BB34,AR34/9.81/IF(OR(_xlfn.XLOOKUP(E34,Groups!A:A,Groups!N:N)="Pig",_xlfn.XLOOKUP(E34,Groups!A:A,Groups!N:N)="StrongBitingHerbivore"),20,25))*C34^-0.135,BB34))</f>
        <v>0.83224612092977912</v>
      </c>
      <c r="BA34" s="8" t="str">
        <f>IF(W34="No","No",IF(_xlfn.XLOOKUP(E34,Groups!A:A,Groups!U:U)=1,'Base stats'!AZ34,IF(OR(_xlfn.XLOOKUP(E34,Groups!A:A,Groups!BD:BD)=1,_xlfn.XLOOKUP(E34,Groups!A:A,Groups!U:U)=2),BB34,IF(_xlfn.XLOOKUP(B34,Animals!B:B,Animals!AO:AO)&gt;4,AVERAGE(BB34,BD34),BD34))))</f>
        <v>No</v>
      </c>
      <c r="BB34" s="8">
        <f t="shared" ref="BB34:BB65" si="26">(0.0392*C34^IF(OR(Y34="Herbivore",Y34="Dendrovore",Y34="OmnivoreRough"),0.889,0.966))*C34^-0.135</f>
        <v>0.4572734342942808</v>
      </c>
      <c r="BC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D34" s="8">
        <f>(0.048*C34^1.01)/IF(_xlfn.XLOOKUP(E34,Groups!A:A,Groups!M:M)=1,0.25,0.8)*C34^-0.25</f>
        <v>0.71372514062620962</v>
      </c>
      <c r="BE34" s="8">
        <f>EXP(1.076*LN(AP34)-4.5397)*IF(_xlfn.XLOOKUP(E34,Groups!A:A,Groups!BC:BC)=1,1.25,IF(_xlfn.XLOOKUP(E34,Groups!A:A,Groups!BD:BD)=1,3.5,2.5))</f>
        <v>18.999532470570877</v>
      </c>
      <c r="BF34" s="8">
        <f>EXP(1.076*LN(AQ34)-4.5397)*IF(_xlfn.XLOOKUP(E34,Groups!A:A,Groups!M:M)=1,0.8,IF(_xlfn.XLOOKUP(E34,Groups!A:A,Groups!BC:BC)=1,1.3,3))</f>
        <v>22.352140040075696</v>
      </c>
      <c r="BG34" s="8" t="str">
        <f>IF(W34="No","No",IF(_xlfn.XLOOKUP(E34,Groups!A:A,Groups!U:U)=1,'Base stats'!BH34,IF(OR(_xlfn.XLOOKUP(E34,Groups!A:A,Groups!BD:BD)=1,_xlfn.XLOOKUP(E34,Groups!A:A,Groups!U:U)=2),BE34,BF34))*1.2)</f>
        <v>No</v>
      </c>
      <c r="BH34" s="8">
        <f>IFERROR(EXP(1.076*LN(AR34)-4.5397)*IF(_xlfn.XLOOKUP(E34,Groups!A:A,Groups!N:N)="Insect",1,IF(OR(_xlfn.XLOOKUP(E34,Groups!A:A,Groups!N:N)="Pig",_xlfn.XLOOKUP(E34,Groups!A:A,Groups!N:N)="StrongBitingHerbivore"),3.5,3.75)),"No")</f>
        <v>33.598168057916546</v>
      </c>
      <c r="BI34" s="8">
        <f t="shared" si="10"/>
        <v>9</v>
      </c>
      <c r="BJ34" s="8">
        <f t="shared" si="11"/>
        <v>9</v>
      </c>
      <c r="BK34" s="8" t="str">
        <f t="shared" ref="BK34:BK65" si="27">IF(W34="No","No",ROUNDDOWN(SQRT((2*BG34)/BA34),0))</f>
        <v>No</v>
      </c>
      <c r="BL34" s="8">
        <f t="shared" ref="BL34:BL65" si="28">IF(V34="No","No",ROUNDDOWN(SQRT((2*BH34)/AZ34),0))</f>
        <v>8</v>
      </c>
      <c r="BM34" s="8">
        <f t="shared" si="12"/>
        <v>7</v>
      </c>
      <c r="BN34" s="8" t="str" cm="1">
        <f t="array" ref="BN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O34" s="8" t="str">
        <f>IF(W34="No","No",IF(_xlfn.XLOOKUP(E34,Groups!A:A,Groups!BD:BD)=1,(AM34*5%),EXP(0.7354*LN(C34)^0.4078)*2/IF(_xlfn.XLOOKUP(E34,Groups!A:A,Groups!BL:BL)=1,1000,100)))</f>
        <v>No</v>
      </c>
      <c r="BP34" s="8">
        <f>IF(BH34="No","No",IF(_xlfn.XLOOKUP(E34,Groups!A:A,Groups!BF:BF)=1,(0.0315*C34+2.1825)*2,(0.7354*C34^0.4078)*2)/IF(_xlfn.XLOOKUP(E34,Groups!A:A,Groups!BM:BM)=1,1000,100))</f>
        <v>6.003E-2</v>
      </c>
      <c r="BQ34" s="8">
        <f t="shared" ref="BQ34:BQ65" si="29">BE34/(AM34*5%)</f>
        <v>4.1182931254213365E-2</v>
      </c>
      <c r="BR34" s="8" t="str">
        <f t="shared" si="13"/>
        <v>No</v>
      </c>
      <c r="BS34" s="8" t="str">
        <f t="shared" ref="BS34:BS65" si="30">IF(W34="No","No",BG34/BO34)</f>
        <v>No</v>
      </c>
      <c r="BT34" s="8">
        <f t="shared" si="14"/>
        <v>559.68962282053212</v>
      </c>
      <c r="BU34" s="4">
        <v>0</v>
      </c>
      <c r="BV34" s="4">
        <v>1</v>
      </c>
    </row>
    <row r="35" spans="1:74" x14ac:dyDescent="0.25">
      <c r="A35" s="26" t="s">
        <v>138</v>
      </c>
      <c r="B35" s="6" t="s">
        <v>139</v>
      </c>
      <c r="C35" s="7">
        <v>0.3</v>
      </c>
      <c r="D35" s="7" t="s">
        <v>533</v>
      </c>
      <c r="E35" s="7" t="str">
        <f>Groups!A49</f>
        <v>Rodentlike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533</v>
      </c>
      <c r="L35" s="7">
        <f>AVERAGE(1.22,1.85)*3.6*(23.3/11)</f>
        <v>11.705072727272729</v>
      </c>
      <c r="M35" s="7" t="s">
        <v>642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945</v>
      </c>
      <c r="Y35" s="4" t="s">
        <v>1023</v>
      </c>
      <c r="Z35" s="4">
        <v>0</v>
      </c>
      <c r="AA35" s="4">
        <v>0</v>
      </c>
      <c r="AB35" s="4">
        <v>0</v>
      </c>
      <c r="AC35" s="4" t="s">
        <v>45</v>
      </c>
      <c r="AD35" s="4" t="s">
        <v>409</v>
      </c>
      <c r="AE35" s="28" t="s">
        <v>394</v>
      </c>
      <c r="AF35" s="4" t="s">
        <v>45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4" t="s">
        <v>40</v>
      </c>
      <c r="AM35" s="8">
        <f t="shared" si="21"/>
        <v>507.51840257727082</v>
      </c>
      <c r="AN35" s="8">
        <f>IFERROR(C35*_xlfn.XLOOKUP(E35,Groups!A:A,Groups!K:K),0.106*C35^0.94)</f>
        <v>3.4182186918603891E-2</v>
      </c>
      <c r="AO35" s="8">
        <f>AN35*10000/(_xlfn.XLOOKUP(E35,Groups!A:A,Groups!J:J)*AM35)</f>
        <v>0.61790477652100573</v>
      </c>
      <c r="AP35" s="8">
        <f t="shared" si="22"/>
        <v>19.668220728047135</v>
      </c>
      <c r="AQ35" s="8">
        <f>IF(_xlfn.XLOOKUP(E35,Groups!A:A,Groups!M:M)=1,EXP(0.7444*LN('Base stats'!C35)+6.5696),EXP(0.7927*LN('Base stats'!C35)+4.28))</f>
        <v>27.81598228970504</v>
      </c>
      <c r="AR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"No")))))))))))))))</f>
        <v>46.084722438052424</v>
      </c>
      <c r="AS35" s="8">
        <f>IF(_xlfn.XLOOKUP(E35,Groups!A:A,Groups!U:U)=3,AQ35,IF(_xlfn.XLOOKUP(E35,Groups!A:A,Groups!U:U)=2,AP35,AR35))</f>
        <v>46.084722438052424</v>
      </c>
      <c r="AT35" s="46">
        <f>IFERROR(AVERAGE(_xlfn.XLOOKUP(B35,Animals!B:B,Animals!N:N),_xlfn.XLOOKUP(B35,Animals!B:B,Animals!O:O)),0)</f>
        <v>0</v>
      </c>
      <c r="AU35" s="8">
        <f>MROUND(40*Animals!AO35*_xlfn.XLOOKUP(Animals!BB35,Leathers!$A$2:$A$100,Leathers!$B$2:$B$100,0)+(140*_xlfn.XLOOKUP(B35,Animals!B:B,Animals!AO:AO)*2),5)</f>
        <v>35</v>
      </c>
      <c r="AV35" s="8">
        <f>IFERROR(ROUND(SQRT(V35-1)*IF(_xlfn.XLOOKUP(E35,Groups!A:A,Groups!BF:BF)=0,2,1)*IF(_xlfn.XLOOKUP('Base stats'!E35,Groups!A:A,Groups!O:O)=0,1,0.1),1),0)</f>
        <v>0</v>
      </c>
      <c r="AW35" s="8">
        <f t="shared" si="23"/>
        <v>0</v>
      </c>
      <c r="AX35" s="8">
        <f t="shared" si="24"/>
        <v>0</v>
      </c>
      <c r="AY35" s="8">
        <f t="shared" si="25"/>
        <v>0.4</v>
      </c>
      <c r="AZ35" s="8">
        <f>IF(_xlfn.XLOOKUP(E35,Groups!A:A,Groups!N:N)="Insect",BB35*2.5,IFERROR(AVERAGE(BB35,AR35/9.81/IF(OR(_xlfn.XLOOKUP(E35,Groups!A:A,Groups!N:N)="Pig",_xlfn.XLOOKUP(E35,Groups!A:A,Groups!N:N)="StrongBitingHerbivore"),20,25))*C35^-0.135,BB35))</f>
        <v>0.11983910660182714</v>
      </c>
      <c r="BA35" s="8" t="str">
        <f>IF(W35="No","No",IF(_xlfn.XLOOKUP(E35,Groups!A:A,Groups!U:U)=1,'Base stats'!AZ35,IF(OR(_xlfn.XLOOKUP(E35,Groups!A:A,Groups!BD:BD)=1,_xlfn.XLOOKUP(E35,Groups!A:A,Groups!U:U)=2),BB35,IF(_xlfn.XLOOKUP(B35,Animals!B:B,Animals!AO:AO)&gt;4,AVERAGE(BB35,BD35),BD35))))</f>
        <v>No</v>
      </c>
      <c r="BB35" s="8">
        <f t="shared" si="26"/>
        <v>1.581377273367229E-2</v>
      </c>
      <c r="BC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D35" s="8">
        <f>(0.048*C35^1.01)/IF(_xlfn.XLOOKUP(E35,Groups!A:A,Groups!M:M)=1,0.25,0.8)*C35^-0.25</f>
        <v>2.4030533019811343E-2</v>
      </c>
      <c r="BE35" s="8">
        <f>EXP(1.076*LN(AP35)-4.5397)*IF(_xlfn.XLOOKUP(E35,Groups!A:A,Groups!BC:BC)=1,1.25,IF(_xlfn.XLOOKUP(E35,Groups!A:A,Groups!BD:BD)=1,3.5,2.5))</f>
        <v>0.6583617156570799</v>
      </c>
      <c r="BF35" s="8">
        <f>EXP(1.076*LN(AQ35)-4.5397)*IF(_xlfn.XLOOKUP(E35,Groups!A:A,Groups!M:M)=1,0.8,IF(_xlfn.XLOOKUP(E35,Groups!A:A,Groups!BC:BC)=1,1.3,3))</f>
        <v>1.1471372193905376</v>
      </c>
      <c r="BG35" s="8" t="str">
        <f>IF(W35="No","No",IF(_xlfn.XLOOKUP(E35,Groups!A:A,Groups!U:U)=1,'Base stats'!BH35,IF(OR(_xlfn.XLOOKUP(E35,Groups!A:A,Groups!BD:BD)=1,_xlfn.XLOOKUP(E35,Groups!A:A,Groups!U:U)=2),BE35,BF35))*1.2)</f>
        <v>No</v>
      </c>
      <c r="BH35" s="8">
        <f>IFERROR(EXP(1.076*LN(AR35)-4.5397)*IF(_xlfn.XLOOKUP(E35,Groups!A:A,Groups!N:N)="Insect",1,IF(OR(_xlfn.XLOOKUP(E35,Groups!A:A,Groups!N:N)="Pig",_xlfn.XLOOKUP(E35,Groups!A:A,Groups!N:N)="StrongBitingHerbivore"),3.5,3.75)),"No")</f>
        <v>2.4686067635920321</v>
      </c>
      <c r="BI35" s="8">
        <f t="shared" si="10"/>
        <v>9</v>
      </c>
      <c r="BJ35" s="8">
        <f t="shared" si="11"/>
        <v>9</v>
      </c>
      <c r="BK35" s="8" t="str">
        <f t="shared" si="27"/>
        <v>No</v>
      </c>
      <c r="BL35" s="8">
        <f t="shared" si="28"/>
        <v>6</v>
      </c>
      <c r="BM35" s="8">
        <f t="shared" si="12"/>
        <v>9</v>
      </c>
      <c r="BN35" s="8" t="str" cm="1">
        <f t="array" ref="BN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O35" s="8" t="str">
        <f>IF(W35="No","No",IF(_xlfn.XLOOKUP(E35,Groups!A:A,Groups!BD:BD)=1,(AM35*5%),EXP(0.7354*LN(C35)^0.4078)*2/IF(_xlfn.XLOOKUP(E35,Groups!A:A,Groups!BL:BL)=1,1000,100)))</f>
        <v>No</v>
      </c>
      <c r="BP35" s="8">
        <f>IF(BH35="No","No",IF(_xlfn.XLOOKUP(E35,Groups!A:A,Groups!BF:BF)=1,(0.0315*C35+2.1825)*2,(0.7354*C35^0.4078)*2)/IF(_xlfn.XLOOKUP(E35,Groups!A:A,Groups!BM:BM)=1,1000,100))</f>
        <v>9.0016820456507111E-3</v>
      </c>
      <c r="BQ35" s="8">
        <f t="shared" si="29"/>
        <v>2.5944348512834187E-2</v>
      </c>
      <c r="BR35" s="8" t="str">
        <f t="shared" si="13"/>
        <v>No</v>
      </c>
      <c r="BS35" s="8" t="str">
        <f t="shared" si="30"/>
        <v>No</v>
      </c>
      <c r="BT35" s="8">
        <f t="shared" si="14"/>
        <v>274.2383869006764</v>
      </c>
      <c r="BU35" s="4">
        <v>0</v>
      </c>
      <c r="BV35" s="4">
        <v>1</v>
      </c>
    </row>
    <row r="36" spans="1:74" x14ac:dyDescent="0.25">
      <c r="A36" s="26" t="s">
        <v>136</v>
      </c>
      <c r="B36" s="6" t="s">
        <v>137</v>
      </c>
      <c r="C36" s="7">
        <v>0.6</v>
      </c>
      <c r="D36" s="7" t="s">
        <v>535</v>
      </c>
      <c r="E36" s="7" t="str">
        <f>Groups!A50</f>
        <v>Rodentlike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535</v>
      </c>
      <c r="L36" s="7">
        <f>MAX(27,20)</f>
        <v>27</v>
      </c>
      <c r="M36" s="7" t="s">
        <v>638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945</v>
      </c>
      <c r="Y36" s="4" t="s">
        <v>42</v>
      </c>
      <c r="Z36" s="4">
        <v>0</v>
      </c>
      <c r="AA36" s="4">
        <v>0</v>
      </c>
      <c r="AB36" s="4">
        <v>0</v>
      </c>
      <c r="AC36" s="4" t="s">
        <v>45</v>
      </c>
      <c r="AD36" s="4" t="s">
        <v>45</v>
      </c>
      <c r="AE36" s="28" t="s">
        <v>374</v>
      </c>
      <c r="AF36" s="4" t="str">
        <f>Animals!C35</f>
        <v>&lt;li&gt;Rat&lt;/li&gt;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4" t="s">
        <v>40</v>
      </c>
      <c r="AM36" s="8">
        <f t="shared" si="21"/>
        <v>796.38173610417607</v>
      </c>
      <c r="AN36" s="8">
        <f>IFERROR(C36*_xlfn.XLOOKUP(E36,Groups!A:A,Groups!K:K),0.106*C36^0.94)</f>
        <v>6.5579490862172282E-2</v>
      </c>
      <c r="AO36" s="8">
        <f>AN36*10000/(_xlfn.XLOOKUP(E36,Groups!A:A,Groups!J:J)*AM36)</f>
        <v>0.75547526755289796</v>
      </c>
      <c r="AP36" s="8">
        <f t="shared" si="22"/>
        <v>35.321985741595455</v>
      </c>
      <c r="AQ36" s="8">
        <f>IF(_xlfn.XLOOKUP(E36,Groups!A:A,Groups!M:M)=1,EXP(0.7444*LN('Base stats'!C36)+6.5696),EXP(0.7927*LN('Base stats'!C36)+4.28))</f>
        <v>48.186000270146096</v>
      </c>
      <c r="AR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"No")))))))))))))))</f>
        <v>73.783733780539208</v>
      </c>
      <c r="AS36" s="8">
        <f>IF(_xlfn.XLOOKUP(E36,Groups!A:A,Groups!U:U)=3,AQ36,IF(_xlfn.XLOOKUP(E36,Groups!A:A,Groups!U:U)=2,AP36,AR36))</f>
        <v>73.783733780539208</v>
      </c>
      <c r="AT36" s="46">
        <f>IFERROR(AVERAGE(_xlfn.XLOOKUP(B36,Animals!B:B,Animals!N:N),_xlfn.XLOOKUP(B36,Animals!B:B,Animals!O:O)),0)</f>
        <v>0</v>
      </c>
      <c r="AU36" s="8">
        <f>MROUND(40*Animals!AO36*_xlfn.XLOOKUP(Animals!BB36,Leathers!$A$2:$A$100,Leathers!$B$2:$B$100,0)+(140*_xlfn.XLOOKUP(B36,Animals!B:B,Animals!AO:AO)*2),5)</f>
        <v>65</v>
      </c>
      <c r="AV36" s="8">
        <f>IFERROR(ROUND(SQRT(V36-1)*IF(_xlfn.XLOOKUP(E36,Groups!A:A,Groups!BF:BF)=0,2,1)*IF(_xlfn.XLOOKUP('Base stats'!E36,Groups!A:A,Groups!O:O)=0,1,0.1),1),0)</f>
        <v>0</v>
      </c>
      <c r="AW36" s="8">
        <f t="shared" si="23"/>
        <v>0</v>
      </c>
      <c r="AX36" s="8">
        <f t="shared" si="24"/>
        <v>0</v>
      </c>
      <c r="AY36" s="8">
        <f t="shared" si="25"/>
        <v>0.5</v>
      </c>
      <c r="AZ36" s="8">
        <f>IF(_xlfn.XLOOKUP(E36,Groups!A:A,Groups!N:N)="Insect",BB36*2.5,IFERROR(AVERAGE(BB36,AR36/9.81/IF(OR(_xlfn.XLOOKUP(E36,Groups!A:A,Groups!N:N)="Pig",_xlfn.XLOOKUP(E36,Groups!A:A,Groups!N:N)="StrongBitingHerbivore"),20,25))*C36^-0.135,BB36))</f>
        <v>0.17545186522291994</v>
      </c>
      <c r="BA36" s="8" t="str">
        <f>IF(W36="No","No",IF(_xlfn.XLOOKUP(E36,Groups!A:A,Groups!U:U)=1,'Base stats'!AZ36,IF(OR(_xlfn.XLOOKUP(E36,Groups!A:A,Groups!BD:BD)=1,_xlfn.XLOOKUP(E36,Groups!A:A,Groups!U:U)=2),BB36,IF(_xlfn.XLOOKUP(B36,Animals!B:B,Animals!AO:AO)&gt;4,AVERAGE(BB36,BD36),BD36))))</f>
        <v>No</v>
      </c>
      <c r="BB36" s="8">
        <f t="shared" si="26"/>
        <v>2.6669330278914886E-2</v>
      </c>
      <c r="BC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D36" s="8">
        <f>(0.048*C36^1.01)/IF(_xlfn.XLOOKUP(E36,Groups!A:A,Groups!M:M)=1,0.25,0.8)*C36^-0.25</f>
        <v>4.0695482376196364E-2</v>
      </c>
      <c r="BE36" s="8">
        <f>EXP(1.076*LN(AP36)-4.5397)*IF(_xlfn.XLOOKUP(E36,Groups!A:A,Groups!BC:BC)=1,1.25,IF(_xlfn.XLOOKUP(E36,Groups!A:A,Groups!BD:BD)=1,3.5,2.5))</f>
        <v>1.2361463432878259</v>
      </c>
      <c r="BF36" s="8">
        <f>EXP(1.076*LN(AQ36)-4.5397)*IF(_xlfn.XLOOKUP(E36,Groups!A:A,Groups!M:M)=1,0.8,IF(_xlfn.XLOOKUP(E36,Groups!A:A,Groups!BC:BC)=1,1.3,3))</f>
        <v>2.071941364146892</v>
      </c>
      <c r="BG36" s="8" t="str">
        <f>IF(W36="No","No",IF(_xlfn.XLOOKUP(E36,Groups!A:A,Groups!U:U)=1,'Base stats'!BH36,IF(OR(_xlfn.XLOOKUP(E36,Groups!A:A,Groups!BD:BD)=1,_xlfn.XLOOKUP(E36,Groups!A:A,Groups!U:U)=2),BE36,BF36))*1.2)</f>
        <v>No</v>
      </c>
      <c r="BH36" s="8">
        <f>IFERROR(EXP(1.076*LN(AR36)-4.5397)*IF(_xlfn.XLOOKUP(E36,Groups!A:A,Groups!N:N)="Insect",1,IF(OR(_xlfn.XLOOKUP(E36,Groups!A:A,Groups!N:N)="Pig",_xlfn.XLOOKUP(E36,Groups!A:A,Groups!N:N)="StrongBitingHerbivore"),3.5,3.75)),"No")</f>
        <v>4.0962857498574889</v>
      </c>
      <c r="BI36" s="8">
        <f t="shared" si="10"/>
        <v>9</v>
      </c>
      <c r="BJ36" s="8">
        <f t="shared" si="11"/>
        <v>9</v>
      </c>
      <c r="BK36" s="8" t="str">
        <f t="shared" si="27"/>
        <v>No</v>
      </c>
      <c r="BL36" s="8">
        <f t="shared" si="28"/>
        <v>6</v>
      </c>
      <c r="BM36" s="8">
        <f t="shared" si="12"/>
        <v>10</v>
      </c>
      <c r="BN36" s="8" t="str" cm="1">
        <f t="array" ref="BN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O36" s="8" t="str">
        <f>IF(W36="No","No",IF(_xlfn.XLOOKUP(E36,Groups!A:A,Groups!BD:BD)=1,(AM36*5%),EXP(0.7354*LN(C36)^0.4078)*2/IF(_xlfn.XLOOKUP(E36,Groups!A:A,Groups!BL:BL)=1,1000,100)))</f>
        <v>No</v>
      </c>
      <c r="BP36" s="8">
        <f>IF(BH36="No","No",IF(_xlfn.XLOOKUP(E36,Groups!A:A,Groups!BF:BF)=1,(0.0315*C36+2.1825)*2,(0.7354*C36^0.4078)*2)/IF(_xlfn.XLOOKUP(E36,Groups!A:A,Groups!BM:BM)=1,1000,100))</f>
        <v>1.1942182426698152E-2</v>
      </c>
      <c r="BQ36" s="8">
        <f t="shared" si="29"/>
        <v>3.1044065609413307E-2</v>
      </c>
      <c r="BR36" s="8" t="str">
        <f t="shared" si="13"/>
        <v>No</v>
      </c>
      <c r="BS36" s="8" t="str">
        <f t="shared" si="30"/>
        <v>No</v>
      </c>
      <c r="BT36" s="8">
        <f t="shared" si="14"/>
        <v>343.00981206749623</v>
      </c>
      <c r="BU36" s="4">
        <v>0</v>
      </c>
      <c r="BV36" s="4">
        <v>1</v>
      </c>
    </row>
    <row r="37" spans="1:74" x14ac:dyDescent="0.25">
      <c r="A37" s="26" t="s">
        <v>132</v>
      </c>
      <c r="B37" s="6" t="s">
        <v>133</v>
      </c>
      <c r="C37" s="7">
        <v>0.72799999999999998</v>
      </c>
      <c r="D37" s="7" t="s">
        <v>536</v>
      </c>
      <c r="E37" s="7" t="str">
        <f>Groups!A48</f>
        <v>Rodentlike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536</v>
      </c>
      <c r="L37" s="7">
        <f>MIN(20*C37^0.183,19.9*C37^0.142)</f>
        <v>18.871222625770422</v>
      </c>
      <c r="M37" s="7" t="s">
        <v>638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945</v>
      </c>
      <c r="Y37" s="4" t="s">
        <v>42</v>
      </c>
      <c r="Z37" s="4">
        <v>0</v>
      </c>
      <c r="AA37" s="4">
        <v>0</v>
      </c>
      <c r="AB37" s="4">
        <v>0</v>
      </c>
      <c r="AC37" s="4" t="s">
        <v>45</v>
      </c>
      <c r="AD37" s="4" t="s">
        <v>408</v>
      </c>
      <c r="AE37" s="28" t="s">
        <v>394</v>
      </c>
      <c r="AF37" s="4" t="str">
        <f>Animals!C35</f>
        <v>&lt;li&gt;Rat&lt;/li&gt;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4" t="s">
        <v>40</v>
      </c>
      <c r="AM37" s="8">
        <f t="shared" si="21"/>
        <v>903.04288528192444</v>
      </c>
      <c r="AN37" s="8">
        <f>IFERROR(C37*_xlfn.XLOOKUP(E37,Groups!A:A,Groups!K:K),0.106*C37^0.94)</f>
        <v>7.8651925978783996E-2</v>
      </c>
      <c r="AO37" s="8">
        <f>AN37*10000/(_xlfn.XLOOKUP(E37,Groups!A:A,Groups!J:J)*AM37)</f>
        <v>0.79905098010088327</v>
      </c>
      <c r="AP37" s="8">
        <f t="shared" si="22"/>
        <v>41.589445089156456</v>
      </c>
      <c r="AQ37" s="8">
        <f>IF(_xlfn.XLOOKUP(E37,Groups!A:A,Groups!M:M)=1,EXP(0.7444*LN('Base stats'!C37)+6.5696),EXP(0.7927*LN('Base stats'!C37)+4.28))</f>
        <v>56.168383715329448</v>
      </c>
      <c r="AR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"No")))))))))))))))</f>
        <v>61.684457523507398</v>
      </c>
      <c r="AS37" s="8">
        <f>IF(_xlfn.XLOOKUP(E37,Groups!A:A,Groups!U:U)=3,AQ37,IF(_xlfn.XLOOKUP(E37,Groups!A:A,Groups!U:U)=2,AP37,AR37))</f>
        <v>61.684457523507398</v>
      </c>
      <c r="AT37" s="46">
        <f>IFERROR(AVERAGE(_xlfn.XLOOKUP(B37,Animals!B:B,Animals!N:N),_xlfn.XLOOKUP(B37,Animals!B:B,Animals!O:O)),0)</f>
        <v>0</v>
      </c>
      <c r="AU37" s="8">
        <f>MROUND(40*Animals!AO37*_xlfn.XLOOKUP(Animals!BB37,Leathers!$A$2:$A$100,Leathers!$B$2:$B$100,0)+(140*_xlfn.XLOOKUP(B37,Animals!B:B,Animals!AO:AO)*2),5)</f>
        <v>55</v>
      </c>
      <c r="AV37" s="8">
        <f>IFERROR(ROUND(SQRT(V37-1)*IF(_xlfn.XLOOKUP(E37,Groups!A:A,Groups!BF:BF)=0,2,1)*IF(_xlfn.XLOOKUP('Base stats'!E37,Groups!A:A,Groups!O:O)=0,1,0.1),1),0)</f>
        <v>0</v>
      </c>
      <c r="AW37" s="8">
        <f t="shared" si="23"/>
        <v>0</v>
      </c>
      <c r="AX37" s="8">
        <f t="shared" si="24"/>
        <v>0</v>
      </c>
      <c r="AY37" s="8">
        <f t="shared" si="25"/>
        <v>0.5</v>
      </c>
      <c r="AZ37" s="8">
        <f>IF(_xlfn.XLOOKUP(E37,Groups!A:A,Groups!N:N)="Insect",BB37*2.5,IFERROR(AVERAGE(BB37,AR37/9.81/IF(OR(_xlfn.XLOOKUP(E37,Groups!A:A,Groups!N:N)="Pig",_xlfn.XLOOKUP(E37,Groups!A:A,Groups!N:N)="StrongBitingHerbivore"),20,25))*C37^-0.135,BB37))</f>
        <v>0.14736833676824174</v>
      </c>
      <c r="BA37" s="8" t="str">
        <f>IF(W37="No","No",IF(_xlfn.XLOOKUP(E37,Groups!A:A,Groups!U:U)=1,'Base stats'!AZ37,IF(OR(_xlfn.XLOOKUP(E37,Groups!A:A,Groups!BD:BD)=1,_xlfn.XLOOKUP(E37,Groups!A:A,Groups!U:U)=2),BB37,IF(_xlfn.XLOOKUP(B37,Animals!B:B,Animals!AO:AO)&gt;4,AVERAGE(BB37,BD37),BD37))))</f>
        <v>No</v>
      </c>
      <c r="BB37" s="8">
        <f t="shared" si="26"/>
        <v>3.085553827051429E-2</v>
      </c>
      <c r="BC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D37" s="8">
        <f>(0.048*C37^1.01)/IF(_xlfn.XLOOKUP(E37,Groups!A:A,Groups!M:M)=1,0.25,0.8)*C37^-0.25</f>
        <v>4.7137994203485821E-2</v>
      </c>
      <c r="BE37" s="8">
        <f>EXP(1.076*LN(AP37)-4.5397)*IF(_xlfn.XLOOKUP(E37,Groups!A:A,Groups!BC:BC)=1,1.25,IF(_xlfn.XLOOKUP(E37,Groups!A:A,Groups!BD:BD)=1,3.5,2.5))</f>
        <v>1.473666437082841</v>
      </c>
      <c r="BF37" s="8">
        <f>EXP(1.076*LN(AQ37)-4.5397)*IF(_xlfn.XLOOKUP(E37,Groups!A:A,Groups!M:M)=1,0.8,IF(_xlfn.XLOOKUP(E37,Groups!A:A,Groups!BC:BC)=1,1.3,3))</f>
        <v>2.4434750485028198</v>
      </c>
      <c r="BG37" s="8" t="str">
        <f>IF(W37="No","No",IF(_xlfn.XLOOKUP(E37,Groups!A:A,Groups!U:U)=1,'Base stats'!BH37,IF(OR(_xlfn.XLOOKUP(E37,Groups!A:A,Groups!BD:BD)=1,_xlfn.XLOOKUP(E37,Groups!A:A,Groups!U:U)=2),BE37,BF37))*1.2)</f>
        <v>No</v>
      </c>
      <c r="BH37" s="8">
        <f>IFERROR(EXP(1.076*LN(AR37)-4.5397)*IF(_xlfn.XLOOKUP(E37,Groups!A:A,Groups!N:N)="Insect",1,IF(OR(_xlfn.XLOOKUP(E37,Groups!A:A,Groups!N:N)="Pig",_xlfn.XLOOKUP(E37,Groups!A:A,Groups!N:N)="StrongBitingHerbivore"),3.5,3.75)),"No")</f>
        <v>3.3782650091365118</v>
      </c>
      <c r="BI37" s="8">
        <f t="shared" si="10"/>
        <v>9</v>
      </c>
      <c r="BJ37" s="8">
        <f t="shared" si="11"/>
        <v>9</v>
      </c>
      <c r="BK37" s="8" t="str">
        <f t="shared" si="27"/>
        <v>No</v>
      </c>
      <c r="BL37" s="8">
        <f t="shared" si="28"/>
        <v>6</v>
      </c>
      <c r="BM37" s="8">
        <f t="shared" si="12"/>
        <v>10</v>
      </c>
      <c r="BN37" s="8" t="str" cm="1">
        <f t="array" ref="BN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O37" s="8" t="str">
        <f>IF(W37="No","No",IF(_xlfn.XLOOKUP(E37,Groups!A:A,Groups!BD:BD)=1,(AM37*5%),EXP(0.7354*LN(C37)^0.4078)*2/IF(_xlfn.XLOOKUP(E37,Groups!A:A,Groups!BL:BL)=1,1000,100)))</f>
        <v>No</v>
      </c>
      <c r="BP37" s="8">
        <f>IF(BH37="No","No",IF(_xlfn.XLOOKUP(E37,Groups!A:A,Groups!BF:BF)=1,(0.0315*C37+2.1825)*2,(0.7354*C37^0.4078)*2)/IF(_xlfn.XLOOKUP(E37,Groups!A:A,Groups!BM:BM)=1,1000,100))</f>
        <v>1.2922031568339123E-2</v>
      </c>
      <c r="BQ37" s="8">
        <f t="shared" si="29"/>
        <v>3.2637795194472324E-2</v>
      </c>
      <c r="BR37" s="8" t="str">
        <f t="shared" si="13"/>
        <v>No</v>
      </c>
      <c r="BS37" s="8" t="str">
        <f t="shared" si="30"/>
        <v>No</v>
      </c>
      <c r="BT37" s="8">
        <f t="shared" si="14"/>
        <v>261.43451138238646</v>
      </c>
      <c r="BU37" s="4">
        <v>0</v>
      </c>
      <c r="BV37" s="4">
        <v>1</v>
      </c>
    </row>
    <row r="38" spans="1:74" x14ac:dyDescent="0.25">
      <c r="A38" s="26" t="s">
        <v>134</v>
      </c>
      <c r="B38" s="6" t="s">
        <v>135</v>
      </c>
      <c r="C38" s="7">
        <v>0.64249999999999996</v>
      </c>
      <c r="D38" s="7" t="s">
        <v>537</v>
      </c>
      <c r="E38" s="7" t="str">
        <f>Groups!A50</f>
        <v>Rodentlike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537</v>
      </c>
      <c r="L38" s="7">
        <v>24</v>
      </c>
      <c r="M38" s="7" t="s">
        <v>646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945</v>
      </c>
      <c r="Y38" s="4" t="s">
        <v>42</v>
      </c>
      <c r="Z38" s="4">
        <v>0</v>
      </c>
      <c r="AA38" s="4">
        <v>0</v>
      </c>
      <c r="AB38" s="4">
        <v>0</v>
      </c>
      <c r="AC38" s="4" t="s">
        <v>45</v>
      </c>
      <c r="AD38" s="4" t="s">
        <v>410</v>
      </c>
      <c r="AE38" s="28" t="s">
        <v>387</v>
      </c>
      <c r="AF38" s="4" t="str">
        <f>Animals!C35</f>
        <v>&lt;li&gt;Rat&lt;/li&gt;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4" t="s">
        <v>40</v>
      </c>
      <c r="AM38" s="8">
        <f t="shared" si="21"/>
        <v>832.60787568991088</v>
      </c>
      <c r="AN38" s="8">
        <f>IFERROR(C38*_xlfn.XLOOKUP(E38,Groups!A:A,Groups!K:K),0.106*C38^0.94)</f>
        <v>6.9936937254361425E-2</v>
      </c>
      <c r="AO38" s="8">
        <f>AN38*10000/(_xlfn.XLOOKUP(E38,Groups!A:A,Groups!J:J)*AM38)</f>
        <v>0.77061879462921312</v>
      </c>
      <c r="AP38" s="8">
        <f t="shared" si="22"/>
        <v>37.424084433394206</v>
      </c>
      <c r="AQ38" s="8">
        <f>IF(_xlfn.XLOOKUP(E38,Groups!A:A,Groups!M:M)=1,EXP(0.7444*LN('Base stats'!C38)+6.5696),EXP(0.7927*LN('Base stats'!C38)+4.28))</f>
        <v>50.872304827912998</v>
      </c>
      <c r="AR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"No")))))))))))))))</f>
        <v>57.498363699898839</v>
      </c>
      <c r="AS38" s="8">
        <f>IF(_xlfn.XLOOKUP(E38,Groups!A:A,Groups!U:U)=3,AQ38,IF(_xlfn.XLOOKUP(E38,Groups!A:A,Groups!U:U)=2,AP38,AR38))</f>
        <v>57.498363699898839</v>
      </c>
      <c r="AT38" s="46">
        <f>IFERROR(AVERAGE(_xlfn.XLOOKUP(B38,Animals!B:B,Animals!N:N),_xlfn.XLOOKUP(B38,Animals!B:B,Animals!O:O)),0)</f>
        <v>0</v>
      </c>
      <c r="AU38" s="8">
        <f>MROUND(40*Animals!AO38*_xlfn.XLOOKUP(Animals!BB38,Leathers!$A$2:$A$100,Leathers!$B$2:$B$100,0)+(140*_xlfn.XLOOKUP(B38,Animals!B:B,Animals!AO:AO)*2),5)</f>
        <v>80</v>
      </c>
      <c r="AV38" s="8">
        <f>IFERROR(ROUND(SQRT(V38-1)*IF(_xlfn.XLOOKUP(E38,Groups!A:A,Groups!BF:BF)=0,2,1)*IF(_xlfn.XLOOKUP('Base stats'!E38,Groups!A:A,Groups!O:O)=0,1,0.1),1),0)</f>
        <v>0</v>
      </c>
      <c r="AW38" s="8">
        <f t="shared" si="23"/>
        <v>0</v>
      </c>
      <c r="AX38" s="8">
        <f t="shared" si="24"/>
        <v>0</v>
      </c>
      <c r="AY38" s="8">
        <f t="shared" si="25"/>
        <v>0.5</v>
      </c>
      <c r="AZ38" s="8">
        <f>IF(_xlfn.XLOOKUP(E38,Groups!A:A,Groups!N:N)="Insect",BB38*2.5,IFERROR(AVERAGE(BB38,AR38/9.81/IF(OR(_xlfn.XLOOKUP(E38,Groups!A:A,Groups!N:N)="Pig",_xlfn.XLOOKUP(E38,Groups!A:A,Groups!N:N)="StrongBitingHerbivore"),20,25))*C38^-0.135,BB38))</f>
        <v>0.13934308206062856</v>
      </c>
      <c r="BA38" s="8" t="str">
        <f>IF(W38="No","No",IF(_xlfn.XLOOKUP(E38,Groups!A:A,Groups!U:U)=1,'Base stats'!AZ38,IF(OR(_xlfn.XLOOKUP(E38,Groups!A:A,Groups!BD:BD)=1,_xlfn.XLOOKUP(E38,Groups!A:A,Groups!U:U)=2),BB38,IF(_xlfn.XLOOKUP(B38,Animals!B:B,Animals!AO:AO)&gt;4,AVERAGE(BB38,BD38),BD38))))</f>
        <v>No</v>
      </c>
      <c r="BB38" s="8">
        <f t="shared" si="26"/>
        <v>2.8081636188688721E-2</v>
      </c>
      <c r="BC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D38" s="8">
        <f>(0.048*C38^1.01)/IF(_xlfn.XLOOKUP(E38,Groups!A:A,Groups!M:M)=1,0.25,0.8)*C38^-0.25</f>
        <v>4.2868158787209225E-2</v>
      </c>
      <c r="BE38" s="8">
        <f>EXP(1.076*LN(AP38)-4.5397)*IF(_xlfn.XLOOKUP(E38,Groups!A:A,Groups!BC:BC)=1,1.25,IF(_xlfn.XLOOKUP(E38,Groups!A:A,Groups!BD:BD)=1,3.5,2.5))</f>
        <v>1.3154793149228825</v>
      </c>
      <c r="BF38" s="8">
        <f>EXP(1.076*LN(AQ38)-4.5397)*IF(_xlfn.XLOOKUP(E38,Groups!A:A,Groups!M:M)=1,0.8,IF(_xlfn.XLOOKUP(E38,Groups!A:A,Groups!BC:BC)=1,1.3,3))</f>
        <v>2.1964867965589372</v>
      </c>
      <c r="BG38" s="8" t="str">
        <f>IF(W38="No","No",IF(_xlfn.XLOOKUP(E38,Groups!A:A,Groups!U:U)=1,'Base stats'!BH38,IF(OR(_xlfn.XLOOKUP(E38,Groups!A:A,Groups!BD:BD)=1,_xlfn.XLOOKUP(E38,Groups!A:A,Groups!U:U)=2),BE38,BF38))*1.2)</f>
        <v>No</v>
      </c>
      <c r="BH38" s="8">
        <f>IFERROR(EXP(1.076*LN(AR38)-4.5397)*IF(_xlfn.XLOOKUP(E38,Groups!A:A,Groups!N:N)="Insect",1,IF(OR(_xlfn.XLOOKUP(E38,Groups!A:A,Groups!N:N)="Pig",_xlfn.XLOOKUP(E38,Groups!A:A,Groups!N:N)="StrongBitingHerbivore"),3.5,3.75)),"No")</f>
        <v>3.1322319178376836</v>
      </c>
      <c r="BI38" s="8">
        <f t="shared" si="10"/>
        <v>9</v>
      </c>
      <c r="BJ38" s="8">
        <f t="shared" si="11"/>
        <v>9</v>
      </c>
      <c r="BK38" s="8" t="str">
        <f t="shared" si="27"/>
        <v>No</v>
      </c>
      <c r="BL38" s="8">
        <f t="shared" si="28"/>
        <v>6</v>
      </c>
      <c r="BM38" s="8">
        <f t="shared" si="12"/>
        <v>10</v>
      </c>
      <c r="BN38" s="8" t="str" cm="1">
        <f t="array" ref="BN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O38" s="8" t="str">
        <f>IF(W38="No","No",IF(_xlfn.XLOOKUP(E38,Groups!A:A,Groups!BD:BD)=1,(AM38*5%),EXP(0.7354*LN(C38)^0.4078)*2/IF(_xlfn.XLOOKUP(E38,Groups!A:A,Groups!BL:BL)=1,1000,100)))</f>
        <v>No</v>
      </c>
      <c r="BP38" s="8">
        <f>IF(BH38="No","No",IF(_xlfn.XLOOKUP(E38,Groups!A:A,Groups!BF:BF)=1,(0.0315*C38+2.1825)*2,(0.7354*C38^0.4078)*2)/IF(_xlfn.XLOOKUP(E38,Groups!A:A,Groups!BM:BM)=1,1000,100))</f>
        <v>1.2280167326328261E-2</v>
      </c>
      <c r="BQ38" s="8">
        <f t="shared" si="29"/>
        <v>3.1599012051930386E-2</v>
      </c>
      <c r="BR38" s="8" t="str">
        <f t="shared" si="13"/>
        <v>No</v>
      </c>
      <c r="BS38" s="8" t="str">
        <f t="shared" si="30"/>
        <v>No</v>
      </c>
      <c r="BT38" s="8">
        <f t="shared" si="14"/>
        <v>255.064270266276</v>
      </c>
      <c r="BU38" s="4">
        <v>0</v>
      </c>
      <c r="BV38" s="4">
        <v>1</v>
      </c>
    </row>
    <row r="39" spans="1:74" x14ac:dyDescent="0.25">
      <c r="A39" s="26" t="s">
        <v>121</v>
      </c>
      <c r="B39" s="6" t="s">
        <v>122</v>
      </c>
      <c r="C39" s="7">
        <f>AVERAGE(61.2,54.2)</f>
        <v>57.7</v>
      </c>
      <c r="D39" s="7" t="s">
        <v>1199</v>
      </c>
      <c r="E39" s="7" t="str">
        <f>Groups!A47</f>
        <v>Rodentlike (tailless, semi-aquatic)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557</v>
      </c>
      <c r="L39" s="7">
        <f>MIN(20*C39^0.183,19.9*C39^0.142)</f>
        <v>35.394847205186537</v>
      </c>
      <c r="M39" s="7" t="s">
        <v>638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945</v>
      </c>
      <c r="Y39" s="4" t="s">
        <v>42</v>
      </c>
      <c r="Z39" s="4">
        <v>0</v>
      </c>
      <c r="AA39" s="4">
        <v>0</v>
      </c>
      <c r="AB39" s="4">
        <v>0</v>
      </c>
      <c r="AC39" s="4" t="s">
        <v>45</v>
      </c>
      <c r="AD39" s="4" t="s">
        <v>410</v>
      </c>
      <c r="AE39" s="28" t="s">
        <v>394</v>
      </c>
      <c r="AF39" s="4" t="s">
        <v>45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4" t="s">
        <v>40</v>
      </c>
      <c r="AM39" s="8">
        <f t="shared" si="21"/>
        <v>15491.278344543136</v>
      </c>
      <c r="AN39" s="8">
        <f>IFERROR(C39*_xlfn.XLOOKUP(E39,Groups!A:A,Groups!K:K),0.106*C39^0.94)</f>
        <v>4.795248626705237</v>
      </c>
      <c r="AO39" s="8">
        <f>AN39*10000/(_xlfn.XLOOKUP(E39,Groups!A:A,Groups!J:J)*AM39)</f>
        <v>2.8398629014704433</v>
      </c>
      <c r="AP39" s="8">
        <f t="shared" si="22"/>
        <v>1671.4983763176706</v>
      </c>
      <c r="AQ39" s="8">
        <f>IF(_xlfn.XLOOKUP(E39,Groups!A:A,Groups!M:M)=1,EXP(0.7444*LN('Base stats'!C39)+6.5696),EXP(0.7927*LN('Base stats'!C39)+4.28))</f>
        <v>1798.3095458934615</v>
      </c>
      <c r="AR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"No")))))))))))))))</f>
        <v>721.75241177395685</v>
      </c>
      <c r="AS39" s="8">
        <f>IF(_xlfn.XLOOKUP(E39,Groups!A:A,Groups!U:U)=3,AQ39,IF(_xlfn.XLOOKUP(E39,Groups!A:A,Groups!U:U)=2,AP39,AR39))</f>
        <v>721.75241177395685</v>
      </c>
      <c r="AT39" s="46">
        <f>IFERROR(AVERAGE(_xlfn.XLOOKUP(B39,Animals!B:B,Animals!N:N),_xlfn.XLOOKUP(B39,Animals!B:B,Animals!O:O)),0)</f>
        <v>0</v>
      </c>
      <c r="AU39" s="8">
        <f>MROUND(40*Animals!AO39*_xlfn.XLOOKUP(Animals!BB39,Leathers!$A$2:$A$100,Leathers!$B$2:$B$100,0)+(140*_xlfn.XLOOKUP(B39,Animals!B:B,Animals!AO:AO)*2),5)</f>
        <v>320</v>
      </c>
      <c r="AV39" s="8">
        <f>IFERROR(ROUND(SQRT(V39-1)*IF(_xlfn.XLOOKUP(E39,Groups!A:A,Groups!BF:BF)=0,2,1)*IF(_xlfn.XLOOKUP('Base stats'!E39,Groups!A:A,Groups!O:O)=0,1,0.1),1),0)</f>
        <v>5.0999999999999996</v>
      </c>
      <c r="AW39" s="8">
        <f t="shared" si="23"/>
        <v>0</v>
      </c>
      <c r="AX39" s="8">
        <f t="shared" si="24"/>
        <v>0</v>
      </c>
      <c r="AY39" s="8">
        <f t="shared" si="25"/>
        <v>3.4</v>
      </c>
      <c r="AZ39" s="8">
        <f>IF(_xlfn.XLOOKUP(E39,Groups!A:A,Groups!N:N)="Insect",BB39*2.5,IFERROR(AVERAGE(BB39,AR39/9.81/IF(OR(_xlfn.XLOOKUP(E39,Groups!A:A,Groups!N:N)="Pig",_xlfn.XLOOKUP(E39,Groups!A:A,Groups!N:N)="StrongBitingHerbivore"),20,25))*C39^-0.135,BB39))</f>
        <v>1.0923452949768868</v>
      </c>
      <c r="BA39" s="8" t="str">
        <f>IF(W39="No","No",IF(_xlfn.XLOOKUP(E39,Groups!A:A,Groups!U:U)=1,'Base stats'!AZ39,IF(OR(_xlfn.XLOOKUP(E39,Groups!A:A,Groups!BD:BD)=1,_xlfn.XLOOKUP(E39,Groups!A:A,Groups!U:U)=2),BB39,IF(_xlfn.XLOOKUP(B39,Animals!B:B,Animals!AO:AO)&gt;4,AVERAGE(BB39,BD39),BD39))))</f>
        <v>No</v>
      </c>
      <c r="BB39" s="8">
        <f t="shared" si="26"/>
        <v>0.83408945402193257</v>
      </c>
      <c r="BC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D39" s="8">
        <f>(0.048*C39^1.01)/IF(_xlfn.XLOOKUP(E39,Groups!A:A,Groups!M:M)=1,0.25,0.8)*C39^-0.25</f>
        <v>1.3081118153339701</v>
      </c>
      <c r="BE39" s="8">
        <f>EXP(1.076*LN(AP39)-4.5397)*IF(_xlfn.XLOOKUP(E39,Groups!A:A,Groups!BC:BC)=1,1.25,IF(_xlfn.XLOOKUP(E39,Groups!A:A,Groups!BD:BD)=1,3.5,2.5))</f>
        <v>78.421539030877653</v>
      </c>
      <c r="BF39" s="8">
        <f>EXP(1.076*LN(AQ39)-4.5397)*IF(_xlfn.XLOOKUP(E39,Groups!A:A,Groups!M:M)=1,0.8,IF(_xlfn.XLOOKUP(E39,Groups!A:A,Groups!BC:BC)=1,1.3,3))</f>
        <v>101.80960278533206</v>
      </c>
      <c r="BG39" s="8" t="str">
        <f>IF(W39="No","No",IF(_xlfn.XLOOKUP(E39,Groups!A:A,Groups!U:U)=1,'Base stats'!BH39,IF(OR(_xlfn.XLOOKUP(E39,Groups!A:A,Groups!BD:BD)=1,_xlfn.XLOOKUP(E39,Groups!A:A,Groups!U:U)=2),BE39,BF39))*1.2)</f>
        <v>No</v>
      </c>
      <c r="BH39" s="8">
        <f>IFERROR(EXP(1.076*LN(AR39)-4.5397)*IF(_xlfn.XLOOKUP(E39,Groups!A:A,Groups!N:N)="Insect",1,IF(OR(_xlfn.XLOOKUP(E39,Groups!A:A,Groups!N:N)="Pig",_xlfn.XLOOKUP(E39,Groups!A:A,Groups!N:N)="StrongBitingHerbivore"),3.5,3.75)),"No")</f>
        <v>47.653012249525908</v>
      </c>
      <c r="BI39" s="8">
        <f t="shared" si="10"/>
        <v>13</v>
      </c>
      <c r="BJ39" s="8">
        <f t="shared" si="11"/>
        <v>11</v>
      </c>
      <c r="BK39" s="8" t="str">
        <f t="shared" si="27"/>
        <v>No</v>
      </c>
      <c r="BL39" s="8">
        <f t="shared" si="28"/>
        <v>9</v>
      </c>
      <c r="BM39" s="8">
        <f t="shared" si="12"/>
        <v>12</v>
      </c>
      <c r="BN39" s="8" t="str" cm="1">
        <f t="array" ref="BN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O39" s="8" t="str">
        <f>IF(W39="No","No",IF(_xlfn.XLOOKUP(E39,Groups!A:A,Groups!BD:BD)=1,(AM39*5%),EXP(0.7354*LN(C39)^0.4078)*2/IF(_xlfn.XLOOKUP(E39,Groups!A:A,Groups!BL:BL)=1,1000,100)))</f>
        <v>No</v>
      </c>
      <c r="BP39" s="8">
        <f>IF(BH39="No","No",IF(_xlfn.XLOOKUP(E39,Groups!A:A,Groups!BF:BF)=1,(0.0315*C39+2.1825)*2,(0.7354*C39^0.4078)*2)/IF(_xlfn.XLOOKUP(E39,Groups!A:A,Groups!BM:BM)=1,1000,100))</f>
        <v>7.687074990410124E-2</v>
      </c>
      <c r="BQ39" s="8">
        <f t="shared" si="29"/>
        <v>0.10124605250347457</v>
      </c>
      <c r="BR39" s="8" t="str">
        <f t="shared" si="13"/>
        <v>No</v>
      </c>
      <c r="BS39" s="8" t="str">
        <f t="shared" si="30"/>
        <v>No</v>
      </c>
      <c r="BT39" s="8">
        <f t="shared" si="14"/>
        <v>619.91085437535855</v>
      </c>
      <c r="BU39" s="4">
        <v>0</v>
      </c>
      <c r="BV39" s="4">
        <v>1</v>
      </c>
    </row>
    <row r="40" spans="1:74" x14ac:dyDescent="0.25">
      <c r="A40" s="26" t="s">
        <v>124</v>
      </c>
      <c r="B40" s="6" t="s">
        <v>125</v>
      </c>
      <c r="C40" s="7">
        <v>35</v>
      </c>
      <c r="D40" s="7" t="s">
        <v>538</v>
      </c>
      <c r="E40" s="7" t="str">
        <f>Groups!A50</f>
        <v>Rodentlike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558</v>
      </c>
      <c r="L40" s="7">
        <f>MIN(20*C40^0.183,19.9*C40^0.142,13.7*C40^0.004)</f>
        <v>13.896225063401149</v>
      </c>
      <c r="M40" s="7" t="s">
        <v>638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945</v>
      </c>
      <c r="Y40" s="4" t="s">
        <v>1022</v>
      </c>
      <c r="Z40" s="4">
        <v>0</v>
      </c>
      <c r="AA40" s="4">
        <v>0</v>
      </c>
      <c r="AB40" s="4">
        <v>0</v>
      </c>
      <c r="AC40" s="4" t="s">
        <v>45</v>
      </c>
      <c r="AD40" s="4" t="s">
        <v>407</v>
      </c>
      <c r="AE40" s="28" t="s">
        <v>394</v>
      </c>
      <c r="AF40" s="4" t="s">
        <v>45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4">
        <v>10</v>
      </c>
      <c r="AM40" s="8">
        <f t="shared" si="21"/>
        <v>11193.533609727016</v>
      </c>
      <c r="AN40" s="8">
        <f>IFERROR(C40*_xlfn.XLOOKUP(E40,Groups!A:A,Groups!K:K),0.106*C40^0.94)</f>
        <v>2.9972973309206234</v>
      </c>
      <c r="AO40" s="8">
        <f>AN40*10000/(_xlfn.XLOOKUP(E40,Groups!A:A,Groups!J:J)*AM40)</f>
        <v>2.4566094684124091</v>
      </c>
      <c r="AP40" s="8">
        <f t="shared" si="22"/>
        <v>1095.7589503868378</v>
      </c>
      <c r="AQ40" s="8">
        <f>IF(_xlfn.XLOOKUP(E40,Groups!A:A,Groups!M:M)=1,EXP(0.7444*LN('Base stats'!C40)+6.5696),EXP(0.7927*LN('Base stats'!C40)+4.28))</f>
        <v>1209.9380129875831</v>
      </c>
      <c r="AR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"No")))))))))))))))</f>
        <v>862.77039000933701</v>
      </c>
      <c r="AS40" s="8">
        <f>IF(_xlfn.XLOOKUP(E40,Groups!A:A,Groups!U:U)=3,AQ40,IF(_xlfn.XLOOKUP(E40,Groups!A:A,Groups!U:U)=2,AP40,AR40))</f>
        <v>862.77039000933701</v>
      </c>
      <c r="AT40" s="46">
        <f>IFERROR(AVERAGE(_xlfn.XLOOKUP(B40,Animals!B:B,Animals!N:N),_xlfn.XLOOKUP(B40,Animals!B:B,Animals!O:O)),0)</f>
        <v>0</v>
      </c>
      <c r="AU40" s="8">
        <f>MROUND(40*Animals!AO40*_xlfn.XLOOKUP(Animals!BB40,Leathers!$A$2:$A$100,Leathers!$B$2:$B$100,0)+(140*_xlfn.XLOOKUP(B40,Animals!B:B,Animals!AO:AO)*2),5)</f>
        <v>265</v>
      </c>
      <c r="AV40" s="8">
        <f>IFERROR(ROUND(SQRT(V40-1)*IF(_xlfn.XLOOKUP(E40,Groups!A:A,Groups!BF:BF)=0,2,1)*IF(_xlfn.XLOOKUP('Base stats'!E40,Groups!A:A,Groups!O:O)=0,1,0.1),1),0)</f>
        <v>2.4</v>
      </c>
      <c r="AW40" s="8">
        <f t="shared" si="23"/>
        <v>0</v>
      </c>
      <c r="AX40" s="8">
        <f t="shared" si="24"/>
        <v>0</v>
      </c>
      <c r="AY40" s="8">
        <f t="shared" si="25"/>
        <v>2.9</v>
      </c>
      <c r="AZ40" s="8">
        <f>IF(_xlfn.XLOOKUP(E40,Groups!A:A,Groups!N:N)="Insect",BB40*2.5,IFERROR(AVERAGE(BB40,AR40/9.81/IF(OR(_xlfn.XLOOKUP(E40,Groups!A:A,Groups!N:N)="Pig",_xlfn.XLOOKUP(E40,Groups!A:A,Groups!N:N)="StrongBitingHerbivore"),20,25))*C40^-0.135,BB40))</f>
        <v>1.265471199012334</v>
      </c>
      <c r="BA40" s="8" t="str">
        <f>IF(W40="No","No",IF(_xlfn.XLOOKUP(E40,Groups!A:A,Groups!U:U)=1,'Base stats'!AZ40,IF(OR(_xlfn.XLOOKUP(E40,Groups!A:A,Groups!BD:BD)=1,_xlfn.XLOOKUP(E40,Groups!A:A,Groups!U:U)=2),BB40,IF(_xlfn.XLOOKUP(B40,Animals!B:B,Animals!AO:AO)&gt;4,AVERAGE(BB40,BD40),BD40))))</f>
        <v>No</v>
      </c>
      <c r="BB40" s="8">
        <f t="shared" si="26"/>
        <v>0.57215457172317086</v>
      </c>
      <c r="BC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D40" s="8">
        <f>(0.048*C40^1.01)/IF(_xlfn.XLOOKUP(E40,Groups!A:A,Groups!M:M)=1,0.25,0.8)*C40^-0.25</f>
        <v>0.89462898368032151</v>
      </c>
      <c r="BE40" s="8">
        <f>EXP(1.076*LN(AP40)-4.5397)*IF(_xlfn.XLOOKUP(E40,Groups!A:A,Groups!BC:BC)=1,1.25,IF(_xlfn.XLOOKUP(E40,Groups!A:A,Groups!BD:BD)=1,3.5,2.5))</f>
        <v>49.785940753579851</v>
      </c>
      <c r="BF40" s="8">
        <f>EXP(1.076*LN(AQ40)-4.5397)*IF(_xlfn.XLOOKUP(E40,Groups!A:A,Groups!M:M)=1,0.8,IF(_xlfn.XLOOKUP(E40,Groups!A:A,Groups!BC:BC)=1,1.3,3))</f>
        <v>66.46725045827219</v>
      </c>
      <c r="BG40" s="8" t="str">
        <f>IF(W40="No","No",IF(_xlfn.XLOOKUP(E40,Groups!A:A,Groups!U:U)=1,'Base stats'!BH40,IF(OR(_xlfn.XLOOKUP(E40,Groups!A:A,Groups!BD:BD)=1,_xlfn.XLOOKUP(E40,Groups!A:A,Groups!U:U)=2),BE40,BF40))*1.2)</f>
        <v>No</v>
      </c>
      <c r="BH40" s="8">
        <f>IFERROR(EXP(1.076*LN(AR40)-4.5397)*IF(_xlfn.XLOOKUP(E40,Groups!A:A,Groups!N:N)="Insect",1,IF(OR(_xlfn.XLOOKUP(E40,Groups!A:A,Groups!N:N)="Pig",_xlfn.XLOOKUP(E40,Groups!A:A,Groups!N:N)="StrongBitingHerbivore"),3.5,3.75)),"No")</f>
        <v>57.741475532213684</v>
      </c>
      <c r="BI40" s="8">
        <f t="shared" si="10"/>
        <v>13</v>
      </c>
      <c r="BJ40" s="8">
        <f t="shared" si="11"/>
        <v>10</v>
      </c>
      <c r="BK40" s="8" t="str">
        <f t="shared" si="27"/>
        <v>No</v>
      </c>
      <c r="BL40" s="8">
        <f t="shared" si="28"/>
        <v>9</v>
      </c>
      <c r="BM40" s="8">
        <f t="shared" si="12"/>
        <v>12</v>
      </c>
      <c r="BN40" s="8" t="str" cm="1">
        <f t="array" ref="BN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O40" s="8" t="str">
        <f>IF(W40="No","No",IF(_xlfn.XLOOKUP(E40,Groups!A:A,Groups!BD:BD)=1,(AM40*5%),EXP(0.7354*LN(C40)^0.4078)*2/IF(_xlfn.XLOOKUP(E40,Groups!A:A,Groups!BL:BL)=1,1000,100)))</f>
        <v>No</v>
      </c>
      <c r="BP40" s="8">
        <f>IF(BH40="No","No",IF(_xlfn.XLOOKUP(E40,Groups!A:A,Groups!BF:BF)=1,(0.0315*C40+2.1825)*2,(0.7354*C40^0.4078)*2)/IF(_xlfn.XLOOKUP(E40,Groups!A:A,Groups!BM:BM)=1,1000,100))</f>
        <v>6.2693796472684152E-2</v>
      </c>
      <c r="BQ40" s="8">
        <f t="shared" si="29"/>
        <v>8.8954824257313339E-2</v>
      </c>
      <c r="BR40" s="8" t="str">
        <f t="shared" si="13"/>
        <v>No</v>
      </c>
      <c r="BS40" s="8" t="str">
        <f t="shared" si="30"/>
        <v>No</v>
      </c>
      <c r="BT40" s="8">
        <f t="shared" si="14"/>
        <v>921.00779950966592</v>
      </c>
      <c r="BU40" s="4">
        <v>0</v>
      </c>
      <c r="BV40" s="4">
        <v>1</v>
      </c>
    </row>
    <row r="41" spans="1:74" x14ac:dyDescent="0.25">
      <c r="A41" s="26" t="s">
        <v>126</v>
      </c>
      <c r="B41" s="6" t="s">
        <v>127</v>
      </c>
      <c r="C41" s="7">
        <v>10</v>
      </c>
      <c r="D41" s="7" t="s">
        <v>538</v>
      </c>
      <c r="E41" s="7" t="str">
        <f>Groups!A49</f>
        <v>Rodentlike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538</v>
      </c>
      <c r="L41" s="7">
        <f>MIN(20*C41^0.183,19.9*C41^0.142)</f>
        <v>27.596440994550576</v>
      </c>
      <c r="M41" s="7" t="s">
        <v>638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945</v>
      </c>
      <c r="Y41" s="4" t="s">
        <v>1023</v>
      </c>
      <c r="Z41" s="4">
        <v>0</v>
      </c>
      <c r="AA41" s="4">
        <v>0.1</v>
      </c>
      <c r="AB41" s="4">
        <v>0.3</v>
      </c>
      <c r="AC41" s="4" t="s">
        <v>45</v>
      </c>
      <c r="AD41" s="4" t="s">
        <v>45</v>
      </c>
      <c r="AE41" s="28" t="s">
        <v>394</v>
      </c>
      <c r="AF41" s="4" t="str">
        <f>Animals!C35</f>
        <v>&lt;li&gt;Rat&lt;/li&gt;</v>
      </c>
      <c r="AG41" s="4">
        <v>0</v>
      </c>
      <c r="AH41" s="4">
        <v>0</v>
      </c>
      <c r="AI41" s="4">
        <v>1</v>
      </c>
      <c r="AJ41" s="4">
        <v>0</v>
      </c>
      <c r="AK41" s="4">
        <v>0</v>
      </c>
      <c r="AL41" s="44" t="s">
        <v>40</v>
      </c>
      <c r="AM41" s="8">
        <f t="shared" si="21"/>
        <v>4958.187872875691</v>
      </c>
      <c r="AN41" s="8">
        <f>IFERROR(C41*_xlfn.XLOOKUP(E41,Groups!A:A,Groups!K:K),0.106*C41^0.94)</f>
        <v>0.92322140535344532</v>
      </c>
      <c r="AO41" s="8">
        <f>AN41*10000/(_xlfn.XLOOKUP(E41,Groups!A:A,Groups!J:J)*AM41)</f>
        <v>1.7082695063588127</v>
      </c>
      <c r="AP41" s="8">
        <f t="shared" si="22"/>
        <v>380.31263115847975</v>
      </c>
      <c r="AQ41" s="8">
        <f>IF(_xlfn.XLOOKUP(E41,Groups!A:A,Groups!M:M)=1,EXP(0.7444*LN('Base stats'!C41)+6.5696),EXP(0.7927*LN('Base stats'!C41)+4.28))</f>
        <v>448.20880356342906</v>
      </c>
      <c r="AR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"No")))))))))))))))</f>
        <v>269.29410643172787</v>
      </c>
      <c r="AS41" s="8">
        <f>IF(_xlfn.XLOOKUP(E41,Groups!A:A,Groups!U:U)=3,AQ41,IF(_xlfn.XLOOKUP(E41,Groups!A:A,Groups!U:U)=2,AP41,AR41))</f>
        <v>269.29410643172787</v>
      </c>
      <c r="AT41" s="46">
        <f>IFERROR(AVERAGE(_xlfn.XLOOKUP(B41,Animals!B:B,Animals!N:N),_xlfn.XLOOKUP(B41,Animals!B:B,Animals!O:O)),0)</f>
        <v>0</v>
      </c>
      <c r="AU41" s="8">
        <f>MROUND(40*Animals!AO41*_xlfn.XLOOKUP(Animals!BB41,Leathers!$A$2:$A$100,Leathers!$B$2:$B$100,0)+(140*_xlfn.XLOOKUP(B41,Animals!B:B,Animals!AO:AO)*2),5)</f>
        <v>140</v>
      </c>
      <c r="AV41" s="8">
        <f>IFERROR(ROUND(SQRT(V41-1)*IF(_xlfn.XLOOKUP(E41,Groups!A:A,Groups!BF:BF)=0,2,1)*IF(_xlfn.XLOOKUP('Base stats'!E41,Groups!A:A,Groups!O:O)=0,1,0.1),1),0)</f>
        <v>3.7</v>
      </c>
      <c r="AW41" s="8">
        <f t="shared" si="23"/>
        <v>0</v>
      </c>
      <c r="AX41" s="8">
        <f t="shared" si="24"/>
        <v>0</v>
      </c>
      <c r="AY41" s="8">
        <f t="shared" si="25"/>
        <v>1.6</v>
      </c>
      <c r="AZ41" s="8">
        <f>IF(_xlfn.XLOOKUP(E41,Groups!A:A,Groups!N:N)="Insect",BB41*2.5,IFERROR(AVERAGE(BB41,AR41/9.81/IF(OR(_xlfn.XLOOKUP(E41,Groups!A:A,Groups!N:N)="Pig",_xlfn.XLOOKUP(E41,Groups!A:A,Groups!N:N)="StrongBitingHerbivore"),20,25))*C41^-0.135,BB41))</f>
        <v>0.48385350070247429</v>
      </c>
      <c r="BA41" s="8" t="str">
        <f>IF(W41="No","No",IF(_xlfn.XLOOKUP(E41,Groups!A:A,Groups!U:U)=1,'Base stats'!AZ41,IF(OR(_xlfn.XLOOKUP(E41,Groups!A:A,Groups!BD:BD)=1,_xlfn.XLOOKUP(E41,Groups!A:A,Groups!U:U)=2),BB41,IF(_xlfn.XLOOKUP(B41,Animals!B:B,Animals!AO:AO)&gt;4,AVERAGE(BB41,BD41),BD41))))</f>
        <v>No</v>
      </c>
      <c r="BB41" s="8">
        <f t="shared" si="26"/>
        <v>0.22247748532015049</v>
      </c>
      <c r="BC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D41" s="8">
        <f>(0.048*C41^1.01)/IF(_xlfn.XLOOKUP(E41,Groups!A:A,Groups!M:M)=1,0.25,0.8)*C41^-0.25</f>
        <v>0.34526396240229418</v>
      </c>
      <c r="BE41" s="8">
        <f>EXP(1.076*LN(AP41)-4.5397)*IF(_xlfn.XLOOKUP(E41,Groups!A:A,Groups!BC:BC)=1,1.25,IF(_xlfn.XLOOKUP(E41,Groups!A:A,Groups!BD:BD)=1,3.5,2.5))</f>
        <v>15.944275717953127</v>
      </c>
      <c r="BF41" s="8">
        <f>EXP(1.076*LN(AQ41)-4.5397)*IF(_xlfn.XLOOKUP(E41,Groups!A:A,Groups!M:M)=1,0.8,IF(_xlfn.XLOOKUP(E41,Groups!A:A,Groups!BC:BC)=1,1.3,3))</f>
        <v>22.832185638487289</v>
      </c>
      <c r="BG41" s="8" t="str">
        <f>IF(W41="No","No",IF(_xlfn.XLOOKUP(E41,Groups!A:A,Groups!U:U)=1,'Base stats'!BH41,IF(OR(_xlfn.XLOOKUP(E41,Groups!A:A,Groups!BD:BD)=1,_xlfn.XLOOKUP(E41,Groups!A:A,Groups!U:U)=2),BE41,BF41))*1.2)</f>
        <v>No</v>
      </c>
      <c r="BH41" s="8">
        <f>IFERROR(EXP(1.076*LN(AR41)-4.5397)*IF(_xlfn.XLOOKUP(E41,Groups!A:A,Groups!N:N)="Insect",1,IF(OR(_xlfn.XLOOKUP(E41,Groups!A:A,Groups!N:N)="Pig",_xlfn.XLOOKUP(E41,Groups!A:A,Groups!N:N)="StrongBitingHerbivore"),3.5,3.75)),"No")</f>
        <v>16.496381725854601</v>
      </c>
      <c r="BI41" s="8">
        <f t="shared" si="10"/>
        <v>11</v>
      </c>
      <c r="BJ41" s="8">
        <f t="shared" si="11"/>
        <v>10</v>
      </c>
      <c r="BK41" s="8" t="str">
        <f t="shared" si="27"/>
        <v>No</v>
      </c>
      <c r="BL41" s="8">
        <f t="shared" si="28"/>
        <v>8</v>
      </c>
      <c r="BM41" s="8">
        <f t="shared" si="12"/>
        <v>11</v>
      </c>
      <c r="BN41" s="8" t="str" cm="1">
        <f t="array" ref="BN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O41" s="8" t="str">
        <f>IF(W41="No","No",IF(_xlfn.XLOOKUP(E41,Groups!A:A,Groups!BD:BD)=1,(AM41*5%),EXP(0.7354*LN(C41)^0.4078)*2/IF(_xlfn.XLOOKUP(E41,Groups!A:A,Groups!BL:BL)=1,1000,100)))</f>
        <v>No</v>
      </c>
      <c r="BP41" s="8">
        <f>IF(BH41="No","No",IF(_xlfn.XLOOKUP(E41,Groups!A:A,Groups!BF:BF)=1,(0.0315*C41+2.1825)*2,(0.7354*C41^0.4078)*2)/IF(_xlfn.XLOOKUP(E41,Groups!A:A,Groups!BM:BM)=1,1000,100))</f>
        <v>3.7614355184740135E-2</v>
      </c>
      <c r="BQ41" s="8">
        <f t="shared" si="29"/>
        <v>6.4314931691790186E-2</v>
      </c>
      <c r="BR41" s="8" t="str">
        <f t="shared" si="13"/>
        <v>No</v>
      </c>
      <c r="BS41" s="8" t="str">
        <f t="shared" si="30"/>
        <v>No</v>
      </c>
      <c r="BT41" s="8">
        <f t="shared" si="14"/>
        <v>438.56611777162834</v>
      </c>
      <c r="BU41" s="4">
        <v>0</v>
      </c>
      <c r="BV41" s="4">
        <v>1</v>
      </c>
    </row>
    <row r="42" spans="1:74" x14ac:dyDescent="0.25">
      <c r="A42" s="26" t="s">
        <v>142</v>
      </c>
      <c r="B42" s="6" t="s">
        <v>143</v>
      </c>
      <c r="C42" s="7">
        <v>630</v>
      </c>
      <c r="D42" s="7" t="s">
        <v>539</v>
      </c>
      <c r="E42" s="7" t="str">
        <f>Groups!A51</f>
        <v>Ruminant (bovid)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539</v>
      </c>
      <c r="L42" s="7">
        <v>56</v>
      </c>
      <c r="M42" s="7" t="s">
        <v>638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IF(AR42="No","No",IF(_xlfn.XLOOKUP(E42,Groups!A:A,Groups!AM:AM)=1,MROUND(EXP(0.3582*LN(C42)-0.2221)*T42,0.05),IF(_xlfn.XLOOKUP(E42,Groups!A:A,Groups!AM:AM)=2,MROUND(EXP(0.3582*LN(C42)-0.2221)*T42,0.05),"Need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945</v>
      </c>
      <c r="Y42" s="4" t="s">
        <v>42</v>
      </c>
      <c r="Z42" s="4">
        <v>0</v>
      </c>
      <c r="AA42" s="4">
        <v>0</v>
      </c>
      <c r="AB42" s="4">
        <v>0</v>
      </c>
      <c r="AC42" s="4" t="s">
        <v>45</v>
      </c>
      <c r="AD42" s="4" t="s">
        <v>410</v>
      </c>
      <c r="AE42" s="28" t="s">
        <v>401</v>
      </c>
      <c r="AF42" s="4" t="s">
        <v>45</v>
      </c>
      <c r="AG42" s="4">
        <v>1</v>
      </c>
      <c r="AH42" s="4">
        <v>0</v>
      </c>
      <c r="AI42" s="4">
        <v>0</v>
      </c>
      <c r="AJ42" s="4">
        <v>0</v>
      </c>
      <c r="AK42" s="4">
        <v>0</v>
      </c>
      <c r="AL42" s="44" t="s">
        <v>40</v>
      </c>
      <c r="AM42" s="8">
        <f t="shared" si="21"/>
        <v>73264.625824503019</v>
      </c>
      <c r="AN42" s="8">
        <f>IFERROR(C42*_xlfn.XLOOKUP(E42,Groups!A:A,Groups!K:K),0.106*C42^0.94)</f>
        <v>45.361351110037234</v>
      </c>
      <c r="AO42" s="8">
        <f>AN42*10000/(_xlfn.XLOOKUP(E42,Groups!A:A,Groups!J:J)*AM42)</f>
        <v>5.6802198852774577</v>
      </c>
      <c r="AP42" s="8">
        <f t="shared" si="22"/>
        <v>12590.521292145075</v>
      </c>
      <c r="AQ42" s="8">
        <f>IF(_xlfn.XLOOKUP(E42,Groups!A:A,Groups!M:M)=1,EXP(0.7444*LN('Base stats'!C42)+6.5696),EXP(0.7927*LN('Base stats'!C42)+4.28))</f>
        <v>11962.381153939259</v>
      </c>
      <c r="AR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"No")))))))))))))))</f>
        <v>No</v>
      </c>
      <c r="AS42" s="8">
        <f>IF(_xlfn.XLOOKUP(E42,Groups!A:A,Groups!U:U)=3,AQ42,IF(_xlfn.XLOOKUP(E42,Groups!A:A,Groups!U:U)=2,AP42,AR42))</f>
        <v>11962.381153939259</v>
      </c>
      <c r="AT42" s="46">
        <f>IFERROR(AVERAGE(_xlfn.XLOOKUP(B42,Animals!B:B,Animals!N:N),_xlfn.XLOOKUP(B42,Animals!B:B,Animals!O:O)),0)</f>
        <v>0</v>
      </c>
      <c r="AU42" s="8">
        <f>MROUND(40*Animals!AO42*_xlfn.XLOOKUP(Animals!BB42,Leathers!$A$2:$A$100,Leathers!$B$2:$B$100,0)+(140*_xlfn.XLOOKUP(B42,Animals!B:B,Animals!AO:AO)*2),5)</f>
        <v>1090</v>
      </c>
      <c r="AV42" s="8">
        <f>IFERROR(ROUND(SQRT(V42-1)*IF(_xlfn.XLOOKUP(E42,Groups!A:A,Groups!BF:BF)=0,2,1)*IF(_xlfn.XLOOKUP('Base stats'!E42,Groups!A:A,Groups!O:O)=0,1,0.1),1),0)</f>
        <v>0</v>
      </c>
      <c r="AW42" s="8">
        <f t="shared" si="23"/>
        <v>0</v>
      </c>
      <c r="AX42" s="8">
        <f t="shared" si="24"/>
        <v>6.5</v>
      </c>
      <c r="AY42" s="8">
        <f t="shared" si="25"/>
        <v>8.1</v>
      </c>
      <c r="AZ42" s="8">
        <f>IF(_xlfn.XLOOKUP(E42,Groups!A:A,Groups!N:N)="Insect",BB42*2.5,IFERROR(AVERAGE(BB42,AR42/9.81/IF(OR(_xlfn.XLOOKUP(E42,Groups!A:A,Groups!N:N)="Pig",_xlfn.XLOOKUP(E42,Groups!A:A,Groups!N:N)="StrongBitingHerbivore"),20,25))*C42^-0.135,BB42))</f>
        <v>5.0581166559376269</v>
      </c>
      <c r="BA42" s="8">
        <f>IF(W42="No","No",IF(_xlfn.XLOOKUP(E42,Groups!A:A,Groups!U:U)=1,'Base stats'!AZ42,IF(OR(_xlfn.XLOOKUP(E42,Groups!A:A,Groups!BD:BD)=1,_xlfn.XLOOKUP(E42,Groups!A:A,Groups!U:U)=2),BB42,IF(_xlfn.XLOOKUP(B42,Animals!B:B,Animals!AO:AO)&gt;4,AVERAGE(BB42,BD42),BD42))))</f>
        <v>8.0472977027347774</v>
      </c>
      <c r="BB42" s="8">
        <f t="shared" si="26"/>
        <v>5.0581166559376269</v>
      </c>
      <c r="BC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D42" s="8">
        <f>(0.048*C42^1.01)/IF(_xlfn.XLOOKUP(E42,Groups!A:A,Groups!M:M)=1,0.25,0.8)*C42^-0.25</f>
        <v>8.0472977027347774</v>
      </c>
      <c r="BE42" s="8">
        <f>EXP(1.076*LN(AP42)-4.5397)*IF(_xlfn.XLOOKUP(E42,Groups!A:A,Groups!BC:BC)=1,1.25,IF(_xlfn.XLOOKUP(E42,Groups!A:A,Groups!BD:BD)=1,3.5,2.5))</f>
        <v>688.684618158901</v>
      </c>
      <c r="BF42" s="8">
        <f>EXP(1.076*LN(AQ42)-4.5397)*IF(_xlfn.XLOOKUP(E42,Groups!A:A,Groups!M:M)=1,0.8,IF(_xlfn.XLOOKUP(E42,Groups!A:A,Groups!BC:BC)=1,1.3,3))</f>
        <v>782.14337611712108</v>
      </c>
      <c r="BG42" s="8">
        <f>IF(W42="No","No",IF(_xlfn.XLOOKUP(E42,Groups!A:A,Groups!U:U)=1,'Base stats'!BH42,IF(OR(_xlfn.XLOOKUP(E42,Groups!A:A,Groups!BD:BD)=1,_xlfn.XLOOKUP(E42,Groups!A:A,Groups!U:U)=2),BE42,BF42))*1.2)</f>
        <v>938.57205134054527</v>
      </c>
      <c r="BH42" s="8" t="str">
        <f>IFERROR(EXP(1.076*LN(AR42)-4.5397)*IF(_xlfn.XLOOKUP(E42,Groups!A:A,Groups!N:N)="Insect",1,IF(OR(_xlfn.XLOOKUP(E42,Groups!A:A,Groups!N:N)="Pig",_xlfn.XLOOKUP(E42,Groups!A:A,Groups!N:N)="StrongBitingHerbivore"),3.5,3.75)),"No")</f>
        <v>No</v>
      </c>
      <c r="BI42" s="8">
        <f t="shared" si="10"/>
        <v>16</v>
      </c>
      <c r="BJ42" s="8">
        <f t="shared" si="11"/>
        <v>12</v>
      </c>
      <c r="BK42" s="8">
        <f t="shared" si="27"/>
        <v>15</v>
      </c>
      <c r="BL42" s="8" t="str">
        <f t="shared" si="28"/>
        <v>No</v>
      </c>
      <c r="BM42" s="8">
        <f t="shared" si="12"/>
        <v>13</v>
      </c>
      <c r="BN42" s="8" cm="1">
        <f t="array" ref="BN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O42" s="8">
        <f>IF(W42="No","No",IF(_xlfn.XLOOKUP(E42,Groups!A:A,Groups!BD:BD)=1,(AM42*5%),EXP(0.7354*LN(C42)^0.4078)*2/IF(_xlfn.XLOOKUP(E42,Groups!A:A,Groups!BL:BL)=1,1000,100)))</f>
        <v>9.6357497870625142E-2</v>
      </c>
      <c r="BP42" s="8" t="str">
        <f>IF(BH42="No","No",IF(_xlfn.XLOOKUP(E42,Groups!A:A,Groups!BF:BF)=1,(0.0315*C42+2.1825)*2,(0.7354*C42^0.4078)*2)/IF(_xlfn.XLOOKUP(E42,Groups!A:A,Groups!BM:BM)=1,1000,100))</f>
        <v>No</v>
      </c>
      <c r="BQ42" s="8">
        <f t="shared" si="29"/>
        <v>0.18799921801513483</v>
      </c>
      <c r="BR42" s="8">
        <f t="shared" si="13"/>
        <v>7.1519495788954872</v>
      </c>
      <c r="BS42" s="8">
        <f t="shared" si="30"/>
        <v>9740.5191301327013</v>
      </c>
      <c r="BT42" s="8" t="str">
        <f t="shared" si="14"/>
        <v>No</v>
      </c>
      <c r="BU42" s="4">
        <v>0</v>
      </c>
      <c r="BV42" s="4">
        <v>1</v>
      </c>
    </row>
    <row r="43" spans="1:74" x14ac:dyDescent="0.25">
      <c r="A43" s="26" t="s">
        <v>144</v>
      </c>
      <c r="B43" s="6" t="s">
        <v>145</v>
      </c>
      <c r="C43" s="7">
        <f>AVERAGE(480,550,800,950)</f>
        <v>695</v>
      </c>
      <c r="D43" s="7" t="s">
        <v>1200</v>
      </c>
      <c r="E43" s="7" t="str">
        <f>Groups!A53</f>
        <v>Ruminant (bovid, harmless)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540</v>
      </c>
      <c r="L43" s="7">
        <v>29</v>
      </c>
      <c r="M43" s="7" t="s">
        <v>638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IF(AR43="No","No",IF(_xlfn.XLOOKUP(E43,Groups!A:A,Groups!AM:AM)=1,MROUND(EXP(0.3582*LN(C43)-0.2221)*T43,0.05),IF(_xlfn.XLOOKUP(E43,Groups!A:A,Groups!AM:AM)=2,MROUND(EXP(0.3582*LN(C43)-0.2221)*T43,0.05),"Need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977</v>
      </c>
      <c r="Y43" s="4" t="s">
        <v>42</v>
      </c>
      <c r="Z43" s="4">
        <v>0</v>
      </c>
      <c r="AA43" s="4">
        <v>0</v>
      </c>
      <c r="AB43" s="4">
        <v>0</v>
      </c>
      <c r="AC43" s="4" t="s">
        <v>45</v>
      </c>
      <c r="AD43" s="4" t="s">
        <v>407</v>
      </c>
      <c r="AE43" s="28" t="s">
        <v>401</v>
      </c>
      <c r="AF43" s="4" t="s">
        <v>45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4" t="s">
        <v>40</v>
      </c>
      <c r="AM43" s="8">
        <f t="shared" si="21"/>
        <v>78093.178895164005</v>
      </c>
      <c r="AN43" s="8">
        <f>IFERROR(C43*_xlfn.XLOOKUP(E43,Groups!A:A,Groups!K:K),0.106*C43^0.94)</f>
        <v>49.747536757205133</v>
      </c>
      <c r="AO43" s="8">
        <f>AN43*10000/(_xlfn.XLOOKUP(E43,Groups!A:A,Groups!J:J)*AM43)</f>
        <v>5.8442930131396622</v>
      </c>
      <c r="AP43" s="8">
        <f t="shared" si="22"/>
        <v>13679.345356145675</v>
      </c>
      <c r="AQ43" s="8">
        <f>IF(_xlfn.XLOOKUP(E43,Groups!A:A,Groups!M:M)=1,EXP(0.7444*LN('Base stats'!C43)+6.5696),EXP(0.7927*LN('Base stats'!C43)+4.28))</f>
        <v>12930.69110386705</v>
      </c>
      <c r="AR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"No")))))))))))))))</f>
        <v>No</v>
      </c>
      <c r="AS43" s="8">
        <f>IF(_xlfn.XLOOKUP(E43,Groups!A:A,Groups!U:U)=3,AQ43,IF(_xlfn.XLOOKUP(E43,Groups!A:A,Groups!U:U)=2,AP43,AR43))</f>
        <v>12930.69110386705</v>
      </c>
      <c r="AT43" s="46">
        <f>IFERROR(AVERAGE(_xlfn.XLOOKUP(B43,Animals!B:B,Animals!N:N),_xlfn.XLOOKUP(B43,Animals!B:B,Animals!O:O)),0)</f>
        <v>0</v>
      </c>
      <c r="AU43" s="8">
        <f>MROUND(40*Animals!AO43*_xlfn.XLOOKUP(Animals!BB43,Leathers!$A$2:$A$100,Leathers!$B$2:$B$100,0)+(140*_xlfn.XLOOKUP(B43,Animals!B:B,Animals!AO:AO)*2),5)</f>
        <v>1090</v>
      </c>
      <c r="AV43" s="8">
        <f>IFERROR(ROUND(SQRT(V43-1)*IF(_xlfn.XLOOKUP(E43,Groups!A:A,Groups!BF:BF)=0,2,1)*IF(_xlfn.XLOOKUP('Base stats'!E43,Groups!A:A,Groups!O:O)=0,1,0.1),1),0)</f>
        <v>0</v>
      </c>
      <c r="AW43" s="8">
        <f t="shared" si="23"/>
        <v>0</v>
      </c>
      <c r="AX43" s="8">
        <f t="shared" si="24"/>
        <v>3.4</v>
      </c>
      <c r="AY43" s="8">
        <f t="shared" si="25"/>
        <v>8.3000000000000007</v>
      </c>
      <c r="AZ43" s="8">
        <f>IF(_xlfn.XLOOKUP(E43,Groups!A:A,Groups!N:N)="Insect",BB43*2.5,IFERROR(AVERAGE(BB43,AR43/9.81/IF(OR(_xlfn.XLOOKUP(E43,Groups!A:A,Groups!N:N)="Pig",_xlfn.XLOOKUP(E43,Groups!A:A,Groups!N:N)="StrongBitingHerbivore"),20,25))*C43^-0.135,BB43))</f>
        <v>5.446814810424093</v>
      </c>
      <c r="BA43" s="8">
        <f>IF(W43="No","No",IF(_xlfn.XLOOKUP(E43,Groups!A:A,Groups!U:U)=1,'Base stats'!AZ43,IF(OR(_xlfn.XLOOKUP(E43,Groups!A:A,Groups!BD:BD)=1,_xlfn.XLOOKUP(E43,Groups!A:A,Groups!U:U)=2),BB43,IF(_xlfn.XLOOKUP(B43,Animals!B:B,Animals!AO:AO)&gt;4,AVERAGE(BB43,BD43),BD43))))</f>
        <v>8.6708106402103056</v>
      </c>
      <c r="BB43" s="8">
        <f t="shared" si="26"/>
        <v>5.446814810424093</v>
      </c>
      <c r="BC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D43" s="8">
        <f>(0.048*C43^1.01)/IF(_xlfn.XLOOKUP(E43,Groups!A:A,Groups!M:M)=1,0.25,0.8)*C43^-0.25</f>
        <v>8.6708106402103056</v>
      </c>
      <c r="BE43" s="8">
        <f>EXP(1.076*LN(AP43)-4.5397)*IF(_xlfn.XLOOKUP(E43,Groups!A:A,Groups!BC:BC)=1,1.25,IF(_xlfn.XLOOKUP(E43,Groups!A:A,Groups!BD:BD)=1,3.5,2.5))</f>
        <v>752.97338760914101</v>
      </c>
      <c r="BF43" s="8">
        <f>EXP(1.076*LN(AQ43)-4.5397)*IF(_xlfn.XLOOKUP(E43,Groups!A:A,Groups!M:M)=1,0.8,IF(_xlfn.XLOOKUP(E43,Groups!A:A,Groups!BC:BC)=1,1.3,3))</f>
        <v>850.47114704714193</v>
      </c>
      <c r="BG43" s="8">
        <f>IF(W43="No","No",IF(_xlfn.XLOOKUP(E43,Groups!A:A,Groups!U:U)=1,'Base stats'!BH43,IF(OR(_xlfn.XLOOKUP(E43,Groups!A:A,Groups!BD:BD)=1,_xlfn.XLOOKUP(E43,Groups!A:A,Groups!U:U)=2),BE43,BF43))*1.2)</f>
        <v>1020.5653764565702</v>
      </c>
      <c r="BH43" s="8" t="str">
        <f>IFERROR(EXP(1.076*LN(AR43)-4.5397)*IF(_xlfn.XLOOKUP(E43,Groups!A:A,Groups!N:N)="Insect",1,IF(OR(_xlfn.XLOOKUP(E43,Groups!A:A,Groups!N:N)="Pig",_xlfn.XLOOKUP(E43,Groups!A:A,Groups!N:N)="StrongBitingHerbivore"),3.5,3.75)),"No")</f>
        <v>No</v>
      </c>
      <c r="BI43" s="8">
        <f t="shared" si="10"/>
        <v>16</v>
      </c>
      <c r="BJ43" s="8">
        <f t="shared" si="11"/>
        <v>12</v>
      </c>
      <c r="BK43" s="8">
        <f t="shared" si="27"/>
        <v>15</v>
      </c>
      <c r="BL43" s="8" t="str">
        <f t="shared" si="28"/>
        <v>No</v>
      </c>
      <c r="BM43" s="8">
        <f t="shared" si="12"/>
        <v>14</v>
      </c>
      <c r="BN43" s="8" cm="1">
        <f t="array" ref="BN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O43" s="8">
        <f>IF(W43="No","No",IF(_xlfn.XLOOKUP(E43,Groups!A:A,Groups!BD:BD)=1,(AM43*5%),EXP(0.7354*LN(C43)^0.4078)*2/IF(_xlfn.XLOOKUP(E43,Groups!A:A,Groups!BL:BL)=1,1000,100)))</f>
        <v>9.7299057154114882E-2</v>
      </c>
      <c r="BP43" s="8" t="str">
        <f>IF(BH43="No","No",IF(_xlfn.XLOOKUP(E43,Groups!A:A,Groups!BF:BF)=1,(0.0315*C43+2.1825)*2,(0.7354*C43^0.4078)*2)/IF(_xlfn.XLOOKUP(E43,Groups!A:A,Groups!BM:BM)=1,1000,100))</f>
        <v>No</v>
      </c>
      <c r="BQ43" s="8">
        <f t="shared" si="29"/>
        <v>0.19283973280687375</v>
      </c>
      <c r="BR43" s="8">
        <f t="shared" si="13"/>
        <v>7.1083210959420864</v>
      </c>
      <c r="BS43" s="8">
        <f t="shared" si="30"/>
        <v>10488.954428819041</v>
      </c>
      <c r="BT43" s="8" t="str">
        <f t="shared" si="14"/>
        <v>No</v>
      </c>
      <c r="BU43" s="4">
        <v>0.25</v>
      </c>
      <c r="BV43" s="4">
        <v>0.75</v>
      </c>
    </row>
    <row r="44" spans="1:74" x14ac:dyDescent="0.25">
      <c r="A44" s="26" t="s">
        <v>148</v>
      </c>
      <c r="B44" s="6" t="s">
        <v>149</v>
      </c>
      <c r="C44" s="7">
        <v>350</v>
      </c>
      <c r="D44" s="7" t="s">
        <v>538</v>
      </c>
      <c r="E44" s="7" t="str">
        <f>Groups!A51</f>
        <v>Ruminant (bovid)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538</v>
      </c>
      <c r="L44" s="7">
        <f>MIN(114.4*C44^-0.13,97.8*C44^-0.094)</f>
        <v>53.41917526465727</v>
      </c>
      <c r="M44" s="7" t="s">
        <v>638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IF(AR44="No","No",IF(_xlfn.XLOOKUP(E44,Groups!A:A,Groups!AM:AM)=1,MROUND(EXP(0.3582*LN(C44)-0.2221)*T44,0.05),IF(_xlfn.XLOOKUP(E44,Groups!A:A,Groups!AM:AM)=2,MROUND(EXP(0.3582*LN(C44)-0.2221)*T44,0.05),"Need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945</v>
      </c>
      <c r="Y44" s="4" t="s">
        <v>42</v>
      </c>
      <c r="Z44" s="4">
        <v>0</v>
      </c>
      <c r="AA44" s="4">
        <v>0</v>
      </c>
      <c r="AB44" s="4">
        <v>0</v>
      </c>
      <c r="AC44" s="4" t="s">
        <v>45</v>
      </c>
      <c r="AD44" s="4" t="s">
        <v>407</v>
      </c>
      <c r="AE44" s="28" t="s">
        <v>385</v>
      </c>
      <c r="AF44" s="4" t="s">
        <v>45</v>
      </c>
      <c r="AG44" s="4">
        <v>1</v>
      </c>
      <c r="AH44" s="4">
        <v>0</v>
      </c>
      <c r="AI44" s="4">
        <v>0</v>
      </c>
      <c r="AJ44" s="4">
        <v>0</v>
      </c>
      <c r="AK44" s="4">
        <v>0</v>
      </c>
      <c r="AL44" s="44" t="s">
        <v>40</v>
      </c>
      <c r="AM44" s="8">
        <f t="shared" si="21"/>
        <v>49999.678016554004</v>
      </c>
      <c r="AN44" s="8">
        <f>IFERROR(C44*_xlfn.XLOOKUP(E44,Groups!A:A,Groups!K:K),0.106*C44^0.94)</f>
        <v>26.105368435044046</v>
      </c>
      <c r="AO44" s="8">
        <f>AN44*10000/(_xlfn.XLOOKUP(E44,Groups!A:A,Groups!J:J)*AM44)</f>
        <v>4.7900067056984179</v>
      </c>
      <c r="AP44" s="8">
        <f t="shared" si="22"/>
        <v>7663.2858706487614</v>
      </c>
      <c r="AQ44" s="8">
        <f>IF(_xlfn.XLOOKUP(E44,Groups!A:A,Groups!M:M)=1,EXP(0.7444*LN('Base stats'!C44)+6.5696),EXP(0.7927*LN('Base stats'!C44)+4.28))</f>
        <v>7506.9430520091801</v>
      </c>
      <c r="AR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"No")))))))))))))))</f>
        <v>No</v>
      </c>
      <c r="AS44" s="8">
        <f>IF(_xlfn.XLOOKUP(E44,Groups!A:A,Groups!U:U)=3,AQ44,IF(_xlfn.XLOOKUP(E44,Groups!A:A,Groups!U:U)=2,AP44,AR44))</f>
        <v>7506.9430520091801</v>
      </c>
      <c r="AT44" s="46">
        <f>IFERROR(AVERAGE(_xlfn.XLOOKUP(B44,Animals!B:B,Animals!N:N),_xlfn.XLOOKUP(B44,Animals!B:B,Animals!O:O)),0)</f>
        <v>0</v>
      </c>
      <c r="AU44" s="8">
        <f>MROUND(40*Animals!AO44*_xlfn.XLOOKUP(Animals!BB44,Leathers!$A$2:$A$100,Leathers!$B$2:$B$100,0)+(140*_xlfn.XLOOKUP(B44,Animals!B:B,Animals!AO:AO)*2),5)</f>
        <v>930</v>
      </c>
      <c r="AV44" s="8">
        <f>IFERROR(ROUND(SQRT(V44-1)*IF(_xlfn.XLOOKUP(E44,Groups!A:A,Groups!BF:BF)=0,2,1)*IF(_xlfn.XLOOKUP('Base stats'!E44,Groups!A:A,Groups!O:O)=0,1,0.1),1),0)</f>
        <v>0</v>
      </c>
      <c r="AW44" s="8">
        <f t="shared" si="23"/>
        <v>0</v>
      </c>
      <c r="AX44" s="8">
        <f t="shared" si="24"/>
        <v>5.5</v>
      </c>
      <c r="AY44" s="8">
        <f t="shared" si="25"/>
        <v>6.5</v>
      </c>
      <c r="AZ44" s="8">
        <f>IF(_xlfn.XLOOKUP(E44,Groups!A:A,Groups!N:N)="Insect",BB44*2.5,IFERROR(AVERAGE(BB44,AR44/9.81/IF(OR(_xlfn.XLOOKUP(E44,Groups!A:A,Groups!N:N)="Pig",_xlfn.XLOOKUP(E44,Groups!A:A,Groups!N:N)="StrongBitingHerbivore"),20,25))*C44^-0.135,BB44))</f>
        <v>3.2472324064132327</v>
      </c>
      <c r="BA44" s="8">
        <f>IF(W44="No","No",IF(_xlfn.XLOOKUP(E44,Groups!A:A,Groups!U:U)=1,'Base stats'!AZ44,IF(OR(_xlfn.XLOOKUP(E44,Groups!A:A,Groups!BD:BD)=1,_xlfn.XLOOKUP(E44,Groups!A:A,Groups!U:U)=2),BB44,IF(_xlfn.XLOOKUP(B44,Animals!B:B,Animals!AO:AO)&gt;4,AVERAGE(BB44,BD44),BD44))))</f>
        <v>5.1480524630900852</v>
      </c>
      <c r="BB44" s="8">
        <f t="shared" si="26"/>
        <v>3.2472324064132327</v>
      </c>
      <c r="BC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D44" s="8">
        <f>(0.048*C44^1.01)/IF(_xlfn.XLOOKUP(E44,Groups!A:A,Groups!M:M)=1,0.25,0.8)*C44^-0.25</f>
        <v>5.1480524630900852</v>
      </c>
      <c r="BE44" s="8">
        <f>EXP(1.076*LN(AP44)-4.5397)*IF(_xlfn.XLOOKUP(E44,Groups!A:A,Groups!BC:BC)=1,1.25,IF(_xlfn.XLOOKUP(E44,Groups!A:A,Groups!BD:BD)=1,3.5,2.5))</f>
        <v>403.64903444222597</v>
      </c>
      <c r="BF44" s="8">
        <f>EXP(1.076*LN(AQ44)-4.5397)*IF(_xlfn.XLOOKUP(E44,Groups!A:A,Groups!M:M)=1,0.8,IF(_xlfn.XLOOKUP(E44,Groups!A:A,Groups!BC:BC)=1,1.3,3))</f>
        <v>473.75402609099581</v>
      </c>
      <c r="BG44" s="8">
        <f>IF(W44="No","No",IF(_xlfn.XLOOKUP(E44,Groups!A:A,Groups!U:U)=1,'Base stats'!BH44,IF(OR(_xlfn.XLOOKUP(E44,Groups!A:A,Groups!BD:BD)=1,_xlfn.XLOOKUP(E44,Groups!A:A,Groups!U:U)=2),BE44,BF44))*1.2)</f>
        <v>568.50483130919497</v>
      </c>
      <c r="BH44" s="8" t="str">
        <f>IFERROR(EXP(1.076*LN(AR44)-4.5397)*IF(_xlfn.XLOOKUP(E44,Groups!A:A,Groups!N:N)="Insect",1,IF(OR(_xlfn.XLOOKUP(E44,Groups!A:A,Groups!N:N)="Pig",_xlfn.XLOOKUP(E44,Groups!A:A,Groups!N:N)="StrongBitingHerbivore"),3.5,3.75)),"No")</f>
        <v>No</v>
      </c>
      <c r="BI44" s="8">
        <f t="shared" si="10"/>
        <v>15</v>
      </c>
      <c r="BJ44" s="8">
        <f t="shared" si="11"/>
        <v>11</v>
      </c>
      <c r="BK44" s="8">
        <f t="shared" si="27"/>
        <v>14</v>
      </c>
      <c r="BL44" s="8" t="str">
        <f t="shared" si="28"/>
        <v>No</v>
      </c>
      <c r="BM44" s="8">
        <f t="shared" si="12"/>
        <v>13</v>
      </c>
      <c r="BN44" s="8" cm="1">
        <f t="array" ref="BN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O44" s="8">
        <f>IF(W44="No","No",IF(_xlfn.XLOOKUP(E44,Groups!A:A,Groups!BD:BD)=1,(AM44*5%),EXP(0.7354*LN(C44)^0.4078)*2/IF(_xlfn.XLOOKUP(E44,Groups!A:A,Groups!BL:BL)=1,1000,100)))</f>
        <v>9.0734189120175002E-2</v>
      </c>
      <c r="BP44" s="8" t="str">
        <f>IF(BH44="No","No",IF(_xlfn.XLOOKUP(E44,Groups!A:A,Groups!BF:BF)=1,(0.0315*C44+2.1825)*2,(0.7354*C44^0.4078)*2)/IF(_xlfn.XLOOKUP(E44,Groups!A:A,Groups!BM:BM)=1,1000,100))</f>
        <v>No</v>
      </c>
      <c r="BQ44" s="8">
        <f t="shared" si="29"/>
        <v>0.16146065353004271</v>
      </c>
      <c r="BR44" s="8">
        <f t="shared" si="13"/>
        <v>7.3904257182008974</v>
      </c>
      <c r="BS44" s="8">
        <f t="shared" si="30"/>
        <v>6265.6076702931196</v>
      </c>
      <c r="BT44" s="8" t="str">
        <f t="shared" si="14"/>
        <v>No</v>
      </c>
      <c r="BU44" s="4">
        <v>0</v>
      </c>
      <c r="BV44" s="4">
        <v>1</v>
      </c>
    </row>
    <row r="45" spans="1:74" x14ac:dyDescent="0.25">
      <c r="A45" s="26" t="s">
        <v>150</v>
      </c>
      <c r="B45" s="6" t="s">
        <v>151</v>
      </c>
      <c r="C45" s="7">
        <v>667</v>
      </c>
      <c r="D45" s="7" t="s">
        <v>541</v>
      </c>
      <c r="E45" s="7" t="str">
        <f>Groups!A51</f>
        <v>Ruminant (bovid)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541</v>
      </c>
      <c r="L45" s="7">
        <v>29</v>
      </c>
      <c r="M45" s="7" t="s">
        <v>638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IF(AR45="No","No",IF(_xlfn.XLOOKUP(E45,Groups!A:A,Groups!AM:AM)=1,MROUND(EXP(0.3582*LN(C45)-0.2221)*T45,0.05),IF(_xlfn.XLOOKUP(E45,Groups!A:A,Groups!AM:AM)=2,MROUND(EXP(0.3582*LN(C45)-0.2221)*T45,0.05),"Need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977</v>
      </c>
      <c r="Y45" s="4" t="s">
        <v>42</v>
      </c>
      <c r="Z45" s="4">
        <v>0</v>
      </c>
      <c r="AA45" s="4">
        <v>0</v>
      </c>
      <c r="AB45" s="4">
        <v>0</v>
      </c>
      <c r="AC45" s="4" t="s">
        <v>45</v>
      </c>
      <c r="AD45" s="4" t="s">
        <v>407</v>
      </c>
      <c r="AE45" s="28" t="s">
        <v>401</v>
      </c>
      <c r="AF45" s="4" t="s">
        <v>45</v>
      </c>
      <c r="AG45" s="4">
        <v>1</v>
      </c>
      <c r="AH45" s="4">
        <v>0</v>
      </c>
      <c r="AI45" s="4">
        <v>0</v>
      </c>
      <c r="AJ45" s="4">
        <v>0</v>
      </c>
      <c r="AK45" s="4">
        <v>0</v>
      </c>
      <c r="AL45" s="44" t="s">
        <v>40</v>
      </c>
      <c r="AM45" s="8">
        <f t="shared" si="21"/>
        <v>76033.462935846605</v>
      </c>
      <c r="AN45" s="8">
        <f>IFERROR(C45*_xlfn.XLOOKUP(E45,Groups!A:A,Groups!K:K),0.106*C45^0.94)</f>
        <v>47.86126236293304</v>
      </c>
      <c r="AO45" s="8">
        <f>AN45*10000/(_xlfn.XLOOKUP(E45,Groups!A:A,Groups!J:J)*AM45)</f>
        <v>5.7750118587803678</v>
      </c>
      <c r="AP45" s="8">
        <f t="shared" si="22"/>
        <v>13212.343057657132</v>
      </c>
      <c r="AQ45" s="8">
        <f>IF(_xlfn.XLOOKUP(E45,Groups!A:A,Groups!M:M)=1,EXP(0.7444*LN('Base stats'!C45)+6.5696),EXP(0.7927*LN('Base stats'!C45)+4.28))</f>
        <v>12515.982034653402</v>
      </c>
      <c r="AR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"No")))))))))))))))</f>
        <v>No</v>
      </c>
      <c r="AS45" s="8">
        <f>IF(_xlfn.XLOOKUP(E45,Groups!A:A,Groups!U:U)=3,AQ45,IF(_xlfn.XLOOKUP(E45,Groups!A:A,Groups!U:U)=2,AP45,AR45))</f>
        <v>12515.982034653402</v>
      </c>
      <c r="AT45" s="46">
        <f>IFERROR(AVERAGE(_xlfn.XLOOKUP(B45,Animals!B:B,Animals!N:N),_xlfn.XLOOKUP(B45,Animals!B:B,Animals!O:O)),0)</f>
        <v>0</v>
      </c>
      <c r="AU45" s="8">
        <f>MROUND(40*Animals!AO45*_xlfn.XLOOKUP(Animals!BB45,Leathers!$A$2:$A$100,Leathers!$B$2:$B$100,0)+(140*_xlfn.XLOOKUP(B45,Animals!B:B,Animals!AO:AO)*2),5)</f>
        <v>1090</v>
      </c>
      <c r="AV45" s="8">
        <f>IFERROR(ROUND(SQRT(V45-1)*IF(_xlfn.XLOOKUP(E45,Groups!A:A,Groups!BF:BF)=0,2,1)*IF(_xlfn.XLOOKUP('Base stats'!E45,Groups!A:A,Groups!O:O)=0,1,0.1),1),0)</f>
        <v>0</v>
      </c>
      <c r="AW45" s="8">
        <f t="shared" si="23"/>
        <v>0</v>
      </c>
      <c r="AX45" s="8">
        <f t="shared" si="24"/>
        <v>6.5</v>
      </c>
      <c r="AY45" s="8">
        <f t="shared" si="25"/>
        <v>8.1999999999999993</v>
      </c>
      <c r="AZ45" s="8">
        <f>IF(_xlfn.XLOOKUP(E45,Groups!A:A,Groups!N:N)="Insect",BB45*2.5,IFERROR(AVERAGE(BB45,AR45/9.81/IF(OR(_xlfn.XLOOKUP(E45,Groups!A:A,Groups!N:N)="Pig",_xlfn.XLOOKUP(E45,Groups!A:A,Groups!N:N)="StrongBitingHerbivore"),20,25))*C45^-0.135,BB45))</f>
        <v>5.2805230876124014</v>
      </c>
      <c r="BA45" s="8">
        <f>IF(W45="No","No",IF(_xlfn.XLOOKUP(E45,Groups!A:A,Groups!U:U)=1,'Base stats'!AZ45,IF(OR(_xlfn.XLOOKUP(E45,Groups!A:A,Groups!BD:BD)=1,_xlfn.XLOOKUP(E45,Groups!A:A,Groups!U:U)=2),BB45,IF(_xlfn.XLOOKUP(B45,Animals!B:B,Animals!AO:AO)&gt;4,AVERAGE(BB45,BD45),BD45))))</f>
        <v>8.4040162630422426</v>
      </c>
      <c r="BB45" s="8">
        <f t="shared" si="26"/>
        <v>5.2805230876124014</v>
      </c>
      <c r="BC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D45" s="8">
        <f>(0.048*C45^1.01)/IF(_xlfn.XLOOKUP(E45,Groups!A:A,Groups!M:M)=1,0.25,0.8)*C45^-0.25</f>
        <v>8.4040162630422426</v>
      </c>
      <c r="BE45" s="8">
        <f>EXP(1.076*LN(AP45)-4.5397)*IF(_xlfn.XLOOKUP(E45,Groups!A:A,Groups!BC:BC)=1,1.25,IF(_xlfn.XLOOKUP(E45,Groups!A:A,Groups!BD:BD)=1,3.5,2.5))</f>
        <v>725.35007239706135</v>
      </c>
      <c r="BF45" s="8">
        <f>EXP(1.076*LN(AQ45)-4.5397)*IF(_xlfn.XLOOKUP(E45,Groups!A:A,Groups!M:M)=1,0.8,IF(_xlfn.XLOOKUP(E45,Groups!A:A,Groups!BC:BC)=1,1.3,3))</f>
        <v>821.15825108479567</v>
      </c>
      <c r="BG45" s="8">
        <f>IF(W45="No","No",IF(_xlfn.XLOOKUP(E45,Groups!A:A,Groups!U:U)=1,'Base stats'!BH45,IF(OR(_xlfn.XLOOKUP(E45,Groups!A:A,Groups!BD:BD)=1,_xlfn.XLOOKUP(E45,Groups!A:A,Groups!U:U)=2),BE45,BF45))*1.2)</f>
        <v>985.38990130175478</v>
      </c>
      <c r="BH45" s="8" t="str">
        <f>IFERROR(EXP(1.076*LN(AR45)-4.5397)*IF(_xlfn.XLOOKUP(E45,Groups!A:A,Groups!N:N)="Insect",1,IF(OR(_xlfn.XLOOKUP(E45,Groups!A:A,Groups!N:N)="Pig",_xlfn.XLOOKUP(E45,Groups!A:A,Groups!N:N)="StrongBitingHerbivore"),3.5,3.75)),"No")</f>
        <v>No</v>
      </c>
      <c r="BI45" s="8">
        <f t="shared" si="10"/>
        <v>16</v>
      </c>
      <c r="BJ45" s="8">
        <f t="shared" si="11"/>
        <v>12</v>
      </c>
      <c r="BK45" s="8">
        <f t="shared" si="27"/>
        <v>15</v>
      </c>
      <c r="BL45" s="8" t="str">
        <f t="shared" si="28"/>
        <v>No</v>
      </c>
      <c r="BM45" s="8">
        <f t="shared" si="12"/>
        <v>13</v>
      </c>
      <c r="BN45" s="8" cm="1">
        <f t="array" ref="BN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O45" s="8">
        <f>IF(W45="No","No",IF(_xlfn.XLOOKUP(E45,Groups!A:A,Groups!BD:BD)=1,(AM45*5%),EXP(0.7354*LN(C45)^0.4078)*2/IF(_xlfn.XLOOKUP(E45,Groups!A:A,Groups!BL:BL)=1,1000,100)))</f>
        <v>9.6904653441537092E-2</v>
      </c>
      <c r="BP45" s="8" t="str">
        <f>IF(BH45="No","No",IF(_xlfn.XLOOKUP(E45,Groups!A:A,Groups!BF:BF)=1,(0.0315*C45+2.1825)*2,(0.7354*C45^0.4078)*2)/IF(_xlfn.XLOOKUP(E45,Groups!A:A,Groups!BM:BM)=1,1000,100))</f>
        <v>No</v>
      </c>
      <c r="BQ45" s="8">
        <f t="shared" si="29"/>
        <v>0.19079758947953665</v>
      </c>
      <c r="BR45" s="8">
        <f t="shared" si="13"/>
        <v>7.1267129849175799</v>
      </c>
      <c r="BS45" s="8">
        <f t="shared" si="30"/>
        <v>10168.65409767183</v>
      </c>
      <c r="BT45" s="8" t="str">
        <f t="shared" si="14"/>
        <v>No</v>
      </c>
      <c r="BU45" s="4">
        <v>0</v>
      </c>
      <c r="BV45" s="4">
        <v>1</v>
      </c>
    </row>
    <row r="46" spans="1:74" x14ac:dyDescent="0.25">
      <c r="A46" s="26" t="s">
        <v>154</v>
      </c>
      <c r="B46" s="6" t="s">
        <v>155</v>
      </c>
      <c r="C46" s="7">
        <v>200</v>
      </c>
      <c r="D46" s="7" t="s">
        <v>542</v>
      </c>
      <c r="E46" s="7" t="str">
        <f>Groups!A55</f>
        <v>Ruminant (cervid)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542</v>
      </c>
      <c r="L46" s="7">
        <v>72</v>
      </c>
      <c r="M46" s="7" t="s">
        <v>638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IF(AR46="No","No",IF(_xlfn.XLOOKUP(E46,Groups!A:A,Groups!AM:AM)=1,MROUND(EXP(0.3582*LN(C46)-0.2221)*T46,0.05),IF(_xlfn.XLOOKUP(E46,Groups!A:A,Groups!AM:AM)=2,MROUND(EXP(0.3582*LN(C46)-0.2221)*T46,0.05),"Need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945</v>
      </c>
      <c r="Y46" s="4" t="s">
        <v>42</v>
      </c>
      <c r="Z46" s="4">
        <v>0</v>
      </c>
      <c r="AA46" s="4">
        <v>0</v>
      </c>
      <c r="AB46" s="4">
        <v>0</v>
      </c>
      <c r="AC46" s="4" t="s">
        <v>45</v>
      </c>
      <c r="AD46" s="4" t="s">
        <v>407</v>
      </c>
      <c r="AE46" s="28" t="s">
        <v>401</v>
      </c>
      <c r="AF46" s="4" t="str">
        <f>Animals!C53</f>
        <v>&lt;li&gt;Deer&lt;/li&gt;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4" t="s">
        <v>40</v>
      </c>
      <c r="AM46" s="8">
        <f t="shared" si="21"/>
        <v>34753.014052750754</v>
      </c>
      <c r="AN46" s="8">
        <f>IFERROR(C46*_xlfn.XLOOKUP(E46,Groups!A:A,Groups!K:K),0.106*C46^0.94)</f>
        <v>15.426736488345595</v>
      </c>
      <c r="AO46" s="8">
        <f>AN46*10000/(_xlfn.XLOOKUP(E46,Groups!A:A,Groups!J:J)*AM46)</f>
        <v>4.0724436832674371</v>
      </c>
      <c r="AP46" s="8">
        <f t="shared" si="22"/>
        <v>4776.6210371506204</v>
      </c>
      <c r="AQ46" s="8">
        <f>IF(_xlfn.XLOOKUP(E46,Groups!A:A,Groups!M:M)=1,EXP(0.7444*LN('Base stats'!C46)+6.5696),EXP(0.7927*LN('Base stats'!C46)+4.28))</f>
        <v>4817.3351295400244</v>
      </c>
      <c r="AR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"No")))))))))))))))</f>
        <v>No</v>
      </c>
      <c r="AS46" s="8">
        <f>IF(_xlfn.XLOOKUP(E46,Groups!A:A,Groups!U:U)=3,AQ46,IF(_xlfn.XLOOKUP(E46,Groups!A:A,Groups!U:U)=2,AP46,AR46))</f>
        <v>4817.3351295400244</v>
      </c>
      <c r="AT46" s="46">
        <f>IFERROR(AVERAGE(_xlfn.XLOOKUP(B46,Animals!B:B,Animals!N:N),_xlfn.XLOOKUP(B46,Animals!B:B,Animals!O:O)),0)</f>
        <v>0</v>
      </c>
      <c r="AU46" s="8">
        <f>MROUND(40*Animals!AO46*_xlfn.XLOOKUP(Animals!BB46,Leathers!$A$2:$A$100,Leathers!$B$2:$B$100,0)+(140*_xlfn.XLOOKUP(B46,Animals!B:B,Animals!AO:AO)*2),5)</f>
        <v>655</v>
      </c>
      <c r="AV46" s="8">
        <f>IFERROR(ROUND(SQRT(V46-1)*IF(_xlfn.XLOOKUP(E46,Groups!A:A,Groups!BF:BF)=0,2,1)*IF(_xlfn.XLOOKUP('Base stats'!E46,Groups!A:A,Groups!O:O)=0,1,0.1),1),0)</f>
        <v>0</v>
      </c>
      <c r="AW46" s="8">
        <f t="shared" si="23"/>
        <v>0</v>
      </c>
      <c r="AX46" s="8">
        <f t="shared" si="24"/>
        <v>7.4</v>
      </c>
      <c r="AY46" s="8">
        <f t="shared" si="25"/>
        <v>5.3</v>
      </c>
      <c r="AZ46" s="8">
        <f>IF(_xlfn.XLOOKUP(E46,Groups!A:A,Groups!N:N)="Insect",BB46*2.5,IFERROR(AVERAGE(BB46,AR46/9.81/IF(OR(_xlfn.XLOOKUP(E46,Groups!A:A,Groups!N:N)="Pig",_xlfn.XLOOKUP(E46,Groups!A:A,Groups!N:N)="StrongBitingHerbivore"),20,25))*C46^-0.135,BB46))</f>
        <v>2.1294266438436793</v>
      </c>
      <c r="BA46" s="8">
        <f>IF(W46="No","No",IF(_xlfn.XLOOKUP(E46,Groups!A:A,Groups!U:U)=1,'Base stats'!AZ46,IF(OR(_xlfn.XLOOKUP(E46,Groups!A:A,Groups!BD:BD)=1,_xlfn.XLOOKUP(E46,Groups!A:A,Groups!U:U)=2),BB46,IF(_xlfn.XLOOKUP(B46,Animals!B:B,Animals!AO:AO)&gt;4,AVERAGE(BB46,BD46),BD46))))</f>
        <v>3.3646046987127658</v>
      </c>
      <c r="BB46" s="8">
        <f t="shared" si="26"/>
        <v>2.1294266438436793</v>
      </c>
      <c r="BC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D46" s="8">
        <f>(0.048*C46^1.01)/IF(_xlfn.XLOOKUP(E46,Groups!A:A,Groups!M:M)=1,0.25,0.8)*C46^-0.25</f>
        <v>3.3646046987127658</v>
      </c>
      <c r="BE46" s="8">
        <f>EXP(1.076*LN(AP46)-4.5397)*IF(_xlfn.XLOOKUP(E46,Groups!A:A,Groups!BC:BC)=1,1.25,IF(_xlfn.XLOOKUP(E46,Groups!A:A,Groups!BD:BD)=1,3.5,2.5))</f>
        <v>242.72097948417178</v>
      </c>
      <c r="BF46" s="8">
        <f>EXP(1.076*LN(AQ46)-4.5397)*IF(_xlfn.XLOOKUP(E46,Groups!A:A,Groups!M:M)=1,0.8,IF(_xlfn.XLOOKUP(E46,Groups!A:A,Groups!BC:BC)=1,1.3,3))</f>
        <v>293.93735151357987</v>
      </c>
      <c r="BG46" s="8">
        <f>IF(W46="No","No",IF(_xlfn.XLOOKUP(E46,Groups!A:A,Groups!U:U)=1,'Base stats'!BH46,IF(OR(_xlfn.XLOOKUP(E46,Groups!A:A,Groups!BD:BD)=1,_xlfn.XLOOKUP(E46,Groups!A:A,Groups!U:U)=2),BE46,BF46))*1.2)</f>
        <v>352.72482181629584</v>
      </c>
      <c r="BH46" s="8" t="str">
        <f>IFERROR(EXP(1.076*LN(AR46)-4.5397)*IF(_xlfn.XLOOKUP(E46,Groups!A:A,Groups!N:N)="Insect",1,IF(OR(_xlfn.XLOOKUP(E46,Groups!A:A,Groups!N:N)="Pig",_xlfn.XLOOKUP(E46,Groups!A:A,Groups!N:N)="StrongBitingHerbivore"),3.5,3.75)),"No")</f>
        <v>No</v>
      </c>
      <c r="BI46" s="8">
        <f t="shared" si="10"/>
        <v>15</v>
      </c>
      <c r="BJ46" s="8">
        <f t="shared" si="11"/>
        <v>11</v>
      </c>
      <c r="BK46" s="8">
        <f t="shared" si="27"/>
        <v>14</v>
      </c>
      <c r="BL46" s="8" t="str">
        <f t="shared" si="28"/>
        <v>No</v>
      </c>
      <c r="BM46" s="8">
        <f t="shared" si="12"/>
        <v>13</v>
      </c>
      <c r="BN46" s="8" cm="1">
        <f t="array" ref="BN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O46" s="8">
        <f>IF(W46="No","No",IF(_xlfn.XLOOKUP(E46,Groups!A:A,Groups!BD:BD)=1,(AM46*5%),EXP(0.7354*LN(C46)^0.4078)*2/IF(_xlfn.XLOOKUP(E46,Groups!A:A,Groups!BL:BL)=1,1000,100)))</f>
        <v>8.5393147695734722E-2</v>
      </c>
      <c r="BP46" s="8" t="str">
        <f>IF(BH46="No","No",IF(_xlfn.XLOOKUP(E46,Groups!A:A,Groups!BF:BF)=1,(0.0315*C46+2.1825)*2,(0.7354*C46^0.4078)*2)/IF(_xlfn.XLOOKUP(E46,Groups!A:A,Groups!BM:BM)=1,1000,100))</f>
        <v>No</v>
      </c>
      <c r="BQ46" s="8">
        <f t="shared" si="29"/>
        <v>0.13968341227368164</v>
      </c>
      <c r="BR46" s="8">
        <f t="shared" si="13"/>
        <v>7.5754760239046428</v>
      </c>
      <c r="BS46" s="8">
        <f t="shared" si="30"/>
        <v>4130.5986643459219</v>
      </c>
      <c r="BT46" s="8" t="str">
        <f t="shared" si="14"/>
        <v>No</v>
      </c>
      <c r="BU46" s="4">
        <v>0</v>
      </c>
      <c r="BV46" s="4">
        <v>1</v>
      </c>
    </row>
    <row r="47" spans="1:74" x14ac:dyDescent="0.25">
      <c r="A47" s="26" t="s">
        <v>156</v>
      </c>
      <c r="B47" s="6" t="s">
        <v>157</v>
      </c>
      <c r="C47" s="7">
        <v>150</v>
      </c>
      <c r="D47" s="7" t="s">
        <v>538</v>
      </c>
      <c r="E47" s="7" t="str">
        <f>Groups!A24</f>
        <v>Camelid (humped)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538</v>
      </c>
      <c r="L47" s="7">
        <v>29</v>
      </c>
      <c r="M47" s="7" t="s">
        <v>638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945</v>
      </c>
      <c r="Y47" s="4" t="s">
        <v>42</v>
      </c>
      <c r="Z47" s="4">
        <v>0</v>
      </c>
      <c r="AA47" s="4">
        <v>0.1</v>
      </c>
      <c r="AB47" s="4">
        <v>0.3</v>
      </c>
      <c r="AC47" s="4" t="s">
        <v>45</v>
      </c>
      <c r="AD47" s="4" t="s">
        <v>320</v>
      </c>
      <c r="AE47" s="28" t="s">
        <v>401</v>
      </c>
      <c r="AF47" s="4" t="str">
        <f>Animals!C54</f>
        <v>&lt;li&gt;Gazelle&lt;/li&gt;</v>
      </c>
      <c r="AG47" s="4">
        <v>0</v>
      </c>
      <c r="AH47" s="4">
        <v>0</v>
      </c>
      <c r="AI47" s="4">
        <v>1</v>
      </c>
      <c r="AJ47" s="4">
        <v>0</v>
      </c>
      <c r="AK47" s="4">
        <v>0</v>
      </c>
      <c r="AL47" s="44" t="s">
        <v>40</v>
      </c>
      <c r="AM47" s="8">
        <f t="shared" si="21"/>
        <v>28825.861601687579</v>
      </c>
      <c r="AN47" s="8">
        <f>IFERROR(C47*_xlfn.XLOOKUP(E47,Groups!A:A,Groups!K:K),0.106*C47^0.94)</f>
        <v>11.771495712556113</v>
      </c>
      <c r="AO47" s="8">
        <f>AN47*10000/(_xlfn.XLOOKUP(E47,Groups!A:A,Groups!J:J)*AM47)</f>
        <v>3.7464751271603496</v>
      </c>
      <c r="AP47" s="8">
        <f t="shared" si="22"/>
        <v>3746.1489061563307</v>
      </c>
      <c r="AQ47" s="8">
        <f>IF(_xlfn.XLOOKUP(E47,Groups!A:A,Groups!M:M)=1,EXP(0.7444*LN('Base stats'!C47)+6.5696),EXP(0.7927*LN('Base stats'!C47)+4.28))</f>
        <v>3835.0225645496203</v>
      </c>
      <c r="AR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"No")))))))))))))))</f>
        <v>2459.3044204039425</v>
      </c>
      <c r="AS47" s="8">
        <f>IF(_xlfn.XLOOKUP(E47,Groups!A:A,Groups!U:U)=3,AQ47,IF(_xlfn.XLOOKUP(E47,Groups!A:A,Groups!U:U)=2,AP47,AR47))</f>
        <v>2459.3044204039425</v>
      </c>
      <c r="AT47" s="46">
        <f>IFERROR(AVERAGE(_xlfn.XLOOKUP(B47,Animals!B:B,Animals!N:N),_xlfn.XLOOKUP(B47,Animals!B:B,Animals!O:O)),0)</f>
        <v>0</v>
      </c>
      <c r="AU47" s="8">
        <f>MROUND(40*Animals!AO47*_xlfn.XLOOKUP(Animals!BB47,Leathers!$A$2:$A$100,Leathers!$B$2:$B$100,0)+(140*_xlfn.XLOOKUP(B47,Animals!B:B,Animals!AO:AO)*2),5)</f>
        <v>545</v>
      </c>
      <c r="AV47" s="8">
        <f>IFERROR(ROUND(SQRT(V47-1)*IF(_xlfn.XLOOKUP(E47,Groups!A:A,Groups!BF:BF)=0,2,1)*IF(_xlfn.XLOOKUP('Base stats'!E47,Groups!A:A,Groups!O:O)=0,1,0.1),1),0)</f>
        <v>0.5</v>
      </c>
      <c r="AW47" s="8">
        <f t="shared" si="23"/>
        <v>0</v>
      </c>
      <c r="AX47" s="8">
        <f t="shared" si="24"/>
        <v>0</v>
      </c>
      <c r="AY47" s="8">
        <f t="shared" si="25"/>
        <v>4.8</v>
      </c>
      <c r="AZ47" s="8">
        <f>IF(_xlfn.XLOOKUP(E47,Groups!A:A,Groups!N:N)="Insect",BB47*2.5,IFERROR(AVERAGE(BB47,AR47/9.81/IF(OR(_xlfn.XLOOKUP(E47,Groups!A:A,Groups!N:N)="Pig",_xlfn.XLOOKUP(E47,Groups!A:A,Groups!N:N)="StrongBitingHerbivore"),20,25))*C47^-0.135,BB47))</f>
        <v>3.6222475768924149</v>
      </c>
      <c r="BA47" s="8" t="str">
        <f>IF(W47="No","No",IF(_xlfn.XLOOKUP(E47,Groups!A:A,Groups!U:U)=1,'Base stats'!AZ47,IF(OR(_xlfn.XLOOKUP(E47,Groups!A:A,Groups!BD:BD)=1,_xlfn.XLOOKUP(E47,Groups!A:A,Groups!U:U)=2),BB47,IF(_xlfn.XLOOKUP(B47,Animals!B:B,Animals!AO:AO)&gt;4,AVERAGE(BB47,BD47),BD47))))</f>
        <v>No</v>
      </c>
      <c r="BB47" s="8">
        <f t="shared" si="26"/>
        <v>1.7141896806845596</v>
      </c>
      <c r="BC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D47" s="8">
        <f>(0.048*C47^1.01)/IF(_xlfn.XLOOKUP(E47,Groups!A:A,Groups!M:M)=1,0.25,0.8)*C47^-0.25</f>
        <v>2.7038376258152188</v>
      </c>
      <c r="BE47" s="8">
        <f>EXP(1.076*LN(AP47)-4.5397)*IF(_xlfn.XLOOKUP(E47,Groups!A:A,Groups!BC:BC)=1,1.25,IF(_xlfn.XLOOKUP(E47,Groups!A:A,Groups!BD:BD)=1,3.5,2.5))</f>
        <v>186.87484615605439</v>
      </c>
      <c r="BF47" s="8">
        <f>EXP(1.076*LN(AQ47)-4.5397)*IF(_xlfn.XLOOKUP(E47,Groups!A:A,Groups!M:M)=1,0.8,IF(_xlfn.XLOOKUP(E47,Groups!A:A,Groups!BC:BC)=1,1.3,3))</f>
        <v>229.97937056804284</v>
      </c>
      <c r="BG47" s="8" t="str">
        <f>IF(W47="No","No",IF(_xlfn.XLOOKUP(E47,Groups!A:A,Groups!U:U)=1,'Base stats'!BH47,IF(OR(_xlfn.XLOOKUP(E47,Groups!A:A,Groups!BD:BD)=1,_xlfn.XLOOKUP(E47,Groups!A:A,Groups!U:U)=2),BE47,BF47))*1.2)</f>
        <v>No</v>
      </c>
      <c r="BH47" s="8">
        <f>IFERROR(EXP(1.076*LN(AR47)-4.5397)*IF(_xlfn.XLOOKUP(E47,Groups!A:A,Groups!N:N)="Insect",1,IF(OR(_xlfn.XLOOKUP(E47,Groups!A:A,Groups!N:N)="Pig",_xlfn.XLOOKUP(E47,Groups!A:A,Groups!N:N)="StrongBitingHerbivore"),3.5,3.75)),"No")</f>
        <v>166.3471671417945</v>
      </c>
      <c r="BI47" s="8">
        <f t="shared" si="10"/>
        <v>14</v>
      </c>
      <c r="BJ47" s="8">
        <f t="shared" si="11"/>
        <v>11</v>
      </c>
      <c r="BK47" s="8" t="str">
        <f t="shared" si="27"/>
        <v>No</v>
      </c>
      <c r="BL47" s="8">
        <f t="shared" si="28"/>
        <v>9</v>
      </c>
      <c r="BM47" s="8">
        <f t="shared" si="12"/>
        <v>13</v>
      </c>
      <c r="BN47" s="8" cm="1">
        <f t="array" ref="BN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O47" s="8" t="str">
        <f>IF(W47="No","No",IF(_xlfn.XLOOKUP(E47,Groups!A:A,Groups!BD:BD)=1,(AM47*5%),EXP(0.7354*LN(C47)^0.4078)*2/IF(_xlfn.XLOOKUP(E47,Groups!A:A,Groups!BL:BL)=1,1000,100)))</f>
        <v>No</v>
      </c>
      <c r="BP47" s="8">
        <f>IF(BH47="No","No",IF(_xlfn.XLOOKUP(E47,Groups!A:A,Groups!BF:BF)=1,(0.0315*C47+2.1825)*2,(0.7354*C47^0.4078)*2)/IF(_xlfn.XLOOKUP(E47,Groups!A:A,Groups!BM:BM)=1,1000,100))</f>
        <v>0.13815</v>
      </c>
      <c r="BQ47" s="8">
        <f t="shared" si="29"/>
        <v>0.12965776963635597</v>
      </c>
      <c r="BR47" s="8">
        <f t="shared" si="13"/>
        <v>7.6522251477737004</v>
      </c>
      <c r="BS47" s="8" t="str">
        <f t="shared" si="30"/>
        <v>No</v>
      </c>
      <c r="BT47" s="8">
        <f t="shared" si="14"/>
        <v>1204.1054443850489</v>
      </c>
      <c r="BU47" s="4">
        <v>0</v>
      </c>
      <c r="BV47" s="4">
        <v>1</v>
      </c>
    </row>
    <row r="48" spans="1:74" s="16" customFormat="1" x14ac:dyDescent="0.25">
      <c r="A48" s="26" t="s">
        <v>466</v>
      </c>
      <c r="B48" s="6" t="s">
        <v>891</v>
      </c>
      <c r="C48" s="7">
        <v>150</v>
      </c>
      <c r="D48" s="7" t="s">
        <v>538</v>
      </c>
      <c r="E48" s="7" t="str">
        <f>Groups!A24</f>
        <v>Camelid (humped)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538</v>
      </c>
      <c r="L48" s="7">
        <v>29</v>
      </c>
      <c r="M48" s="7" t="s">
        <v>638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945</v>
      </c>
      <c r="Y48" s="4" t="s">
        <v>42</v>
      </c>
      <c r="Z48" s="4">
        <v>0</v>
      </c>
      <c r="AA48" s="4">
        <v>0.1</v>
      </c>
      <c r="AB48" s="4">
        <v>0.3</v>
      </c>
      <c r="AC48" s="4" t="s">
        <v>45</v>
      </c>
      <c r="AD48" s="4" t="s">
        <v>320</v>
      </c>
      <c r="AE48" s="28" t="s">
        <v>1384</v>
      </c>
      <c r="AF48" s="4" t="s">
        <v>45</v>
      </c>
      <c r="AG48" s="4">
        <v>0</v>
      </c>
      <c r="AH48" s="4">
        <v>0</v>
      </c>
      <c r="AI48" s="4">
        <v>1</v>
      </c>
      <c r="AJ48" s="4">
        <v>0</v>
      </c>
      <c r="AK48" s="4">
        <v>0</v>
      </c>
      <c r="AL48" s="44" t="s">
        <v>40</v>
      </c>
      <c r="AM48" s="8">
        <f t="shared" si="21"/>
        <v>28825.861601687579</v>
      </c>
      <c r="AN48" s="8">
        <f>IFERROR(C48*_xlfn.XLOOKUP(E48,Groups!A:A,Groups!K:K),0.106*C48^0.94)</f>
        <v>11.771495712556113</v>
      </c>
      <c r="AO48" s="8">
        <f>AN48*10000/(_xlfn.XLOOKUP(E48,Groups!A:A,Groups!J:J)*AM48)</f>
        <v>3.7464751271603496</v>
      </c>
      <c r="AP48" s="8">
        <f t="shared" si="22"/>
        <v>3746.1489061563307</v>
      </c>
      <c r="AQ48" s="8">
        <f>IF(_xlfn.XLOOKUP(E48,Groups!A:A,Groups!M:M)=1,EXP(0.7444*LN('Base stats'!C48)+6.5696),EXP(0.7927*LN('Base stats'!C48)+4.28))</f>
        <v>3835.0225645496203</v>
      </c>
      <c r="AR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"No")))))))))))))))</f>
        <v>2459.3044204039425</v>
      </c>
      <c r="AS48" s="8">
        <f>IF(_xlfn.XLOOKUP(E48,Groups!A:A,Groups!U:U)=3,AQ48,IF(_xlfn.XLOOKUP(E48,Groups!A:A,Groups!U:U)=2,AP48,AR48))</f>
        <v>2459.3044204039425</v>
      </c>
      <c r="AT48" s="46">
        <f>IFERROR(AVERAGE(_xlfn.XLOOKUP(B48,Animals!B:B,Animals!N:N),_xlfn.XLOOKUP(B48,Animals!B:B,Animals!O:O)),0)</f>
        <v>0</v>
      </c>
      <c r="AU48" s="8">
        <f>MROUND(40*Animals!AO48*_xlfn.XLOOKUP(Animals!BB48,Leathers!$A$2:$A$100,Leathers!$B$2:$B$100,0)+(140*_xlfn.XLOOKUP(B48,Animals!B:B,Animals!AO:AO)*2),5)</f>
        <v>520</v>
      </c>
      <c r="AV48" s="8">
        <f>IFERROR(ROUND(SQRT(V48-1)*IF(_xlfn.XLOOKUP(E48,Groups!A:A,Groups!BF:BF)=0,2,1)*IF(_xlfn.XLOOKUP('Base stats'!E48,Groups!A:A,Groups!O:O)=0,1,0.1),1),0)</f>
        <v>0.5</v>
      </c>
      <c r="AW48" s="8">
        <f t="shared" si="23"/>
        <v>0</v>
      </c>
      <c r="AX48" s="8">
        <f t="shared" si="24"/>
        <v>0</v>
      </c>
      <c r="AY48" s="8">
        <f t="shared" si="25"/>
        <v>4.8</v>
      </c>
      <c r="AZ48" s="8">
        <f>IF(_xlfn.XLOOKUP(E48,Groups!A:A,Groups!N:N)="Insect",BB48*2.5,IFERROR(AVERAGE(BB48,AR48/9.81/IF(OR(_xlfn.XLOOKUP(E48,Groups!A:A,Groups!N:N)="Pig",_xlfn.XLOOKUP(E48,Groups!A:A,Groups!N:N)="StrongBitingHerbivore"),20,25))*C48^-0.135,BB48))</f>
        <v>3.6222475768924149</v>
      </c>
      <c r="BA48" s="8" t="str">
        <f>IF(W48="No","No",IF(_xlfn.XLOOKUP(E48,Groups!A:A,Groups!U:U)=1,'Base stats'!AZ48,IF(OR(_xlfn.XLOOKUP(E48,Groups!A:A,Groups!BD:BD)=1,_xlfn.XLOOKUP(E48,Groups!A:A,Groups!U:U)=2),BB48,IF(_xlfn.XLOOKUP(B48,Animals!B:B,Animals!AO:AO)&gt;4,AVERAGE(BB48,BD48),BD48))))</f>
        <v>No</v>
      </c>
      <c r="BB48" s="8">
        <f t="shared" si="26"/>
        <v>1.7141896806845596</v>
      </c>
      <c r="BC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D48" s="8">
        <f>(0.048*C48^1.01)/IF(_xlfn.XLOOKUP(E48,Groups!A:A,Groups!M:M)=1,0.25,0.8)*C48^-0.25</f>
        <v>2.7038376258152188</v>
      </c>
      <c r="BE48" s="8">
        <f>EXP(1.076*LN(AP48)-4.5397)*IF(_xlfn.XLOOKUP(E48,Groups!A:A,Groups!BC:BC)=1,1.25,IF(_xlfn.XLOOKUP(E48,Groups!A:A,Groups!BD:BD)=1,3.5,2.5))</f>
        <v>186.87484615605439</v>
      </c>
      <c r="BF48" s="8">
        <f>EXP(1.076*LN(AQ48)-4.5397)*IF(_xlfn.XLOOKUP(E48,Groups!A:A,Groups!M:M)=1,0.8,IF(_xlfn.XLOOKUP(E48,Groups!A:A,Groups!BC:BC)=1,1.3,3))</f>
        <v>229.97937056804284</v>
      </c>
      <c r="BG48" s="8" t="str">
        <f>IF(W48="No","No",IF(_xlfn.XLOOKUP(E48,Groups!A:A,Groups!U:U)=1,'Base stats'!BH48,IF(OR(_xlfn.XLOOKUP(E48,Groups!A:A,Groups!BD:BD)=1,_xlfn.XLOOKUP(E48,Groups!A:A,Groups!U:U)=2),BE48,BF48))*1.2)</f>
        <v>No</v>
      </c>
      <c r="BH48" s="8">
        <f>IFERROR(EXP(1.076*LN(AR48)-4.5397)*IF(_xlfn.XLOOKUP(E48,Groups!A:A,Groups!N:N)="Insect",1,IF(OR(_xlfn.XLOOKUP(E48,Groups!A:A,Groups!N:N)="Pig",_xlfn.XLOOKUP(E48,Groups!A:A,Groups!N:N)="StrongBitingHerbivore"),3.5,3.75)),"No")</f>
        <v>166.3471671417945</v>
      </c>
      <c r="BI48" s="8">
        <f t="shared" si="10"/>
        <v>14</v>
      </c>
      <c r="BJ48" s="8">
        <f t="shared" si="11"/>
        <v>11</v>
      </c>
      <c r="BK48" s="8" t="str">
        <f t="shared" si="27"/>
        <v>No</v>
      </c>
      <c r="BL48" s="8">
        <f t="shared" si="28"/>
        <v>9</v>
      </c>
      <c r="BM48" s="8">
        <f t="shared" si="12"/>
        <v>13</v>
      </c>
      <c r="BN48" s="8" cm="1">
        <f t="array" ref="BN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O48" s="8" t="str">
        <f>IF(W48="No","No",IF(_xlfn.XLOOKUP(E48,Groups!A:A,Groups!BD:BD)=1,(AM48*5%),EXP(0.7354*LN(C48)^0.4078)*2/IF(_xlfn.XLOOKUP(E48,Groups!A:A,Groups!BL:BL)=1,1000,100)))</f>
        <v>No</v>
      </c>
      <c r="BP48" s="8">
        <f>IF(BH48="No","No",IF(_xlfn.XLOOKUP(E48,Groups!A:A,Groups!BF:BF)=1,(0.0315*C48+2.1825)*2,(0.7354*C48^0.4078)*2)/IF(_xlfn.XLOOKUP(E48,Groups!A:A,Groups!BM:BM)=1,1000,100))</f>
        <v>0.13815</v>
      </c>
      <c r="BQ48" s="8">
        <f t="shared" si="29"/>
        <v>0.12965776963635597</v>
      </c>
      <c r="BR48" s="8">
        <f t="shared" si="13"/>
        <v>7.6522251477737004</v>
      </c>
      <c r="BS48" s="8" t="str">
        <f t="shared" si="30"/>
        <v>No</v>
      </c>
      <c r="BT48" s="8">
        <f t="shared" si="14"/>
        <v>1204.1054443850489</v>
      </c>
      <c r="BU48" s="4">
        <v>0</v>
      </c>
      <c r="BV48" s="4">
        <v>1</v>
      </c>
    </row>
    <row r="49" spans="1:74" x14ac:dyDescent="0.25">
      <c r="A49" s="26" t="s">
        <v>158</v>
      </c>
      <c r="B49" s="6" t="s">
        <v>159</v>
      </c>
      <c r="C49" s="7">
        <v>115.52</v>
      </c>
      <c r="D49" s="7" t="s">
        <v>1201</v>
      </c>
      <c r="E49" s="7" t="str">
        <f>Groups!A55</f>
        <v>Ruminant (cervid)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546</v>
      </c>
      <c r="L49" s="7">
        <v>80</v>
      </c>
      <c r="M49" s="7" t="s">
        <v>638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IF(AR49="No","No",IF(_xlfn.XLOOKUP(E49,Groups!A:A,Groups!AM:AM)=1,MROUND(EXP(0.3582*LN(C49)-0.2221)*T49,0.05),IF(_xlfn.XLOOKUP(E49,Groups!A:A,Groups!AM:AM)=2,MROUND(EXP(0.3582*LN(C49)-0.2221)*T49,0.05),"Need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945</v>
      </c>
      <c r="Y49" s="4" t="s">
        <v>42</v>
      </c>
      <c r="Z49" s="4">
        <v>0</v>
      </c>
      <c r="AA49" s="4">
        <v>0</v>
      </c>
      <c r="AB49" s="4">
        <v>0</v>
      </c>
      <c r="AC49" s="4" t="s">
        <v>45</v>
      </c>
      <c r="AD49" s="4" t="s">
        <v>410</v>
      </c>
      <c r="AE49" s="28" t="s">
        <v>401</v>
      </c>
      <c r="AF49" s="4" t="str">
        <f>Animals!C53</f>
        <v>&lt;li&gt;Deer&lt;/li&gt;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4" t="s">
        <v>40</v>
      </c>
      <c r="AM49" s="8">
        <f t="shared" si="21"/>
        <v>24324.848604008996</v>
      </c>
      <c r="AN49" s="8">
        <f>IFERROR(C49*_xlfn.XLOOKUP(E49,Groups!A:A,Groups!K:K),0.106*C49^0.94)</f>
        <v>9.2088121661870801</v>
      </c>
      <c r="AO49" s="8">
        <f>AN49*10000/(_xlfn.XLOOKUP(E49,Groups!A:A,Groups!J:J)*AM49)</f>
        <v>3.4731774352008111</v>
      </c>
      <c r="AP49" s="8">
        <f t="shared" si="22"/>
        <v>3004.465834884817</v>
      </c>
      <c r="AQ49" s="8">
        <f>IF(_xlfn.XLOOKUP(E49,Groups!A:A,Groups!M:M)=1,EXP(0.7444*LN('Base stats'!C49)+6.5696),EXP(0.7927*LN('Base stats'!C49)+4.28))</f>
        <v>3117.8034215020261</v>
      </c>
      <c r="AR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"No")))))))))))))))</f>
        <v>No</v>
      </c>
      <c r="AS49" s="8">
        <f>IF(_xlfn.XLOOKUP(E49,Groups!A:A,Groups!U:U)=3,AQ49,IF(_xlfn.XLOOKUP(E49,Groups!A:A,Groups!U:U)=2,AP49,AR49))</f>
        <v>3117.8034215020261</v>
      </c>
      <c r="AT49" s="46">
        <f>IFERROR(AVERAGE(_xlfn.XLOOKUP(B49,Animals!B:B,Animals!N:N),_xlfn.XLOOKUP(B49,Animals!B:B,Animals!O:O)),0)</f>
        <v>0</v>
      </c>
      <c r="AU49" s="8">
        <f>MROUND(40*Animals!AO49*_xlfn.XLOOKUP(Animals!BB49,Leathers!$A$2:$A$100,Leathers!$B$2:$B$100,0)+(140*_xlfn.XLOOKUP(B49,Animals!B:B,Animals!AO:AO)*2),5)</f>
        <v>475</v>
      </c>
      <c r="AV49" s="8">
        <f>IFERROR(ROUND(SQRT(V49-1)*IF(_xlfn.XLOOKUP(E49,Groups!A:A,Groups!BF:BF)=0,2,1)*IF(_xlfn.XLOOKUP('Base stats'!E49,Groups!A:A,Groups!O:O)=0,1,0.1),1),0)</f>
        <v>0</v>
      </c>
      <c r="AW49" s="8">
        <f t="shared" si="23"/>
        <v>0</v>
      </c>
      <c r="AX49" s="8">
        <f t="shared" si="24"/>
        <v>7.1</v>
      </c>
      <c r="AY49" s="8">
        <f t="shared" si="25"/>
        <v>4.4000000000000004</v>
      </c>
      <c r="AZ49" s="8">
        <f>IF(_xlfn.XLOOKUP(E49,Groups!A:A,Groups!N:N)="Insect",BB49*2.5,IFERROR(AVERAGE(BB49,AR49/9.81/IF(OR(_xlfn.XLOOKUP(E49,Groups!A:A,Groups!N:N)="Pig",_xlfn.XLOOKUP(E49,Groups!A:A,Groups!N:N)="StrongBitingHerbivore"),20,25))*C49^-0.135,BB49))</f>
        <v>1.4077631114513092</v>
      </c>
      <c r="BA49" s="8">
        <f>IF(W49="No","No",IF(_xlfn.XLOOKUP(E49,Groups!A:A,Groups!U:U)=1,'Base stats'!AZ49,IF(OR(_xlfn.XLOOKUP(E49,Groups!A:A,Groups!BD:BD)=1,_xlfn.XLOOKUP(E49,Groups!A:A,Groups!U:U)=2),BB49,IF(_xlfn.XLOOKUP(B49,Animals!B:B,Animals!AO:AO)&gt;4,AVERAGE(BB49,BD49),BD49))))</f>
        <v>2.2170255969992998</v>
      </c>
      <c r="BB49" s="8">
        <f t="shared" si="26"/>
        <v>1.4077631114513092</v>
      </c>
      <c r="BC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D49" s="8">
        <f>(0.048*C49^1.01)/IF(_xlfn.XLOOKUP(E49,Groups!A:A,Groups!M:M)=1,0.25,0.8)*C49^-0.25</f>
        <v>2.2170255969992998</v>
      </c>
      <c r="BE49" s="8">
        <f>EXP(1.076*LN(AP49)-4.5397)*IF(_xlfn.XLOOKUP(E49,Groups!A:A,Groups!BC:BC)=1,1.25,IF(_xlfn.XLOOKUP(E49,Groups!A:A,Groups!BD:BD)=1,3.5,2.5))</f>
        <v>147.38420104304186</v>
      </c>
      <c r="BF49" s="8">
        <f>EXP(1.076*LN(AQ49)-4.5397)*IF(_xlfn.XLOOKUP(E49,Groups!A:A,Groups!M:M)=1,0.8,IF(_xlfn.XLOOKUP(E49,Groups!A:A,Groups!BC:BC)=1,1.3,3))</f>
        <v>184.05000261865484</v>
      </c>
      <c r="BG49" s="8">
        <f>IF(W49="No","No",IF(_xlfn.XLOOKUP(E49,Groups!A:A,Groups!U:U)=1,'Base stats'!BH49,IF(OR(_xlfn.XLOOKUP(E49,Groups!A:A,Groups!BD:BD)=1,_xlfn.XLOOKUP(E49,Groups!A:A,Groups!U:U)=2),BE49,BF49))*1.2)</f>
        <v>220.86000314238581</v>
      </c>
      <c r="BH49" s="8" t="str">
        <f>IFERROR(EXP(1.076*LN(AR49)-4.5397)*IF(_xlfn.XLOOKUP(E49,Groups!A:A,Groups!N:N)="Insect",1,IF(OR(_xlfn.XLOOKUP(E49,Groups!A:A,Groups!N:N)="Pig",_xlfn.XLOOKUP(E49,Groups!A:A,Groups!N:N)="StrongBitingHerbivore"),3.5,3.75)),"No")</f>
        <v>No</v>
      </c>
      <c r="BI49" s="8">
        <f t="shared" si="10"/>
        <v>14</v>
      </c>
      <c r="BJ49" s="8">
        <f t="shared" si="11"/>
        <v>11</v>
      </c>
      <c r="BK49" s="8">
        <f t="shared" si="27"/>
        <v>14</v>
      </c>
      <c r="BL49" s="8" t="str">
        <f t="shared" si="28"/>
        <v>No</v>
      </c>
      <c r="BM49" s="8">
        <f t="shared" si="12"/>
        <v>12</v>
      </c>
      <c r="BN49" s="8" cm="1">
        <f t="array" ref="BN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O49" s="8">
        <f>IF(W49="No","No",IF(_xlfn.XLOOKUP(E49,Groups!A:A,Groups!BD:BD)=1,(AM49*5%),EXP(0.7354*LN(C49)^0.4078)*2/IF(_xlfn.XLOOKUP(E49,Groups!A:A,Groups!BL:BL)=1,1000,100)))</f>
        <v>8.0154260662742907E-2</v>
      </c>
      <c r="BP49" s="8" t="str">
        <f>IF(BH49="No","No",IF(_xlfn.XLOOKUP(E49,Groups!A:A,Groups!BF:BF)=1,(0.0315*C49+2.1825)*2,(0.7354*C49^0.4078)*2)/IF(_xlfn.XLOOKUP(E49,Groups!A:A,Groups!BM:BM)=1,1000,100))</f>
        <v>No</v>
      </c>
      <c r="BQ49" s="8">
        <f t="shared" si="29"/>
        <v>0.12117995342322611</v>
      </c>
      <c r="BR49" s="8">
        <f t="shared" si="13"/>
        <v>7.7100944527016191</v>
      </c>
      <c r="BS49" s="8">
        <f t="shared" si="30"/>
        <v>2755.4368453559373</v>
      </c>
      <c r="BT49" s="8" t="str">
        <f t="shared" si="14"/>
        <v>No</v>
      </c>
      <c r="BU49" s="4">
        <v>0</v>
      </c>
      <c r="BV49" s="4">
        <v>1</v>
      </c>
    </row>
    <row r="50" spans="1:74" x14ac:dyDescent="0.25">
      <c r="A50" s="26" t="s">
        <v>160</v>
      </c>
      <c r="B50" s="6" t="s">
        <v>161</v>
      </c>
      <c r="C50" s="7">
        <v>82.5</v>
      </c>
      <c r="D50" s="7" t="s">
        <v>547</v>
      </c>
      <c r="E50" s="7" t="str">
        <f>Groups!A54</f>
        <v>Ruminant  (bovid, 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547</v>
      </c>
      <c r="L50" s="7">
        <v>45</v>
      </c>
      <c r="M50" s="7" t="s">
        <v>638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IF(AR50="No","No",IF(_xlfn.XLOOKUP(E50,Groups!A:A,Groups!AM:AM)=1,MROUND(EXP(0.3582*LN(C50)-0.2221)*T50,0.05),IF(_xlfn.XLOOKUP(E50,Groups!A:A,Groups!AM:AM)=2,MROUND(EXP(0.3582*LN(C50)-0.2221)*T50,0.05),"Need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945</v>
      </c>
      <c r="Y50" s="4" t="s">
        <v>42</v>
      </c>
      <c r="Z50" s="4">
        <v>0</v>
      </c>
      <c r="AA50" s="4">
        <v>0</v>
      </c>
      <c r="AB50" s="4">
        <v>0</v>
      </c>
      <c r="AC50" s="4" t="s">
        <v>45</v>
      </c>
      <c r="AD50" s="4" t="s">
        <v>407</v>
      </c>
      <c r="AE50" s="28" t="s">
        <v>401</v>
      </c>
      <c r="AF50" s="4" t="str">
        <f>Animals!C51</f>
        <v>&lt;li&gt;Goat&lt;/li&gt;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4" t="s">
        <v>40</v>
      </c>
      <c r="AM50" s="8">
        <f t="shared" si="21"/>
        <v>19544.206621046193</v>
      </c>
      <c r="AN50" s="8">
        <f>IFERROR(C50*_xlfn.XLOOKUP(E50,Groups!A:A,Groups!K:K),0.106*C50^0.94)</f>
        <v>6.7107734384110129</v>
      </c>
      <c r="AO50" s="8">
        <f>AN50*10000/(_xlfn.XLOOKUP(E50,Groups!A:A,Groups!J:J)*AM50)</f>
        <v>3.1501267862397344</v>
      </c>
      <c r="AP50" s="8">
        <f t="shared" si="22"/>
        <v>2260.8377702679973</v>
      </c>
      <c r="AQ50" s="8">
        <f>IF(_xlfn.XLOOKUP(E50,Groups!A:A,Groups!M:M)=1,EXP(0.7444*LN('Base stats'!C50)+6.5696),EXP(0.7927*LN('Base stats'!C50)+4.28))</f>
        <v>2387.5552349171853</v>
      </c>
      <c r="AR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"No")))))))))))))))</f>
        <v>No</v>
      </c>
      <c r="AS50" s="8">
        <f>IF(_xlfn.XLOOKUP(E50,Groups!A:A,Groups!U:U)=3,AQ50,IF(_xlfn.XLOOKUP(E50,Groups!A:A,Groups!U:U)=2,AP50,AR50))</f>
        <v>2387.5552349171853</v>
      </c>
      <c r="AT50" s="46">
        <f>IFERROR(AVERAGE(_xlfn.XLOOKUP(B50,Animals!B:B,Animals!N:N),_xlfn.XLOOKUP(B50,Animals!B:B,Animals!O:O)),0)</f>
        <v>0</v>
      </c>
      <c r="AU50" s="8">
        <f>MROUND(40*Animals!AO50*_xlfn.XLOOKUP(Animals!BB50,Leathers!$A$2:$A$100,Leathers!$B$2:$B$100,0)+(140*_xlfn.XLOOKUP(B50,Animals!B:B,Animals!AO:AO)*2),5)</f>
        <v>400</v>
      </c>
      <c r="AV50" s="8">
        <f>IFERROR(ROUND(SQRT(V50-1)*IF(_xlfn.XLOOKUP(E50,Groups!A:A,Groups!BF:BF)=0,2,1)*IF(_xlfn.XLOOKUP('Base stats'!E50,Groups!A:A,Groups!O:O)=0,1,0.1),1),0)</f>
        <v>0</v>
      </c>
      <c r="AW50" s="8">
        <f t="shared" si="23"/>
        <v>0</v>
      </c>
      <c r="AX50" s="8">
        <f t="shared" si="24"/>
        <v>7.5</v>
      </c>
      <c r="AY50" s="8">
        <f t="shared" si="25"/>
        <v>3.9</v>
      </c>
      <c r="AZ50" s="8">
        <f>IF(_xlfn.XLOOKUP(E50,Groups!A:A,Groups!N:N)="Insect",BB50*2.5,IFERROR(AVERAGE(BB50,AR50/9.81/IF(OR(_xlfn.XLOOKUP(E50,Groups!A:A,Groups!N:N)="Pig",_xlfn.XLOOKUP(E50,Groups!A:A,Groups!N:N)="StrongBitingHerbivore"),20,25))*C50^-0.135,BB50))</f>
        <v>1.0921752840745751</v>
      </c>
      <c r="BA50" s="8">
        <f>IF(W50="No","No",IF(_xlfn.XLOOKUP(E50,Groups!A:A,Groups!U:U)=1,'Base stats'!AZ50,IF(OR(_xlfn.XLOOKUP(E50,Groups!A:A,Groups!BD:BD)=1,_xlfn.XLOOKUP(E50,Groups!A:A,Groups!U:U)=2),BB50,IF(_xlfn.XLOOKUP(B50,Animals!B:B,Animals!AO:AO)&gt;4,AVERAGE(BB50,BD50),BD50))))</f>
        <v>1.0921752840745751</v>
      </c>
      <c r="BB50" s="8">
        <f t="shared" si="26"/>
        <v>1.0921752840745751</v>
      </c>
      <c r="BC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D50" s="8">
        <f>(0.048*C50^1.01)/IF(_xlfn.XLOOKUP(E50,Groups!A:A,Groups!M:M)=1,0.25,0.8)*C50^-0.25</f>
        <v>1.7165491823144341</v>
      </c>
      <c r="BE50" s="8">
        <f>EXP(1.076*LN(AP50)-4.5397)*IF(_xlfn.XLOOKUP(E50,Groups!A:A,Groups!BC:BC)=1,1.25,IF(_xlfn.XLOOKUP(E50,Groups!A:A,Groups!BD:BD)=1,3.5,2.5))</f>
        <v>151.94809488026397</v>
      </c>
      <c r="BF50" s="8">
        <f>EXP(1.076*LN(AQ50)-4.5397)*IF(_xlfn.XLOOKUP(E50,Groups!A:A,Groups!M:M)=1,0.8,IF(_xlfn.XLOOKUP(E50,Groups!A:A,Groups!BC:BC)=1,1.3,3))</f>
        <v>138.11233994177937</v>
      </c>
      <c r="BG50" s="8">
        <f>IF(W50="No","No",IF(_xlfn.XLOOKUP(E50,Groups!A:A,Groups!U:U)=1,'Base stats'!BH50,IF(OR(_xlfn.XLOOKUP(E50,Groups!A:A,Groups!BD:BD)=1,_xlfn.XLOOKUP(E50,Groups!A:A,Groups!U:U)=2),BE50,BF50))*1.2)</f>
        <v>182.33771385631675</v>
      </c>
      <c r="BH50" s="8" t="str">
        <f>IFERROR(EXP(1.076*LN(AR50)-4.5397)*IF(_xlfn.XLOOKUP(E50,Groups!A:A,Groups!N:N)="Insect",1,IF(OR(_xlfn.XLOOKUP(E50,Groups!A:A,Groups!N:N)="Pig",_xlfn.XLOOKUP(E50,Groups!A:A,Groups!N:N)="StrongBitingHerbivore"),3.5,3.75)),"No")</f>
        <v>No</v>
      </c>
      <c r="BI50" s="8">
        <f t="shared" si="10"/>
        <v>16</v>
      </c>
      <c r="BJ50" s="8">
        <f t="shared" si="11"/>
        <v>11</v>
      </c>
      <c r="BK50" s="8">
        <f t="shared" si="27"/>
        <v>18</v>
      </c>
      <c r="BL50" s="8" t="str">
        <f t="shared" si="28"/>
        <v>No</v>
      </c>
      <c r="BM50" s="8">
        <f t="shared" si="12"/>
        <v>12</v>
      </c>
      <c r="BN50" s="8" cm="1">
        <f t="array" ref="BN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O50" s="8">
        <f>IF(W50="No","No",IF(_xlfn.XLOOKUP(E50,Groups!A:A,Groups!BD:BD)=1,(AM50*5%),EXP(0.7354*LN(C50)^0.4078)*2/IF(_xlfn.XLOOKUP(E50,Groups!A:A,Groups!BL:BL)=1,1000,100)))</f>
        <v>977.2103310523097</v>
      </c>
      <c r="BP50" s="8" t="str">
        <f>IF(BH50="No","No",IF(_xlfn.XLOOKUP(E50,Groups!A:A,Groups!BF:BF)=1,(0.0315*C50+2.1825)*2,(0.7354*C50^0.4078)*2)/IF(_xlfn.XLOOKUP(E50,Groups!A:A,Groups!BM:BM)=1,1000,100))</f>
        <v>No</v>
      </c>
      <c r="BQ50" s="8">
        <f t="shared" si="29"/>
        <v>0.15549169922982553</v>
      </c>
      <c r="BR50" s="8">
        <f t="shared" si="13"/>
        <v>7.7671177488133329</v>
      </c>
      <c r="BS50" s="8">
        <f t="shared" si="30"/>
        <v>0.18659003907579061</v>
      </c>
      <c r="BT50" s="8" t="str">
        <f t="shared" si="14"/>
        <v>No</v>
      </c>
      <c r="BU50" s="4">
        <v>0</v>
      </c>
      <c r="BV50" s="4">
        <v>1</v>
      </c>
    </row>
    <row r="51" spans="1:74" x14ac:dyDescent="0.25">
      <c r="A51" s="26" t="s">
        <v>162</v>
      </c>
      <c r="B51" s="6" t="s">
        <v>163</v>
      </c>
      <c r="C51" s="7">
        <f>AVERAGE(48.5,80.5)</f>
        <v>64.5</v>
      </c>
      <c r="D51" s="7" t="s">
        <v>1202</v>
      </c>
      <c r="E51" s="7" t="str">
        <f>Groups!A53</f>
        <v>Ruminant (bovid, harmless)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548</v>
      </c>
      <c r="L51" s="7">
        <f>MAX(3.1,3.8,3.1,3.7)*3.6*(23.3/11)</f>
        <v>28.97672727272727</v>
      </c>
      <c r="M51" s="7" t="s">
        <v>647</v>
      </c>
      <c r="N51" s="4">
        <v>0</v>
      </c>
      <c r="O51" s="4">
        <v>2</v>
      </c>
      <c r="P51" s="4">
        <v>10</v>
      </c>
      <c r="Q51" s="4">
        <v>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IF(AR51="No","No",IF(_xlfn.XLOOKUP(E51,Groups!A:A,Groups!AM:AM)=1,MROUND(EXP(0.3582*LN(C51)-0.2221)*T51,0.05),IF(_xlfn.XLOOKUP(E51,Groups!A:A,Groups!AM:AM)=2,MROUND(EXP(0.3582*LN(C51)-0.2221)*T51,0.05),"Need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977</v>
      </c>
      <c r="Y51" s="4" t="s">
        <v>42</v>
      </c>
      <c r="Z51" s="4">
        <v>0</v>
      </c>
      <c r="AA51" s="4">
        <v>0</v>
      </c>
      <c r="AB51" s="4">
        <v>0</v>
      </c>
      <c r="AC51" s="4" t="s">
        <v>45</v>
      </c>
      <c r="AD51" s="4" t="s">
        <v>407</v>
      </c>
      <c r="AE51" s="28" t="s">
        <v>401</v>
      </c>
      <c r="AF51" s="4" t="s">
        <v>45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4" t="s">
        <v>40</v>
      </c>
      <c r="AM51" s="8">
        <f t="shared" si="21"/>
        <v>16654.699199254992</v>
      </c>
      <c r="AN51" s="8">
        <f>IFERROR(C51*_xlfn.XLOOKUP(E51,Groups!A:A,Groups!K:K),0.106*C51^0.94)</f>
        <v>5.3246614148252096</v>
      </c>
      <c r="AO51" s="8">
        <f>AN51*10000/(_xlfn.XLOOKUP(E51,Groups!A:A,Groups!J:J)*AM51)</f>
        <v>2.9331123990130212</v>
      </c>
      <c r="AP51" s="8">
        <f t="shared" si="22"/>
        <v>1836.4361814218746</v>
      </c>
      <c r="AQ51" s="8">
        <f>IF(_xlfn.XLOOKUP(E51,Groups!A:A,Groups!M:M)=1,EXP(0.7444*LN('Base stats'!C51)+6.5696),EXP(0.7927*LN('Base stats'!C51)+4.28))</f>
        <v>1964.3477255413904</v>
      </c>
      <c r="AR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"No")))))))))))))))</f>
        <v>No</v>
      </c>
      <c r="AS51" s="8">
        <f>IF(_xlfn.XLOOKUP(E51,Groups!A:A,Groups!U:U)=3,AQ51,IF(_xlfn.XLOOKUP(E51,Groups!A:A,Groups!U:U)=2,AP51,AR51))</f>
        <v>1964.3477255413904</v>
      </c>
      <c r="AT51" s="46">
        <f>IFERROR(AVERAGE(_xlfn.XLOOKUP(B51,Animals!B:B,Animals!N:N),_xlfn.XLOOKUP(B51,Animals!B:B,Animals!O:O)),0)</f>
        <v>0</v>
      </c>
      <c r="AU51" s="8">
        <f>MROUND(40*Animals!AO51*_xlfn.XLOOKUP(Animals!BB51,Leathers!$A$2:$A$100,Leathers!$B$2:$B$100,0)+(140*_xlfn.XLOOKUP(B51,Animals!B:B,Animals!AO:AO)*2),5)</f>
        <v>345</v>
      </c>
      <c r="AV51" s="8">
        <f>IFERROR(ROUND(SQRT(V51-1)*IF(_xlfn.XLOOKUP(E51,Groups!A:A,Groups!BF:BF)=0,2,1)*IF(_xlfn.XLOOKUP('Base stats'!E51,Groups!A:A,Groups!O:O)=0,1,0.1),1),0)</f>
        <v>0</v>
      </c>
      <c r="AW51" s="8">
        <f t="shared" si="23"/>
        <v>0</v>
      </c>
      <c r="AX51" s="8">
        <f t="shared" si="24"/>
        <v>5.0999999999999996</v>
      </c>
      <c r="AY51" s="8">
        <f t="shared" si="25"/>
        <v>3.6</v>
      </c>
      <c r="AZ51" s="8">
        <f>IF(_xlfn.XLOOKUP(E51,Groups!A:A,Groups!N:N)="Insect",BB51*2.5,IFERROR(AVERAGE(BB51,AR51/9.81/IF(OR(_xlfn.XLOOKUP(E51,Groups!A:A,Groups!N:N)="Pig",_xlfn.XLOOKUP(E51,Groups!A:A,Groups!N:N)="StrongBitingHerbivore"),20,25))*C51^-0.135,BB51))</f>
        <v>0.9071813051316151</v>
      </c>
      <c r="BA51" s="8">
        <f>IF(W51="No","No",IF(_xlfn.XLOOKUP(E51,Groups!A:A,Groups!U:U)=1,'Base stats'!AZ51,IF(OR(_xlfn.XLOOKUP(E51,Groups!A:A,Groups!BD:BD)=1,_xlfn.XLOOKUP(E51,Groups!A:A,Groups!U:U)=2),BB51,IF(_xlfn.XLOOKUP(B51,Animals!B:B,Animals!AO:AO)&gt;4,AVERAGE(BB51,BD51),BD51))))</f>
        <v>1.4236939303409302</v>
      </c>
      <c r="BB51" s="8">
        <f t="shared" si="26"/>
        <v>0.9071813051316151</v>
      </c>
      <c r="BC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D51" s="8">
        <f>(0.048*C51^1.01)/IF(_xlfn.XLOOKUP(E51,Groups!A:A,Groups!M:M)=1,0.25,0.8)*C51^-0.25</f>
        <v>1.4236939303409302</v>
      </c>
      <c r="BE51" s="8">
        <f>EXP(1.076*LN(AP51)-4.5397)*IF(_xlfn.XLOOKUP(E51,Groups!A:A,Groups!BC:BC)=1,1.25,IF(_xlfn.XLOOKUP(E51,Groups!A:A,Groups!BD:BD)=1,3.5,2.5))</f>
        <v>86.778343103991844</v>
      </c>
      <c r="BF51" s="8">
        <f>EXP(1.076*LN(AQ51)-4.5397)*IF(_xlfn.XLOOKUP(E51,Groups!A:A,Groups!M:M)=1,0.8,IF(_xlfn.XLOOKUP(E51,Groups!A:A,Groups!BC:BC)=1,1.3,3))</f>
        <v>111.95862588634577</v>
      </c>
      <c r="BG51" s="8">
        <f>IF(W51="No","No",IF(_xlfn.XLOOKUP(E51,Groups!A:A,Groups!U:U)=1,'Base stats'!BH51,IF(OR(_xlfn.XLOOKUP(E51,Groups!A:A,Groups!BD:BD)=1,_xlfn.XLOOKUP(E51,Groups!A:A,Groups!U:U)=2),BE51,BF51))*1.2)</f>
        <v>134.35035106361491</v>
      </c>
      <c r="BH51" s="8" t="str">
        <f>IFERROR(EXP(1.076*LN(AR51)-4.5397)*IF(_xlfn.XLOOKUP(E51,Groups!A:A,Groups!N:N)="Insect",1,IF(OR(_xlfn.XLOOKUP(E51,Groups!A:A,Groups!N:N)="Pig",_xlfn.XLOOKUP(E51,Groups!A:A,Groups!N:N)="StrongBitingHerbivore"),3.5,3.75)),"No")</f>
        <v>No</v>
      </c>
      <c r="BI51" s="8">
        <f t="shared" si="10"/>
        <v>13</v>
      </c>
      <c r="BJ51" s="8">
        <f t="shared" si="11"/>
        <v>11</v>
      </c>
      <c r="BK51" s="8">
        <f t="shared" si="27"/>
        <v>13</v>
      </c>
      <c r="BL51" s="8" t="str">
        <f t="shared" si="28"/>
        <v>No</v>
      </c>
      <c r="BM51" s="8">
        <f t="shared" si="12"/>
        <v>12</v>
      </c>
      <c r="BN51" s="8" cm="1">
        <f t="array" ref="BN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O51" s="8">
        <f>IF(W51="No","No",IF(_xlfn.XLOOKUP(E51,Groups!A:A,Groups!BD:BD)=1,(AM51*5%),EXP(0.7354*LN(C51)^0.4078)*2/IF(_xlfn.XLOOKUP(E51,Groups!A:A,Groups!BL:BL)=1,1000,100)))</f>
        <v>7.4573513388254783E-2</v>
      </c>
      <c r="BP51" s="8" t="str">
        <f>IF(BH51="No","No",IF(_xlfn.XLOOKUP(E51,Groups!A:A,Groups!BF:BF)=1,(0.0315*C51+2.1825)*2,(0.7354*C51^0.4078)*2)/IF(_xlfn.XLOOKUP(E51,Groups!A:A,Groups!BM:BM)=1,1000,100))</f>
        <v>No</v>
      </c>
      <c r="BQ51" s="8">
        <f t="shared" si="29"/>
        <v>0.1042088386776432</v>
      </c>
      <c r="BR51" s="8">
        <f t="shared" si="13"/>
        <v>7.795721283644129</v>
      </c>
      <c r="BS51" s="8">
        <f t="shared" si="30"/>
        <v>1801.5826928274362</v>
      </c>
      <c r="BT51" s="8" t="str">
        <f t="shared" si="14"/>
        <v>No</v>
      </c>
      <c r="BU51" s="4">
        <v>0</v>
      </c>
      <c r="BV51" s="4">
        <v>1</v>
      </c>
    </row>
    <row r="52" spans="1:74" x14ac:dyDescent="0.25">
      <c r="A52" s="26" t="s">
        <v>164</v>
      </c>
      <c r="B52" s="6" t="s">
        <v>165</v>
      </c>
      <c r="C52" s="7">
        <f>AVERAGE(53.76,76.2)</f>
        <v>64.98</v>
      </c>
      <c r="D52" s="7" t="s">
        <v>1203</v>
      </c>
      <c r="E52" s="7" t="str">
        <f>Groups!A54</f>
        <v>Ruminant  (bovid, 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549</v>
      </c>
      <c r="L52" s="7">
        <f>MAX(3.1,4.3)*3.6*(23.3/11)</f>
        <v>32.789454545454547</v>
      </c>
      <c r="M52" s="7" t="s">
        <v>647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IF(AR52="No","No",IF(_xlfn.XLOOKUP(E52,Groups!A:A,Groups!AM:AM)=1,MROUND(EXP(0.3582*LN(C52)-0.2221)*T52,0.05),IF(_xlfn.XLOOKUP(E52,Groups!A:A,Groups!AM:AM)=2,MROUND(EXP(0.3582*LN(C52)-0.2221)*T52,0.05),"Need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977</v>
      </c>
      <c r="Y52" s="4" t="s">
        <v>42</v>
      </c>
      <c r="Z52" s="4">
        <v>0</v>
      </c>
      <c r="AA52" s="4">
        <v>0</v>
      </c>
      <c r="AB52" s="4">
        <v>0</v>
      </c>
      <c r="AC52" s="4" t="s">
        <v>45</v>
      </c>
      <c r="AD52" s="4" t="s">
        <v>407</v>
      </c>
      <c r="AE52" s="28" t="s">
        <v>401</v>
      </c>
      <c r="AF52" s="4" t="s">
        <v>45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4" t="s">
        <v>40</v>
      </c>
      <c r="AM52" s="8">
        <f t="shared" si="21"/>
        <v>16735.15689667506</v>
      </c>
      <c r="AN52" s="8">
        <f>IFERROR(C52*_xlfn.XLOOKUP(E52,Groups!A:A,Groups!K:K),0.106*C52^0.94)</f>
        <v>5.3619009848423609</v>
      </c>
      <c r="AO52" s="8">
        <f>AN52*10000/(_xlfn.XLOOKUP(E52,Groups!A:A,Groups!J:J)*AM52)</f>
        <v>2.939425812272515</v>
      </c>
      <c r="AP52" s="8">
        <f t="shared" si="22"/>
        <v>1847.9736236711231</v>
      </c>
      <c r="AQ52" s="8">
        <f>IF(_xlfn.XLOOKUP(E52,Groups!A:A,Groups!M:M)=1,EXP(0.7444*LN('Base stats'!C52)+6.5696),EXP(0.7927*LN('Base stats'!C52)+4.28))</f>
        <v>1975.9268208159335</v>
      </c>
      <c r="AR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"No")))))))))))))))</f>
        <v>No</v>
      </c>
      <c r="AS52" s="8">
        <f>IF(_xlfn.XLOOKUP(E52,Groups!A:A,Groups!U:U)=3,AQ52,IF(_xlfn.XLOOKUP(E52,Groups!A:A,Groups!U:U)=2,AP52,AR52))</f>
        <v>1975.9268208159335</v>
      </c>
      <c r="AT52" s="46">
        <f>IFERROR(AVERAGE(_xlfn.XLOOKUP(B52,Animals!B:B,Animals!N:N),_xlfn.XLOOKUP(B52,Animals!B:B,Animals!O:O)),0)</f>
        <v>0</v>
      </c>
      <c r="AU52" s="8">
        <f>MROUND(40*Animals!AO52*_xlfn.XLOOKUP(Animals!BB52,Leathers!$A$2:$A$100,Leathers!$B$2:$B$100,0)+(140*_xlfn.XLOOKUP(B52,Animals!B:B,Animals!AO:AO)*2),5)</f>
        <v>345</v>
      </c>
      <c r="AV52" s="8">
        <f>IFERROR(ROUND(SQRT(V52-1)*IF(_xlfn.XLOOKUP(E52,Groups!A:A,Groups!BF:BF)=0,2,1)*IF(_xlfn.XLOOKUP('Base stats'!E52,Groups!A:A,Groups!O:O)=0,1,0.1),1),0)</f>
        <v>0</v>
      </c>
      <c r="AW52" s="8">
        <f t="shared" si="23"/>
        <v>0</v>
      </c>
      <c r="AX52" s="8">
        <f t="shared" si="24"/>
        <v>5.9</v>
      </c>
      <c r="AY52" s="8">
        <f t="shared" si="25"/>
        <v>3.6</v>
      </c>
      <c r="AZ52" s="8">
        <f>IF(_xlfn.XLOOKUP(E52,Groups!A:A,Groups!N:N)="Insect",BB52*2.5,IFERROR(AVERAGE(BB52,AR52/9.81/IF(OR(_xlfn.XLOOKUP(E52,Groups!A:A,Groups!N:N)="Pig",_xlfn.XLOOKUP(E52,Groups!A:A,Groups!N:N)="StrongBitingHerbivore"),20,25))*C52^-0.135,BB52))</f>
        <v>0.91226700201851907</v>
      </c>
      <c r="BA52" s="8">
        <f>IF(W52="No","No",IF(_xlfn.XLOOKUP(E52,Groups!A:A,Groups!U:U)=1,'Base stats'!AZ52,IF(OR(_xlfn.XLOOKUP(E52,Groups!A:A,Groups!BD:BD)=1,_xlfn.XLOOKUP(E52,Groups!A:A,Groups!U:U)=2),BB52,IF(_xlfn.XLOOKUP(B52,Animals!B:B,Animals!AO:AO)&gt;4,AVERAGE(BB52,BD52),BD52))))</f>
        <v>0.91226700201851907</v>
      </c>
      <c r="BB52" s="8">
        <f t="shared" si="26"/>
        <v>0.91226700201851907</v>
      </c>
      <c r="BC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D52" s="8">
        <f>(0.048*C52^1.01)/IF(_xlfn.XLOOKUP(E52,Groups!A:A,Groups!M:M)=1,0.25,0.8)*C52^-0.25</f>
        <v>1.431738909609034</v>
      </c>
      <c r="BE52" s="8">
        <f>EXP(1.076*LN(AP52)-4.5397)*IF(_xlfn.XLOOKUP(E52,Groups!A:A,Groups!BC:BC)=1,1.25,IF(_xlfn.XLOOKUP(E52,Groups!A:A,Groups!BD:BD)=1,3.5,2.5))</f>
        <v>122.31114490149619</v>
      </c>
      <c r="BF52" s="8">
        <f>EXP(1.076*LN(AQ52)-4.5397)*IF(_xlfn.XLOOKUP(E52,Groups!A:A,Groups!M:M)=1,0.8,IF(_xlfn.XLOOKUP(E52,Groups!A:A,Groups!BC:BC)=1,1.3,3))</f>
        <v>112.6688954145712</v>
      </c>
      <c r="BG52" s="8">
        <f>IF(W52="No","No",IF(_xlfn.XLOOKUP(E52,Groups!A:A,Groups!U:U)=1,'Base stats'!BH52,IF(OR(_xlfn.XLOOKUP(E52,Groups!A:A,Groups!BD:BD)=1,_xlfn.XLOOKUP(E52,Groups!A:A,Groups!U:U)=2),BE52,BF52))*1.2)</f>
        <v>146.77337388179544</v>
      </c>
      <c r="BH52" s="8" t="str">
        <f>IFERROR(EXP(1.076*LN(AR52)-4.5397)*IF(_xlfn.XLOOKUP(E52,Groups!A:A,Groups!N:N)="Insect",1,IF(OR(_xlfn.XLOOKUP(E52,Groups!A:A,Groups!N:N)="Pig",_xlfn.XLOOKUP(E52,Groups!A:A,Groups!N:N)="StrongBitingHerbivore"),3.5,3.75)),"No")</f>
        <v>No</v>
      </c>
      <c r="BI52" s="8">
        <f t="shared" si="10"/>
        <v>16</v>
      </c>
      <c r="BJ52" s="8">
        <f t="shared" si="11"/>
        <v>11</v>
      </c>
      <c r="BK52" s="8">
        <f t="shared" si="27"/>
        <v>17</v>
      </c>
      <c r="BL52" s="8" t="str">
        <f t="shared" si="28"/>
        <v>No</v>
      </c>
      <c r="BM52" s="8">
        <f t="shared" si="12"/>
        <v>12</v>
      </c>
      <c r="BN52" s="8" cm="1">
        <f t="array" ref="BN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O52" s="8">
        <f>IF(W52="No","No",IF(_xlfn.XLOOKUP(E52,Groups!A:A,Groups!BD:BD)=1,(AM52*5%),EXP(0.7354*LN(C52)^0.4078)*2/IF(_xlfn.XLOOKUP(E52,Groups!A:A,Groups!BL:BL)=1,1000,100)))</f>
        <v>836.7578448337531</v>
      </c>
      <c r="BP52" s="8" t="str">
        <f>IF(BH52="No","No",IF(_xlfn.XLOOKUP(E52,Groups!A:A,Groups!BF:BF)=1,(0.0315*C52+2.1825)*2,(0.7354*C52^0.4078)*2)/IF(_xlfn.XLOOKUP(E52,Groups!A:A,Groups!BM:BM)=1,1000,100))</f>
        <v>No</v>
      </c>
      <c r="BQ52" s="8">
        <f t="shared" si="29"/>
        <v>0.14617268981302106</v>
      </c>
      <c r="BR52" s="8">
        <f t="shared" si="13"/>
        <v>7.7950252828844935</v>
      </c>
      <c r="BS52" s="8">
        <f t="shared" si="30"/>
        <v>0.17540722777562526</v>
      </c>
      <c r="BT52" s="8" t="str">
        <f t="shared" si="14"/>
        <v>No</v>
      </c>
      <c r="BU52" s="4">
        <v>0</v>
      </c>
      <c r="BV52" s="4">
        <v>1</v>
      </c>
    </row>
    <row r="53" spans="1:74" x14ac:dyDescent="0.25">
      <c r="A53" s="26" t="s">
        <v>166</v>
      </c>
      <c r="B53" s="6" t="s">
        <v>238</v>
      </c>
      <c r="C53" s="7">
        <v>57</v>
      </c>
      <c r="D53" s="7" t="s">
        <v>550</v>
      </c>
      <c r="E53" s="7" t="str">
        <f>Groups!A55</f>
        <v>Ruminant (cervid)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550</v>
      </c>
      <c r="L53" s="7">
        <v>61</v>
      </c>
      <c r="M53" s="7" t="s">
        <v>638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IF(AR53="No","No",IF(_xlfn.XLOOKUP(E53,Groups!A:A,Groups!AM:AM)=1,MROUND(EXP(0.3582*LN(C53)-0.2221)*T53,0.05),IF(_xlfn.XLOOKUP(E53,Groups!A:A,Groups!AM:AM)=2,MROUND(EXP(0.3582*LN(C53)-0.2221)*T53,0.05),"Need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977</v>
      </c>
      <c r="Y53" s="4" t="s">
        <v>42</v>
      </c>
      <c r="Z53" s="4">
        <v>0</v>
      </c>
      <c r="AA53" s="4">
        <v>0</v>
      </c>
      <c r="AB53" s="4">
        <v>0</v>
      </c>
      <c r="AC53" s="4" t="s">
        <v>45</v>
      </c>
      <c r="AD53" s="4" t="s">
        <v>407</v>
      </c>
      <c r="AE53" s="28" t="s">
        <v>401</v>
      </c>
      <c r="AF53" s="4" t="s">
        <v>45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4" t="s">
        <v>40</v>
      </c>
      <c r="AM53" s="8">
        <f t="shared" si="21"/>
        <v>15368.859309613912</v>
      </c>
      <c r="AN53" s="8">
        <f>IFERROR(C53*_xlfn.XLOOKUP(E53,Groups!A:A,Groups!K:K),0.106*C53^0.94)</f>
        <v>4.7405445207026515</v>
      </c>
      <c r="AO53" s="8">
        <f>AN53*10000/(_xlfn.XLOOKUP(E53,Groups!A:A,Groups!J:J)*AM53)</f>
        <v>2.8298283729932376</v>
      </c>
      <c r="AP53" s="8">
        <f t="shared" si="22"/>
        <v>1654.3532169190937</v>
      </c>
      <c r="AQ53" s="8">
        <f>IF(_xlfn.XLOOKUP(E53,Groups!A:A,Groups!M:M)=1,EXP(0.7444*LN('Base stats'!C53)+6.5696),EXP(0.7927*LN('Base stats'!C53)+4.28))</f>
        <v>1780.9936894344617</v>
      </c>
      <c r="AR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"No")))))))))))))))</f>
        <v>No</v>
      </c>
      <c r="AS53" s="8">
        <f>IF(_xlfn.XLOOKUP(E53,Groups!A:A,Groups!U:U)=3,AQ53,IF(_xlfn.XLOOKUP(E53,Groups!A:A,Groups!U:U)=2,AP53,AR53))</f>
        <v>1780.9936894344617</v>
      </c>
      <c r="AT53" s="46">
        <f>IFERROR(AVERAGE(_xlfn.XLOOKUP(B53,Animals!B:B,Animals!N:N),_xlfn.XLOOKUP(B53,Animals!B:B,Animals!O:O)),0)</f>
        <v>0</v>
      </c>
      <c r="AU53" s="8">
        <f>MROUND(40*Animals!AO53*_xlfn.XLOOKUP(Animals!BB53,Leathers!$A$2:$A$100,Leathers!$B$2:$B$100,0)+(140*_xlfn.XLOOKUP(B53,Animals!B:B,Animals!AO:AO)*2),5)</f>
        <v>330</v>
      </c>
      <c r="AV53" s="8">
        <f>IFERROR(ROUND(SQRT(V53-1)*IF(_xlfn.XLOOKUP(E53,Groups!A:A,Groups!BF:BF)=0,2,1)*IF(_xlfn.XLOOKUP('Base stats'!E53,Groups!A:A,Groups!O:O)=0,1,0.1),1),0)</f>
        <v>0</v>
      </c>
      <c r="AW53" s="8">
        <f t="shared" si="23"/>
        <v>0</v>
      </c>
      <c r="AX53" s="8">
        <f t="shared" si="24"/>
        <v>6.4</v>
      </c>
      <c r="AY53" s="8">
        <f t="shared" si="25"/>
        <v>3.4</v>
      </c>
      <c r="AZ53" s="8">
        <f>IF(_xlfn.XLOOKUP(E53,Groups!A:A,Groups!N:N)="Insect",BB53*2.5,IFERROR(AVERAGE(BB53,AR53/9.81/IF(OR(_xlfn.XLOOKUP(E53,Groups!A:A,Groups!N:N)="Pig",_xlfn.XLOOKUP(E53,Groups!A:A,Groups!N:N)="StrongBitingHerbivore"),20,25))*C53^-0.135,BB53))</f>
        <v>0.82644833336633383</v>
      </c>
      <c r="BA53" s="8">
        <f>IF(W53="No","No",IF(_xlfn.XLOOKUP(E53,Groups!A:A,Groups!U:U)=1,'Base stats'!AZ53,IF(OR(_xlfn.XLOOKUP(E53,Groups!A:A,Groups!BD:BD)=1,_xlfn.XLOOKUP(E53,Groups!A:A,Groups!U:U)=2),BB53,IF(_xlfn.XLOOKUP(B53,Animals!B:B,Animals!AO:AO)&gt;4,AVERAGE(BB53,BD53),BD53))))</f>
        <v>1.2960332413542242</v>
      </c>
      <c r="BB53" s="8">
        <f t="shared" si="26"/>
        <v>0.82644833336633383</v>
      </c>
      <c r="BC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D53" s="8">
        <f>(0.048*C53^1.01)/IF(_xlfn.XLOOKUP(E53,Groups!A:A,Groups!M:M)=1,0.25,0.8)*C53^-0.25</f>
        <v>1.2960332413542242</v>
      </c>
      <c r="BE53" s="8">
        <f>EXP(1.076*LN(AP53)-4.5397)*IF(_xlfn.XLOOKUP(E53,Groups!A:A,Groups!BC:BC)=1,1.25,IF(_xlfn.XLOOKUP(E53,Groups!A:A,Groups!BD:BD)=1,3.5,2.5))</f>
        <v>77.556345326356166</v>
      </c>
      <c r="BF53" s="8">
        <f>EXP(1.076*LN(AQ53)-4.5397)*IF(_xlfn.XLOOKUP(E53,Groups!A:A,Groups!M:M)=1,0.8,IF(_xlfn.XLOOKUP(E53,Groups!A:A,Groups!BC:BC)=1,1.3,3))</f>
        <v>100.75516458690971</v>
      </c>
      <c r="BG53" s="8">
        <f>IF(W53="No","No",IF(_xlfn.XLOOKUP(E53,Groups!A:A,Groups!U:U)=1,'Base stats'!BH53,IF(OR(_xlfn.XLOOKUP(E53,Groups!A:A,Groups!BD:BD)=1,_xlfn.XLOOKUP(E53,Groups!A:A,Groups!U:U)=2),BE53,BF53))*1.2)</f>
        <v>120.90619750429165</v>
      </c>
      <c r="BH53" s="8" t="str">
        <f>IFERROR(EXP(1.076*LN(AR53)-4.5397)*IF(_xlfn.XLOOKUP(E53,Groups!A:A,Groups!N:N)="Insect",1,IF(OR(_xlfn.XLOOKUP(E53,Groups!A:A,Groups!N:N)="Pig",_xlfn.XLOOKUP(E53,Groups!A:A,Groups!N:N)="StrongBitingHerbivore"),3.5,3.75)),"No")</f>
        <v>No</v>
      </c>
      <c r="BI53" s="8">
        <f t="shared" si="10"/>
        <v>13</v>
      </c>
      <c r="BJ53" s="8">
        <f t="shared" si="11"/>
        <v>11</v>
      </c>
      <c r="BK53" s="8">
        <f t="shared" si="27"/>
        <v>13</v>
      </c>
      <c r="BL53" s="8" t="str">
        <f t="shared" si="28"/>
        <v>No</v>
      </c>
      <c r="BM53" s="8">
        <f t="shared" si="12"/>
        <v>12</v>
      </c>
      <c r="BN53" s="8" cm="1">
        <f t="array" ref="BN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O53" s="8">
        <f>IF(W53="No","No",IF(_xlfn.XLOOKUP(E53,Groups!A:A,Groups!BD:BD)=1,(AM53*5%),EXP(0.7354*LN(C53)^0.4078)*2/IF(_xlfn.XLOOKUP(E53,Groups!A:A,Groups!BL:BL)=1,1000,100)))</f>
        <v>7.3385121619685356E-2</v>
      </c>
      <c r="BP53" s="8" t="str">
        <f>IF(BH53="No","No",IF(_xlfn.XLOOKUP(E53,Groups!A:A,Groups!BF:BF)=1,(0.0315*C53+2.1825)*2,(0.7354*C53^0.4078)*2)/IF(_xlfn.XLOOKUP(E53,Groups!A:A,Groups!BM:BM)=1,1000,100))</f>
        <v>No</v>
      </c>
      <c r="BQ53" s="8">
        <f t="shared" si="29"/>
        <v>0.10092661239711029</v>
      </c>
      <c r="BR53" s="8">
        <f t="shared" si="13"/>
        <v>7.8057888595788896</v>
      </c>
      <c r="BS53" s="8">
        <f t="shared" si="30"/>
        <v>1647.5573636149552</v>
      </c>
      <c r="BT53" s="8" t="str">
        <f t="shared" si="14"/>
        <v>No</v>
      </c>
      <c r="BU53" s="4">
        <v>0</v>
      </c>
      <c r="BV53" s="4">
        <v>1</v>
      </c>
    </row>
    <row r="54" spans="1:74" x14ac:dyDescent="0.25">
      <c r="A54" s="26" t="s">
        <v>167</v>
      </c>
      <c r="B54" s="6" t="s">
        <v>168</v>
      </c>
      <c r="C54" s="7">
        <v>23.25</v>
      </c>
      <c r="D54" s="7" t="s">
        <v>551</v>
      </c>
      <c r="E54" s="7" t="str">
        <f>Groups!A53</f>
        <v>Ruminant (bovid, harmless)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551</v>
      </c>
      <c r="L54" s="7">
        <v>81</v>
      </c>
      <c r="M54" s="7" t="s">
        <v>638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IF(AR54="No","No",IF(_xlfn.XLOOKUP(E54,Groups!A:A,Groups!AM:AM)=1,MROUND(EXP(0.3582*LN(C54)-0.2221)*T54,0.05),IF(_xlfn.XLOOKUP(E54,Groups!A:A,Groups!AM:AM)=2,MROUND(EXP(0.3582*LN(C54)-0.2221)*T54,0.05),"Need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945</v>
      </c>
      <c r="Y54" s="4" t="s">
        <v>42</v>
      </c>
      <c r="Z54" s="4">
        <v>0</v>
      </c>
      <c r="AA54" s="4">
        <v>0</v>
      </c>
      <c r="AB54" s="4">
        <v>0</v>
      </c>
      <c r="AC54" s="4" t="s">
        <v>45</v>
      </c>
      <c r="AD54" s="4" t="s">
        <v>410</v>
      </c>
      <c r="AE54" s="28" t="s">
        <v>401</v>
      </c>
      <c r="AF54" s="4" t="s">
        <v>45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4" t="s">
        <v>40</v>
      </c>
      <c r="AM54" s="8">
        <f t="shared" si="21"/>
        <v>8580.2096775651935</v>
      </c>
      <c r="AN54" s="8">
        <f>IFERROR(C54*_xlfn.XLOOKUP(E54,Groups!A:A,Groups!K:K),0.106*C54^0.94)</f>
        <v>2.0405321654254487</v>
      </c>
      <c r="AO54" s="8">
        <f>AN54*10000/(_xlfn.XLOOKUP(E54,Groups!A:A,Groups!J:J)*AM54)</f>
        <v>2.1818206413805448</v>
      </c>
      <c r="AP54" s="8">
        <f t="shared" si="22"/>
        <v>775.63647085701734</v>
      </c>
      <c r="AQ54" s="8">
        <f>IF(_xlfn.XLOOKUP(E54,Groups!A:A,Groups!M:M)=1,EXP(0.7444*LN('Base stats'!C54)+6.5696),EXP(0.7927*LN('Base stats'!C54)+4.28))</f>
        <v>874.87067738728706</v>
      </c>
      <c r="AR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"No")))))))))))))))</f>
        <v>No</v>
      </c>
      <c r="AS54" s="8">
        <f>IF(_xlfn.XLOOKUP(E54,Groups!A:A,Groups!U:U)=3,AQ54,IF(_xlfn.XLOOKUP(E54,Groups!A:A,Groups!U:U)=2,AP54,AR54))</f>
        <v>874.87067738728706</v>
      </c>
      <c r="AT54" s="46">
        <f>IFERROR(AVERAGE(_xlfn.XLOOKUP(B54,Animals!B:B,Animals!N:N),_xlfn.XLOOKUP(B54,Animals!B:B,Animals!O:O)),0)</f>
        <v>0</v>
      </c>
      <c r="AU54" s="8">
        <f>MROUND(40*Animals!AO54*_xlfn.XLOOKUP(Animals!BB54,Leathers!$A$2:$A$100,Leathers!$B$2:$B$100,0)+(140*_xlfn.XLOOKUP(B54,Animals!B:B,Animals!AO:AO)*2),5)</f>
        <v>220</v>
      </c>
      <c r="AV54" s="8">
        <f>IFERROR(ROUND(SQRT(V54-1)*IF(_xlfn.XLOOKUP(E54,Groups!A:A,Groups!BF:BF)=0,2,1)*IF(_xlfn.XLOOKUP('Base stats'!E54,Groups!A:A,Groups!O:O)=0,1,0.1),1),0)</f>
        <v>0</v>
      </c>
      <c r="AW54" s="8">
        <f t="shared" si="23"/>
        <v>0</v>
      </c>
      <c r="AX54" s="8">
        <f t="shared" si="24"/>
        <v>5.0999999999999996</v>
      </c>
      <c r="AY54" s="8">
        <f t="shared" si="25"/>
        <v>2.5</v>
      </c>
      <c r="AZ54" s="8">
        <f>IF(_xlfn.XLOOKUP(E54,Groups!A:A,Groups!N:N)="Insect",BB54*2.5,IFERROR(AVERAGE(BB54,AR54/9.81/IF(OR(_xlfn.XLOOKUP(E54,Groups!A:A,Groups!N:N)="Pig",_xlfn.XLOOKUP(E54,Groups!A:A,Groups!N:N)="StrongBitingHerbivore"),20,25))*C54^-0.135,BB54))</f>
        <v>0.42030927794687478</v>
      </c>
      <c r="BA54" s="8">
        <f>IF(W54="No","No",IF(_xlfn.XLOOKUP(E54,Groups!A:A,Groups!U:U)=1,'Base stats'!AZ54,IF(OR(_xlfn.XLOOKUP(E54,Groups!A:A,Groups!BD:BD)=1,_xlfn.XLOOKUP(E54,Groups!A:A,Groups!U:U)=2),BB54,IF(_xlfn.XLOOKUP(B54,Animals!B:B,Animals!AO:AO)&gt;4,AVERAGE(BB54,BD54),BD54))))</f>
        <v>0.65559056971929131</v>
      </c>
      <c r="BB54" s="8">
        <f t="shared" si="26"/>
        <v>0.42030927794687478</v>
      </c>
      <c r="BC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D54" s="8">
        <f>(0.048*C54^1.01)/IF(_xlfn.XLOOKUP(E54,Groups!A:A,Groups!M:M)=1,0.25,0.8)*C54^-0.25</f>
        <v>0.65559056971929131</v>
      </c>
      <c r="BE54" s="8">
        <f>EXP(1.076*LN(AP54)-4.5397)*IF(_xlfn.XLOOKUP(E54,Groups!A:A,Groups!BC:BC)=1,1.25,IF(_xlfn.XLOOKUP(E54,Groups!A:A,Groups!BD:BD)=1,3.5,2.5))</f>
        <v>34.327770313345525</v>
      </c>
      <c r="BF54" s="8">
        <f>EXP(1.076*LN(AQ54)-4.5397)*IF(_xlfn.XLOOKUP(E54,Groups!A:A,Groups!M:M)=1,0.8,IF(_xlfn.XLOOKUP(E54,Groups!A:A,Groups!BC:BC)=1,1.3,3))</f>
        <v>46.890643132169352</v>
      </c>
      <c r="BG54" s="8">
        <f>IF(W54="No","No",IF(_xlfn.XLOOKUP(E54,Groups!A:A,Groups!U:U)=1,'Base stats'!BH54,IF(OR(_xlfn.XLOOKUP(E54,Groups!A:A,Groups!BD:BD)=1,_xlfn.XLOOKUP(E54,Groups!A:A,Groups!U:U)=2),BE54,BF54))*1.2)</f>
        <v>56.268771758603222</v>
      </c>
      <c r="BH54" s="8" t="str">
        <f>IFERROR(EXP(1.076*LN(AR54)-4.5397)*IF(_xlfn.XLOOKUP(E54,Groups!A:A,Groups!N:N)="Insect",1,IF(OR(_xlfn.XLOOKUP(E54,Groups!A:A,Groups!N:N)="Pig",_xlfn.XLOOKUP(E54,Groups!A:A,Groups!N:N)="StrongBitingHerbivore"),3.5,3.75)),"No")</f>
        <v>No</v>
      </c>
      <c r="BI54" s="8">
        <f t="shared" si="10"/>
        <v>12</v>
      </c>
      <c r="BJ54" s="8">
        <f t="shared" si="11"/>
        <v>10</v>
      </c>
      <c r="BK54" s="8">
        <f t="shared" si="27"/>
        <v>13</v>
      </c>
      <c r="BL54" s="8" t="str">
        <f t="shared" si="28"/>
        <v>No</v>
      </c>
      <c r="BM54" s="8">
        <f t="shared" si="12"/>
        <v>11</v>
      </c>
      <c r="BN54" s="8" cm="1">
        <f t="array" ref="BN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O54" s="8">
        <f>IF(W54="No","No",IF(_xlfn.XLOOKUP(E54,Groups!A:A,Groups!BD:BD)=1,(AM54*5%),EXP(0.7354*LN(C54)^0.4078)*2/IF(_xlfn.XLOOKUP(E54,Groups!A:A,Groups!BL:BL)=1,1000,100)))</f>
        <v>6.4673426428061231E-2</v>
      </c>
      <c r="BP54" s="8" t="str">
        <f>IF(BH54="No","No",IF(_xlfn.XLOOKUP(E54,Groups!A:A,Groups!BF:BF)=1,(0.0315*C54+2.1825)*2,(0.7354*C54^0.4078)*2)/IF(_xlfn.XLOOKUP(E54,Groups!A:A,Groups!BM:BM)=1,1000,100))</f>
        <v>No</v>
      </c>
      <c r="BQ54" s="8">
        <f t="shared" si="29"/>
        <v>8.0016157188099665E-2</v>
      </c>
      <c r="BR54" s="8">
        <f t="shared" si="13"/>
        <v>7.7898939297392733</v>
      </c>
      <c r="BS54" s="8">
        <f t="shared" si="30"/>
        <v>870.04469789756956</v>
      </c>
      <c r="BT54" s="8" t="str">
        <f t="shared" si="14"/>
        <v>No</v>
      </c>
      <c r="BU54" s="4">
        <v>0</v>
      </c>
      <c r="BV54" s="4">
        <v>1</v>
      </c>
    </row>
    <row r="55" spans="1:74" x14ac:dyDescent="0.25">
      <c r="A55" s="26" t="s">
        <v>54</v>
      </c>
      <c r="B55" s="6" t="s">
        <v>272</v>
      </c>
      <c r="C55" s="7">
        <v>200</v>
      </c>
      <c r="D55" s="7" t="s">
        <v>538</v>
      </c>
      <c r="E55" s="7" t="str">
        <f>Groups!A11</f>
        <v>Canid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538</v>
      </c>
      <c r="L55" s="7">
        <f>MIN(37.5*C55^0.089,79.3*C55^-0.072)</f>
        <v>54.150070655093025</v>
      </c>
      <c r="M55" s="7" t="s">
        <v>638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IF(AR55="No","No",IF(_xlfn.XLOOKUP(E55,Groups!A:A,Groups!AM:AM)=1,MROUND(EXP(0.3582*LN(C55)-0.2221)*T55,0.05),IF(_xlfn.XLOOKUP(E55,Groups!A:A,Groups!AM:AM)=2,MROUND(EXP(0.3582*LN(C55)-0.2221)*T55,0.05),"Need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945</v>
      </c>
      <c r="Y55" s="4" t="s">
        <v>56</v>
      </c>
      <c r="Z55" s="4">
        <v>0</v>
      </c>
      <c r="AA55" s="4">
        <v>0</v>
      </c>
      <c r="AB55" s="4">
        <v>0</v>
      </c>
      <c r="AC55" s="4" t="s">
        <v>45</v>
      </c>
      <c r="AD55" s="4" t="s">
        <v>45</v>
      </c>
      <c r="AE55" s="28" t="s">
        <v>405</v>
      </c>
      <c r="AF55" s="4" t="s">
        <v>45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4" t="s">
        <v>40</v>
      </c>
      <c r="AM55" s="8">
        <f t="shared" si="21"/>
        <v>34753.014052750754</v>
      </c>
      <c r="AN55" s="8">
        <f>IFERROR(C55*_xlfn.XLOOKUP(E55,Groups!A:A,Groups!K:K),0.106*C55^0.94)</f>
        <v>24.95</v>
      </c>
      <c r="AO55" s="8">
        <f>AN55*10000/(_xlfn.XLOOKUP(E55,Groups!A:A,Groups!J:J)*AM55)</f>
        <v>6.5864526806615098</v>
      </c>
      <c r="AP55" s="8">
        <f t="shared" si="22"/>
        <v>4776.6210371506204</v>
      </c>
      <c r="AQ55" s="8">
        <f>IF(_xlfn.XLOOKUP(E55,Groups!A:A,Groups!M:M)=1,EXP(0.7444*LN('Base stats'!C55)+6.5696),EXP(0.7927*LN('Base stats'!C55)+4.28))</f>
        <v>4817.3351295400244</v>
      </c>
      <c r="AR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"No")))))))))))))))</f>
        <v>11511.011844390108</v>
      </c>
      <c r="AS55" s="8">
        <f>IF(_xlfn.XLOOKUP(E55,Groups!A:A,Groups!U:U)=3,AQ55,IF(_xlfn.XLOOKUP(E55,Groups!A:A,Groups!U:U)=2,AP55,AR55))</f>
        <v>11511.011844390108</v>
      </c>
      <c r="AT55" s="46">
        <f>IFERROR(AVERAGE(_xlfn.XLOOKUP(B55,Animals!B:B,Animals!N:N),_xlfn.XLOOKUP(B55,Animals!B:B,Animals!O:O)),0)</f>
        <v>0</v>
      </c>
      <c r="AU55" s="8">
        <f>MROUND(40*Animals!AO55*_xlfn.XLOOKUP(Animals!BB55,Leathers!$A$2:$A$100,Leathers!$B$2:$B$100,0)+(140*_xlfn.XLOOKUP(B55,Animals!B:B,Animals!AO:AO)*2),5)</f>
        <v>720</v>
      </c>
      <c r="AV55" s="8">
        <f>IFERROR(ROUND(SQRT(V55-1)*IF(_xlfn.XLOOKUP(E55,Groups!A:A,Groups!BF:BF)=0,2,1)*IF(_xlfn.XLOOKUP('Base stats'!E55,Groups!A:A,Groups!O:O)=0,1,0.1),1),0)</f>
        <v>4.3</v>
      </c>
      <c r="AW55" s="8">
        <f t="shared" si="23"/>
        <v>0</v>
      </c>
      <c r="AX55" s="8">
        <f t="shared" si="24"/>
        <v>0</v>
      </c>
      <c r="AY55" s="8">
        <f t="shared" si="25"/>
        <v>5.3</v>
      </c>
      <c r="AZ55" s="8">
        <f>IF(_xlfn.XLOOKUP(E55,Groups!A:A,Groups!N:N)="Insect",BB55*2.5,IFERROR(AVERAGE(BB55,AR55/9.81/IF(OR(_xlfn.XLOOKUP(E55,Groups!A:A,Groups!N:N)="Pig",_xlfn.XLOOKUP(E55,Groups!A:A,Groups!N:N)="StrongBitingHerbivore"),20,25))*C55^-0.135,BB55))</f>
        <v>12.260206690429241</v>
      </c>
      <c r="BA55" s="8" t="str">
        <f>IF(W55="No","No",IF(_xlfn.XLOOKUP(E55,Groups!A:A,Groups!U:U)=1,'Base stats'!AZ55,IF(OR(_xlfn.XLOOKUP(E55,Groups!A:A,Groups!BD:BD)=1,_xlfn.XLOOKUP(E55,Groups!A:A,Groups!U:U)=2),BB55,IF(_xlfn.XLOOKUP(B55,Animals!B:B,Animals!AO:AO)&gt;4,AVERAGE(BB55,BD55),BD55))))</f>
        <v>No</v>
      </c>
      <c r="BB55" s="8">
        <f t="shared" si="26"/>
        <v>3.2021523702866714</v>
      </c>
      <c r="BC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D55" s="8">
        <f>(0.048*C55^1.01)/IF(_xlfn.XLOOKUP(E55,Groups!A:A,Groups!M:M)=1,0.25,0.8)*C55^-0.25</f>
        <v>3.3646046987127658</v>
      </c>
      <c r="BE55" s="8">
        <f>EXP(1.076*LN(AP55)-4.5397)*IF(_xlfn.XLOOKUP(E55,Groups!A:A,Groups!BC:BC)=1,1.25,IF(_xlfn.XLOOKUP(E55,Groups!A:A,Groups!BD:BD)=1,3.5,2.5))</f>
        <v>242.72097948417178</v>
      </c>
      <c r="BF55" s="8">
        <f>EXP(1.076*LN(AQ55)-4.5397)*IF(_xlfn.XLOOKUP(E55,Groups!A:A,Groups!M:M)=1,0.8,IF(_xlfn.XLOOKUP(E55,Groups!A:A,Groups!BC:BC)=1,1.3,3))</f>
        <v>293.93735151357987</v>
      </c>
      <c r="BG55" s="8" t="str">
        <f>IF(W55="No","No",IF(_xlfn.XLOOKUP(E55,Groups!A:A,Groups!U:U)=1,'Base stats'!BH55,IF(OR(_xlfn.XLOOKUP(E55,Groups!A:A,Groups!BD:BD)=1,_xlfn.XLOOKUP(E55,Groups!A:A,Groups!U:U)=2),BE55,BF55))*1.2)</f>
        <v>No</v>
      </c>
      <c r="BH55" s="8">
        <f>IFERROR(EXP(1.076*LN(AR55)-4.5397)*IF(_xlfn.XLOOKUP(E55,Groups!A:A,Groups!N:N)="Insect",1,IF(OR(_xlfn.XLOOKUP(E55,Groups!A:A,Groups!N:N)="Pig",_xlfn.XLOOKUP(E55,Groups!A:A,Groups!N:N)="StrongBitingHerbivore"),3.5,3.75)),"No")</f>
        <v>938.04297437761738</v>
      </c>
      <c r="BI55" s="8">
        <f t="shared" si="10"/>
        <v>12</v>
      </c>
      <c r="BJ55" s="8">
        <f t="shared" si="11"/>
        <v>11</v>
      </c>
      <c r="BK55" s="8" t="str">
        <f t="shared" si="27"/>
        <v>No</v>
      </c>
      <c r="BL55" s="8">
        <f t="shared" si="28"/>
        <v>12</v>
      </c>
      <c r="BM55" s="8">
        <f t="shared" si="12"/>
        <v>13</v>
      </c>
      <c r="BN55" s="8" t="str" cm="1">
        <f t="array" ref="BN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O55" s="8" t="str">
        <f>IF(W55="No","No",IF(_xlfn.XLOOKUP(E55,Groups!A:A,Groups!BD:BD)=1,(AM55*5%),EXP(0.7354*LN(C55)^0.4078)*2/IF(_xlfn.XLOOKUP(E55,Groups!A:A,Groups!BL:BL)=1,1000,100)))</f>
        <v>No</v>
      </c>
      <c r="BP55" s="8">
        <f>IF(BH55="No","No",IF(_xlfn.XLOOKUP(E55,Groups!A:A,Groups!BF:BF)=1,(0.0315*C55+2.1825)*2,(0.7354*C55^0.4078)*2)/IF(_xlfn.XLOOKUP(E55,Groups!A:A,Groups!BM:BM)=1,1000,100))</f>
        <v>0.12761850520553555</v>
      </c>
      <c r="BQ55" s="8">
        <f t="shared" si="29"/>
        <v>0.13968341227368164</v>
      </c>
      <c r="BR55" s="8" t="str">
        <f t="shared" si="13"/>
        <v>No</v>
      </c>
      <c r="BS55" s="8" t="str">
        <f t="shared" si="30"/>
        <v>No</v>
      </c>
      <c r="BT55" s="8">
        <f t="shared" si="14"/>
        <v>7350.3679804653366</v>
      </c>
      <c r="BU55" s="4">
        <v>0</v>
      </c>
      <c r="BV55" s="4">
        <v>1</v>
      </c>
    </row>
    <row r="56" spans="1:74" x14ac:dyDescent="0.25">
      <c r="A56" s="26" t="s">
        <v>59</v>
      </c>
      <c r="B56" s="6" t="s">
        <v>893</v>
      </c>
      <c r="C56" s="7">
        <v>40</v>
      </c>
      <c r="D56" s="7" t="s">
        <v>1204</v>
      </c>
      <c r="E56" s="7" t="str">
        <f>Groups!A11</f>
        <v>Canid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552</v>
      </c>
      <c r="L56" s="7">
        <v>64</v>
      </c>
      <c r="M56" s="7" t="s">
        <v>638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IF(AR56="No","No",IF(_xlfn.XLOOKUP(E56,Groups!A:A,Groups!AM:AM)=1,MROUND(EXP(0.3582*LN(C56)-0.2221)*T56,0.05),IF(_xlfn.XLOOKUP(E56,Groups!A:A,Groups!AM:AM)=2,MROUND(EXP(0.3582*LN(C56)-0.2221)*T56,0.05),"Need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945</v>
      </c>
      <c r="Y56" s="4" t="s">
        <v>56</v>
      </c>
      <c r="Z56" s="4">
        <v>0</v>
      </c>
      <c r="AA56" s="4">
        <v>0</v>
      </c>
      <c r="AB56" s="4">
        <v>0</v>
      </c>
      <c r="AC56" s="4" t="s">
        <v>45</v>
      </c>
      <c r="AD56" s="4" t="s">
        <v>320</v>
      </c>
      <c r="AE56" s="28" t="s">
        <v>405</v>
      </c>
      <c r="AF56" s="4" t="s">
        <v>45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4" t="s">
        <v>40</v>
      </c>
      <c r="AM56" s="8">
        <f t="shared" si="21"/>
        <v>12208.490600010842</v>
      </c>
      <c r="AN56" s="8">
        <f>IFERROR(C56*_xlfn.XLOOKUP(E56,Groups!A:A,Groups!K:K),0.106*C56^0.94)</f>
        <v>4.99</v>
      </c>
      <c r="AO56" s="8">
        <f>AN56*10000/(_xlfn.XLOOKUP(E56,Groups!A:A,Groups!J:J)*AM56)</f>
        <v>3.7498342762962693</v>
      </c>
      <c r="AP56" s="8">
        <f t="shared" si="22"/>
        <v>1226.5939672257964</v>
      </c>
      <c r="AQ56" s="8">
        <f>IF(_xlfn.XLOOKUP(E56,Groups!A:A,Groups!M:M)=1,EXP(0.7444*LN('Base stats'!C56)+6.5696),EXP(0.7927*LN('Base stats'!C56)+4.28))</f>
        <v>1345.0342323536652</v>
      </c>
      <c r="AR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"No")))))))))))))))</f>
        <v>2644.3570742086185</v>
      </c>
      <c r="AS56" s="8">
        <f>IF(_xlfn.XLOOKUP(E56,Groups!A:A,Groups!U:U)=3,AQ56,IF(_xlfn.XLOOKUP(E56,Groups!A:A,Groups!U:U)=2,AP56,AR56))</f>
        <v>2644.3570742086185</v>
      </c>
      <c r="AT56" s="46">
        <f>IFERROR(AVERAGE(_xlfn.XLOOKUP(B56,Animals!B:B,Animals!N:N),_xlfn.XLOOKUP(B56,Animals!B:B,Animals!O:O)),0)</f>
        <v>0</v>
      </c>
      <c r="AU56" s="8">
        <f>MROUND(40*Animals!AO56*_xlfn.XLOOKUP(Animals!BB56,Leathers!$A$2:$A$100,Leathers!$B$2:$B$100,0)+(140*_xlfn.XLOOKUP(B56,Animals!B:B,Animals!AO:AO)*2),5)</f>
        <v>320</v>
      </c>
      <c r="AV56" s="8">
        <f>IFERROR(ROUND(SQRT(V56-1)*IF(_xlfn.XLOOKUP(E56,Groups!A:A,Groups!BF:BF)=0,2,1)*IF(_xlfn.XLOOKUP('Base stats'!E56,Groups!A:A,Groups!O:O)=0,1,0.1),1),0)</f>
        <v>3</v>
      </c>
      <c r="AW56" s="8">
        <f t="shared" si="23"/>
        <v>0</v>
      </c>
      <c r="AX56" s="8">
        <f t="shared" si="24"/>
        <v>0</v>
      </c>
      <c r="AY56" s="8">
        <f t="shared" si="25"/>
        <v>3</v>
      </c>
      <c r="AZ56" s="8">
        <f>IF(_xlfn.XLOOKUP(E56,Groups!A:A,Groups!N:N)="Insect",BB56*2.5,IFERROR(AVERAGE(BB56,AR56/9.81/IF(OR(_xlfn.XLOOKUP(E56,Groups!A:A,Groups!N:N)="Pig",_xlfn.XLOOKUP(E56,Groups!A:A,Groups!N:N)="StrongBitingHerbivore"),20,25))*C56^-0.135,BB56))</f>
        <v>3.5318863409400256</v>
      </c>
      <c r="BA56" s="8" t="str">
        <f>IF(W56="No","No",IF(_xlfn.XLOOKUP(E56,Groups!A:A,Groups!U:U)=1,'Base stats'!AZ56,IF(OR(_xlfn.XLOOKUP(E56,Groups!A:A,Groups!BD:BD)=1,_xlfn.XLOOKUP(E56,Groups!A:A,Groups!U:U)=2),BB56,IF(_xlfn.XLOOKUP(B56,Animals!B:B,Animals!AO:AO)&gt;4,AVERAGE(BB56,BD56),BD56))))</f>
        <v>No</v>
      </c>
      <c r="BB56" s="8">
        <f t="shared" si="26"/>
        <v>0.84061651845168284</v>
      </c>
      <c r="BC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D56" s="8">
        <f>(0.048*C56^1.01)/IF(_xlfn.XLOOKUP(E56,Groups!A:A,Groups!M:M)=1,0.25,0.8)*C56^-0.25</f>
        <v>0.99018614167501795</v>
      </c>
      <c r="BE56" s="8">
        <f>EXP(1.076*LN(AP56)-4.5397)*IF(_xlfn.XLOOKUP(E56,Groups!A:A,Groups!BC:BC)=1,1.25,IF(_xlfn.XLOOKUP(E56,Groups!A:A,Groups!BD:BD)=1,3.5,2.5))</f>
        <v>56.210239558641248</v>
      </c>
      <c r="BF56" s="8">
        <f>EXP(1.076*LN(AQ56)-4.5397)*IF(_xlfn.XLOOKUP(E56,Groups!A:A,Groups!M:M)=1,0.8,IF(_xlfn.XLOOKUP(E56,Groups!A:A,Groups!BC:BC)=1,1.3,3))</f>
        <v>74.485487848676939</v>
      </c>
      <c r="BG56" s="8" t="str">
        <f>IF(W56="No","No",IF(_xlfn.XLOOKUP(E56,Groups!A:A,Groups!U:U)=1,'Base stats'!BH56,IF(OR(_xlfn.XLOOKUP(E56,Groups!A:A,Groups!BD:BD)=1,_xlfn.XLOOKUP(E56,Groups!A:A,Groups!U:U)=2),BE56,BF56))*1.2)</f>
        <v>No</v>
      </c>
      <c r="BH56" s="8">
        <f>IFERROR(EXP(1.076*LN(AR56)-4.5397)*IF(_xlfn.XLOOKUP(E56,Groups!A:A,Groups!N:N)="Insect",1,IF(OR(_xlfn.XLOOKUP(E56,Groups!A:A,Groups!N:N)="Pig",_xlfn.XLOOKUP(E56,Groups!A:A,Groups!N:N)="StrongBitingHerbivore"),3.5,3.75)),"No")</f>
        <v>192.69969815751932</v>
      </c>
      <c r="BI56" s="8">
        <f t="shared" si="10"/>
        <v>11</v>
      </c>
      <c r="BJ56" s="8">
        <f t="shared" si="11"/>
        <v>10</v>
      </c>
      <c r="BK56" s="8" t="str">
        <f t="shared" si="27"/>
        <v>No</v>
      </c>
      <c r="BL56" s="8">
        <f t="shared" si="28"/>
        <v>10</v>
      </c>
      <c r="BM56" s="8">
        <f t="shared" si="12"/>
        <v>12</v>
      </c>
      <c r="BN56" s="8" t="str" cm="1">
        <f t="array" ref="BN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O56" s="8" t="str">
        <f>IF(W56="No","No",IF(_xlfn.XLOOKUP(E56,Groups!A:A,Groups!BD:BD)=1,(AM56*5%),EXP(0.7354*LN(C56)^0.4078)*2/IF(_xlfn.XLOOKUP(E56,Groups!A:A,Groups!BL:BL)=1,1000,100)))</f>
        <v>No</v>
      </c>
      <c r="BP56" s="8">
        <f>IF(BH56="No","No",IF(_xlfn.XLOOKUP(E56,Groups!A:A,Groups!BF:BF)=1,(0.0315*C56+2.1825)*2,(0.7354*C56^0.4078)*2)/IF(_xlfn.XLOOKUP(E56,Groups!A:A,Groups!BM:BM)=1,1000,100))</f>
        <v>6.6202392635939605E-2</v>
      </c>
      <c r="BQ56" s="8">
        <f t="shared" si="29"/>
        <v>9.2083847873202812E-2</v>
      </c>
      <c r="BR56" s="8" t="str">
        <f t="shared" si="13"/>
        <v>No</v>
      </c>
      <c r="BS56" s="8" t="str">
        <f t="shared" si="30"/>
        <v>No</v>
      </c>
      <c r="BT56" s="8">
        <f t="shared" si="14"/>
        <v>2910.766370895597</v>
      </c>
      <c r="BU56" s="4">
        <v>0</v>
      </c>
      <c r="BV56" s="4">
        <v>1</v>
      </c>
    </row>
    <row r="57" spans="1:74" s="16" customFormat="1" x14ac:dyDescent="0.25">
      <c r="A57" s="26" t="s">
        <v>1025</v>
      </c>
      <c r="B57" s="6" t="s">
        <v>892</v>
      </c>
      <c r="C57" s="7">
        <v>40</v>
      </c>
      <c r="D57" s="7" t="s">
        <v>1204</v>
      </c>
      <c r="E57" s="7" t="str">
        <f>Groups!A11</f>
        <v>Canid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552</v>
      </c>
      <c r="L57" s="7">
        <v>64</v>
      </c>
      <c r="M57" s="7" t="s">
        <v>638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IF(AR57="No","No",IF(_xlfn.XLOOKUP(E57,Groups!A:A,Groups!AM:AM)=1,MROUND(EXP(0.3582*LN(C57)-0.2221)*T57,0.05),IF(_xlfn.XLOOKUP(E57,Groups!A:A,Groups!AM:AM)=2,MROUND(EXP(0.3582*LN(C57)-0.2221)*T57,0.05),"Need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945</v>
      </c>
      <c r="Y57" s="4" t="s">
        <v>56</v>
      </c>
      <c r="Z57" s="4">
        <v>0</v>
      </c>
      <c r="AA57" s="4">
        <v>0</v>
      </c>
      <c r="AB57" s="4">
        <v>0</v>
      </c>
      <c r="AC57" s="4" t="s">
        <v>45</v>
      </c>
      <c r="AD57" s="4" t="s">
        <v>320</v>
      </c>
      <c r="AE57" s="28" t="s">
        <v>405</v>
      </c>
      <c r="AF57" s="4" t="str">
        <f>Animals!C56</f>
        <v>&lt;li&gt;Wolf_Timber&lt;/li&gt;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4" t="s">
        <v>40</v>
      </c>
      <c r="AM57" s="8">
        <f t="shared" si="21"/>
        <v>12208.490600010842</v>
      </c>
      <c r="AN57" s="8">
        <f>IFERROR(C57*_xlfn.XLOOKUP(E57,Groups!A:A,Groups!K:K),0.106*C57^0.94)</f>
        <v>4.99</v>
      </c>
      <c r="AO57" s="8">
        <f>AN57*10000/(_xlfn.XLOOKUP(E57,Groups!A:A,Groups!J:J)*AM57)</f>
        <v>3.7498342762962693</v>
      </c>
      <c r="AP57" s="8">
        <f t="shared" si="22"/>
        <v>1226.5939672257964</v>
      </c>
      <c r="AQ57" s="8">
        <f>IF(_xlfn.XLOOKUP(E57,Groups!A:A,Groups!M:M)=1,EXP(0.7444*LN('Base stats'!C57)+6.5696),EXP(0.7927*LN('Base stats'!C57)+4.28))</f>
        <v>1345.0342323536652</v>
      </c>
      <c r="AR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"No")))))))))))))))</f>
        <v>2644.3570742086185</v>
      </c>
      <c r="AS57" s="8">
        <f>IF(_xlfn.XLOOKUP(E57,Groups!A:A,Groups!U:U)=3,AQ57,IF(_xlfn.XLOOKUP(E57,Groups!A:A,Groups!U:U)=2,AP57,AR57))</f>
        <v>2644.3570742086185</v>
      </c>
      <c r="AT57" s="46">
        <f>IFERROR(AVERAGE(_xlfn.XLOOKUP(B57,Animals!B:B,Animals!N:N),_xlfn.XLOOKUP(B57,Animals!B:B,Animals!O:O)),0)</f>
        <v>0</v>
      </c>
      <c r="AU57" s="8">
        <f>MROUND(40*Animals!AO57*_xlfn.XLOOKUP(Animals!BB57,Leathers!$A$2:$A$100,Leathers!$B$2:$B$100,0)+(140*_xlfn.XLOOKUP(B57,Animals!B:B,Animals!AO:AO)*2),5)</f>
        <v>320</v>
      </c>
      <c r="AV57" s="8">
        <f>IFERROR(ROUND(SQRT(V57-1)*IF(_xlfn.XLOOKUP(E57,Groups!A:A,Groups!BF:BF)=0,2,1)*IF(_xlfn.XLOOKUP('Base stats'!E57,Groups!A:A,Groups!O:O)=0,1,0.1),1),0)</f>
        <v>3</v>
      </c>
      <c r="AW57" s="8">
        <f t="shared" si="23"/>
        <v>0</v>
      </c>
      <c r="AX57" s="8">
        <f t="shared" si="24"/>
        <v>0</v>
      </c>
      <c r="AY57" s="8">
        <f t="shared" si="25"/>
        <v>3</v>
      </c>
      <c r="AZ57" s="8">
        <f>IF(_xlfn.XLOOKUP(E57,Groups!A:A,Groups!N:N)="Insect",BB57*2.5,IFERROR(AVERAGE(BB57,AR57/9.81/IF(OR(_xlfn.XLOOKUP(E57,Groups!A:A,Groups!N:N)="Pig",_xlfn.XLOOKUP(E57,Groups!A:A,Groups!N:N)="StrongBitingHerbivore"),20,25))*C57^-0.135,BB57))</f>
        <v>3.5318863409400256</v>
      </c>
      <c r="BA57" s="8" t="str">
        <f>IF(W57="No","No",IF(_xlfn.XLOOKUP(E57,Groups!A:A,Groups!U:U)=1,'Base stats'!AZ57,IF(OR(_xlfn.XLOOKUP(E57,Groups!A:A,Groups!BD:BD)=1,_xlfn.XLOOKUP(E57,Groups!A:A,Groups!U:U)=2),BB57,IF(_xlfn.XLOOKUP(B57,Animals!B:B,Animals!AO:AO)&gt;4,AVERAGE(BB57,BD57),BD57))))</f>
        <v>No</v>
      </c>
      <c r="BB57" s="8">
        <f t="shared" si="26"/>
        <v>0.84061651845168284</v>
      </c>
      <c r="BC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D57" s="8">
        <f>(0.048*C57^1.01)/IF(_xlfn.XLOOKUP(E57,Groups!A:A,Groups!M:M)=1,0.25,0.8)*C57^-0.25</f>
        <v>0.99018614167501795</v>
      </c>
      <c r="BE57" s="8">
        <f>EXP(1.076*LN(AP57)-4.5397)*IF(_xlfn.XLOOKUP(E57,Groups!A:A,Groups!BC:BC)=1,1.25,IF(_xlfn.XLOOKUP(E57,Groups!A:A,Groups!BD:BD)=1,3.5,2.5))</f>
        <v>56.210239558641248</v>
      </c>
      <c r="BF57" s="8">
        <f>EXP(1.076*LN(AQ57)-4.5397)*IF(_xlfn.XLOOKUP(E57,Groups!A:A,Groups!M:M)=1,0.8,IF(_xlfn.XLOOKUP(E57,Groups!A:A,Groups!BC:BC)=1,1.3,3))</f>
        <v>74.485487848676939</v>
      </c>
      <c r="BG57" s="8" t="str">
        <f>IF(W57="No","No",IF(_xlfn.XLOOKUP(E57,Groups!A:A,Groups!U:U)=1,'Base stats'!BH57,IF(OR(_xlfn.XLOOKUP(E57,Groups!A:A,Groups!BD:BD)=1,_xlfn.XLOOKUP(E57,Groups!A:A,Groups!U:U)=2),BE57,BF57))*1.2)</f>
        <v>No</v>
      </c>
      <c r="BH57" s="8">
        <f>IFERROR(EXP(1.076*LN(AR57)-4.5397)*IF(_xlfn.XLOOKUP(E57,Groups!A:A,Groups!N:N)="Insect",1,IF(OR(_xlfn.XLOOKUP(E57,Groups!A:A,Groups!N:N)="Pig",_xlfn.XLOOKUP(E57,Groups!A:A,Groups!N:N)="StrongBitingHerbivore"),3.5,3.75)),"No")</f>
        <v>192.69969815751932</v>
      </c>
      <c r="BI57" s="8">
        <f t="shared" si="10"/>
        <v>11</v>
      </c>
      <c r="BJ57" s="8">
        <f t="shared" si="11"/>
        <v>10</v>
      </c>
      <c r="BK57" s="8" t="str">
        <f t="shared" si="27"/>
        <v>No</v>
      </c>
      <c r="BL57" s="8">
        <f t="shared" si="28"/>
        <v>10</v>
      </c>
      <c r="BM57" s="8">
        <f t="shared" si="12"/>
        <v>12</v>
      </c>
      <c r="BN57" s="8" t="str" cm="1">
        <f t="array" ref="BN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O57" s="8" t="str">
        <f>IF(W57="No","No",IF(_xlfn.XLOOKUP(E57,Groups!A:A,Groups!BD:BD)=1,(AM57*5%),EXP(0.7354*LN(C57)^0.4078)*2/IF(_xlfn.XLOOKUP(E57,Groups!A:A,Groups!BL:BL)=1,1000,100)))</f>
        <v>No</v>
      </c>
      <c r="BP57" s="8">
        <f>IF(BH57="No","No",IF(_xlfn.XLOOKUP(E57,Groups!A:A,Groups!BF:BF)=1,(0.0315*C57+2.1825)*2,(0.7354*C57^0.4078)*2)/IF(_xlfn.XLOOKUP(E57,Groups!A:A,Groups!BM:BM)=1,1000,100))</f>
        <v>6.6202392635939605E-2</v>
      </c>
      <c r="BQ57" s="8">
        <f t="shared" si="29"/>
        <v>9.2083847873202812E-2</v>
      </c>
      <c r="BR57" s="8" t="str">
        <f t="shared" si="13"/>
        <v>No</v>
      </c>
      <c r="BS57" s="8" t="str">
        <f t="shared" si="30"/>
        <v>No</v>
      </c>
      <c r="BT57" s="8">
        <f t="shared" si="14"/>
        <v>2910.766370895597</v>
      </c>
      <c r="BU57" s="4">
        <v>0</v>
      </c>
      <c r="BV57" s="4">
        <v>1</v>
      </c>
    </row>
    <row r="58" spans="1:74" x14ac:dyDescent="0.25">
      <c r="A58" s="26" t="s">
        <v>65</v>
      </c>
      <c r="B58" s="6" t="s">
        <v>66</v>
      </c>
      <c r="C58" s="7">
        <v>6.3333000000000004</v>
      </c>
      <c r="D58" s="7" t="s">
        <v>941</v>
      </c>
      <c r="E58" s="7" t="str">
        <f>Groups!A11</f>
        <v>Canid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553</v>
      </c>
      <c r="L58" s="7">
        <f>MIN(37.5*C58^0.089,79.3*C58^-0.072)</f>
        <v>44.195326138007871</v>
      </c>
      <c r="M58" s="7" t="s">
        <v>638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IF(AR58="No","No",IF(_xlfn.XLOOKUP(E58,Groups!A:A,Groups!AM:AM)=1,MROUND(EXP(0.3582*LN(C58)-0.2221)*T58,0.05),IF(_xlfn.XLOOKUP(E58,Groups!A:A,Groups!AM:AM)=2,MROUND(EXP(0.3582*LN(C58)-0.2221)*T58,0.05),"Need a formula")))</f>
        <v>2.2000000000000002</v>
      </c>
      <c r="W58" s="7" t="s">
        <v>45</v>
      </c>
      <c r="X58" s="7" t="s">
        <v>945</v>
      </c>
      <c r="Y58" s="4" t="s">
        <v>56</v>
      </c>
      <c r="Z58" s="4">
        <v>0</v>
      </c>
      <c r="AA58" s="4">
        <v>0</v>
      </c>
      <c r="AB58" s="4">
        <v>0</v>
      </c>
      <c r="AC58" s="4" t="s">
        <v>45</v>
      </c>
      <c r="AD58" s="4" t="s">
        <v>45</v>
      </c>
      <c r="AE58" s="28" t="s">
        <v>390</v>
      </c>
      <c r="AF58" s="4" t="str">
        <f>Animals!C60</f>
        <v xml:space="preserve">&lt;li&gt;Fox_Fennec&lt;/li&gt; 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4" t="s">
        <v>40</v>
      </c>
      <c r="AM58" s="8">
        <f t="shared" si="21"/>
        <v>3684.533572807044</v>
      </c>
      <c r="AN58" s="8">
        <f>IFERROR(C58*_xlfn.XLOOKUP(E58,Groups!A:A,Groups!K:K),0.106*C58^0.94)</f>
        <v>0.79007917500000002</v>
      </c>
      <c r="AO58" s="8">
        <f>AN58*10000/(_xlfn.XLOOKUP(E58,Groups!A:A,Groups!J:J)*AM58)</f>
        <v>1.9672592622471217</v>
      </c>
      <c r="AP58" s="8">
        <f t="shared" si="22"/>
        <v>258.56971798699504</v>
      </c>
      <c r="AQ58" s="8">
        <f>IF(_xlfn.XLOOKUP(E58,Groups!A:A,Groups!M:M)=1,EXP(0.7444*LN('Base stats'!C58)+6.5696),EXP(0.7927*LN('Base stats'!C58)+4.28))</f>
        <v>312.05599580556532</v>
      </c>
      <c r="AR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"No")))))))))))))))</f>
        <v>706.56767140812713</v>
      </c>
      <c r="AS58" s="8">
        <f>IF(_xlfn.XLOOKUP(E58,Groups!A:A,Groups!U:U)=3,AQ58,IF(_xlfn.XLOOKUP(E58,Groups!A:A,Groups!U:U)=2,AP58,AR58))</f>
        <v>706.56767140812713</v>
      </c>
      <c r="AT58" s="46">
        <f>IFERROR(AVERAGE(_xlfn.XLOOKUP(B58,Animals!B:B,Animals!N:N),_xlfn.XLOOKUP(B58,Animals!B:B,Animals!O:O)),0)</f>
        <v>0</v>
      </c>
      <c r="AU58" s="8">
        <f>MROUND(40*Animals!AO58*_xlfn.XLOOKUP(Animals!BB58,Leathers!$A$2:$A$100,Leathers!$B$2:$B$100,0)+(140*_xlfn.XLOOKUP(B58,Animals!B:B,Animals!AO:AO)*2),5)</f>
        <v>160</v>
      </c>
      <c r="AV58" s="8">
        <f>IFERROR(ROUND(SQRT(V58-1)*IF(_xlfn.XLOOKUP(E58,Groups!A:A,Groups!BF:BF)=0,2,1)*IF(_xlfn.XLOOKUP('Base stats'!E58,Groups!A:A,Groups!O:O)=0,1,0.1),1),0)</f>
        <v>2.2000000000000002</v>
      </c>
      <c r="AW58" s="8">
        <f t="shared" si="23"/>
        <v>0</v>
      </c>
      <c r="AX58" s="8">
        <f t="shared" si="24"/>
        <v>0</v>
      </c>
      <c r="AY58" s="8">
        <f t="shared" si="25"/>
        <v>1.2</v>
      </c>
      <c r="AZ58" s="8">
        <f>IF(_xlfn.XLOOKUP(E58,Groups!A:A,Groups!N:N)="Insect",BB58*2.5,IFERROR(AVERAGE(BB58,AR58/9.81/IF(OR(_xlfn.XLOOKUP(E58,Groups!A:A,Groups!N:N)="Pig",_xlfn.XLOOKUP(E58,Groups!A:A,Groups!N:N)="StrongBitingHerbivore"),20,25))*C58^-0.135,BB58))</f>
        <v>1.1936057181351558</v>
      </c>
      <c r="BA58" s="8" t="str">
        <f>IF(W58="No","No",IF(_xlfn.XLOOKUP(E58,Groups!A:A,Groups!U:U)=1,'Base stats'!AZ58,IF(OR(_xlfn.XLOOKUP(E58,Groups!A:A,Groups!BD:BD)=1,_xlfn.XLOOKUP(E58,Groups!A:A,Groups!U:U)=2),BB58,IF(_xlfn.XLOOKUP(B58,Animals!B:B,Animals!AO:AO)&gt;4,AVERAGE(BB58,BD58),BD58))))</f>
        <v>No</v>
      </c>
      <c r="BB58" s="8">
        <f t="shared" si="26"/>
        <v>0.18173586703179376</v>
      </c>
      <c r="BC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0.2995917127930291</v>
      </c>
      <c r="BD58" s="8">
        <f>(0.048*C58^1.01)/IF(_xlfn.XLOOKUP(E58,Groups!A:A,Groups!M:M)=1,0.25,0.8)*C58^-0.25</f>
        <v>0.24400015169414049</v>
      </c>
      <c r="BE58" s="8">
        <f>EXP(1.076*LN(AP58)-4.5397)*IF(_xlfn.XLOOKUP(E58,Groups!A:A,Groups!BC:BC)=1,1.25,IF(_xlfn.XLOOKUP(E58,Groups!A:A,Groups!BD:BD)=1,3.5,2.5))</f>
        <v>10.527055515355739</v>
      </c>
      <c r="BF58" s="8">
        <f>EXP(1.076*LN(AQ58)-4.5397)*IF(_xlfn.XLOOKUP(E58,Groups!A:A,Groups!M:M)=1,0.8,IF(_xlfn.XLOOKUP(E58,Groups!A:A,Groups!BC:BC)=1,1.3,3))</f>
        <v>15.464959930645772</v>
      </c>
      <c r="BG58" s="8" t="str">
        <f>IF(W58="No","No",IF(_xlfn.XLOOKUP(E58,Groups!A:A,Groups!U:U)=1,'Base stats'!BH58,IF(OR(_xlfn.XLOOKUP(E58,Groups!A:A,Groups!BD:BD)=1,_xlfn.XLOOKUP(E58,Groups!A:A,Groups!U:U)=2),BE58,BF58))*1.2)</f>
        <v>No</v>
      </c>
      <c r="BH58" s="8">
        <f>IFERROR(EXP(1.076*LN(AR58)-4.5397)*IF(_xlfn.XLOOKUP(E58,Groups!A:A,Groups!N:N)="Insect",1,IF(OR(_xlfn.XLOOKUP(E58,Groups!A:A,Groups!N:N)="Pig",_xlfn.XLOOKUP(E58,Groups!A:A,Groups!N:N)="StrongBitingHerbivore"),3.5,3.75)),"No")</f>
        <v>46.57512797186186</v>
      </c>
      <c r="BI58" s="8">
        <f t="shared" si="10"/>
        <v>10</v>
      </c>
      <c r="BJ58" s="8">
        <f t="shared" si="11"/>
        <v>10</v>
      </c>
      <c r="BK58" s="8" t="str">
        <f t="shared" si="27"/>
        <v>No</v>
      </c>
      <c r="BL58" s="8">
        <f t="shared" si="28"/>
        <v>8</v>
      </c>
      <c r="BM58" s="8">
        <f t="shared" si="12"/>
        <v>11</v>
      </c>
      <c r="BN58" s="8" t="str" cm="1">
        <f t="array" ref="BN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O58" s="8" t="str">
        <f>IF(W58="No","No",IF(_xlfn.XLOOKUP(E58,Groups!A:A,Groups!BD:BD)=1,(AM58*5%),EXP(0.7354*LN(C58)^0.4078)*2/IF(_xlfn.XLOOKUP(E58,Groups!A:A,Groups!BL:BL)=1,1000,100)))</f>
        <v>No</v>
      </c>
      <c r="BP58" s="8">
        <f>IF(BH58="No","No",IF(_xlfn.XLOOKUP(E58,Groups!A:A,Groups!BF:BF)=1,(0.0315*C58+2.1825)*2,(0.7354*C58^0.4078)*2)/IF(_xlfn.XLOOKUP(E58,Groups!A:A,Groups!BM:BM)=1,1000,100))</f>
        <v>3.1221830370346076E-2</v>
      </c>
      <c r="BQ58" s="8">
        <f t="shared" si="29"/>
        <v>5.7141862367864123E-2</v>
      </c>
      <c r="BR58" s="8" t="str">
        <f t="shared" si="13"/>
        <v>No</v>
      </c>
      <c r="BS58" s="8" t="str">
        <f t="shared" si="30"/>
        <v>No</v>
      </c>
      <c r="BT58" s="8">
        <f t="shared" si="14"/>
        <v>1491.7487994585374</v>
      </c>
      <c r="BU58" s="4">
        <v>0</v>
      </c>
      <c r="BV58" s="4">
        <v>1</v>
      </c>
    </row>
    <row r="59" spans="1:74" x14ac:dyDescent="0.25">
      <c r="A59" s="26" t="s">
        <v>67</v>
      </c>
      <c r="B59" s="6" t="s">
        <v>68</v>
      </c>
      <c r="C59" s="7">
        <v>3.45</v>
      </c>
      <c r="D59" s="7" t="s">
        <v>941</v>
      </c>
      <c r="E59" s="7" t="str">
        <f>Groups!A11</f>
        <v>Canid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559</v>
      </c>
      <c r="L59" s="7">
        <f>MIN(37.5*C59^0.089,79.3*C59^-0.072)</f>
        <v>41.86944143733259</v>
      </c>
      <c r="M59" s="7" t="s">
        <v>638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IF(AR59="No","No",IF(_xlfn.XLOOKUP(E59,Groups!A:A,Groups!AM:AM)=1,MROUND(EXP(0.3582*LN(C59)-0.2221)*T59,0.05),IF(_xlfn.XLOOKUP(E59,Groups!A:A,Groups!AM:AM)=2,MROUND(EXP(0.3582*LN(C59)-0.2221)*T59,0.05),"Need a formula")))</f>
        <v>1.4500000000000002</v>
      </c>
      <c r="W59" s="7" t="s">
        <v>45</v>
      </c>
      <c r="X59" s="7" t="s">
        <v>945</v>
      </c>
      <c r="Y59" s="4" t="s">
        <v>56</v>
      </c>
      <c r="Z59" s="4">
        <v>0</v>
      </c>
      <c r="AA59" s="4">
        <v>0</v>
      </c>
      <c r="AB59" s="4">
        <v>0</v>
      </c>
      <c r="AC59" s="4" t="s">
        <v>45</v>
      </c>
      <c r="AD59" s="4" t="s">
        <v>45</v>
      </c>
      <c r="AE59" s="28" t="s">
        <v>390</v>
      </c>
      <c r="AF59" s="4" t="str">
        <f>Animals!C60</f>
        <v xml:space="preserve">&lt;li&gt;Fox_Fennec&lt;/li&gt; 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4" t="s">
        <v>40</v>
      </c>
      <c r="AM59" s="8">
        <f t="shared" si="21"/>
        <v>2482.5922230260171</v>
      </c>
      <c r="AN59" s="8">
        <f>IFERROR(C59*_xlfn.XLOOKUP(E59,Groups!A:A,Groups!K:K),0.106*C59^0.94)</f>
        <v>0.43038750000000003</v>
      </c>
      <c r="AO59" s="8">
        <f>AN59*10000/(_xlfn.XLOOKUP(E59,Groups!A:A,Groups!J:J)*AM59)</f>
        <v>1.5904783466610202</v>
      </c>
      <c r="AP59" s="8">
        <f t="shared" si="22"/>
        <v>154.7877328657456</v>
      </c>
      <c r="AQ59" s="8">
        <f>IF(_xlfn.XLOOKUP(E59,Groups!A:A,Groups!M:M)=1,EXP(0.7444*LN('Base stats'!C59)+6.5696),EXP(0.7927*LN('Base stats'!C59)+4.28))</f>
        <v>192.80113188807815</v>
      </c>
      <c r="AR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"No")))))))))))))))</f>
        <v>381.29936358731965</v>
      </c>
      <c r="AS59" s="8">
        <f>IF(_xlfn.XLOOKUP(E59,Groups!A:A,Groups!U:U)=3,AQ59,IF(_xlfn.XLOOKUP(E59,Groups!A:A,Groups!U:U)=2,AP59,AR59))</f>
        <v>381.29936358731965</v>
      </c>
      <c r="AT59" s="46">
        <f>IFERROR(AVERAGE(_xlfn.XLOOKUP(B59,Animals!B:B,Animals!N:N),_xlfn.XLOOKUP(B59,Animals!B:B,Animals!O:O)),0)</f>
        <v>0</v>
      </c>
      <c r="AU59" s="8">
        <f>MROUND(40*Animals!AO59*_xlfn.XLOOKUP(Animals!BB59,Leathers!$A$2:$A$100,Leathers!$B$2:$B$100,0)+(140*_xlfn.XLOOKUP(B59,Animals!B:B,Animals!AO:AO)*2),5)</f>
        <v>115</v>
      </c>
      <c r="AV59" s="8">
        <f>IFERROR(ROUND(SQRT(V59-1)*IF(_xlfn.XLOOKUP(E59,Groups!A:A,Groups!BF:BF)=0,2,1)*IF(_xlfn.XLOOKUP('Base stats'!E59,Groups!A:A,Groups!O:O)=0,1,0.1),1),0)</f>
        <v>1.3</v>
      </c>
      <c r="AW59" s="8">
        <f t="shared" si="23"/>
        <v>0</v>
      </c>
      <c r="AX59" s="8">
        <f t="shared" si="24"/>
        <v>0</v>
      </c>
      <c r="AY59" s="8">
        <f t="shared" si="25"/>
        <v>0.9</v>
      </c>
      <c r="AZ59" s="8">
        <f>IF(_xlfn.XLOOKUP(E59,Groups!A:A,Groups!N:N)="Insect",BB59*2.5,IFERROR(AVERAGE(BB59,AR59/9.81/IF(OR(_xlfn.XLOOKUP(E59,Groups!A:A,Groups!N:N)="Pig",_xlfn.XLOOKUP(E59,Groups!A:A,Groups!N:N)="StrongBitingHerbivore"),20,25))*C59^-0.135,BB59))</f>
        <v>0.70409681222747555</v>
      </c>
      <c r="BA59" s="8" t="str">
        <f>IF(W59="No","No",IF(_xlfn.XLOOKUP(E59,Groups!A:A,Groups!U:U)=1,'Base stats'!AZ59,IF(OR(_xlfn.XLOOKUP(E59,Groups!A:A,Groups!BD:BD)=1,_xlfn.XLOOKUP(E59,Groups!A:A,Groups!U:U)=2),BB59,IF(_xlfn.XLOOKUP(B59,Animals!B:B,Animals!AO:AO)&gt;4,AVERAGE(BB59,BD59),BD59))))</f>
        <v>No</v>
      </c>
      <c r="BB59" s="8">
        <f t="shared" si="26"/>
        <v>0.1097017953113776</v>
      </c>
      <c r="BC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0.18653367340850413</v>
      </c>
      <c r="BD59" s="8">
        <f>(0.048*C59^1.01)/IF(_xlfn.XLOOKUP(E59,Groups!A:A,Groups!M:M)=1,0.25,0.8)*C59^-0.25</f>
        <v>0.15377784220661878</v>
      </c>
      <c r="BE59" s="8">
        <f>EXP(1.076*LN(AP59)-4.5397)*IF(_xlfn.XLOOKUP(E59,Groups!A:A,Groups!BC:BC)=1,1.25,IF(_xlfn.XLOOKUP(E59,Groups!A:A,Groups!BD:BD)=1,3.5,2.5))</f>
        <v>6.0607987784578112</v>
      </c>
      <c r="BF59" s="8">
        <f>EXP(1.076*LN(AQ59)-4.5397)*IF(_xlfn.XLOOKUP(E59,Groups!A:A,Groups!M:M)=1,0.8,IF(_xlfn.XLOOKUP(E59,Groups!A:A,Groups!BC:BC)=1,1.3,3))</f>
        <v>9.2115455176779086</v>
      </c>
      <c r="BG59" s="8" t="str">
        <f>IF(W59="No","No",IF(_xlfn.XLOOKUP(E59,Groups!A:A,Groups!U:U)=1,'Base stats'!BH59,IF(OR(_xlfn.XLOOKUP(E59,Groups!A:A,Groups!BD:BD)=1,_xlfn.XLOOKUP(E59,Groups!A:A,Groups!U:U)=2),BE59,BF59))*1.2)</f>
        <v>No</v>
      </c>
      <c r="BH59" s="8">
        <f>IFERROR(EXP(1.076*LN(AR59)-4.5397)*IF(_xlfn.XLOOKUP(E59,Groups!A:A,Groups!N:N)="Insect",1,IF(OR(_xlfn.XLOOKUP(E59,Groups!A:A,Groups!N:N)="Pig",_xlfn.XLOOKUP(E59,Groups!A:A,Groups!N:N)="StrongBitingHerbivore"),3.5,3.75)),"No")</f>
        <v>23.983187940855935</v>
      </c>
      <c r="BI59" s="8">
        <f t="shared" si="10"/>
        <v>10</v>
      </c>
      <c r="BJ59" s="8">
        <f t="shared" si="11"/>
        <v>9</v>
      </c>
      <c r="BK59" s="8" t="str">
        <f t="shared" si="27"/>
        <v>No</v>
      </c>
      <c r="BL59" s="8">
        <f t="shared" si="28"/>
        <v>8</v>
      </c>
      <c r="BM59" s="8">
        <f t="shared" si="12"/>
        <v>10</v>
      </c>
      <c r="BN59" s="8" t="str" cm="1">
        <f t="array" ref="BN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O59" s="8" t="str">
        <f>IF(W59="No","No",IF(_xlfn.XLOOKUP(E59,Groups!A:A,Groups!BD:BD)=1,(AM59*5%),EXP(0.7354*LN(C59)^0.4078)*2/IF(_xlfn.XLOOKUP(E59,Groups!A:A,Groups!BL:BL)=1,1000,100)))</f>
        <v>No</v>
      </c>
      <c r="BP59" s="8">
        <f>IF(BH59="No","No",IF(_xlfn.XLOOKUP(E59,Groups!A:A,Groups!BF:BF)=1,(0.0315*C59+2.1825)*2,(0.7354*C59^0.4078)*2)/IF(_xlfn.XLOOKUP(E59,Groups!A:A,Groups!BM:BM)=1,1000,100))</f>
        <v>2.437116265271768E-2</v>
      </c>
      <c r="BQ59" s="8">
        <f t="shared" si="29"/>
        <v>4.8826373677029716E-2</v>
      </c>
      <c r="BR59" s="8" t="str">
        <f t="shared" si="13"/>
        <v>No</v>
      </c>
      <c r="BS59" s="8" t="str">
        <f t="shared" si="30"/>
        <v>No</v>
      </c>
      <c r="BT59" s="8">
        <f t="shared" si="14"/>
        <v>984.08058255610217</v>
      </c>
      <c r="BU59" s="4">
        <v>0</v>
      </c>
      <c r="BV59" s="4">
        <v>1</v>
      </c>
    </row>
    <row r="60" spans="1:74" x14ac:dyDescent="0.25">
      <c r="A60" s="26" t="s">
        <v>496</v>
      </c>
      <c r="B60" s="6" t="s">
        <v>497</v>
      </c>
      <c r="C60" s="7">
        <v>2.4</v>
      </c>
      <c r="D60" s="7" t="s">
        <v>941</v>
      </c>
      <c r="E60" s="7" t="str">
        <f>Groups!A11</f>
        <v>Canid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560</v>
      </c>
      <c r="L60" s="7">
        <f>MIN(37.5*C60^0.089,79.3*C60^-0.072)</f>
        <v>40.538723398352381</v>
      </c>
      <c r="M60" s="7" t="s">
        <v>638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IF(AR60="No","No",IF(_xlfn.XLOOKUP(E60,Groups!A:A,Groups!AM:AM)=1,MROUND(EXP(0.3582*LN(C60)-0.2221)*T60,0.05),IF(_xlfn.XLOOKUP(E60,Groups!A:A,Groups!AM:AM)=2,MROUND(EXP(0.3582*LN(C60)-0.2221)*T60,0.05),"Need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945</v>
      </c>
      <c r="Y60" s="4" t="s">
        <v>56</v>
      </c>
      <c r="Z60" s="4">
        <v>0</v>
      </c>
      <c r="AA60" s="4">
        <v>0</v>
      </c>
      <c r="AB60" s="4">
        <v>0</v>
      </c>
      <c r="AC60" s="4" t="s">
        <v>45</v>
      </c>
      <c r="AD60" s="4" t="s">
        <v>45</v>
      </c>
      <c r="AE60" s="28" t="s">
        <v>390</v>
      </c>
      <c r="AF60" s="4" t="s">
        <v>45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4" t="s">
        <v>40</v>
      </c>
      <c r="AM60" s="8">
        <f t="shared" si="21"/>
        <v>1960.9218505891636</v>
      </c>
      <c r="AN60" s="8">
        <f>IFERROR(C60*_xlfn.XLOOKUP(E60,Groups!A:A,Groups!K:K),0.106*C60^0.94)</f>
        <v>0.2994</v>
      </c>
      <c r="AO60" s="8">
        <f>AN60*10000/(_xlfn.XLOOKUP(E60,Groups!A:A,Groups!J:J)*AM60)</f>
        <v>1.4007641304014278</v>
      </c>
      <c r="AP60" s="8">
        <f t="shared" si="22"/>
        <v>113.92136645343858</v>
      </c>
      <c r="AQ60" s="8">
        <f>IF(_xlfn.XLOOKUP(E60,Groups!A:A,Groups!M:M)=1,EXP(0.7444*LN('Base stats'!C60)+6.5696),EXP(0.7927*LN('Base stats'!C60)+4.28))</f>
        <v>144.6018448729055</v>
      </c>
      <c r="AR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"No")))))))))))))))</f>
        <v>143.92321481621084</v>
      </c>
      <c r="AS60" s="8">
        <f>IF(_xlfn.XLOOKUP(E60,Groups!A:A,Groups!U:U)=3,AQ60,IF(_xlfn.XLOOKUP(E60,Groups!A:A,Groups!U:U)=2,AP60,AR60))</f>
        <v>143.92321481621084</v>
      </c>
      <c r="AT60" s="46">
        <f>IFERROR(AVERAGE(_xlfn.XLOOKUP(B60,Animals!B:B,Animals!N:N),_xlfn.XLOOKUP(B60,Animals!B:B,Animals!O:O)),0)</f>
        <v>0</v>
      </c>
      <c r="AU60" s="8">
        <f>MROUND(40*Animals!AO60*_xlfn.XLOOKUP(Animals!BB60,Leathers!$A$2:$A$100,Leathers!$B$2:$B$100,0)+(140*_xlfn.XLOOKUP(B60,Animals!B:B,Animals!AO:AO)*2),5)</f>
        <v>95</v>
      </c>
      <c r="AV60" s="8">
        <f>IFERROR(ROUND(SQRT(V60-1)*IF(_xlfn.XLOOKUP(E60,Groups!A:A,Groups!BF:BF)=0,2,1)*IF(_xlfn.XLOOKUP('Base stats'!E60,Groups!A:A,Groups!O:O)=0,1,0.1),1),0)</f>
        <v>1.2</v>
      </c>
      <c r="AW60" s="8">
        <f t="shared" si="23"/>
        <v>0</v>
      </c>
      <c r="AX60" s="8">
        <f t="shared" si="24"/>
        <v>0</v>
      </c>
      <c r="AY60" s="8">
        <f t="shared" si="25"/>
        <v>0.8</v>
      </c>
      <c r="AZ60" s="8">
        <f>IF(_xlfn.XLOOKUP(E60,Groups!A:A,Groups!N:N)="Insect",BB60*2.5,IFERROR(AVERAGE(BB60,AR60/9.81/IF(OR(_xlfn.XLOOKUP(E60,Groups!A:A,Groups!N:N)="Pig",_xlfn.XLOOKUP(E60,Groups!A:A,Groups!N:N)="StrongBitingHerbivore"),20,25))*C60^-0.135,BB60))</f>
        <v>0.29676154060589027</v>
      </c>
      <c r="BA60" s="8" t="str">
        <f>IF(W60="No","No",IF(_xlfn.XLOOKUP(E60,Groups!A:A,Groups!U:U)=1,'Base stats'!AZ60,IF(OR(_xlfn.XLOOKUP(E60,Groups!A:A,Groups!BD:BD)=1,_xlfn.XLOOKUP(E60,Groups!A:A,Groups!U:U)=2),BB60,IF(_xlfn.XLOOKUP(B60,Animals!B:B,Animals!AO:AO)&gt;4,AVERAGE(BB60,BD60),BD60))))</f>
        <v>No</v>
      </c>
      <c r="BB60" s="8">
        <f t="shared" si="26"/>
        <v>8.1141234129247383E-2</v>
      </c>
      <c r="BC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D60" s="8">
        <f>(0.048*C60^1.01)/IF(_xlfn.XLOOKUP(E60,Groups!A:A,Groups!M:M)=1,0.25,0.8)*C60^-0.25</f>
        <v>0.11671100104776476</v>
      </c>
      <c r="BE60" s="8">
        <f>EXP(1.076*LN(AP60)-4.5397)*IF(_xlfn.XLOOKUP(E60,Groups!A:A,Groups!BC:BC)=1,1.25,IF(_xlfn.XLOOKUP(E60,Groups!A:A,Groups!BD:BD)=1,3.5,2.5))</f>
        <v>4.357932797631479</v>
      </c>
      <c r="BF60" s="8">
        <f>EXP(1.076*LN(AQ60)-4.5397)*IF(_xlfn.XLOOKUP(E60,Groups!A:A,Groups!M:M)=1,0.8,IF(_xlfn.XLOOKUP(E60,Groups!A:A,Groups!BC:BC)=1,1.3,3))</f>
        <v>6.7592987261888648</v>
      </c>
      <c r="BG60" s="8" t="str">
        <f>IF(W60="No","No",IF(_xlfn.XLOOKUP(E60,Groups!A:A,Groups!U:U)=1,'Base stats'!BH60,IF(OR(_xlfn.XLOOKUP(E60,Groups!A:A,Groups!BD:BD)=1,_xlfn.XLOOKUP(E60,Groups!A:A,Groups!U:U)=2),BE60,BF60))*1.2)</f>
        <v>No</v>
      </c>
      <c r="BH60" s="8">
        <f>IFERROR(EXP(1.076*LN(AR60)-4.5397)*IF(_xlfn.XLOOKUP(E60,Groups!A:A,Groups!N:N)="Insect",1,IF(OR(_xlfn.XLOOKUP(E60,Groups!A:A,Groups!N:N)="Pig",_xlfn.XLOOKUP(E60,Groups!A:A,Groups!N:N)="StrongBitingHerbivore"),3.5,3.75)),"No")</f>
        <v>8.4064649046685958</v>
      </c>
      <c r="BI60" s="8">
        <f t="shared" si="10"/>
        <v>10</v>
      </c>
      <c r="BJ60" s="8">
        <f t="shared" si="11"/>
        <v>9</v>
      </c>
      <c r="BK60" s="8" t="str">
        <f t="shared" si="27"/>
        <v>No</v>
      </c>
      <c r="BL60" s="8">
        <f t="shared" si="28"/>
        <v>7</v>
      </c>
      <c r="BM60" s="8">
        <f t="shared" si="12"/>
        <v>10</v>
      </c>
      <c r="BN60" s="8" t="str" cm="1">
        <f t="array" ref="BN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O60" s="8" t="str">
        <f>IF(W60="No","No",IF(_xlfn.XLOOKUP(E60,Groups!A:A,Groups!BD:BD)=1,(AM60*5%),EXP(0.7354*LN(C60)^0.4078)*2/IF(_xlfn.XLOOKUP(E60,Groups!A:A,Groups!BL:BL)=1,1000,100)))</f>
        <v>No</v>
      </c>
      <c r="BP60" s="8">
        <f>IF(BH60="No","No",IF(_xlfn.XLOOKUP(E60,Groups!A:A,Groups!BF:BF)=1,(0.0315*C60+2.1825)*2,(0.7354*C60^0.4078)*2)/IF(_xlfn.XLOOKUP(E60,Groups!A:A,Groups!BM:BM)=1,1000,100))</f>
        <v>2.1018599044415626E-2</v>
      </c>
      <c r="BQ60" s="8">
        <f t="shared" si="29"/>
        <v>4.444779679845097E-2</v>
      </c>
      <c r="BR60" s="8" t="str">
        <f t="shared" si="13"/>
        <v>No</v>
      </c>
      <c r="BS60" s="8" t="str">
        <f t="shared" si="30"/>
        <v>No</v>
      </c>
      <c r="BT60" s="8">
        <f t="shared" si="14"/>
        <v>399.95362616244807</v>
      </c>
      <c r="BU60" s="4">
        <v>0</v>
      </c>
      <c r="BV60" s="4">
        <v>1</v>
      </c>
    </row>
    <row r="61" spans="1:74" x14ac:dyDescent="0.25">
      <c r="A61" s="26" t="s">
        <v>128</v>
      </c>
      <c r="B61" s="6" t="s">
        <v>129</v>
      </c>
      <c r="C61" s="7">
        <v>10</v>
      </c>
      <c r="D61" s="7" t="s">
        <v>538</v>
      </c>
      <c r="E61" s="7" t="str">
        <f>Groups!A49</f>
        <v>Rodentlike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538</v>
      </c>
      <c r="L61" s="7">
        <f>MIN(20*C61^0.183,19.9*C61^0.142)</f>
        <v>27.596440994550576</v>
      </c>
      <c r="M61" s="7" t="s">
        <v>638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945</v>
      </c>
      <c r="Y61" s="4" t="s">
        <v>53</v>
      </c>
      <c r="Z61" s="4">
        <v>1</v>
      </c>
      <c r="AA61" s="4">
        <v>0.1</v>
      </c>
      <c r="AB61" s="4">
        <v>0.3</v>
      </c>
      <c r="AC61" s="4" t="s">
        <v>45</v>
      </c>
      <c r="AD61" s="4" t="s">
        <v>409</v>
      </c>
      <c r="AE61" s="28" t="s">
        <v>1384</v>
      </c>
      <c r="AF61" s="4" t="s">
        <v>45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4" t="s">
        <v>40</v>
      </c>
      <c r="AM61" s="8">
        <f t="shared" si="21"/>
        <v>4958.187872875691</v>
      </c>
      <c r="AN61" s="8">
        <f>IFERROR(C61*_xlfn.XLOOKUP(E61,Groups!A:A,Groups!K:K),0.106*C61^0.94)</f>
        <v>0.92322140535344532</v>
      </c>
      <c r="AO61" s="8">
        <f>AN61*10000/(_xlfn.XLOOKUP(E61,Groups!A:A,Groups!J:J)*AM61)</f>
        <v>1.7082695063588127</v>
      </c>
      <c r="AP61" s="8">
        <f t="shared" si="22"/>
        <v>380.31263115847975</v>
      </c>
      <c r="AQ61" s="8">
        <f>IF(_xlfn.XLOOKUP(E61,Groups!A:A,Groups!M:M)=1,EXP(0.7444*LN('Base stats'!C61)+6.5696),EXP(0.7927*LN('Base stats'!C61)+4.28))</f>
        <v>448.20880356342906</v>
      </c>
      <c r="AR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"No")))))))))))))))</f>
        <v>239.97565280605716</v>
      </c>
      <c r="AS61" s="8">
        <f>IF(_xlfn.XLOOKUP(E61,Groups!A:A,Groups!U:U)=3,AQ61,IF(_xlfn.XLOOKUP(E61,Groups!A:A,Groups!U:U)=2,AP61,AR61))</f>
        <v>239.97565280605716</v>
      </c>
      <c r="AT61" s="46">
        <f>IFERROR(AVERAGE(_xlfn.XLOOKUP(B61,Animals!B:B,Animals!N:N),_xlfn.XLOOKUP(B61,Animals!B:B,Animals!O:O)),0)</f>
        <v>0</v>
      </c>
      <c r="AU61" s="8">
        <f>MROUND(40*Animals!AO61*_xlfn.XLOOKUP(Animals!BB61,Leathers!$A$2:$A$100,Leathers!$B$2:$B$100,0)+(140*_xlfn.XLOOKUP(B61,Animals!B:B,Animals!AO:AO)*2),5)</f>
        <v>140</v>
      </c>
      <c r="AV61" s="8">
        <f>IFERROR(ROUND(SQRT(V61-1)*IF(_xlfn.XLOOKUP(E61,Groups!A:A,Groups!BF:BF)=0,2,1)*IF(_xlfn.XLOOKUP('Base stats'!E61,Groups!A:A,Groups!O:O)=0,1,0.1),1),0)</f>
        <v>4</v>
      </c>
      <c r="AW61" s="8">
        <f t="shared" si="23"/>
        <v>0</v>
      </c>
      <c r="AX61" s="8">
        <f t="shared" si="24"/>
        <v>0</v>
      </c>
      <c r="AY61" s="8">
        <f t="shared" si="25"/>
        <v>1.6</v>
      </c>
      <c r="AZ61" s="8">
        <f>IF(_xlfn.XLOOKUP(E61,Groups!A:A,Groups!N:N)="Insect",BB61*2.5,IFERROR(AVERAGE(BB61,AR61/9.81/IF(OR(_xlfn.XLOOKUP(E61,Groups!A:A,Groups!N:N)="Pig",_xlfn.XLOOKUP(E61,Groups!A:A,Groups!N:N)="StrongBitingHerbivore"),20,25))*C61^-0.135,BB61))</f>
        <v>0.45586429833209985</v>
      </c>
      <c r="BA61" s="8" t="str">
        <f>IF(W61="No","No",IF(_xlfn.XLOOKUP(E61,Groups!A:A,Groups!U:U)=1,'Base stats'!AZ61,IF(OR(_xlfn.XLOOKUP(E61,Groups!A:A,Groups!BD:BD)=1,_xlfn.XLOOKUP(E61,Groups!A:A,Groups!U:U)=2),BB61,IF(_xlfn.XLOOKUP(B61,Animals!B:B,Animals!AO:AO)&gt;4,AVERAGE(BB61,BD61),BD61))))</f>
        <v>No</v>
      </c>
      <c r="BB61" s="8">
        <f t="shared" si="26"/>
        <v>0.26563547098338458</v>
      </c>
      <c r="BC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D61" s="8">
        <f>(0.048*C61^1.01)/IF(_xlfn.XLOOKUP(E61,Groups!A:A,Groups!M:M)=1,0.25,0.8)*C61^-0.25</f>
        <v>0.34526396240229418</v>
      </c>
      <c r="BE61" s="8">
        <f>EXP(1.076*LN(AP61)-4.5397)*IF(_xlfn.XLOOKUP(E61,Groups!A:A,Groups!BC:BC)=1,1.25,IF(_xlfn.XLOOKUP(E61,Groups!A:A,Groups!BD:BD)=1,3.5,2.5))</f>
        <v>15.944275717953127</v>
      </c>
      <c r="BF61" s="8">
        <f>EXP(1.076*LN(AQ61)-4.5397)*IF(_xlfn.XLOOKUP(E61,Groups!A:A,Groups!M:M)=1,0.8,IF(_xlfn.XLOOKUP(E61,Groups!A:A,Groups!BC:BC)=1,1.3,3))</f>
        <v>22.832185638487289</v>
      </c>
      <c r="BG61" s="8" t="str">
        <f>IF(W61="No","No",IF(_xlfn.XLOOKUP(E61,Groups!A:A,Groups!U:U)=1,'Base stats'!BH61,IF(OR(_xlfn.XLOOKUP(E61,Groups!A:A,Groups!BD:BD)=1,_xlfn.XLOOKUP(E61,Groups!A:A,Groups!U:U)=2),BE61,BF61))*1.2)</f>
        <v>No</v>
      </c>
      <c r="BH61" s="8">
        <f>IFERROR(EXP(1.076*LN(AR61)-4.5397)*IF(_xlfn.XLOOKUP(E61,Groups!A:A,Groups!N:N)="Insect",1,IF(OR(_xlfn.XLOOKUP(E61,Groups!A:A,Groups!N:N)="Pig",_xlfn.XLOOKUP(E61,Groups!A:A,Groups!N:N)="StrongBitingHerbivore"),3.5,3.75)),"No")</f>
        <v>14.572178948590638</v>
      </c>
      <c r="BI61" s="8">
        <f t="shared" si="10"/>
        <v>10</v>
      </c>
      <c r="BJ61" s="8">
        <f t="shared" si="11"/>
        <v>10</v>
      </c>
      <c r="BK61" s="8" t="str">
        <f t="shared" si="27"/>
        <v>No</v>
      </c>
      <c r="BL61" s="8">
        <f t="shared" si="28"/>
        <v>7</v>
      </c>
      <c r="BM61" s="8">
        <f t="shared" si="12"/>
        <v>11</v>
      </c>
      <c r="BN61" s="8" t="str" cm="1">
        <f t="array" ref="BN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O61" s="8" t="str">
        <f>IF(W61="No","No",IF(_xlfn.XLOOKUP(E61,Groups!A:A,Groups!BD:BD)=1,(AM61*5%),EXP(0.7354*LN(C61)^0.4078)*2/IF(_xlfn.XLOOKUP(E61,Groups!A:A,Groups!BL:BL)=1,1000,100)))</f>
        <v>No</v>
      </c>
      <c r="BP61" s="8">
        <f>IF(BH61="No","No",IF(_xlfn.XLOOKUP(E61,Groups!A:A,Groups!BF:BF)=1,(0.0315*C61+2.1825)*2,(0.7354*C61^0.4078)*2)/IF(_xlfn.XLOOKUP(E61,Groups!A:A,Groups!BM:BM)=1,1000,100))</f>
        <v>3.7614355184740135E-2</v>
      </c>
      <c r="BQ61" s="8">
        <f t="shared" si="29"/>
        <v>6.4314931691790186E-2</v>
      </c>
      <c r="BR61" s="8" t="str">
        <f t="shared" si="13"/>
        <v>No</v>
      </c>
      <c r="BS61" s="8" t="str">
        <f t="shared" si="30"/>
        <v>No</v>
      </c>
      <c r="BT61" s="8">
        <f t="shared" si="14"/>
        <v>387.41004270897253</v>
      </c>
      <c r="BU61" s="4">
        <v>0</v>
      </c>
      <c r="BV61" s="4">
        <v>1</v>
      </c>
    </row>
    <row r="62" spans="1:74" x14ac:dyDescent="0.25">
      <c r="A62" s="26" t="s">
        <v>196</v>
      </c>
      <c r="B62" s="6" t="s">
        <v>197</v>
      </c>
      <c r="C62" s="7">
        <v>117.5</v>
      </c>
      <c r="D62" s="7" t="s">
        <v>561</v>
      </c>
      <c r="E62" s="7" t="str">
        <f>Groups!A65</f>
        <v>Ursid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561</v>
      </c>
      <c r="L62" s="7">
        <v>40</v>
      </c>
      <c r="M62" s="7" t="s">
        <v>638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945</v>
      </c>
      <c r="Y62" s="4" t="s">
        <v>42</v>
      </c>
      <c r="Z62" s="4">
        <v>0</v>
      </c>
      <c r="AA62" s="4">
        <v>-7.4999999999999997E-2</v>
      </c>
      <c r="AB62" s="4">
        <v>-0.2</v>
      </c>
      <c r="AC62" s="4" t="s">
        <v>45</v>
      </c>
      <c r="AD62" s="4" t="s">
        <v>45</v>
      </c>
      <c r="AE62" s="28" t="s">
        <v>383</v>
      </c>
      <c r="AF62" s="4" t="str">
        <f>Animals!C3</f>
        <v>&lt;li&gt;Bear_Grizzly&lt;/li&gt;</v>
      </c>
      <c r="AG62" s="4">
        <v>0</v>
      </c>
      <c r="AH62" s="4">
        <v>0</v>
      </c>
      <c r="AI62" s="4">
        <v>0</v>
      </c>
      <c r="AJ62" s="4">
        <v>0</v>
      </c>
      <c r="AK62" s="4">
        <v>1</v>
      </c>
      <c r="AL62" s="44" t="s">
        <v>40</v>
      </c>
      <c r="AM62" s="8">
        <f t="shared" si="21"/>
        <v>24595.043334132937</v>
      </c>
      <c r="AN62" s="8">
        <f>IFERROR(C62*_xlfn.XLOOKUP(E62,Groups!A:A,Groups!K:K),0.106*C62^0.94)</f>
        <v>14.658125</v>
      </c>
      <c r="AO62" s="8">
        <f>AN62*10000/(_xlfn.XLOOKUP(E62,Groups!A:A,Groups!J:J)*AM62)</f>
        <v>5.4676956320929024</v>
      </c>
      <c r="AP62" s="8">
        <f t="shared" si="22"/>
        <v>3047.90717022124</v>
      </c>
      <c r="AQ62" s="8">
        <f>IF(_xlfn.XLOOKUP(E62,Groups!A:A,Groups!M:M)=1,EXP(0.7444*LN('Base stats'!C62)+6.5696),EXP(0.7927*LN('Base stats'!C62)+4.28))</f>
        <v>3160.0896202967747</v>
      </c>
      <c r="AR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"No")))))))))))))))</f>
        <v>3812.2842797819953</v>
      </c>
      <c r="AS62" s="8">
        <f>IF(_xlfn.XLOOKUP(E62,Groups!A:A,Groups!U:U)=3,AQ62,IF(_xlfn.XLOOKUP(E62,Groups!A:A,Groups!U:U)=2,AP62,AR62))</f>
        <v>3812.2842797819953</v>
      </c>
      <c r="AT62" s="46">
        <f>IFERROR(AVERAGE(_xlfn.XLOOKUP(B62,Animals!B:B,Animals!N:N),_xlfn.XLOOKUP(B62,Animals!B:B,Animals!O:O)),0)</f>
        <v>0</v>
      </c>
      <c r="AU62" s="8">
        <f>MROUND(40*Animals!AO62*_xlfn.XLOOKUP(Animals!BB62,Leathers!$A$2:$A$100,Leathers!$B$2:$B$100,0)+(140*_xlfn.XLOOKUP(B62,Animals!B:B,Animals!AO:AO)*2),5)</f>
        <v>570</v>
      </c>
      <c r="AV62" s="8">
        <f>IFERROR(ROUND(SQRT(V62-1)*IF(_xlfn.XLOOKUP(E62,Groups!A:A,Groups!BF:BF)=0,2,1)*IF(_xlfn.XLOOKUP('Base stats'!E62,Groups!A:A,Groups!O:O)=0,1,0.1),1),0)</f>
        <v>3.7</v>
      </c>
      <c r="AW62" s="8">
        <f t="shared" si="23"/>
        <v>2</v>
      </c>
      <c r="AX62" s="8">
        <f t="shared" si="24"/>
        <v>0</v>
      </c>
      <c r="AY62" s="8">
        <f t="shared" si="25"/>
        <v>4.4000000000000004</v>
      </c>
      <c r="AZ62" s="8">
        <f>IF(_xlfn.XLOOKUP(E62,Groups!A:A,Groups!N:N)="Insect",BB62*2.5,IFERROR(AVERAGE(BB62,AR62/9.81/IF(OR(_xlfn.XLOOKUP(E62,Groups!A:A,Groups!N:N)="Pig",_xlfn.XLOOKUP(E62,Groups!A:A,Groups!N:N)="StrongBitingHerbivore"),20,25))*C62^-0.135,BB62))</f>
        <v>4.4586869818980146</v>
      </c>
      <c r="BA62" s="8" t="str">
        <f>IF(W62="No","No",IF(_xlfn.XLOOKUP(E62,Groups!A:A,Groups!U:U)=1,'Base stats'!AZ62,IF(OR(_xlfn.XLOOKUP(E62,Groups!A:A,Groups!BD:BD)=1,_xlfn.XLOOKUP(E62,Groups!A:A,Groups!U:U)=2),BB62,IF(_xlfn.XLOOKUP(B62,Animals!B:B,Animals!AO:AO)&gt;4,AVERAGE(BB62,BD62),BD62))))</f>
        <v>No</v>
      </c>
      <c r="BB62" s="8">
        <f t="shared" si="26"/>
        <v>1.4259182203105851</v>
      </c>
      <c r="BC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D62" s="8">
        <f>(0.048*C62^1.01)/IF(_xlfn.XLOOKUP(E62,Groups!A:A,Groups!M:M)=1,0.25,0.8)*C62^-0.25</f>
        <v>2.2458462900255478</v>
      </c>
      <c r="BE62" s="8">
        <f>EXP(1.076*LN(AP62)-4.5397)*IF(_xlfn.XLOOKUP(E62,Groups!A:A,Groups!BC:BC)=1,1.25,IF(_xlfn.XLOOKUP(E62,Groups!A:A,Groups!BD:BD)=1,3.5,2.5))</f>
        <v>149.67842915790638</v>
      </c>
      <c r="BF62" s="8">
        <f>EXP(1.076*LN(AQ62)-4.5397)*IF(_xlfn.XLOOKUP(E62,Groups!A:A,Groups!M:M)=1,0.8,IF(_xlfn.XLOOKUP(E62,Groups!A:A,Groups!BC:BC)=1,1.3,3))</f>
        <v>186.73733175450468</v>
      </c>
      <c r="BG62" s="8" t="str">
        <f>IF(W62="No","No",IF(_xlfn.XLOOKUP(E62,Groups!A:A,Groups!U:U)=1,'Base stats'!BH62,IF(OR(_xlfn.XLOOKUP(E62,Groups!A:A,Groups!BD:BD)=1,_xlfn.XLOOKUP(E62,Groups!A:A,Groups!U:U)=2),BE62,BF62))*1.2)</f>
        <v>No</v>
      </c>
      <c r="BH62" s="8">
        <f>IFERROR(EXP(1.076*LN(AR62)-4.5397)*IF(_xlfn.XLOOKUP(E62,Groups!A:A,Groups!N:N)="Insect",1,IF(OR(_xlfn.XLOOKUP(E62,Groups!A:A,Groups!N:N)="Pig",_xlfn.XLOOKUP(E62,Groups!A:A,Groups!N:N)="StrongBitingHerbivore"),3.5,3.75)),"No")</f>
        <v>285.64062037451401</v>
      </c>
      <c r="BI62" s="8">
        <f t="shared" si="10"/>
        <v>14</v>
      </c>
      <c r="BJ62" s="8">
        <f t="shared" si="11"/>
        <v>11</v>
      </c>
      <c r="BK62" s="8" t="str">
        <f t="shared" si="27"/>
        <v>No</v>
      </c>
      <c r="BL62" s="8">
        <f t="shared" si="28"/>
        <v>11</v>
      </c>
      <c r="BM62" s="8">
        <f t="shared" si="12"/>
        <v>12</v>
      </c>
      <c r="BN62" s="8" cm="1">
        <f t="array" ref="BN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O62" s="8" t="str">
        <f>IF(W62="No","No",IF(_xlfn.XLOOKUP(E62,Groups!A:A,Groups!BD:BD)=1,(AM62*5%),EXP(0.7354*LN(C62)^0.4078)*2/IF(_xlfn.XLOOKUP(E62,Groups!A:A,Groups!BL:BL)=1,1000,100)))</f>
        <v>No</v>
      </c>
      <c r="BP62" s="8">
        <f>IF(BH62="No","No",IF(_xlfn.XLOOKUP(E62,Groups!A:A,Groups!BF:BF)=1,(0.0315*C62+2.1825)*2,(0.7354*C62^0.4078)*2)/IF(_xlfn.XLOOKUP(E62,Groups!A:A,Groups!BM:BM)=1,1000,100))</f>
        <v>0.10273420468589994</v>
      </c>
      <c r="BQ62" s="8">
        <f t="shared" si="29"/>
        <v>0.12171430407701948</v>
      </c>
      <c r="BR62" s="8">
        <f t="shared" si="13"/>
        <v>1817.6743794867182</v>
      </c>
      <c r="BS62" s="8" t="str">
        <f t="shared" si="30"/>
        <v>No</v>
      </c>
      <c r="BT62" s="8">
        <f t="shared" si="14"/>
        <v>2780.3847924635525</v>
      </c>
      <c r="BU62" s="4">
        <v>0</v>
      </c>
      <c r="BV62" s="4">
        <v>1</v>
      </c>
    </row>
    <row r="63" spans="1:74" x14ac:dyDescent="0.25">
      <c r="A63" s="26" t="s">
        <v>202</v>
      </c>
      <c r="B63" s="6" t="s">
        <v>223</v>
      </c>
      <c r="C63" s="7">
        <f>27.3/1000</f>
        <v>2.7300000000000001E-2</v>
      </c>
      <c r="D63" s="7" t="s">
        <v>1205</v>
      </c>
      <c r="E63" s="7" t="str">
        <f>Groups!A5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572</v>
      </c>
      <c r="L63" s="7">
        <f>10*1.60934</f>
        <v>16.093399999999999</v>
      </c>
      <c r="M63" s="7" t="s">
        <v>640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945</v>
      </c>
      <c r="Y63" s="4" t="s">
        <v>42</v>
      </c>
      <c r="Z63" s="4">
        <v>0</v>
      </c>
      <c r="AA63" s="4">
        <v>0</v>
      </c>
      <c r="AB63" s="4">
        <v>0</v>
      </c>
      <c r="AC63" s="4" t="s">
        <v>45</v>
      </c>
      <c r="AD63" s="4" t="s">
        <v>408</v>
      </c>
      <c r="AE63" s="28" t="s">
        <v>45</v>
      </c>
      <c r="AF63" s="4" t="str">
        <f>Animals!C6</f>
        <v>&lt;li&gt;Cassowary&lt;/li&gt;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4" t="s">
        <v>40</v>
      </c>
      <c r="AM63" s="8">
        <f t="shared" si="21"/>
        <v>106.86332904673682</v>
      </c>
      <c r="AN63" s="8">
        <f>IFERROR(C63*_xlfn.XLOOKUP(E63,Groups!A:A,Groups!K:K),0.106*C63^0.94)</f>
        <v>3.5916892389496915E-3</v>
      </c>
      <c r="AO63" s="8">
        <f>AN63*10000/(_xlfn.XLOOKUP(E63,Groups!A:A,Groups!J:J)*AM63)</f>
        <v>0.30834971842534981</v>
      </c>
      <c r="AP63" s="8">
        <f t="shared" si="22"/>
        <v>2.5969724213149155</v>
      </c>
      <c r="AQ63" s="8">
        <f>IF(_xlfn.XLOOKUP(E63,Groups!A:A,Groups!M:M)=1,EXP(0.7444*LN('Base stats'!C63)+6.5696),EXP(0.7927*LN('Base stats'!C63)+4.28))</f>
        <v>4.1603178565451566</v>
      </c>
      <c r="AR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"No")))))))))))))))</f>
        <v>3.8681873149249473</v>
      </c>
      <c r="AS63" s="8">
        <f>IF(_xlfn.XLOOKUP(E63,Groups!A:A,Groups!U:U)=3,AQ63,IF(_xlfn.XLOOKUP(E63,Groups!A:A,Groups!U:U)=2,AP63,AR63))</f>
        <v>3.8681873149249473</v>
      </c>
      <c r="AT63" s="46">
        <f>IFERROR(AVERAGE(_xlfn.XLOOKUP(B63,Animals!B:B,Animals!N:N),_xlfn.XLOOKUP(B63,Animals!B:B,Animals!O:O)),0)</f>
        <v>0</v>
      </c>
      <c r="AU63" s="8">
        <f>MROUND(40*Animals!AO63*_xlfn.XLOOKUP(Animals!BB63,Leathers!$A$2:$A$100,Leathers!$B$2:$B$100,0)+(140*_xlfn.XLOOKUP(B63,Animals!B:B,Animals!AO:AO)*2),5)</f>
        <v>15</v>
      </c>
      <c r="AV63" s="8">
        <f>IFERROR(ROUND(SQRT(V63-1)*IF(_xlfn.XLOOKUP(E63,Groups!A:A,Groups!BF:BF)=0,2,1)*IF(_xlfn.XLOOKUP('Base stats'!E63,Groups!A:A,Groups!O:O)=0,1,0.1),1),0)</f>
        <v>0</v>
      </c>
      <c r="AW63" s="8">
        <f t="shared" si="23"/>
        <v>0</v>
      </c>
      <c r="AX63" s="8">
        <f t="shared" si="24"/>
        <v>0</v>
      </c>
      <c r="AY63" s="8">
        <f t="shared" si="25"/>
        <v>0.2</v>
      </c>
      <c r="AZ63" s="8">
        <f>IF(_xlfn.XLOOKUP(E63,Groups!A:A,Groups!N:N)="Insect",BB63*2.5,IFERROR(AVERAGE(BB63,AR63/9.81/IF(OR(_xlfn.XLOOKUP(E63,Groups!A:A,Groups!N:N)="Pig",_xlfn.XLOOKUP(E63,Groups!A:A,Groups!N:N)="StrongBitingHerbivore"),20,25))*C63^-0.135,BB63))</f>
        <v>1.4932705414487229E-2</v>
      </c>
      <c r="BA63" s="8" t="str">
        <f>IF(W63="No","No",IF(_xlfn.XLOOKUP(E63,Groups!A:A,Groups!U:U)=1,'Base stats'!AZ63,IF(OR(_xlfn.XLOOKUP(E63,Groups!A:A,Groups!BD:BD)=1,_xlfn.XLOOKUP(E63,Groups!A:A,Groups!U:U)=2),BB63,IF(_xlfn.XLOOKUP(B63,Animals!B:B,Animals!AO:AO)&gt;4,AVERAGE(BB63,BD63),BD63))))</f>
        <v>No</v>
      </c>
      <c r="BB63" s="8">
        <f t="shared" si="26"/>
        <v>2.5950916655253192E-3</v>
      </c>
      <c r="BC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D63" s="8">
        <f>(0.048*C63^1.01)/IF(_xlfn.XLOOKUP(E63,Groups!A:A,Groups!M:M)=1,0.25,0.8)*C63^-0.25</f>
        <v>3.8871818847231341E-3</v>
      </c>
      <c r="BE63" s="8">
        <f>EXP(1.076*LN(AP63)-4.5397)*IF(_xlfn.XLOOKUP(E63,Groups!A:A,Groups!BC:BC)=1,1.25,IF(_xlfn.XLOOKUP(E63,Groups!A:A,Groups!BD:BD)=1,3.5,2.5))</f>
        <v>7.4531558807462206E-2</v>
      </c>
      <c r="BF63" s="8">
        <f>EXP(1.076*LN(AQ63)-4.5397)*IF(_xlfn.XLOOKUP(E63,Groups!A:A,Groups!M:M)=1,0.8,IF(_xlfn.XLOOKUP(E63,Groups!A:A,Groups!BC:BC)=1,1.3,3))</f>
        <v>0.14850282761580455</v>
      </c>
      <c r="BG63" s="8" t="str">
        <f>IF(W63="No","No",IF(_xlfn.XLOOKUP(E63,Groups!A:A,Groups!U:U)=1,'Base stats'!BH63,IF(OR(_xlfn.XLOOKUP(E63,Groups!A:A,Groups!BD:BD)=1,_xlfn.XLOOKUP(E63,Groups!A:A,Groups!U:U)=2),BE63,BF63))*1.2)</f>
        <v>No</v>
      </c>
      <c r="BH63" s="8">
        <f>IFERROR(EXP(1.076*LN(AR63)-4.5397)*IF(_xlfn.XLOOKUP(E63,Groups!A:A,Groups!N:N)="Insect",1,IF(OR(_xlfn.XLOOKUP(E63,Groups!A:A,Groups!N:N)="Pig",_xlfn.XLOOKUP(E63,Groups!A:A,Groups!N:N)="StrongBitingHerbivore"),3.5,3.75)),"No")</f>
        <v>0.17164164746383376</v>
      </c>
      <c r="BI63" s="8">
        <f t="shared" si="10"/>
        <v>7</v>
      </c>
      <c r="BJ63" s="8">
        <f t="shared" si="11"/>
        <v>6</v>
      </c>
      <c r="BK63" s="8" t="str">
        <f t="shared" si="27"/>
        <v>No</v>
      </c>
      <c r="BL63" s="8">
        <f t="shared" si="28"/>
        <v>4</v>
      </c>
      <c r="BM63" s="8">
        <f t="shared" si="12"/>
        <v>8</v>
      </c>
      <c r="BN63" s="8" cm="1">
        <f t="array" ref="BN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O63" s="8" t="str">
        <f>IF(W63="No","No",IF(_xlfn.XLOOKUP(E63,Groups!A:A,Groups!BD:BD)=1,(AM63*5%),EXP(0.7354*LN(C63)^0.4078)*2/IF(_xlfn.XLOOKUP(E63,Groups!A:A,Groups!BL:BL)=1,1000,100)))</f>
        <v>No</v>
      </c>
      <c r="BP63" s="8">
        <f>IF(BH63="No","No",IF(_xlfn.XLOOKUP(E63,Groups!A:A,Groups!BF:BF)=1,(0.0315*C63+2.1825)*2,(0.7354*C63^0.4078)*2)/IF(_xlfn.XLOOKUP(E63,Groups!A:A,Groups!BM:BM)=1,1000,100))</f>
        <v>4.3667199000000004E-2</v>
      </c>
      <c r="BQ63" s="8">
        <f t="shared" si="29"/>
        <v>1.394894946139395E-2</v>
      </c>
      <c r="BR63" s="8">
        <f t="shared" si="13"/>
        <v>43.8443841658056</v>
      </c>
      <c r="BS63" s="8" t="str">
        <f t="shared" si="30"/>
        <v>No</v>
      </c>
      <c r="BT63" s="8">
        <f t="shared" si="14"/>
        <v>3.9306768328290014</v>
      </c>
      <c r="BU63" s="4">
        <v>0</v>
      </c>
      <c r="BV63" s="4">
        <v>1</v>
      </c>
    </row>
    <row r="64" spans="1:74" x14ac:dyDescent="0.25">
      <c r="A64" s="26" t="s">
        <v>204</v>
      </c>
      <c r="B64" s="6" t="s">
        <v>562</v>
      </c>
      <c r="C64" s="7">
        <v>3.5000000000000003E-2</v>
      </c>
      <c r="D64" s="7" t="s">
        <v>563</v>
      </c>
      <c r="E64" s="7" t="str">
        <f>Groups!A5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563</v>
      </c>
      <c r="L64" s="7">
        <f>10*1.60934</f>
        <v>16.093399999999999</v>
      </c>
      <c r="M64" s="7" t="s">
        <v>640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945</v>
      </c>
      <c r="Y64" s="4" t="s">
        <v>42</v>
      </c>
      <c r="Z64" s="4">
        <v>0</v>
      </c>
      <c r="AA64" s="4">
        <v>0</v>
      </c>
      <c r="AB64" s="4">
        <v>0</v>
      </c>
      <c r="AC64" s="4" t="s">
        <v>45</v>
      </c>
      <c r="AD64" s="4" t="s">
        <v>45</v>
      </c>
      <c r="AE64" s="28" t="s">
        <v>45</v>
      </c>
      <c r="AF64" s="4" t="str">
        <f>Animals!C6</f>
        <v>&lt;li&gt;Cassowary&lt;/li&gt;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4" t="s">
        <v>40</v>
      </c>
      <c r="AM64" s="8">
        <f t="shared" si="21"/>
        <v>125.59351278962983</v>
      </c>
      <c r="AN64" s="8">
        <f>IFERROR(C64*_xlfn.XLOOKUP(E64,Groups!A:A,Groups!K:K),0.106*C64^0.94)</f>
        <v>4.5365930901227368E-3</v>
      </c>
      <c r="AO64" s="8">
        <f>AN64*10000/(_xlfn.XLOOKUP(E64,Groups!A:A,Groups!J:J)*AM64)</f>
        <v>0.3313874989911556</v>
      </c>
      <c r="AP64" s="8">
        <f t="shared" si="22"/>
        <v>3.2034284387320637</v>
      </c>
      <c r="AQ64" s="8">
        <f>IF(_xlfn.XLOOKUP(E64,Groups!A:A,Groups!M:M)=1,EXP(0.7444*LN('Base stats'!C64)+6.5696),EXP(0.7927*LN('Base stats'!C64)+4.28))</f>
        <v>5.0659759219369223</v>
      </c>
      <c r="AR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"No")))))))))))))))</f>
        <v>5.4434898529499449</v>
      </c>
      <c r="AS64" s="8">
        <f>IF(_xlfn.XLOOKUP(E64,Groups!A:A,Groups!U:U)=3,AQ64,IF(_xlfn.XLOOKUP(E64,Groups!A:A,Groups!U:U)=2,AP64,AR64))</f>
        <v>5.4434898529499449</v>
      </c>
      <c r="AT64" s="46">
        <f>IFERROR(AVERAGE(_xlfn.XLOOKUP(B64,Animals!B:B,Animals!N:N),_xlfn.XLOOKUP(B64,Animals!B:B,Animals!O:O)),0)</f>
        <v>0</v>
      </c>
      <c r="AU64" s="8">
        <f>MROUND(40*Animals!AO64*_xlfn.XLOOKUP(Animals!BB64,Leathers!$A$2:$A$100,Leathers!$B$2:$B$100,0)+(140*_xlfn.XLOOKUP(B64,Animals!B:B,Animals!AO:AO)*2),5)</f>
        <v>15</v>
      </c>
      <c r="AV64" s="8">
        <f>IFERROR(ROUND(SQRT(V64-1)*IF(_xlfn.XLOOKUP(E64,Groups!A:A,Groups!BF:BF)=0,2,1)*IF(_xlfn.XLOOKUP('Base stats'!E64,Groups!A:A,Groups!O:O)=0,1,0.1),1),0)</f>
        <v>0</v>
      </c>
      <c r="AW64" s="8">
        <f t="shared" si="23"/>
        <v>0</v>
      </c>
      <c r="AX64" s="8">
        <f t="shared" si="24"/>
        <v>0</v>
      </c>
      <c r="AY64" s="8">
        <f t="shared" si="25"/>
        <v>0.2</v>
      </c>
      <c r="AZ64" s="8">
        <f>IF(_xlfn.XLOOKUP(E64,Groups!A:A,Groups!N:N)="Insect",BB64*2.5,IFERROR(AVERAGE(BB64,AR64/9.81/IF(OR(_xlfn.XLOOKUP(E64,Groups!A:A,Groups!N:N)="Pig",_xlfn.XLOOKUP(E64,Groups!A:A,Groups!N:N)="StrongBitingHerbivore"),20,25))*C64^-0.135,BB64))</f>
        <v>1.9910311740927729E-2</v>
      </c>
      <c r="BA64" s="8" t="str">
        <f>IF(W64="No","No",IF(_xlfn.XLOOKUP(E64,Groups!A:A,Groups!U:U)=1,'Base stats'!AZ64,IF(OR(_xlfn.XLOOKUP(E64,Groups!A:A,Groups!BD:BD)=1,_xlfn.XLOOKUP(E64,Groups!A:A,Groups!U:U)=2),BB64,IF(_xlfn.XLOOKUP(B64,Animals!B:B,Animals!AO:AO)&gt;4,AVERAGE(BB64,BD64),BD64))))</f>
        <v>No</v>
      </c>
      <c r="BB64" s="8">
        <f t="shared" si="26"/>
        <v>3.1297768397533835E-3</v>
      </c>
      <c r="BC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D64" s="8">
        <f>(0.048*C64^1.01)/IF(_xlfn.XLOOKUP(E64,Groups!A:A,Groups!M:M)=1,0.25,0.8)*C64^-0.25</f>
        <v>4.6950796479110464E-3</v>
      </c>
      <c r="BE64" s="8">
        <f>EXP(1.076*LN(AP64)-4.5397)*IF(_xlfn.XLOOKUP(E64,Groups!A:A,Groups!BC:BC)=1,1.25,IF(_xlfn.XLOOKUP(E64,Groups!A:A,Groups!BD:BD)=1,3.5,2.5))</f>
        <v>9.3414677317642594E-2</v>
      </c>
      <c r="BF64" s="8">
        <f>EXP(1.076*LN(AQ64)-4.5397)*IF(_xlfn.XLOOKUP(E64,Groups!A:A,Groups!M:M)=1,0.8,IF(_xlfn.XLOOKUP(E64,Groups!A:A,Groups!BC:BC)=1,1.3,3))</f>
        <v>0.18355749139767674</v>
      </c>
      <c r="BG64" s="8" t="str">
        <f>IF(W64="No","No",IF(_xlfn.XLOOKUP(E64,Groups!A:A,Groups!U:U)=1,'Base stats'!BH64,IF(OR(_xlfn.XLOOKUP(E64,Groups!A:A,Groups!BD:BD)=1,_xlfn.XLOOKUP(E64,Groups!A:A,Groups!U:U)=2),BE64,BF64))*1.2)</f>
        <v>No</v>
      </c>
      <c r="BH64" s="8">
        <f>IFERROR(EXP(1.076*LN(AR64)-4.5397)*IF(_xlfn.XLOOKUP(E64,Groups!A:A,Groups!N:N)="Insect",1,IF(OR(_xlfn.XLOOKUP(E64,Groups!A:A,Groups!N:N)="Pig",_xlfn.XLOOKUP(E64,Groups!A:A,Groups!N:N)="StrongBitingHerbivore"),3.5,3.75)),"No")</f>
        <v>0.24789553796062558</v>
      </c>
      <c r="BI64" s="8">
        <f t="shared" si="10"/>
        <v>7</v>
      </c>
      <c r="BJ64" s="8">
        <f t="shared" si="11"/>
        <v>6</v>
      </c>
      <c r="BK64" s="8" t="str">
        <f t="shared" si="27"/>
        <v>No</v>
      </c>
      <c r="BL64" s="8">
        <f t="shared" si="28"/>
        <v>4</v>
      </c>
      <c r="BM64" s="8">
        <f t="shared" si="12"/>
        <v>8</v>
      </c>
      <c r="BN64" s="8" cm="1">
        <f t="array" ref="BN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O64" s="8" t="str">
        <f>IF(W64="No","No",IF(_xlfn.XLOOKUP(E64,Groups!A:A,Groups!BD:BD)=1,(AM64*5%),EXP(0.7354*LN(C64)^0.4078)*2/IF(_xlfn.XLOOKUP(E64,Groups!A:A,Groups!BL:BL)=1,1000,100)))</f>
        <v>No</v>
      </c>
      <c r="BP64" s="8">
        <f>IF(BH64="No","No",IF(_xlfn.XLOOKUP(E64,Groups!A:A,Groups!BF:BF)=1,(0.0315*C64+2.1825)*2,(0.7354*C64^0.4078)*2)/IF(_xlfn.XLOOKUP(E64,Groups!A:A,Groups!BM:BM)=1,1000,100))</f>
        <v>4.3672050000000004E-2</v>
      </c>
      <c r="BQ64" s="8">
        <f t="shared" si="29"/>
        <v>1.487571694472993E-2</v>
      </c>
      <c r="BR64" s="8">
        <f t="shared" si="13"/>
        <v>48.971966536822436</v>
      </c>
      <c r="BS64" s="8" t="str">
        <f t="shared" si="30"/>
        <v>No</v>
      </c>
      <c r="BT64" s="8">
        <f t="shared" si="14"/>
        <v>5.6762972647408478</v>
      </c>
      <c r="BU64" s="4">
        <v>0</v>
      </c>
      <c r="BV64" s="4">
        <v>1</v>
      </c>
    </row>
    <row r="65" spans="1:74" x14ac:dyDescent="0.25">
      <c r="A65" s="26" t="s">
        <v>203</v>
      </c>
      <c r="B65" s="6" t="s">
        <v>299</v>
      </c>
      <c r="C65" s="7">
        <v>0.47270000000000001</v>
      </c>
      <c r="D65" s="7" t="s">
        <v>1206</v>
      </c>
      <c r="E65" s="7" t="str">
        <f>Groups!A4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564</v>
      </c>
      <c r="L65" s="7">
        <f>10*1.60934</f>
        <v>16.093399999999999</v>
      </c>
      <c r="M65" s="7" t="s">
        <v>640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945</v>
      </c>
      <c r="Y65" s="4" t="s">
        <v>53</v>
      </c>
      <c r="Z65" s="4">
        <v>0</v>
      </c>
      <c r="AA65" s="4">
        <v>0</v>
      </c>
      <c r="AB65" s="4">
        <v>0</v>
      </c>
      <c r="AC65" s="4" t="s">
        <v>45</v>
      </c>
      <c r="AD65" s="4" t="s">
        <v>408</v>
      </c>
      <c r="AE65" s="28" t="s">
        <v>45</v>
      </c>
      <c r="AF65" s="4" t="str">
        <f>Animals!C6</f>
        <v>&lt;li&gt;Cassowary&lt;/li&gt;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4" t="s">
        <v>40</v>
      </c>
      <c r="AM65" s="8">
        <f t="shared" si="21"/>
        <v>682.0302232909728</v>
      </c>
      <c r="AN65" s="8">
        <f>IFERROR(C65*_xlfn.XLOOKUP(E65,Groups!A:A,Groups!K:K),0.106*C65^0.94)</f>
        <v>5.241026208136873E-2</v>
      </c>
      <c r="AO65" s="8">
        <f>AN65*10000/(_xlfn.XLOOKUP(E65,Groups!A:A,Groups!J:J)*AM65)</f>
        <v>0.70499528623453223</v>
      </c>
      <c r="AP65" s="8">
        <f t="shared" si="22"/>
        <v>28.877740401049877</v>
      </c>
      <c r="AQ65" s="8">
        <f>IF(_xlfn.XLOOKUP(E65,Groups!A:A,Groups!M:M)=1,EXP(0.7444*LN('Base stats'!C65)+6.5696),EXP(0.7927*LN('Base stats'!C65)+4.28))</f>
        <v>39.886358601212059</v>
      </c>
      <c r="AR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"No")))))))))))))))</f>
        <v>195.13674655864344</v>
      </c>
      <c r="AS65" s="8">
        <f>IF(_xlfn.XLOOKUP(E65,Groups!A:A,Groups!U:U)=3,AQ65,IF(_xlfn.XLOOKUP(E65,Groups!A:A,Groups!U:U)=2,AP65,AR65))</f>
        <v>195.13674655864344</v>
      </c>
      <c r="AT65" s="46">
        <f>IFERROR(AVERAGE(_xlfn.XLOOKUP(B65,Animals!B:B,Animals!N:N),_xlfn.XLOOKUP(B65,Animals!B:B,Animals!O:O)),0)</f>
        <v>0</v>
      </c>
      <c r="AU65" s="8">
        <f>MROUND(40*Animals!AO65*_xlfn.XLOOKUP(Animals!BB65,Leathers!$A$2:$A$100,Leathers!$B$2:$B$100,0)+(140*_xlfn.XLOOKUP(B65,Animals!B:B,Animals!AO:AO)*2),5)</f>
        <v>30</v>
      </c>
      <c r="AV65" s="8">
        <f>IFERROR(ROUND(SQRT(V65-1)*IF(_xlfn.XLOOKUP(E65,Groups!A:A,Groups!BF:BF)=0,2,1)*IF(_xlfn.XLOOKUP('Base stats'!E65,Groups!A:A,Groups!O:O)=0,1,0.1),1),0)</f>
        <v>0.2</v>
      </c>
      <c r="AW65" s="8">
        <f t="shared" si="23"/>
        <v>0</v>
      </c>
      <c r="AX65" s="8">
        <f t="shared" si="24"/>
        <v>0</v>
      </c>
      <c r="AY65" s="8">
        <f t="shared" si="25"/>
        <v>0.5</v>
      </c>
      <c r="AZ65" s="8">
        <f>IF(_xlfn.XLOOKUP(E65,Groups!A:A,Groups!N:N)="Insect",BB65*2.5,IFERROR(AVERAGE(BB65,AR65/9.81/IF(OR(_xlfn.XLOOKUP(E65,Groups!A:A,Groups!N:N)="Pig",_xlfn.XLOOKUP(E65,Groups!A:A,Groups!N:N)="StrongBitingHerbivore"),20,25))*C65^-0.135,BB65))</f>
        <v>0.45181572890864724</v>
      </c>
      <c r="BA65" s="8" t="str">
        <f>IF(W65="No","No",IF(_xlfn.XLOOKUP(E65,Groups!A:A,Groups!U:U)=1,'Base stats'!AZ65,IF(OR(_xlfn.XLOOKUP(E65,Groups!A:A,Groups!BD:BD)=1,_xlfn.XLOOKUP(E65,Groups!A:A,Groups!U:U)=2),BB65,IF(_xlfn.XLOOKUP(B65,Animals!B:B,Animals!AO:AO)&gt;4,AVERAGE(BB65,BD65),BD65))))</f>
        <v>No</v>
      </c>
      <c r="BB65" s="8">
        <f t="shared" si="26"/>
        <v>2.1031328287467725E-2</v>
      </c>
      <c r="BC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D65" s="8">
        <f>(0.048*C65^1.01)/IF(_xlfn.XLOOKUP(E65,Groups!A:A,Groups!M:M)=1,0.25,0.8)*C65^-0.25</f>
        <v>3.3949728703862175E-2</v>
      </c>
      <c r="BE65" s="8">
        <f>EXP(1.076*LN(AP65)-4.5397)*IF(_xlfn.XLOOKUP(E65,Groups!A:A,Groups!BC:BC)=1,1.25,IF(_xlfn.XLOOKUP(E65,Groups!A:A,Groups!BD:BD)=1,3.5,2.5))</f>
        <v>0.99526644196323455</v>
      </c>
      <c r="BF65" s="8">
        <f>EXP(1.076*LN(AQ65)-4.5397)*IF(_xlfn.XLOOKUP(E65,Groups!A:A,Groups!M:M)=1,0.8,IF(_xlfn.XLOOKUP(E65,Groups!A:A,Groups!BC:BC)=1,1.3,3))</f>
        <v>1.6906030117326418</v>
      </c>
      <c r="BG65" s="8" t="str">
        <f>IF(W65="No","No",IF(_xlfn.XLOOKUP(E65,Groups!A:A,Groups!U:U)=1,'Base stats'!BH65,IF(OR(_xlfn.XLOOKUP(E65,Groups!A:A,Groups!BD:BD)=1,_xlfn.XLOOKUP(E65,Groups!A:A,Groups!U:U)=2),BE65,BF65))*1.2)</f>
        <v>No</v>
      </c>
      <c r="BH65" s="8">
        <f>IFERROR(EXP(1.076*LN(AR65)-4.5397)*IF(_xlfn.XLOOKUP(E65,Groups!A:A,Groups!N:N)="Insect",1,IF(OR(_xlfn.XLOOKUP(E65,Groups!A:A,Groups!N:N)="Pig",_xlfn.XLOOKUP(E65,Groups!A:A,Groups!N:N)="StrongBitingHerbivore"),3.5,3.75)),"No")</f>
        <v>11.664588880990914</v>
      </c>
      <c r="BI65" s="8">
        <f t="shared" si="10"/>
        <v>9</v>
      </c>
      <c r="BJ65" s="8">
        <f t="shared" si="11"/>
        <v>7</v>
      </c>
      <c r="BK65" s="8" t="str">
        <f t="shared" si="27"/>
        <v>No</v>
      </c>
      <c r="BL65" s="8">
        <f t="shared" si="28"/>
        <v>7</v>
      </c>
      <c r="BM65" s="8">
        <f t="shared" si="12"/>
        <v>9</v>
      </c>
      <c r="BN65" s="8" cm="1">
        <f t="array" ref="BN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O65" s="8" t="str">
        <f>IF(W65="No","No",IF(_xlfn.XLOOKUP(E65,Groups!A:A,Groups!BD:BD)=1,(AM65*5%),EXP(0.7354*LN(C65)^0.4078)*2/IF(_xlfn.XLOOKUP(E65,Groups!A:A,Groups!BL:BL)=1,1000,100)))</f>
        <v>No</v>
      </c>
      <c r="BP65" s="8">
        <f>IF(BH65="No","No",IF(_xlfn.XLOOKUP(E65,Groups!A:A,Groups!BF:BF)=1,(0.0315*C65+2.1825)*2,(0.7354*C65^0.4078)*2)/IF(_xlfn.XLOOKUP(E65,Groups!A:A,Groups!BM:BM)=1,1000,100))</f>
        <v>4.3947801000000002E-2</v>
      </c>
      <c r="BQ65" s="8">
        <f t="shared" si="29"/>
        <v>2.9185405806822336E-2</v>
      </c>
      <c r="BR65" s="8">
        <f t="shared" si="13"/>
        <v>156.02421582443409</v>
      </c>
      <c r="BS65" s="8" t="str">
        <f t="shared" si="30"/>
        <v>No</v>
      </c>
      <c r="BT65" s="8">
        <f t="shared" si="14"/>
        <v>265.41917036965998</v>
      </c>
      <c r="BU65" s="4">
        <v>0</v>
      </c>
      <c r="BV65" s="4">
        <v>1</v>
      </c>
    </row>
    <row r="66" spans="1:74" x14ac:dyDescent="0.25">
      <c r="A66" s="26" t="s">
        <v>213</v>
      </c>
      <c r="B66" s="6" t="s">
        <v>231</v>
      </c>
      <c r="C66" s="7">
        <v>1</v>
      </c>
      <c r="D66" s="7" t="s">
        <v>1207</v>
      </c>
      <c r="E66" s="7" t="str">
        <f>Groups!A3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573</v>
      </c>
      <c r="L66" s="7">
        <f>10*1.60934</f>
        <v>16.093399999999999</v>
      </c>
      <c r="M66" s="7" t="s">
        <v>640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945</v>
      </c>
      <c r="Y66" s="4" t="s">
        <v>42</v>
      </c>
      <c r="Z66" s="4">
        <v>0</v>
      </c>
      <c r="AA66" s="4">
        <v>0</v>
      </c>
      <c r="AB66" s="4">
        <v>0</v>
      </c>
      <c r="AC66" s="4" t="s">
        <v>45</v>
      </c>
      <c r="AD66" s="4" t="s">
        <v>408</v>
      </c>
      <c r="AE66" s="28" t="s">
        <v>45</v>
      </c>
      <c r="AF66" s="4" t="str">
        <f>Animals!C6</f>
        <v>&lt;li&gt;Cassowary&lt;/li&gt;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4" t="s">
        <v>40</v>
      </c>
      <c r="AM66" s="8">
        <f t="shared" ref="AM66:AM97" si="34">(0.111*C66^0.65)*10000</f>
        <v>1110</v>
      </c>
      <c r="AN66" s="8">
        <f>IFERROR(C66*_xlfn.XLOOKUP(E66,Groups!A:A,Groups!K:K),0.106*C66^0.94)</f>
        <v>0.106</v>
      </c>
      <c r="AO66" s="8">
        <f>AN66*10000/(_xlfn.XLOOKUP(E66,Groups!A:A,Groups!J:J)*AM66)</f>
        <v>0.87610546326142646</v>
      </c>
      <c r="AP66" s="8">
        <f t="shared" ref="AP66:AP97" si="35">EXP(0.8447*LN(C66)+3.996)</f>
        <v>54.380193636413573</v>
      </c>
      <c r="AQ66" s="8">
        <f>IF(_xlfn.XLOOKUP(E66,Groups!A:A,Groups!M:M)=1,EXP(0.7444*LN('Base stats'!C66)+6.5696),EXP(0.7927*LN('Base stats'!C66)+4.28))</f>
        <v>72.240440007325375</v>
      </c>
      <c r="AR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"No")))))))))))))))</f>
        <v>546.74378718696266</v>
      </c>
      <c r="AS66" s="8">
        <f>IF(_xlfn.XLOOKUP(E66,Groups!A:A,Groups!U:U)=3,AQ66,IF(_xlfn.XLOOKUP(E66,Groups!A:A,Groups!U:U)=2,AP66,AR66))</f>
        <v>546.74378718696266</v>
      </c>
      <c r="AT66" s="46">
        <f>IFERROR(AVERAGE(_xlfn.XLOOKUP(B66,Animals!B:B,Animals!N:N),_xlfn.XLOOKUP(B66,Animals!B:B,Animals!O:O)),0)</f>
        <v>0</v>
      </c>
      <c r="AU66" s="8">
        <f>MROUND(40*Animals!AO66*_xlfn.XLOOKUP(Animals!BB66,Leathers!$A$2:$A$100,Leathers!$B$2:$B$100,0)+(140*_xlfn.XLOOKUP(B66,Animals!B:B,Animals!AO:AO)*2),5)</f>
        <v>40</v>
      </c>
      <c r="AV66" s="8">
        <f>IFERROR(ROUND(SQRT(V66-1)*IF(_xlfn.XLOOKUP(E66,Groups!A:A,Groups!BF:BF)=0,2,1)*IF(_xlfn.XLOOKUP('Base stats'!E66,Groups!A:A,Groups!O:O)=0,1,0.1),1),0)</f>
        <v>0.2</v>
      </c>
      <c r="AW66" s="8">
        <f t="shared" ref="AW66:AW97" si="36">IFERROR(ROUND(SQRT(U66-1),1),0)</f>
        <v>0</v>
      </c>
      <c r="AX66" s="8">
        <f t="shared" ref="AX66:AX97" si="37">IFERROR(ROUND(SQRT(W66),1),0)</f>
        <v>0</v>
      </c>
      <c r="AY66" s="8">
        <f t="shared" ref="AY66:AY97" si="38">ROUND(
  EXP(0.3582*LN(C66)-0.2221) *
  (0.75 + 0.25*(C66^4/(C66^4+10^4))),
1)</f>
        <v>0.6</v>
      </c>
      <c r="AZ66" s="8">
        <f>IF(_xlfn.XLOOKUP(E66,Groups!A:A,Groups!N:N)="Insect",BB66*2.5,IFERROR(AVERAGE(BB66,AR66/9.81/IF(OR(_xlfn.XLOOKUP(E66,Groups!A:A,Groups!N:N)="Pig",_xlfn.XLOOKUP(E66,Groups!A:A,Groups!N:N)="StrongBitingHerbivore"),20,25))*C66^-0.135,BB66))</f>
        <v>1.1342662327970696</v>
      </c>
      <c r="BA66" s="8" t="str">
        <f>IF(W66="No","No",IF(_xlfn.XLOOKUP(E66,Groups!A:A,Groups!U:U)=1,'Base stats'!AZ66,IF(OR(_xlfn.XLOOKUP(E66,Groups!A:A,Groups!BD:BD)=1,_xlfn.XLOOKUP(E66,Groups!A:A,Groups!U:U)=2),BB66,IF(_xlfn.XLOOKUP(B66,Animals!B:B,Animals!AO:AO)&gt;4,AVERAGE(BB66,BD66),BD66))))</f>
        <v>No</v>
      </c>
      <c r="BB66" s="8">
        <f t="shared" ref="BB66:BB97" si="39">(0.0392*C66^IF(OR(Y66="Herbivore",Y66="Dendrovore",Y66="OmnivoreRough"),0.889,0.966))*C66^-0.135</f>
        <v>3.9199999999999999E-2</v>
      </c>
      <c r="BC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D66" s="8">
        <f>(0.048*C66^1.01)/IF(_xlfn.XLOOKUP(E66,Groups!A:A,Groups!M:M)=1,0.25,0.8)*C66^-0.25</f>
        <v>0.06</v>
      </c>
      <c r="BE66" s="8">
        <f>EXP(1.076*LN(AP66)-4.5397)*IF(_xlfn.XLOOKUP(E66,Groups!A:A,Groups!BC:BC)=1,1.25,IF(_xlfn.XLOOKUP(E66,Groups!A:A,Groups!BD:BD)=1,3.5,2.5))</f>
        <v>1.9665617864035057</v>
      </c>
      <c r="BF66" s="8">
        <f>EXP(1.076*LN(AQ66)-4.5397)*IF(_xlfn.XLOOKUP(E66,Groups!A:A,Groups!M:M)=1,0.8,IF(_xlfn.XLOOKUP(E66,Groups!A:A,Groups!BC:BC)=1,1.3,3))</f>
        <v>3.2033344684475749</v>
      </c>
      <c r="BG66" s="8" t="str">
        <f>IF(W66="No","No",IF(_xlfn.XLOOKUP(E66,Groups!A:A,Groups!U:U)=1,'Base stats'!BH66,IF(OR(_xlfn.XLOOKUP(E66,Groups!A:A,Groups!BD:BD)=1,_xlfn.XLOOKUP(E66,Groups!A:A,Groups!U:U)=2),BE66,BF66))*1.2)</f>
        <v>No</v>
      </c>
      <c r="BH66" s="8">
        <f>IFERROR(EXP(1.076*LN(AR66)-4.5397)*IF(_xlfn.XLOOKUP(E66,Groups!A:A,Groups!N:N)="Insect",1,IF(OR(_xlfn.XLOOKUP(E66,Groups!A:A,Groups!N:N)="Pig",_xlfn.XLOOKUP(E66,Groups!A:A,Groups!N:N)="StrongBitingHerbivore"),3.5,3.75)),"No")</f>
        <v>35.344353164232253</v>
      </c>
      <c r="BI66" s="8">
        <f t="shared" si="10"/>
        <v>10</v>
      </c>
      <c r="BJ66" s="8">
        <f t="shared" si="11"/>
        <v>7</v>
      </c>
      <c r="BK66" s="8" t="str">
        <f t="shared" ref="BK66:BK97" si="40">IF(W66="No","No",ROUNDDOWN(SQRT((2*BG66)/BA66),0))</f>
        <v>No</v>
      </c>
      <c r="BL66" s="8">
        <f t="shared" ref="BL66:BL97" si="41">IF(V66="No","No",ROUNDDOWN(SQRT((2*BH66)/AZ66),0))</f>
        <v>7</v>
      </c>
      <c r="BM66" s="8">
        <f t="shared" si="12"/>
        <v>10</v>
      </c>
      <c r="BN66" s="8" cm="1">
        <f t="array" ref="BN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O66" s="8" t="str">
        <f>IF(W66="No","No",IF(_xlfn.XLOOKUP(E66,Groups!A:A,Groups!BD:BD)=1,(AM66*5%),EXP(0.7354*LN(C66)^0.4078)*2/IF(_xlfn.XLOOKUP(E66,Groups!A:A,Groups!BL:BL)=1,1000,100)))</f>
        <v>No</v>
      </c>
      <c r="BP66" s="8">
        <f>IF(BH66="No","No",IF(_xlfn.XLOOKUP(E66,Groups!A:A,Groups!BF:BF)=1,(0.0315*C66+2.1825)*2,(0.7354*C66^0.4078)*2)/IF(_xlfn.XLOOKUP(E66,Groups!A:A,Groups!BM:BM)=1,1000,100))</f>
        <v>4.428E-2</v>
      </c>
      <c r="BQ66" s="8">
        <f t="shared" ref="BQ66:BQ97" si="42">BE66/(AM66*5%)</f>
        <v>3.5433545700964068E-2</v>
      </c>
      <c r="BR66" s="8">
        <f t="shared" si="13"/>
        <v>217.79538131952506</v>
      </c>
      <c r="BS66" s="8" t="str">
        <f t="shared" ref="BS66:BS97" si="43">IF(W66="No","No",BG66/BO66)</f>
        <v>No</v>
      </c>
      <c r="BT66" s="8">
        <f t="shared" si="14"/>
        <v>798.20129097182144</v>
      </c>
      <c r="BU66" s="4">
        <v>0</v>
      </c>
      <c r="BV66" s="4">
        <v>1</v>
      </c>
    </row>
    <row r="67" spans="1:74" x14ac:dyDescent="0.25">
      <c r="A67" s="26" t="s">
        <v>205</v>
      </c>
      <c r="B67" s="6" t="s">
        <v>224</v>
      </c>
      <c r="C67" s="7">
        <v>0.1</v>
      </c>
      <c r="D67" s="7" t="s">
        <v>1300</v>
      </c>
      <c r="E67" s="7" t="str">
        <f>Groups!A9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565</v>
      </c>
      <c r="L67" s="7">
        <f>10*1.60934</f>
        <v>16.093399999999999</v>
      </c>
      <c r="M67" s="7" t="s">
        <v>640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945</v>
      </c>
      <c r="Y67" s="4" t="s">
        <v>42</v>
      </c>
      <c r="Z67" s="4">
        <v>0</v>
      </c>
      <c r="AA67" s="4">
        <v>0</v>
      </c>
      <c r="AB67" s="4">
        <v>0</v>
      </c>
      <c r="AC67" s="4" t="s">
        <v>45</v>
      </c>
      <c r="AD67" s="4" t="s">
        <v>408</v>
      </c>
      <c r="AE67" s="28" t="s">
        <v>45</v>
      </c>
      <c r="AF67" s="4" t="s">
        <v>45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4" t="s">
        <v>40</v>
      </c>
      <c r="AM67" s="8">
        <f t="shared" si="34"/>
        <v>248.49804638108569</v>
      </c>
      <c r="AN67" s="8">
        <f>IFERROR(C67*_xlfn.XLOOKUP(E67,Groups!A:A,Groups!K:K),0.106*C67^0.94)</f>
        <v>1.2170428387866963E-2</v>
      </c>
      <c r="AO67" s="8">
        <f>AN67*10000/(_xlfn.XLOOKUP(E67,Groups!A:A,Groups!J:J)*AM67)</f>
        <v>0.44932066041065122</v>
      </c>
      <c r="AP67" s="8">
        <f t="shared" si="35"/>
        <v>7.7757224389992476</v>
      </c>
      <c r="AQ67" s="8">
        <f>IF(_xlfn.XLOOKUP(E67,Groups!A:A,Groups!M:M)=1,EXP(0.7444*LN('Base stats'!C67)+6.5696),EXP(0.7927*LN('Base stats'!C67)+4.28))</f>
        <v>11.643415147050879</v>
      </c>
      <c r="AR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"No")))))))))))))))</f>
        <v>2.8568142751486909</v>
      </c>
      <c r="AS67" s="8">
        <f>IF(_xlfn.XLOOKUP(E67,Groups!A:A,Groups!U:U)=3,AQ67,IF(_xlfn.XLOOKUP(E67,Groups!A:A,Groups!U:U)=2,AP67,AR67))</f>
        <v>2.8568142751486909</v>
      </c>
      <c r="AT67" s="46">
        <f>IFERROR(AVERAGE(_xlfn.XLOOKUP(B67,Animals!B:B,Animals!N:N),_xlfn.XLOOKUP(B67,Animals!B:B,Animals!O:O)),0)</f>
        <v>0</v>
      </c>
      <c r="AU67" s="8">
        <f>MROUND(40*Animals!AO67*_xlfn.XLOOKUP(Animals!BB67,Leathers!$A$2:$A$100,Leathers!$B$2:$B$100,0)+(140*_xlfn.XLOOKUP(B67,Animals!B:B,Animals!AO:AO)*2),5)</f>
        <v>30</v>
      </c>
      <c r="AV67" s="8">
        <f>IFERROR(ROUND(SQRT(V67-1)*IF(_xlfn.XLOOKUP(E67,Groups!A:A,Groups!BF:BF)=0,2,1)*IF(_xlfn.XLOOKUP('Base stats'!E67,Groups!A:A,Groups!O:O)=0,1,0.1),1),0)</f>
        <v>0</v>
      </c>
      <c r="AW67" s="8">
        <f t="shared" si="36"/>
        <v>0</v>
      </c>
      <c r="AX67" s="8">
        <f t="shared" si="37"/>
        <v>0</v>
      </c>
      <c r="AY67" s="8">
        <f t="shared" si="38"/>
        <v>0.3</v>
      </c>
      <c r="AZ67" s="8">
        <f>IF(_xlfn.XLOOKUP(E67,Groups!A:A,Groups!N:N)="Insect",BB67*2.5,IFERROR(AVERAGE(BB67,AR67/9.81/IF(OR(_xlfn.XLOOKUP(E67,Groups!A:A,Groups!N:N)="Pig",_xlfn.XLOOKUP(E67,Groups!A:A,Groups!N:N)="StrongBitingHerbivore"),20,25))*C67^-0.135,BB67))</f>
        <v>1.2660279088491499E-2</v>
      </c>
      <c r="BA67" s="8" t="str">
        <f>IF(W67="No","No",IF(_xlfn.XLOOKUP(E67,Groups!A:A,Groups!U:U)=1,'Base stats'!AZ67,IF(OR(_xlfn.XLOOKUP(E67,Groups!A:A,Groups!BD:BD)=1,_xlfn.XLOOKUP(E67,Groups!A:A,Groups!U:U)=2),BB67,IF(_xlfn.XLOOKUP(B67,Animals!B:B,Animals!AO:AO)&gt;4,AVERAGE(BB67,BD67),BD67))))</f>
        <v>No</v>
      </c>
      <c r="BB67" s="8">
        <f t="shared" si="39"/>
        <v>6.9069461019335872E-3</v>
      </c>
      <c r="BC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D67" s="8">
        <f>(0.048*C67^1.01)/IF(_xlfn.XLOOKUP(E67,Groups!A:A,Groups!M:M)=1,0.25,0.8)*C67^-0.25</f>
        <v>1.0426804972496253E-2</v>
      </c>
      <c r="BE67" s="8">
        <f>EXP(1.076*LN(AP67)-4.5397)*IF(_xlfn.XLOOKUP(E67,Groups!A:A,Groups!BC:BC)=1,1.25,IF(_xlfn.XLOOKUP(E67,Groups!A:A,Groups!BD:BD)=1,3.5,2.5))</f>
        <v>0.2425550917554648</v>
      </c>
      <c r="BF67" s="8">
        <f>EXP(1.076*LN(AQ67)-4.5397)*IF(_xlfn.XLOOKUP(E67,Groups!A:A,Groups!M:M)=1,0.8,IF(_xlfn.XLOOKUP(E67,Groups!A:A,Groups!BC:BC)=1,1.3,3))</f>
        <v>0.44942485486133998</v>
      </c>
      <c r="BG67" s="8" t="str">
        <f>IF(W67="No","No",IF(_xlfn.XLOOKUP(E67,Groups!A:A,Groups!U:U)=1,'Base stats'!BH67,IF(OR(_xlfn.XLOOKUP(E67,Groups!A:A,Groups!BD:BD)=1,_xlfn.XLOOKUP(E67,Groups!A:A,Groups!U:U)=2),BE67,BF67))*1.2)</f>
        <v>No</v>
      </c>
      <c r="BH67" s="8">
        <f>IFERROR(EXP(1.076*LN(AR67)-4.5397)*IF(_xlfn.XLOOKUP(E67,Groups!A:A,Groups!N:N)="Insect",1,IF(OR(_xlfn.XLOOKUP(E67,Groups!A:A,Groups!N:N)="Pig",_xlfn.XLOOKUP(E67,Groups!A:A,Groups!N:N)="StrongBitingHerbivore"),3.5,3.75)),"No")</f>
        <v>0.12387784682636251</v>
      </c>
      <c r="BI67" s="8">
        <f t="shared" ref="BI67:BI130" si="44">ROUNDDOWN(SQRT((2*BE67)/BB67),0)</f>
        <v>8</v>
      </c>
      <c r="BJ67" s="8">
        <f t="shared" ref="BJ67:BJ130" si="45">ROUNDDOWN(SQRT((2*BF67)/BC67),0)</f>
        <v>6</v>
      </c>
      <c r="BK67" s="8" t="str">
        <f t="shared" si="40"/>
        <v>No</v>
      </c>
      <c r="BL67" s="8">
        <f t="shared" si="41"/>
        <v>4</v>
      </c>
      <c r="BM67" s="8">
        <f t="shared" ref="BM67:BM130" si="46">ROUNDDOWN(SQRT((2*BF67)/BD67),0)</f>
        <v>9</v>
      </c>
      <c r="BN67" s="8" cm="1">
        <f t="array" ref="BN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O67" s="8" t="str">
        <f>IF(W67="No","No",IF(_xlfn.XLOOKUP(E67,Groups!A:A,Groups!BD:BD)=1,(AM67*5%),EXP(0.7354*LN(C67)^0.4078)*2/IF(_xlfn.XLOOKUP(E67,Groups!A:A,Groups!BL:BL)=1,1000,100)))</f>
        <v>No</v>
      </c>
      <c r="BP67" s="8">
        <f>IF(BH67="No","No",IF(_xlfn.XLOOKUP(E67,Groups!A:A,Groups!BF:BF)=1,(0.0315*C67+2.1825)*2,(0.7354*C67^0.4078)*2)/IF(_xlfn.XLOOKUP(E67,Groups!A:A,Groups!BM:BM)=1,1000,100))</f>
        <v>5.7511357814731753E-3</v>
      </c>
      <c r="BQ67" s="8">
        <f t="shared" si="42"/>
        <v>1.9521690032403151E-2</v>
      </c>
      <c r="BR67" s="8">
        <f t="shared" ref="BR67:BR130" si="47">IF(BN67="No","No",BF67/BN67)</f>
        <v>78.145408478987108</v>
      </c>
      <c r="BS67" s="8" t="str">
        <f t="shared" si="43"/>
        <v>No</v>
      </c>
      <c r="BT67" s="8">
        <f t="shared" ref="BT67:BT130" si="48">IF(BH67="No","No",BH67/BP67)</f>
        <v>21.539718680512657</v>
      </c>
      <c r="BU67" s="4">
        <v>0</v>
      </c>
      <c r="BV67" s="4">
        <v>1</v>
      </c>
    </row>
    <row r="68" spans="1:74" x14ac:dyDescent="0.25">
      <c r="A68" s="26" t="s">
        <v>201</v>
      </c>
      <c r="B68" s="6" t="s">
        <v>222</v>
      </c>
      <c r="C68" s="7">
        <v>9.42</v>
      </c>
      <c r="D68" s="7" t="s">
        <v>1298</v>
      </c>
      <c r="E68" s="7" t="str">
        <f>Groups!A6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566</v>
      </c>
      <c r="L68" s="7">
        <f>8.2*1.60934</f>
        <v>13.196587999999998</v>
      </c>
      <c r="M68" s="7" t="s">
        <v>640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945</v>
      </c>
      <c r="Y68" s="4" t="s">
        <v>42</v>
      </c>
      <c r="Z68" s="4">
        <v>0</v>
      </c>
      <c r="AA68" s="4">
        <v>0</v>
      </c>
      <c r="AB68" s="4">
        <v>0</v>
      </c>
      <c r="AC68" s="4" t="s">
        <v>45</v>
      </c>
      <c r="AD68" s="4" t="s">
        <v>45</v>
      </c>
      <c r="AE68" s="28" t="s">
        <v>45</v>
      </c>
      <c r="AF68" s="4" t="str">
        <f>Animals!C6</f>
        <v>&lt;li&gt;Cassowary&lt;/li&gt;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4" t="s">
        <v>40</v>
      </c>
      <c r="AM68" s="8">
        <f t="shared" si="34"/>
        <v>4769.3156399882255</v>
      </c>
      <c r="AN68" s="8">
        <f>IFERROR(C68*_xlfn.XLOOKUP(E68,Groups!A:A,Groups!K:K),0.106*C68^0.94)</f>
        <v>0.87279794269602773</v>
      </c>
      <c r="AO68" s="8">
        <f>AN68*10000/(_xlfn.XLOOKUP(E68,Groups!A:A,Groups!J:J)*AM68)</f>
        <v>1.6789244368847609</v>
      </c>
      <c r="AP68" s="8">
        <f t="shared" si="35"/>
        <v>361.59427621109876</v>
      </c>
      <c r="AQ68" s="8">
        <f>IF(_xlfn.XLOOKUP(E68,Groups!A:A,Groups!M:M)=1,EXP(0.7444*LN('Base stats'!C68)+6.5696),EXP(0.7927*LN('Base stats'!C68)+4.28))</f>
        <v>427.47481515526169</v>
      </c>
      <c r="AR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"No")))))))))))))))</f>
        <v>66.362881050086855</v>
      </c>
      <c r="AS68" s="8">
        <f>IF(_xlfn.XLOOKUP(E68,Groups!A:A,Groups!U:U)=3,AQ68,IF(_xlfn.XLOOKUP(E68,Groups!A:A,Groups!U:U)=2,AP68,AR68))</f>
        <v>66.362881050086855</v>
      </c>
      <c r="AT68" s="46">
        <f>IFERROR(AVERAGE(_xlfn.XLOOKUP(B68,Animals!B:B,Animals!N:N),_xlfn.XLOOKUP(B68,Animals!B:B,Animals!O:O)),0)</f>
        <v>0</v>
      </c>
      <c r="AU68" s="8">
        <f>MROUND(40*Animals!AO68*_xlfn.XLOOKUP(Animals!BB68,Leathers!$A$2:$A$100,Leathers!$B$2:$B$100,0)+(140*_xlfn.XLOOKUP(B68,Animals!B:B,Animals!AO:AO)*2),5)</f>
        <v>110</v>
      </c>
      <c r="AV68" s="8">
        <f>IFERROR(ROUND(SQRT(V68-1)*IF(_xlfn.XLOOKUP(E68,Groups!A:A,Groups!BF:BF)=0,2,1)*IF(_xlfn.XLOOKUP('Base stats'!E68,Groups!A:A,Groups!O:O)=0,1,0.1),1),0)</f>
        <v>0.2</v>
      </c>
      <c r="AW68" s="8">
        <f t="shared" si="36"/>
        <v>0</v>
      </c>
      <c r="AX68" s="8">
        <f t="shared" si="37"/>
        <v>0</v>
      </c>
      <c r="AY68" s="8">
        <f t="shared" si="38"/>
        <v>1.5</v>
      </c>
      <c r="AZ68" s="8">
        <f>IF(_xlfn.XLOOKUP(E68,Groups!A:A,Groups!N:N)="Insect",BB68*2.5,IFERROR(AVERAGE(BB68,AR68/9.81/IF(OR(_xlfn.XLOOKUP(E68,Groups!A:A,Groups!N:N)="Pig",_xlfn.XLOOKUP(E68,Groups!A:A,Groups!N:N)="StrongBitingHerbivore"),20,25))*C68^-0.135,BB68))</f>
        <v>0.17851007939995989</v>
      </c>
      <c r="BA68" s="8" t="str">
        <f>IF(W68="No","No",IF(_xlfn.XLOOKUP(E68,Groups!A:A,Groups!U:U)=1,'Base stats'!AZ68,IF(OR(_xlfn.XLOOKUP(E68,Groups!A:A,Groups!BD:BD)=1,_xlfn.XLOOKUP(E68,Groups!A:A,Groups!U:U)=2),BB68,IF(_xlfn.XLOOKUP(B68,Animals!B:B,Animals!AO:AO)&gt;4,AVERAGE(BB68,BD68),BD68))))</f>
        <v>No</v>
      </c>
      <c r="BB68" s="8">
        <f t="shared" si="39"/>
        <v>0.21267696187850707</v>
      </c>
      <c r="BC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D68" s="8">
        <f>(0.048*C68^1.01)/IF(_xlfn.XLOOKUP(E68,Groups!A:A,Groups!M:M)=1,0.25,0.8)*C68^-0.25</f>
        <v>0.32993617595203761</v>
      </c>
      <c r="BE68" s="8">
        <f>EXP(1.076*LN(AP68)-4.5397)*IF(_xlfn.XLOOKUP(E68,Groups!A:A,Groups!BC:BC)=1,1.25,IF(_xlfn.XLOOKUP(E68,Groups!A:A,Groups!BD:BD)=1,3.5,2.5))</f>
        <v>15.101487727291271</v>
      </c>
      <c r="BF68" s="8">
        <f>EXP(1.076*LN(AQ68)-4.5397)*IF(_xlfn.XLOOKUP(E68,Groups!A:A,Groups!M:M)=1,0.8,IF(_xlfn.XLOOKUP(E68,Groups!A:A,Groups!BC:BC)=1,1.3,3))</f>
        <v>21.697731412335632</v>
      </c>
      <c r="BG68" s="8" t="str">
        <f>IF(W68="No","No",IF(_xlfn.XLOOKUP(E68,Groups!A:A,Groups!U:U)=1,'Base stats'!BH68,IF(OR(_xlfn.XLOOKUP(E68,Groups!A:A,Groups!BD:BD)=1,_xlfn.XLOOKUP(E68,Groups!A:A,Groups!U:U)=2),BE68,BF68))*1.2)</f>
        <v>No</v>
      </c>
      <c r="BH68" s="8">
        <f>IFERROR(EXP(1.076*LN(AR68)-4.5397)*IF(_xlfn.XLOOKUP(E68,Groups!A:A,Groups!N:N)="Insect",1,IF(OR(_xlfn.XLOOKUP(E68,Groups!A:A,Groups!N:N)="Pig",_xlfn.XLOOKUP(E68,Groups!A:A,Groups!N:N)="StrongBitingHerbivore"),3.5,3.75)),"No")</f>
        <v>3.654737235014808</v>
      </c>
      <c r="BI68" s="8">
        <f t="shared" si="44"/>
        <v>11</v>
      </c>
      <c r="BJ68" s="8">
        <f t="shared" si="45"/>
        <v>8</v>
      </c>
      <c r="BK68" s="8" t="str">
        <f t="shared" si="40"/>
        <v>No</v>
      </c>
      <c r="BL68" s="8">
        <f t="shared" si="41"/>
        <v>6</v>
      </c>
      <c r="BM68" s="8">
        <f t="shared" si="46"/>
        <v>11</v>
      </c>
      <c r="BN68" s="8" t="str" cm="1">
        <f t="array" ref="BN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O68" s="8" t="str">
        <f>IF(W68="No","No",IF(_xlfn.XLOOKUP(E68,Groups!A:A,Groups!BD:BD)=1,(AM68*5%),EXP(0.7354*LN(C68)^0.4078)*2/IF(_xlfn.XLOOKUP(E68,Groups!A:A,Groups!BL:BL)=1,1000,100)))</f>
        <v>No</v>
      </c>
      <c r="BP68" s="8">
        <f>IF(BH68="No","No",IF(_xlfn.XLOOKUP(E68,Groups!A:A,Groups!BF:BF)=1,(0.0315*C68+2.1825)*2,(0.7354*C68^0.4078)*2)/IF(_xlfn.XLOOKUP(E68,Groups!A:A,Groups!BM:BM)=1,1000,100))</f>
        <v>3.6708917623684029E-2</v>
      </c>
      <c r="BQ68" s="8">
        <f t="shared" si="42"/>
        <v>6.3327692554768944E-2</v>
      </c>
      <c r="BR68" s="8" t="str">
        <f t="shared" si="47"/>
        <v>No</v>
      </c>
      <c r="BS68" s="8" t="str">
        <f t="shared" si="43"/>
        <v>No</v>
      </c>
      <c r="BT68" s="8">
        <f t="shared" si="48"/>
        <v>99.559929074477196</v>
      </c>
      <c r="BU68" s="4">
        <v>0</v>
      </c>
      <c r="BV68" s="4">
        <v>1</v>
      </c>
    </row>
    <row r="69" spans="1:74" x14ac:dyDescent="0.25">
      <c r="A69" s="26" t="s">
        <v>209</v>
      </c>
      <c r="B69" s="6" t="s">
        <v>228</v>
      </c>
      <c r="C69" s="7">
        <v>1.5</v>
      </c>
      <c r="D69" s="7" t="s">
        <v>1299</v>
      </c>
      <c r="E69" s="7" t="str">
        <f>Groups!A6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567</v>
      </c>
      <c r="L69" s="7">
        <f>8.2*1.60934</f>
        <v>13.196587999999998</v>
      </c>
      <c r="M69" s="7" t="s">
        <v>640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945</v>
      </c>
      <c r="Y69" s="4" t="s">
        <v>56</v>
      </c>
      <c r="Z69" s="4">
        <v>0</v>
      </c>
      <c r="AA69" s="4">
        <v>0</v>
      </c>
      <c r="AB69" s="4">
        <v>0</v>
      </c>
      <c r="AC69" s="4" t="s">
        <v>45</v>
      </c>
      <c r="AD69" s="4" t="s">
        <v>45</v>
      </c>
      <c r="AE69" s="28" t="s">
        <v>45</v>
      </c>
      <c r="AF69" s="4" t="str">
        <f>Animals!C6</f>
        <v>&lt;li&gt;Cassowary&lt;/li&gt;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4" t="s">
        <v>40</v>
      </c>
      <c r="AM69" s="8">
        <f t="shared" si="34"/>
        <v>1444.7153833072407</v>
      </c>
      <c r="AN69" s="8">
        <f>IFERROR(C69*_xlfn.XLOOKUP(E69,Groups!A:A,Groups!K:K),0.106*C69^0.94)</f>
        <v>0.15517853545964969</v>
      </c>
      <c r="AO69" s="8">
        <f>AN69*10000/(_xlfn.XLOOKUP(E69,Groups!A:A,Groups!J:J)*AM69)</f>
        <v>0.98542336094020611</v>
      </c>
      <c r="AP69" s="8">
        <f t="shared" si="35"/>
        <v>76.592286773914608</v>
      </c>
      <c r="AQ69" s="8">
        <f>IF(_xlfn.XLOOKUP(E69,Groups!A:A,Groups!M:M)=1,EXP(0.7444*LN('Base stats'!C69)+6.5696),EXP(0.7927*LN('Base stats'!C69)+4.28))</f>
        <v>99.624905763458273</v>
      </c>
      <c r="AR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"No")))))))))))))))</f>
        <v>18.609605150158721</v>
      </c>
      <c r="AS69" s="8">
        <f>IF(_xlfn.XLOOKUP(E69,Groups!A:A,Groups!U:U)=3,AQ69,IF(_xlfn.XLOOKUP(E69,Groups!A:A,Groups!U:U)=2,AP69,AR69))</f>
        <v>18.609605150158721</v>
      </c>
      <c r="AT69" s="46">
        <f>IFERROR(AVERAGE(_xlfn.XLOOKUP(B69,Animals!B:B,Animals!N:N),_xlfn.XLOOKUP(B69,Animals!B:B,Animals!O:O)),0)</f>
        <v>0</v>
      </c>
      <c r="AU69" s="8">
        <f>MROUND(40*Animals!AO69*_xlfn.XLOOKUP(Animals!BB69,Leathers!$A$2:$A$100,Leathers!$B$2:$B$100,0)+(140*_xlfn.XLOOKUP(B69,Animals!B:B,Animals!AO:AO)*2),5)</f>
        <v>55</v>
      </c>
      <c r="AV69" s="8">
        <f>IFERROR(ROUND(SQRT(V69-1)*IF(_xlfn.XLOOKUP(E69,Groups!A:A,Groups!BF:BF)=0,2,1)*IF(_xlfn.XLOOKUP('Base stats'!E69,Groups!A:A,Groups!O:O)=0,1,0.1),1),0)</f>
        <v>0.3</v>
      </c>
      <c r="AW69" s="8">
        <f t="shared" si="36"/>
        <v>0</v>
      </c>
      <c r="AX69" s="8">
        <f t="shared" si="37"/>
        <v>0</v>
      </c>
      <c r="AY69" s="8">
        <f t="shared" si="38"/>
        <v>0.7</v>
      </c>
      <c r="AZ69" s="8">
        <f>IF(_xlfn.XLOOKUP(E69,Groups!A:A,Groups!N:N)="Insect",BB69*2.5,IFERROR(AVERAGE(BB69,AR69/9.81/IF(OR(_xlfn.XLOOKUP(E69,Groups!A:A,Groups!N:N)="Pig",_xlfn.XLOOKUP(E69,Groups!A:A,Groups!N:N)="StrongBitingHerbivore"),20,25))*C69^-0.135,BB69))</f>
        <v>6.1909688520735806E-2</v>
      </c>
      <c r="BA69" s="8" t="str">
        <f>IF(W69="No","No",IF(_xlfn.XLOOKUP(E69,Groups!A:A,Groups!U:U)=1,'Base stats'!AZ69,IF(OR(_xlfn.XLOOKUP(E69,Groups!A:A,Groups!BD:BD)=1,_xlfn.XLOOKUP(E69,Groups!A:A,Groups!U:U)=2),BB69,IF(_xlfn.XLOOKUP(B69,Animals!B:B,Animals!AO:AO)&gt;4,AVERAGE(BB69,BD69),BD69))))</f>
        <v>No</v>
      </c>
      <c r="BB69" s="8">
        <f t="shared" si="39"/>
        <v>5.4905759483311625E-2</v>
      </c>
      <c r="BC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D69" s="8">
        <f>(0.048*C69^1.01)/IF(_xlfn.XLOOKUP(E69,Groups!A:A,Groups!M:M)=1,0.25,0.8)*C69^-0.25</f>
        <v>8.165459089768376E-2</v>
      </c>
      <c r="BE69" s="8">
        <f>EXP(1.076*LN(AP69)-4.5397)*IF(_xlfn.XLOOKUP(E69,Groups!A:A,Groups!BC:BC)=1,1.25,IF(_xlfn.XLOOKUP(E69,Groups!A:A,Groups!BD:BD)=1,3.5,2.5))</f>
        <v>2.8428663840234449</v>
      </c>
      <c r="BF69" s="8">
        <f>EXP(1.076*LN(AQ69)-4.5397)*IF(_xlfn.XLOOKUP(E69,Groups!A:A,Groups!M:M)=1,0.8,IF(_xlfn.XLOOKUP(E69,Groups!A:A,Groups!BC:BC)=1,1.3,3))</f>
        <v>4.5268747755982712</v>
      </c>
      <c r="BG69" s="8" t="str">
        <f>IF(W69="No","No",IF(_xlfn.XLOOKUP(E69,Groups!A:A,Groups!U:U)=1,'Base stats'!BH69,IF(OR(_xlfn.XLOOKUP(E69,Groups!A:A,Groups!BD:BD)=1,_xlfn.XLOOKUP(E69,Groups!A:A,Groups!U:U)=2),BE69,BF69))*1.2)</f>
        <v>No</v>
      </c>
      <c r="BH69" s="8">
        <f>IFERROR(EXP(1.076*LN(AR69)-4.5397)*IF(_xlfn.XLOOKUP(E69,Groups!A:A,Groups!N:N)="Insect",1,IF(OR(_xlfn.XLOOKUP(E69,Groups!A:A,Groups!N:N)="Pig",_xlfn.XLOOKUP(E69,Groups!A:A,Groups!N:N)="StrongBitingHerbivore"),3.5,3.75)),"No")</f>
        <v>0.93046874790207179</v>
      </c>
      <c r="BI69" s="8">
        <f t="shared" si="44"/>
        <v>10</v>
      </c>
      <c r="BJ69" s="8">
        <f t="shared" si="45"/>
        <v>7</v>
      </c>
      <c r="BK69" s="8" t="str">
        <f t="shared" si="40"/>
        <v>No</v>
      </c>
      <c r="BL69" s="8">
        <f t="shared" si="41"/>
        <v>5</v>
      </c>
      <c r="BM69" s="8">
        <f t="shared" si="46"/>
        <v>10</v>
      </c>
      <c r="BN69" s="8" t="str" cm="1">
        <f t="array" ref="BN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O69" s="8" t="str">
        <f>IF(W69="No","No",IF(_xlfn.XLOOKUP(E69,Groups!A:A,Groups!BD:BD)=1,(AM69*5%),EXP(0.7354*LN(C69)^0.4078)*2/IF(_xlfn.XLOOKUP(E69,Groups!A:A,Groups!BL:BL)=1,1000,100)))</f>
        <v>No</v>
      </c>
      <c r="BP69" s="8">
        <f>IF(BH69="No","No",IF(_xlfn.XLOOKUP(E69,Groups!A:A,Groups!BF:BF)=1,(0.0315*C69+2.1825)*2,(0.7354*C69^0.4078)*2)/IF(_xlfn.XLOOKUP(E69,Groups!A:A,Groups!BM:BM)=1,1000,100))</f>
        <v>1.7352563272430833E-2</v>
      </c>
      <c r="BQ69" s="8">
        <f t="shared" si="42"/>
        <v>3.9355383307618119E-2</v>
      </c>
      <c r="BR69" s="8" t="str">
        <f t="shared" si="47"/>
        <v>No</v>
      </c>
      <c r="BS69" s="8" t="str">
        <f t="shared" si="43"/>
        <v>No</v>
      </c>
      <c r="BT69" s="8">
        <f t="shared" si="48"/>
        <v>53.621400671125585</v>
      </c>
      <c r="BU69" s="4">
        <v>0</v>
      </c>
      <c r="BV69" s="4">
        <v>1</v>
      </c>
    </row>
    <row r="70" spans="1:74" x14ac:dyDescent="0.25">
      <c r="A70" s="26" t="s">
        <v>216</v>
      </c>
      <c r="B70" s="6" t="s">
        <v>246</v>
      </c>
      <c r="C70" s="7">
        <f>(2+4.5)/2</f>
        <v>3.25</v>
      </c>
      <c r="D70" s="7" t="s">
        <v>1301</v>
      </c>
      <c r="E70" s="7" t="str">
        <f>Groups!A6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568</v>
      </c>
      <c r="L70" s="7">
        <f>8.2*1.60934</f>
        <v>13.196587999999998</v>
      </c>
      <c r="M70" s="7" t="s">
        <v>640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945</v>
      </c>
      <c r="Y70" s="4" t="s">
        <v>53</v>
      </c>
      <c r="Z70" s="4">
        <v>0</v>
      </c>
      <c r="AA70" s="4">
        <v>0</v>
      </c>
      <c r="AB70" s="4">
        <v>0</v>
      </c>
      <c r="AC70" s="4" t="s">
        <v>45</v>
      </c>
      <c r="AD70" s="4" t="s">
        <v>410</v>
      </c>
      <c r="AE70" s="28" t="s">
        <v>45</v>
      </c>
      <c r="AF70" s="4" t="str">
        <f>Animals!C6</f>
        <v>&lt;li&gt;Cassowary&lt;/li&gt;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4" t="s">
        <v>40</v>
      </c>
      <c r="AM70" s="8">
        <f t="shared" si="34"/>
        <v>2388.0706080331493</v>
      </c>
      <c r="AN70" s="8">
        <f>IFERROR(C70*_xlfn.XLOOKUP(E70,Groups!A:A,Groups!K:K),0.106*C70^0.94)</f>
        <v>0.32097870798755029</v>
      </c>
      <c r="AO70" s="8">
        <f>AN70*10000/(_xlfn.XLOOKUP(E70,Groups!A:A,Groups!J:J)*AM70)</f>
        <v>1.23311211107864</v>
      </c>
      <c r="AP70" s="8">
        <f t="shared" si="35"/>
        <v>147.17316334038017</v>
      </c>
      <c r="AQ70" s="8">
        <f>IF(_xlfn.XLOOKUP(E70,Groups!A:A,Groups!M:M)=1,EXP(0.7444*LN('Base stats'!C70)+6.5696),EXP(0.7927*LN('Base stats'!C70)+4.28))</f>
        <v>183.88670156656516</v>
      </c>
      <c r="AR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"No")))))))))))))))</f>
        <v>31.776443854869786</v>
      </c>
      <c r="AS70" s="8">
        <f>IF(_xlfn.XLOOKUP(E70,Groups!A:A,Groups!U:U)=3,AQ70,IF(_xlfn.XLOOKUP(E70,Groups!A:A,Groups!U:U)=2,AP70,AR70))</f>
        <v>31.776443854869786</v>
      </c>
      <c r="AT70" s="46">
        <f>IFERROR(AVERAGE(_xlfn.XLOOKUP(B70,Animals!B:B,Animals!N:N),_xlfn.XLOOKUP(B70,Animals!B:B,Animals!O:O)),0)</f>
        <v>0</v>
      </c>
      <c r="AU70" s="8">
        <f>MROUND(40*Animals!AO70*_xlfn.XLOOKUP(Animals!BB70,Leathers!$A$2:$A$100,Leathers!$B$2:$B$100,0)+(140*_xlfn.XLOOKUP(B70,Animals!B:B,Animals!AO:AO)*2),5)</f>
        <v>70</v>
      </c>
      <c r="AV70" s="8">
        <f>IFERROR(ROUND(SQRT(V70-1)*IF(_xlfn.XLOOKUP(E70,Groups!A:A,Groups!BF:BF)=0,2,1)*IF(_xlfn.XLOOKUP('Base stats'!E70,Groups!A:A,Groups!O:O)=0,1,0.1),1),0)</f>
        <v>0.3</v>
      </c>
      <c r="AW70" s="8">
        <f t="shared" si="36"/>
        <v>0</v>
      </c>
      <c r="AX70" s="8">
        <f t="shared" si="37"/>
        <v>0</v>
      </c>
      <c r="AY70" s="8">
        <f t="shared" si="38"/>
        <v>0.9</v>
      </c>
      <c r="AZ70" s="8">
        <f>IF(_xlfn.XLOOKUP(E70,Groups!A:A,Groups!N:N)="Insect",BB70*2.5,IFERROR(AVERAGE(BB70,AR70/9.81/IF(OR(_xlfn.XLOOKUP(E70,Groups!A:A,Groups!N:N)="Pig",_xlfn.XLOOKUP(E70,Groups!A:A,Groups!N:N)="StrongBitingHerbivore"),20,25))*C70^-0.135,BB70))</f>
        <v>9.9770886873501538E-2</v>
      </c>
      <c r="BA70" s="8" t="str">
        <f>IF(W70="No","No",IF(_xlfn.XLOOKUP(E70,Groups!A:A,Groups!U:U)=1,'Base stats'!AZ70,IF(OR(_xlfn.XLOOKUP(E70,Groups!A:A,Groups!BD:BD)=1,_xlfn.XLOOKUP(E70,Groups!A:A,Groups!U:U)=2),BB70,IF(_xlfn.XLOOKUP(B70,Animals!B:B,Animals!AO:AO)&gt;4,AVERAGE(BB70,BD70),BD70))))</f>
        <v>No</v>
      </c>
      <c r="BB70" s="8">
        <f t="shared" si="39"/>
        <v>0.10439053900204885</v>
      </c>
      <c r="BC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D70" s="8">
        <f>(0.048*C70^1.01)/IF(_xlfn.XLOOKUP(E70,Groups!A:A,Groups!M:M)=1,0.25,0.8)*C70^-0.25</f>
        <v>0.14695440365444534</v>
      </c>
      <c r="BE70" s="8">
        <f>EXP(1.076*LN(AP70)-4.5397)*IF(_xlfn.XLOOKUP(E70,Groups!A:A,Groups!BC:BC)=1,1.25,IF(_xlfn.XLOOKUP(E70,Groups!A:A,Groups!BD:BD)=1,3.5,2.5))</f>
        <v>5.7405955414483669</v>
      </c>
      <c r="BF70" s="8">
        <f>EXP(1.076*LN(AQ70)-4.5397)*IF(_xlfn.XLOOKUP(E70,Groups!A:A,Groups!M:M)=1,0.8,IF(_xlfn.XLOOKUP(E70,Groups!A:A,Groups!BC:BC)=1,1.3,3))</f>
        <v>8.7540846645893815</v>
      </c>
      <c r="BG70" s="8" t="str">
        <f>IF(W70="No","No",IF(_xlfn.XLOOKUP(E70,Groups!A:A,Groups!U:U)=1,'Base stats'!BH70,IF(OR(_xlfn.XLOOKUP(E70,Groups!A:A,Groups!BD:BD)=1,_xlfn.XLOOKUP(E70,Groups!A:A,Groups!U:U)=2),BE70,BF70))*1.2)</f>
        <v>No</v>
      </c>
      <c r="BH70" s="8">
        <f>IFERROR(EXP(1.076*LN(AR70)-4.5397)*IF(_xlfn.XLOOKUP(E70,Groups!A:A,Groups!N:N)="Insect",1,IF(OR(_xlfn.XLOOKUP(E70,Groups!A:A,Groups!N:N)="Pig",_xlfn.XLOOKUP(E70,Groups!A:A,Groups!N:N)="StrongBitingHerbivore"),3.5,3.75)),"No")</f>
        <v>1.6547405272942206</v>
      </c>
      <c r="BI70" s="8">
        <f t="shared" si="44"/>
        <v>10</v>
      </c>
      <c r="BJ70" s="8">
        <f t="shared" si="45"/>
        <v>7</v>
      </c>
      <c r="BK70" s="8" t="str">
        <f t="shared" si="40"/>
        <v>No</v>
      </c>
      <c r="BL70" s="8">
        <f t="shared" si="41"/>
        <v>5</v>
      </c>
      <c r="BM70" s="8">
        <f t="shared" si="46"/>
        <v>10</v>
      </c>
      <c r="BN70" s="8" t="str" cm="1">
        <f t="array" ref="BN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O70" s="8" t="str">
        <f>IF(W70="No","No",IF(_xlfn.XLOOKUP(E70,Groups!A:A,Groups!BD:BD)=1,(AM70*5%),EXP(0.7354*LN(C70)^0.4078)*2/IF(_xlfn.XLOOKUP(E70,Groups!A:A,Groups!BL:BL)=1,1000,100)))</f>
        <v>No</v>
      </c>
      <c r="BP70" s="8">
        <f>IF(BH70="No","No",IF(_xlfn.XLOOKUP(E70,Groups!A:A,Groups!BF:BF)=1,(0.0315*C70+2.1825)*2,(0.7354*C70^0.4078)*2)/IF(_xlfn.XLOOKUP(E70,Groups!A:A,Groups!BM:BM)=1,1000,100))</f>
        <v>2.3784808318953549E-2</v>
      </c>
      <c r="BQ70" s="8">
        <f t="shared" si="42"/>
        <v>4.8077268085271629E-2</v>
      </c>
      <c r="BR70" s="8" t="str">
        <f t="shared" si="47"/>
        <v>No</v>
      </c>
      <c r="BS70" s="8" t="str">
        <f t="shared" si="43"/>
        <v>No</v>
      </c>
      <c r="BT70" s="8">
        <f t="shared" si="48"/>
        <v>69.571320697825314</v>
      </c>
      <c r="BU70" s="4">
        <v>0</v>
      </c>
      <c r="BV70" s="4">
        <v>1</v>
      </c>
    </row>
    <row r="71" spans="1:74" x14ac:dyDescent="0.25">
      <c r="A71" s="26" t="s">
        <v>187</v>
      </c>
      <c r="B71" s="6" t="s">
        <v>188</v>
      </c>
      <c r="C71" s="7">
        <v>29.5</v>
      </c>
      <c r="D71" s="7" t="s">
        <v>569</v>
      </c>
      <c r="E71" s="7" t="str">
        <f>Groups!A6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569</v>
      </c>
      <c r="L71" s="7">
        <f>8.2*1.60934</f>
        <v>13.196587999999998</v>
      </c>
      <c r="M71" s="7" t="s">
        <v>640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945</v>
      </c>
      <c r="Y71" s="4" t="s">
        <v>56</v>
      </c>
      <c r="Z71" s="4">
        <v>0</v>
      </c>
      <c r="AA71" s="4">
        <v>0</v>
      </c>
      <c r="AB71" s="4">
        <v>0</v>
      </c>
      <c r="AC71" s="4" t="s">
        <v>45</v>
      </c>
      <c r="AD71" s="4" t="s">
        <v>410</v>
      </c>
      <c r="AE71" s="28" t="s">
        <v>45</v>
      </c>
      <c r="AF71" s="4" t="str">
        <f>Animals!C6</f>
        <v>&lt;li&gt;Cassowary&lt;/li&gt;</v>
      </c>
      <c r="AG71" s="4">
        <v>0</v>
      </c>
      <c r="AH71" s="4">
        <v>1</v>
      </c>
      <c r="AI71" s="4">
        <v>0</v>
      </c>
      <c r="AJ71" s="4">
        <v>0</v>
      </c>
      <c r="AK71" s="4">
        <v>0</v>
      </c>
      <c r="AL71" s="44">
        <v>11</v>
      </c>
      <c r="AM71" s="8">
        <f t="shared" si="34"/>
        <v>10016.299203835699</v>
      </c>
      <c r="AN71" s="8">
        <f>IFERROR(C71*_xlfn.XLOOKUP(E71,Groups!A:A,Groups!K:K),0.106*C71^0.94)</f>
        <v>2.5523401971081974</v>
      </c>
      <c r="AO71" s="8">
        <f>AN71*10000/(_xlfn.XLOOKUP(E71,Groups!A:A,Groups!J:J)*AM71)</f>
        <v>2.3377861058820342</v>
      </c>
      <c r="AP71" s="8">
        <f t="shared" si="35"/>
        <v>948.41716738744265</v>
      </c>
      <c r="AQ71" s="8">
        <f>IF(_xlfn.XLOOKUP(E71,Groups!A:A,Groups!M:M)=1,EXP(0.7444*LN('Base stats'!C71)+6.5696),EXP(0.7927*LN('Base stats'!C71)+4.28))</f>
        <v>1056.5943757585062</v>
      </c>
      <c r="AR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"No")))))))))))))))</f>
        <v>146.21732769443346</v>
      </c>
      <c r="AS71" s="8">
        <f>IF(_xlfn.XLOOKUP(E71,Groups!A:A,Groups!U:U)=3,AQ71,IF(_xlfn.XLOOKUP(E71,Groups!A:A,Groups!U:U)=2,AP71,AR71))</f>
        <v>146.21732769443346</v>
      </c>
      <c r="AT71" s="46">
        <f>IFERROR(AVERAGE(_xlfn.XLOOKUP(B71,Animals!B:B,Animals!N:N),_xlfn.XLOOKUP(B71,Animals!B:B,Animals!O:O)),0)</f>
        <v>0</v>
      </c>
      <c r="AU71" s="8">
        <f>MROUND(40*Animals!AO71*_xlfn.XLOOKUP(Animals!BB71,Leathers!$A$2:$A$100,Leathers!$B$2:$B$100,0)+(140*_xlfn.XLOOKUP(B71,Animals!B:B,Animals!AO:AO)*2),5)</f>
        <v>195</v>
      </c>
      <c r="AV71" s="8">
        <f>IFERROR(ROUND(SQRT(V71-1)*IF(_xlfn.XLOOKUP(E71,Groups!A:A,Groups!BF:BF)=0,2,1)*IF(_xlfn.XLOOKUP('Base stats'!E71,Groups!A:A,Groups!O:O)=0,1,0.1),1),0)</f>
        <v>0.3</v>
      </c>
      <c r="AW71" s="8">
        <f t="shared" si="36"/>
        <v>0</v>
      </c>
      <c r="AX71" s="8">
        <f t="shared" si="37"/>
        <v>0</v>
      </c>
      <c r="AY71" s="8">
        <f t="shared" si="38"/>
        <v>2.7</v>
      </c>
      <c r="AZ71" s="8">
        <f>IF(_xlfn.XLOOKUP(E71,Groups!A:A,Groups!N:N)="Insect",BB71*2.5,IFERROR(AVERAGE(BB71,AR71/9.81/IF(OR(_xlfn.XLOOKUP(E71,Groups!A:A,Groups!N:N)="Pig",_xlfn.XLOOKUP(E71,Groups!A:A,Groups!N:N)="StrongBitingHerbivore"),20,25))*C71^-0.135,BB71))</f>
        <v>0.39542837054088481</v>
      </c>
      <c r="BA71" s="8" t="str">
        <f>IF(W71="No","No",IF(_xlfn.XLOOKUP(E71,Groups!A:A,Groups!U:U)=1,'Base stats'!AZ71,IF(OR(_xlfn.XLOOKUP(E71,Groups!A:A,Groups!BD:BD)=1,_xlfn.XLOOKUP(E71,Groups!A:A,Groups!U:U)=2),BB71,IF(_xlfn.XLOOKUP(B71,Animals!B:B,Animals!AO:AO)&gt;4,AVERAGE(BB71,BD71),BD71))))</f>
        <v>No</v>
      </c>
      <c r="BB71" s="8">
        <f t="shared" si="39"/>
        <v>0.65269180866351817</v>
      </c>
      <c r="BC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D71" s="8">
        <f>(0.048*C71^1.01)/IF(_xlfn.XLOOKUP(E71,Groups!A:A,Groups!M:M)=1,0.25,0.8)*C71^-0.25</f>
        <v>0.78562624366136824</v>
      </c>
      <c r="BE71" s="8">
        <f>EXP(1.076*LN(AP71)-4.5397)*IF(_xlfn.XLOOKUP(E71,Groups!A:A,Groups!BC:BC)=1,1.25,IF(_xlfn.XLOOKUP(E71,Groups!A:A,Groups!BD:BD)=1,3.5,2.5))</f>
        <v>42.621105545852032</v>
      </c>
      <c r="BF71" s="8">
        <f>EXP(1.076*LN(AQ71)-4.5397)*IF(_xlfn.XLOOKUP(E71,Groups!A:A,Groups!M:M)=1,0.8,IF(_xlfn.XLOOKUP(E71,Groups!A:A,Groups!BC:BC)=1,1.3,3))</f>
        <v>57.448662259053492</v>
      </c>
      <c r="BG71" s="8" t="str">
        <f>IF(W71="No","No",IF(_xlfn.XLOOKUP(E71,Groups!A:A,Groups!U:U)=1,'Base stats'!BH71,IF(OR(_xlfn.XLOOKUP(E71,Groups!A:A,Groups!BD:BD)=1,_xlfn.XLOOKUP(E71,Groups!A:A,Groups!U:U)=2),BE71,BF71))*1.2)</f>
        <v>No</v>
      </c>
      <c r="BH71" s="8">
        <f>IFERROR(EXP(1.076*LN(AR71)-4.5397)*IF(_xlfn.XLOOKUP(E71,Groups!A:A,Groups!N:N)="Insect",1,IF(OR(_xlfn.XLOOKUP(E71,Groups!A:A,Groups!N:N)="Pig",_xlfn.XLOOKUP(E71,Groups!A:A,Groups!N:N)="StrongBitingHerbivore"),3.5,3.75)),"No")</f>
        <v>8.5507333343977123</v>
      </c>
      <c r="BI71" s="8">
        <f t="shared" si="44"/>
        <v>11</v>
      </c>
      <c r="BJ71" s="8">
        <f t="shared" si="45"/>
        <v>8</v>
      </c>
      <c r="BK71" s="8" t="str">
        <f t="shared" si="40"/>
        <v>No</v>
      </c>
      <c r="BL71" s="8">
        <f t="shared" si="41"/>
        <v>6</v>
      </c>
      <c r="BM71" s="8">
        <f t="shared" si="46"/>
        <v>12</v>
      </c>
      <c r="BN71" s="8" t="str" cm="1">
        <f t="array" ref="BN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O71" s="8" t="str">
        <f>IF(W71="No","No",IF(_xlfn.XLOOKUP(E71,Groups!A:A,Groups!BD:BD)=1,(AM71*5%),EXP(0.7354*LN(C71)^0.4078)*2/IF(_xlfn.XLOOKUP(E71,Groups!A:A,Groups!BL:BL)=1,1000,100)))</f>
        <v>No</v>
      </c>
      <c r="BP71" s="8">
        <f>IF(BH71="No","No",IF(_xlfn.XLOOKUP(E71,Groups!A:A,Groups!BF:BF)=1,(0.0315*C71+2.1825)*2,(0.7354*C71^0.4078)*2)/IF(_xlfn.XLOOKUP(E71,Groups!A:A,Groups!BM:BM)=1,1000,100))</f>
        <v>5.8471877539490437E-2</v>
      </c>
      <c r="BQ71" s="8">
        <f t="shared" si="42"/>
        <v>8.5103499163704022E-2</v>
      </c>
      <c r="BR71" s="8" t="str">
        <f t="shared" si="47"/>
        <v>No</v>
      </c>
      <c r="BS71" s="8" t="str">
        <f t="shared" si="43"/>
        <v>No</v>
      </c>
      <c r="BT71" s="8">
        <f t="shared" si="48"/>
        <v>146.23668153331937</v>
      </c>
      <c r="BU71" s="4">
        <v>0</v>
      </c>
      <c r="BV71" s="4">
        <v>1</v>
      </c>
    </row>
    <row r="72" spans="1:74" x14ac:dyDescent="0.25">
      <c r="A72" s="26" t="s">
        <v>214</v>
      </c>
      <c r="B72" s="6" t="s">
        <v>232</v>
      </c>
      <c r="C72" s="7">
        <v>4.2</v>
      </c>
      <c r="D72" s="7" t="s">
        <v>1302</v>
      </c>
      <c r="E72" s="7" t="str">
        <f>Groups!A9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570</v>
      </c>
      <c r="L72" s="7">
        <f>10*1.60934</f>
        <v>16.093399999999999</v>
      </c>
      <c r="M72" s="7" t="s">
        <v>640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945</v>
      </c>
      <c r="Y72" s="4" t="s">
        <v>42</v>
      </c>
      <c r="Z72" s="4">
        <v>0</v>
      </c>
      <c r="AA72" s="4">
        <v>0</v>
      </c>
      <c r="AB72" s="4">
        <v>0</v>
      </c>
      <c r="AC72" s="4" t="s">
        <v>45</v>
      </c>
      <c r="AD72" s="4" t="s">
        <v>320</v>
      </c>
      <c r="AE72" s="28" t="s">
        <v>45</v>
      </c>
      <c r="AF72" s="4" t="str">
        <f>Animals!C6</f>
        <v>&lt;li&gt;Cassowary&lt;/li&gt;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4" t="s">
        <v>40</v>
      </c>
      <c r="AM72" s="8">
        <f t="shared" si="34"/>
        <v>2821.2074209236243</v>
      </c>
      <c r="AN72" s="8">
        <f>IFERROR(C72*_xlfn.XLOOKUP(E72,Groups!A:A,Groups!K:K),0.106*C72^0.94)</f>
        <v>0.40847003091842837</v>
      </c>
      <c r="AO72" s="8">
        <f>AN72*10000/(_xlfn.XLOOKUP(E72,Groups!A:A,Groups!J:J)*AM72)</f>
        <v>1.3283076772458648</v>
      </c>
      <c r="AP72" s="8">
        <f t="shared" si="35"/>
        <v>182.76769103466722</v>
      </c>
      <c r="AQ72" s="8">
        <f>IF(_xlfn.XLOOKUP(E72,Groups!A:A,Groups!M:M)=1,EXP(0.7444*LN('Base stats'!C72)+6.5696),EXP(0.7927*LN('Base stats'!C72)+4.28))</f>
        <v>225.3357479781595</v>
      </c>
      <c r="AR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"No")))))))))))))))</f>
        <v>37.946394397497905</v>
      </c>
      <c r="AS72" s="8">
        <f>IF(_xlfn.XLOOKUP(E72,Groups!A:A,Groups!U:U)=3,AQ72,IF(_xlfn.XLOOKUP(E72,Groups!A:A,Groups!U:U)=2,AP72,AR72))</f>
        <v>37.946394397497905</v>
      </c>
      <c r="AT72" s="46">
        <f>IFERROR(AVERAGE(_xlfn.XLOOKUP(B72,Animals!B:B,Animals!N:N),_xlfn.XLOOKUP(B72,Animals!B:B,Animals!O:O)),0)</f>
        <v>0</v>
      </c>
      <c r="AU72" s="8">
        <f>MROUND(40*Animals!AO72*_xlfn.XLOOKUP(Animals!BB72,Leathers!$A$2:$A$100,Leathers!$B$2:$B$100,0)+(140*_xlfn.XLOOKUP(B72,Animals!B:B,Animals!AO:AO)*2),5)</f>
        <v>85</v>
      </c>
      <c r="AV72" s="8">
        <f>IFERROR(ROUND(SQRT(V72-1)*IF(_xlfn.XLOOKUP(E72,Groups!A:A,Groups!BF:BF)=0,2,1)*IF(_xlfn.XLOOKUP('Base stats'!E72,Groups!A:A,Groups!O:O)=0,1,0.1),1),0)</f>
        <v>0.1</v>
      </c>
      <c r="AW72" s="8">
        <f t="shared" si="36"/>
        <v>0.9</v>
      </c>
      <c r="AX72" s="8">
        <f t="shared" si="37"/>
        <v>0</v>
      </c>
      <c r="AY72" s="8">
        <f t="shared" si="38"/>
        <v>1</v>
      </c>
      <c r="AZ72" s="8">
        <f>IF(_xlfn.XLOOKUP(E72,Groups!A:A,Groups!N:N)="Insect",BB72*2.5,IFERROR(AVERAGE(BB72,AR72/9.81/IF(OR(_xlfn.XLOOKUP(E72,Groups!A:A,Groups!N:N)="Pig",_xlfn.XLOOKUP(E72,Groups!A:A,Groups!N:N)="StrongBitingHerbivore"),20,25))*C72^-0.135,BB72))</f>
        <v>0.11138547773966104</v>
      </c>
      <c r="BA72" s="8" t="str">
        <f>IF(W72="No","No",IF(_xlfn.XLOOKUP(E72,Groups!A:A,Groups!U:U)=1,'Base stats'!AZ72,IF(OR(_xlfn.XLOOKUP(E72,Groups!A:A,Groups!BD:BD)=1,_xlfn.XLOOKUP(E72,Groups!A:A,Groups!U:U)=2),BB72,IF(_xlfn.XLOOKUP(B72,Animals!B:B,Animals!AO:AO)&gt;4,AVERAGE(BB72,BD72),BD72))))</f>
        <v>No</v>
      </c>
      <c r="BB72" s="8">
        <f t="shared" si="39"/>
        <v>0.11566874724947172</v>
      </c>
      <c r="BC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D72" s="8">
        <f>(0.048*C72^1.01)/IF(_xlfn.XLOOKUP(E72,Groups!A:A,Groups!M:M)=1,0.25,0.8)*C72^-0.25</f>
        <v>0.17857502150060089</v>
      </c>
      <c r="BE72" s="8">
        <f>EXP(1.076*LN(AP72)-4.5397)*IF(_xlfn.XLOOKUP(E72,Groups!A:A,Groups!BC:BC)=1,1.25,IF(_xlfn.XLOOKUP(E72,Groups!A:A,Groups!BD:BD)=1,3.5,2.5))</f>
        <v>7.2473148784519097</v>
      </c>
      <c r="BF72" s="8">
        <f>EXP(1.076*LN(AQ72)-4.5397)*IF(_xlfn.XLOOKUP(E72,Groups!A:A,Groups!M:M)=1,0.8,IF(_xlfn.XLOOKUP(E72,Groups!A:A,Groups!BC:BC)=1,1.3,3))</f>
        <v>10.894311214938487</v>
      </c>
      <c r="BG72" s="8" t="str">
        <f>IF(W72="No","No",IF(_xlfn.XLOOKUP(E72,Groups!A:A,Groups!U:U)=1,'Base stats'!BH72,IF(OR(_xlfn.XLOOKUP(E72,Groups!A:A,Groups!BD:BD)=1,_xlfn.XLOOKUP(E72,Groups!A:A,Groups!U:U)=2),BE72,BF72))*1.2)</f>
        <v>No</v>
      </c>
      <c r="BH72" s="8">
        <f>IFERROR(EXP(1.076*LN(AR72)-4.5397)*IF(_xlfn.XLOOKUP(E72,Groups!A:A,Groups!N:N)="Insect",1,IF(OR(_xlfn.XLOOKUP(E72,Groups!A:A,Groups!N:N)="Pig",_xlfn.XLOOKUP(E72,Groups!A:A,Groups!N:N)="StrongBitingHerbivore"),3.5,3.75)),"No")</f>
        <v>2.0028668741899427</v>
      </c>
      <c r="BI72" s="8">
        <f t="shared" si="44"/>
        <v>11</v>
      </c>
      <c r="BJ72" s="8">
        <f t="shared" si="45"/>
        <v>7</v>
      </c>
      <c r="BK72" s="8" t="str">
        <f t="shared" si="40"/>
        <v>No</v>
      </c>
      <c r="BL72" s="8">
        <f t="shared" si="41"/>
        <v>5</v>
      </c>
      <c r="BM72" s="8">
        <f t="shared" si="46"/>
        <v>11</v>
      </c>
      <c r="BN72" s="8" cm="1">
        <f t="array" ref="BN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O72" s="8" t="str">
        <f>IF(W72="No","No",IF(_xlfn.XLOOKUP(E72,Groups!A:A,Groups!BD:BD)=1,(AM72*5%),EXP(0.7354*LN(C72)^0.4078)*2/IF(_xlfn.XLOOKUP(E72,Groups!A:A,Groups!BL:BL)=1,1000,100)))</f>
        <v>No</v>
      </c>
      <c r="BP72" s="8">
        <f>IF(BH72="No","No",IF(_xlfn.XLOOKUP(E72,Groups!A:A,Groups!BF:BF)=1,(0.0315*C72+2.1825)*2,(0.7354*C72^0.4078)*2)/IF(_xlfn.XLOOKUP(E72,Groups!A:A,Groups!BM:BM)=1,1000,100))</f>
        <v>2.6406733457828967E-2</v>
      </c>
      <c r="BQ72" s="8">
        <f t="shared" si="42"/>
        <v>5.1377398377034179E-2</v>
      </c>
      <c r="BR72" s="8">
        <f t="shared" si="47"/>
        <v>412.55807850435144</v>
      </c>
      <c r="BS72" s="8" t="str">
        <f t="shared" si="43"/>
        <v>No</v>
      </c>
      <c r="BT72" s="8">
        <f t="shared" si="48"/>
        <v>75.846824348361054</v>
      </c>
      <c r="BU72" s="4">
        <v>0</v>
      </c>
      <c r="BV72" s="4">
        <v>1</v>
      </c>
    </row>
    <row r="73" spans="1:74" x14ac:dyDescent="0.25">
      <c r="A73" s="26" t="s">
        <v>220</v>
      </c>
      <c r="B73" s="6" t="s">
        <v>234</v>
      </c>
      <c r="C73" s="7">
        <v>5.4329999999999998</v>
      </c>
      <c r="D73" s="7" t="s">
        <v>1303</v>
      </c>
      <c r="E73" s="7" t="str">
        <f>Groups!A8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571</v>
      </c>
      <c r="L73" s="7">
        <f>10*1.60934</f>
        <v>16.093399999999999</v>
      </c>
      <c r="M73" s="7" t="s">
        <v>640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945</v>
      </c>
      <c r="Y73" s="4" t="s">
        <v>56</v>
      </c>
      <c r="Z73" s="4">
        <v>0</v>
      </c>
      <c r="AA73" s="4">
        <v>0</v>
      </c>
      <c r="AB73" s="4">
        <v>0</v>
      </c>
      <c r="AC73" s="4" t="s">
        <v>45</v>
      </c>
      <c r="AD73" s="4" t="s">
        <v>45</v>
      </c>
      <c r="AE73" s="28" t="s">
        <v>45</v>
      </c>
      <c r="AF73" s="4" t="str">
        <f>Animals!C6</f>
        <v>&lt;li&gt;Cassowary&lt;/li&gt;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4" t="s">
        <v>40</v>
      </c>
      <c r="AM73" s="8">
        <f t="shared" si="34"/>
        <v>3335.0226443158595</v>
      </c>
      <c r="AN73" s="8">
        <f>IFERROR(C73*_xlfn.XLOOKUP(E73,Groups!A:A,Groups!K:K),0.106*C73^0.94)</f>
        <v>0.52028725557982192</v>
      </c>
      <c r="AO73" s="8">
        <f>AN73*10000/(_xlfn.XLOOKUP(E73,Groups!A:A,Groups!J:J)*AM73)</f>
        <v>1.4312579203209541</v>
      </c>
      <c r="AP73" s="8">
        <f t="shared" si="35"/>
        <v>227.15839344988919</v>
      </c>
      <c r="AQ73" s="8">
        <f>IF(_xlfn.XLOOKUP(E73,Groups!A:A,Groups!M:M)=1,EXP(0.7444*LN('Base stats'!C73)+6.5696),EXP(0.7927*LN('Base stats'!C73)+4.28))</f>
        <v>276.34165658415714</v>
      </c>
      <c r="AR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"No")))))))))))))))</f>
        <v>45.345008035028158</v>
      </c>
      <c r="AS73" s="8">
        <f>IF(_xlfn.XLOOKUP(E73,Groups!A:A,Groups!U:U)=3,AQ73,IF(_xlfn.XLOOKUP(E73,Groups!A:A,Groups!U:U)=2,AP73,AR73))</f>
        <v>45.345008035028158</v>
      </c>
      <c r="AT73" s="46">
        <f>IFERROR(AVERAGE(_xlfn.XLOOKUP(B73,Animals!B:B,Animals!N:N),_xlfn.XLOOKUP(B73,Animals!B:B,Animals!O:O)),0)</f>
        <v>0</v>
      </c>
      <c r="AU73" s="8">
        <f>MROUND(40*Animals!AO73*_xlfn.XLOOKUP(Animals!BB73,Leathers!$A$2:$A$100,Leathers!$B$2:$B$100,0)+(140*_xlfn.XLOOKUP(B73,Animals!B:B,Animals!AO:AO)*2),5)</f>
        <v>85</v>
      </c>
      <c r="AV73" s="8">
        <f>IFERROR(ROUND(SQRT(V73-1)*IF(_xlfn.XLOOKUP(E73,Groups!A:A,Groups!BF:BF)=0,2,1)*IF(_xlfn.XLOOKUP('Base stats'!E73,Groups!A:A,Groups!O:O)=0,1,0.1),1),0)</f>
        <v>0.2</v>
      </c>
      <c r="AW73" s="8">
        <f t="shared" si="36"/>
        <v>1</v>
      </c>
      <c r="AX73" s="8">
        <f t="shared" si="37"/>
        <v>0</v>
      </c>
      <c r="AY73" s="8">
        <f t="shared" si="38"/>
        <v>1.1000000000000001</v>
      </c>
      <c r="AZ73" s="8">
        <f>IF(_xlfn.XLOOKUP(E73,Groups!A:A,Groups!N:N)="Insect",BB73*2.5,IFERROR(AVERAGE(BB73,AR73/9.81/IF(OR(_xlfn.XLOOKUP(E73,Groups!A:A,Groups!N:N)="Pig",_xlfn.XLOOKUP(E73,Groups!A:A,Groups!N:N)="StrongBitingHerbivore"),20,25))*C73^-0.135,BB73))</f>
        <v>0.13721975426422997</v>
      </c>
      <c r="BA73" s="8" t="str">
        <f>IF(W73="No","No",IF(_xlfn.XLOOKUP(E73,Groups!A:A,Groups!U:U)=1,'Base stats'!AZ73,IF(OR(_xlfn.XLOOKUP(E73,Groups!A:A,Groups!BD:BD)=1,_xlfn.XLOOKUP(E73,Groups!A:A,Groups!U:U)=2),BB73,IF(_xlfn.XLOOKUP(B73,Animals!B:B,Animals!AO:AO)&gt;4,AVERAGE(BB73,BD73),BD73))))</f>
        <v>No</v>
      </c>
      <c r="BB73" s="8">
        <f t="shared" si="39"/>
        <v>0.15999413468554857</v>
      </c>
      <c r="BC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D73" s="8">
        <f>(0.048*C73^1.01)/IF(_xlfn.XLOOKUP(E73,Groups!A:A,Groups!M:M)=1,0.25,0.8)*C73^-0.25</f>
        <v>0.21716079666108293</v>
      </c>
      <c r="BE73" s="8">
        <f>EXP(1.076*LN(AP73)-4.5397)*IF(_xlfn.XLOOKUP(E73,Groups!A:A,Groups!BC:BC)=1,1.25,IF(_xlfn.XLOOKUP(E73,Groups!A:A,Groups!BD:BD)=1,3.5,2.5))</f>
        <v>9.1576306976978312</v>
      </c>
      <c r="BF73" s="8">
        <f>EXP(1.076*LN(AQ73)-4.5397)*IF(_xlfn.XLOOKUP(E73,Groups!A:A,Groups!M:M)=1,0.8,IF(_xlfn.XLOOKUP(E73,Groups!A:A,Groups!BC:BC)=1,1.3,3))</f>
        <v>13.569094750060124</v>
      </c>
      <c r="BG73" s="8" t="str">
        <f>IF(W73="No","No",IF(_xlfn.XLOOKUP(E73,Groups!A:A,Groups!U:U)=1,'Base stats'!BH73,IF(OR(_xlfn.XLOOKUP(E73,Groups!A:A,Groups!BD:BD)=1,_xlfn.XLOOKUP(E73,Groups!A:A,Groups!U:U)=2),BE73,BF73))*1.2)</f>
        <v>No</v>
      </c>
      <c r="BH73" s="8">
        <f>IFERROR(EXP(1.076*LN(AR73)-4.5397)*IF(_xlfn.XLOOKUP(E73,Groups!A:A,Groups!N:N)="Insect",1,IF(OR(_xlfn.XLOOKUP(E73,Groups!A:A,Groups!N:N)="Pig",_xlfn.XLOOKUP(E73,Groups!A:A,Groups!N:N)="StrongBitingHerbivore"),3.5,3.75)),"No")</f>
        <v>2.4259974059014913</v>
      </c>
      <c r="BI73" s="8">
        <f t="shared" si="44"/>
        <v>10</v>
      </c>
      <c r="BJ73" s="8">
        <f t="shared" si="45"/>
        <v>7</v>
      </c>
      <c r="BK73" s="8" t="str">
        <f t="shared" si="40"/>
        <v>No</v>
      </c>
      <c r="BL73" s="8">
        <f t="shared" si="41"/>
        <v>5</v>
      </c>
      <c r="BM73" s="8">
        <f t="shared" si="46"/>
        <v>11</v>
      </c>
      <c r="BN73" s="8" cm="1">
        <f t="array" ref="BN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O73" s="8" t="str">
        <f>IF(W73="No","No",IF(_xlfn.XLOOKUP(E73,Groups!A:A,Groups!BD:BD)=1,(AM73*5%),EXP(0.7354*LN(C73)^0.4078)*2/IF(_xlfn.XLOOKUP(E73,Groups!A:A,Groups!BL:BL)=1,1000,100)))</f>
        <v>No</v>
      </c>
      <c r="BP73" s="8">
        <f>IF(BH73="No","No",IF(_xlfn.XLOOKUP(E73,Groups!A:A,Groups!BF:BF)=1,(0.0315*C73+2.1825)*2,(0.7354*C73^0.4078)*2)/IF(_xlfn.XLOOKUP(E73,Groups!A:A,Groups!BM:BM)=1,1000,100))</f>
        <v>2.9329375304767199E-2</v>
      </c>
      <c r="BQ73" s="8">
        <f t="shared" si="42"/>
        <v>5.4917952136282484E-2</v>
      </c>
      <c r="BR73" s="8">
        <f t="shared" si="47"/>
        <v>462.64520157899858</v>
      </c>
      <c r="BS73" s="8" t="str">
        <f t="shared" si="43"/>
        <v>No</v>
      </c>
      <c r="BT73" s="8">
        <f t="shared" si="48"/>
        <v>82.715618068659296</v>
      </c>
      <c r="BU73" s="4">
        <v>0</v>
      </c>
      <c r="BV73" s="4">
        <v>1</v>
      </c>
    </row>
    <row r="74" spans="1:74" x14ac:dyDescent="0.25">
      <c r="A74" s="26" t="s">
        <v>73</v>
      </c>
      <c r="B74" s="6" t="s">
        <v>74</v>
      </c>
      <c r="C74" s="7">
        <f>AVERAGE(221.2,139.7)</f>
        <v>180.45</v>
      </c>
      <c r="D74" s="7" t="s">
        <v>1208</v>
      </c>
      <c r="E74" s="7" t="str">
        <f>Groups!A20</f>
        <v>Felid (can fish)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554</v>
      </c>
      <c r="L74" s="7">
        <v>56</v>
      </c>
      <c r="M74" s="7" t="s">
        <v>638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IF(AR74="No","No",IF(_xlfn.XLOOKUP(E74,Groups!A:A,Groups!AM:AM)=1,MROUND(EXP(0.3582*LN(C74)-0.2221)*T74,0.05),IF(_xlfn.XLOOKUP(E74,Groups!A:A,Groups!AM:AM)=2,MROUND(EXP(0.3582*LN(C74)-0.2221)*T74,0.05),"Need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945</v>
      </c>
      <c r="Y74" s="4" t="s">
        <v>56</v>
      </c>
      <c r="Z74" s="4">
        <v>0</v>
      </c>
      <c r="AA74" s="4">
        <v>0</v>
      </c>
      <c r="AB74" s="4">
        <v>0</v>
      </c>
      <c r="AC74" s="4" t="s">
        <v>45</v>
      </c>
      <c r="AD74" s="4" t="s">
        <v>45</v>
      </c>
      <c r="AE74" s="28" t="s">
        <v>398</v>
      </c>
      <c r="AF74" s="4" t="s">
        <v>45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4" t="s">
        <v>40</v>
      </c>
      <c r="AM74" s="8">
        <f t="shared" si="34"/>
        <v>32505.358105511663</v>
      </c>
      <c r="AN74" s="8">
        <f>IFERROR(C74*_xlfn.XLOOKUP(E74,Groups!A:A,Groups!K:K),0.106*C74^0.94)</f>
        <v>22.5111375</v>
      </c>
      <c r="AO74" s="8">
        <f>AN74*10000/(_xlfn.XLOOKUP(E74,Groups!A:A,Groups!J:J)*AM74)</f>
        <v>6.3535432090098345</v>
      </c>
      <c r="AP74" s="8">
        <f t="shared" si="35"/>
        <v>4379.1055345118002</v>
      </c>
      <c r="AQ74" s="8">
        <f>IF(_xlfn.XLOOKUP(E74,Groups!A:A,Groups!M:M)=1,EXP(0.7444*LN('Base stats'!C74)+6.5696),EXP(0.7927*LN('Base stats'!C74)+4.28))</f>
        <v>4440.1177379637465</v>
      </c>
      <c r="AR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"No")))))))))))))))</f>
        <v>8395.7894453321987</v>
      </c>
      <c r="AS74" s="8">
        <f>IF(_xlfn.XLOOKUP(E74,Groups!A:A,Groups!U:U)=3,AQ74,IF(_xlfn.XLOOKUP(E74,Groups!A:A,Groups!U:U)=2,AP74,AR74))</f>
        <v>8395.7894453321987</v>
      </c>
      <c r="AT74" s="46">
        <f>IFERROR(AVERAGE(_xlfn.XLOOKUP(B74,Animals!B:B,Animals!N:N),_xlfn.XLOOKUP(B74,Animals!B:B,Animals!O:O)),0)</f>
        <v>0</v>
      </c>
      <c r="AU74" s="8">
        <f>MROUND(40*Animals!AO74*_xlfn.XLOOKUP(Animals!BB74,Leathers!$A$2:$A$100,Leathers!$B$2:$B$100,0)+(140*_xlfn.XLOOKUP(B74,Animals!B:B,Animals!AO:AO)*2),5)</f>
        <v>760</v>
      </c>
      <c r="AV74" s="8">
        <f>IFERROR(ROUND(SQRT(V74-1)*IF(_xlfn.XLOOKUP(E74,Groups!A:A,Groups!BF:BF)=0,2,1)*IF(_xlfn.XLOOKUP('Base stats'!E74,Groups!A:A,Groups!O:O)=0,1,0.1),1),0)</f>
        <v>4.7</v>
      </c>
      <c r="AW74" s="8">
        <f t="shared" si="36"/>
        <v>2.7</v>
      </c>
      <c r="AX74" s="8">
        <f t="shared" si="37"/>
        <v>0</v>
      </c>
      <c r="AY74" s="8">
        <f t="shared" si="38"/>
        <v>5.0999999999999996</v>
      </c>
      <c r="AZ74" s="8">
        <f>IF(_xlfn.XLOOKUP(E74,Groups!A:A,Groups!N:N)="Insect",BB74*2.5,IFERROR(AVERAGE(BB74,AR74/9.81/IF(OR(_xlfn.XLOOKUP(E74,Groups!A:A,Groups!N:N)="Pig",_xlfn.XLOOKUP(E74,Groups!A:A,Groups!N:N)="StrongBitingHerbivore"),20,25))*C74^-0.135,BB74))</f>
        <v>9.2170964405414058</v>
      </c>
      <c r="BA74" s="8" t="str">
        <f>IF(W74="No","No",IF(_xlfn.XLOOKUP(E74,Groups!A:A,Groups!U:U)=1,'Base stats'!AZ74,IF(OR(_xlfn.XLOOKUP(E74,Groups!A:A,Groups!BD:BD)=1,_xlfn.XLOOKUP(E74,Groups!A:A,Groups!U:U)=2),BB74,IF(_xlfn.XLOOKUP(B74,Animals!B:B,Animals!AO:AO)&gt;4,AVERAGE(BB74,BD74),BD74))))</f>
        <v>No</v>
      </c>
      <c r="BB74" s="8">
        <f t="shared" si="39"/>
        <v>2.9398057811909384</v>
      </c>
      <c r="BC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D74" s="8">
        <f>(0.048*C74^1.01)/IF(_xlfn.XLOOKUP(E74,Groups!A:A,Groups!M:M)=1,0.25,0.8)*C74^-0.25</f>
        <v>3.1115908379600836</v>
      </c>
      <c r="BE74" s="8">
        <f>EXP(1.076*LN(AP74)-4.5397)*IF(_xlfn.XLOOKUP(E74,Groups!A:A,Groups!BC:BC)=1,1.25,IF(_xlfn.XLOOKUP(E74,Groups!A:A,Groups!BD:BD)=1,3.5,2.5))</f>
        <v>221.05688813983673</v>
      </c>
      <c r="BF74" s="8">
        <f>EXP(1.076*LN(AQ74)-4.5397)*IF(_xlfn.XLOOKUP(E74,Groups!A:A,Groups!M:M)=1,0.8,IF(_xlfn.XLOOKUP(E74,Groups!A:A,Groups!BC:BC)=1,1.3,3))</f>
        <v>269.24711752883059</v>
      </c>
      <c r="BG74" s="8" t="str">
        <f>IF(W74="No","No",IF(_xlfn.XLOOKUP(E74,Groups!A:A,Groups!U:U)=1,'Base stats'!BH74,IF(OR(_xlfn.XLOOKUP(E74,Groups!A:A,Groups!BD:BD)=1,_xlfn.XLOOKUP(E74,Groups!A:A,Groups!U:U)=2),BE74,BF74))*1.2)</f>
        <v>No</v>
      </c>
      <c r="BH74" s="8">
        <f>IFERROR(EXP(1.076*LN(AR74)-4.5397)*IF(_xlfn.XLOOKUP(E74,Groups!A:A,Groups!N:N)="Insect",1,IF(OR(_xlfn.XLOOKUP(E74,Groups!A:A,Groups!N:N)="Pig",_xlfn.XLOOKUP(E74,Groups!A:A,Groups!N:N)="StrongBitingHerbivore"),3.5,3.75)),"No")</f>
        <v>667.9667176620485</v>
      </c>
      <c r="BI74" s="8">
        <f t="shared" si="44"/>
        <v>12</v>
      </c>
      <c r="BJ74" s="8">
        <f t="shared" si="45"/>
        <v>11</v>
      </c>
      <c r="BK74" s="8" t="str">
        <f t="shared" si="40"/>
        <v>No</v>
      </c>
      <c r="BL74" s="8">
        <f t="shared" si="41"/>
        <v>12</v>
      </c>
      <c r="BM74" s="8">
        <f t="shared" si="46"/>
        <v>13</v>
      </c>
      <c r="BN74" s="8" cm="1">
        <f t="array" ref="BN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O74" s="8" t="str">
        <f>IF(W74="No","No",IF(_xlfn.XLOOKUP(E74,Groups!A:A,Groups!BD:BD)=1,(AM74*5%),EXP(0.7354*LN(C74)^0.4078)*2/IF(_xlfn.XLOOKUP(E74,Groups!A:A,Groups!BL:BL)=1,1000,100)))</f>
        <v>No</v>
      </c>
      <c r="BP74" s="8">
        <f>IF(BH74="No","No",IF(_xlfn.XLOOKUP(E74,Groups!A:A,Groups!BF:BF)=1,(0.0315*C74+2.1825)*2,(0.7354*C74^0.4078)*2)/IF(_xlfn.XLOOKUP(E74,Groups!A:A,Groups!BM:BM)=1,1000,100))</f>
        <v>0.12237591709715004</v>
      </c>
      <c r="BQ74" s="8">
        <f t="shared" si="42"/>
        <v>0.13601258440057237</v>
      </c>
      <c r="BR74" s="8">
        <f t="shared" si="47"/>
        <v>2200.1642473092525</v>
      </c>
      <c r="BS74" s="8" t="str">
        <f t="shared" si="43"/>
        <v>No</v>
      </c>
      <c r="BT74" s="8">
        <f t="shared" si="48"/>
        <v>5458.3183808279255</v>
      </c>
      <c r="BU74" s="4">
        <v>0</v>
      </c>
      <c r="BV74" s="4">
        <v>1</v>
      </c>
    </row>
    <row r="75" spans="1:74" x14ac:dyDescent="0.25">
      <c r="A75" s="26" t="s">
        <v>280</v>
      </c>
      <c r="B75" s="6" t="s">
        <v>281</v>
      </c>
      <c r="C75" s="7">
        <f>AVERAGE(258,185,252,171)</f>
        <v>216.5</v>
      </c>
      <c r="D75" s="7" t="s">
        <v>1178</v>
      </c>
      <c r="E75" s="7" t="str">
        <f>Groups!A19</f>
        <v>Felid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538</v>
      </c>
      <c r="L75" s="7">
        <f>MIN(37.5*C75^0.089,79.3*C75^-0.072)</f>
        <v>53.841880334989163</v>
      </c>
      <c r="M75" s="7" t="s">
        <v>638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945</v>
      </c>
      <c r="Y75" s="4" t="s">
        <v>56</v>
      </c>
      <c r="Z75" s="4">
        <v>0</v>
      </c>
      <c r="AA75" s="4">
        <v>0</v>
      </c>
      <c r="AB75" s="4">
        <v>0</v>
      </c>
      <c r="AC75" s="4" t="s">
        <v>45</v>
      </c>
      <c r="AD75" s="4" t="s">
        <v>462</v>
      </c>
      <c r="AE75" s="28" t="s">
        <v>398</v>
      </c>
      <c r="AF75" s="4" t="s">
        <v>45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4" t="s">
        <v>40</v>
      </c>
      <c r="AM75" s="8">
        <f t="shared" si="34"/>
        <v>36590.691269595045</v>
      </c>
      <c r="AN75" s="8">
        <f>IFERROR(C75*_xlfn.XLOOKUP(E75,Groups!A:A,Groups!K:K),0.106*C75^0.94)</f>
        <v>27.008375000000001</v>
      </c>
      <c r="AO75" s="8">
        <f>AN75*10000/(_xlfn.XLOOKUP(E75,Groups!A:A,Groups!J:J)*AM75)</f>
        <v>6.7717566485722251</v>
      </c>
      <c r="AP75" s="8">
        <f t="shared" si="35"/>
        <v>5107.4254756471973</v>
      </c>
      <c r="AQ75" s="8">
        <f>IF(_xlfn.XLOOKUP(E75,Groups!A:A,Groups!M:M)=1,EXP(0.7444*LN('Base stats'!C75)+6.5696),EXP(0.7927*LN('Base stats'!C75)+4.28))</f>
        <v>5129.7696106810972</v>
      </c>
      <c r="AR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"No")))))))))))))))</f>
        <v>7517.1643623678765</v>
      </c>
      <c r="AS75" s="8">
        <f>IF(_xlfn.XLOOKUP(E75,Groups!A:A,Groups!U:U)=3,AQ75,IF(_xlfn.XLOOKUP(E75,Groups!A:A,Groups!U:U)=2,AP75,AR75))</f>
        <v>7517.1643623678765</v>
      </c>
      <c r="AT75" s="46">
        <f>IFERROR(AVERAGE(_xlfn.XLOOKUP(B75,Animals!B:B,Animals!N:N),_xlfn.XLOOKUP(B75,Animals!B:B,Animals!O:O)),0)</f>
        <v>0</v>
      </c>
      <c r="AU75" s="8">
        <f>MROUND(40*Animals!AO75*_xlfn.XLOOKUP(Animals!BB75,Leathers!$A$2:$A$100,Leathers!$B$2:$B$100,0)+(140*_xlfn.XLOOKUP(B75,Animals!B:B,Animals!AO:AO)*2),5)</f>
        <v>850</v>
      </c>
      <c r="AV75" s="8">
        <f>IFERROR(ROUND(SQRT(V75-1)*IF(_xlfn.XLOOKUP(E75,Groups!A:A,Groups!BF:BF)=0,2,1)*IF(_xlfn.XLOOKUP('Base stats'!E75,Groups!A:A,Groups!O:O)=0,1,0.1),1),0)</f>
        <v>6</v>
      </c>
      <c r="AW75" s="8">
        <f t="shared" si="36"/>
        <v>2.7</v>
      </c>
      <c r="AX75" s="8">
        <f t="shared" si="37"/>
        <v>0</v>
      </c>
      <c r="AY75" s="8">
        <f t="shared" si="38"/>
        <v>5.5</v>
      </c>
      <c r="AZ75" s="8">
        <f>IF(_xlfn.XLOOKUP(E75,Groups!A:A,Groups!N:N)="Insect",BB75*2.5,IFERROR(AVERAGE(BB75,AR75/9.81/IF(OR(_xlfn.XLOOKUP(E75,Groups!A:A,Groups!N:N)="Pig",_xlfn.XLOOKUP(E75,Groups!A:A,Groups!N:N)="StrongBitingHerbivore"),20,25))*C75^-0.135,BB75))</f>
        <v>8.2427280073251143</v>
      </c>
      <c r="BA75" s="8" t="str">
        <f>IF(W75="No","No",IF(_xlfn.XLOOKUP(E75,Groups!A:A,Groups!U:U)=1,'Base stats'!AZ75,IF(OR(_xlfn.XLOOKUP(E75,Groups!A:A,Groups!BD:BD)=1,_xlfn.XLOOKUP(E75,Groups!A:A,Groups!U:U)=2),BB75,IF(_xlfn.XLOOKUP(B75,Animals!B:B,Animals!AO:AO)&gt;4,AVERAGE(BB75,BD75),BD75))))</f>
        <v>No</v>
      </c>
      <c r="BB75" s="8">
        <f t="shared" si="39"/>
        <v>3.4202006287772089</v>
      </c>
      <c r="BC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D75" s="8">
        <f>(0.048*C75^1.01)/IF(_xlfn.XLOOKUP(E75,Groups!A:A,Groups!M:M)=1,0.25,0.8)*C75^-0.25</f>
        <v>3.5735449964316421</v>
      </c>
      <c r="BE75" s="8">
        <f>EXP(1.076*LN(AP75)-4.5397)*IF(_xlfn.XLOOKUP(E75,Groups!A:A,Groups!BC:BC)=1,1.25,IF(_xlfn.XLOOKUP(E75,Groups!A:A,Groups!BD:BD)=1,3.5,2.5))</f>
        <v>260.85474587575175</v>
      </c>
      <c r="BF75" s="8">
        <f>EXP(1.076*LN(AQ75)-4.5397)*IF(_xlfn.XLOOKUP(E75,Groups!A:A,Groups!M:M)=1,0.8,IF(_xlfn.XLOOKUP(E75,Groups!A:A,Groups!BC:BC)=1,1.3,3))</f>
        <v>314.49945199495397</v>
      </c>
      <c r="BG75" s="8" t="str">
        <f>IF(W75="No","No",IF(_xlfn.XLOOKUP(E75,Groups!A:A,Groups!U:U)=1,'Base stats'!BH75,IF(OR(_xlfn.XLOOKUP(E75,Groups!A:A,Groups!BD:BD)=1,_xlfn.XLOOKUP(E75,Groups!A:A,Groups!U:U)=2),BE75,BF75))*1.2)</f>
        <v>No</v>
      </c>
      <c r="BH75" s="8">
        <f>IFERROR(EXP(1.076*LN(AR75)-4.5397)*IF(_xlfn.XLOOKUP(E75,Groups!A:A,Groups!N:N)="Insect",1,IF(OR(_xlfn.XLOOKUP(E75,Groups!A:A,Groups!N:N)="Pig",_xlfn.XLOOKUP(E75,Groups!A:A,Groups!N:N)="StrongBitingHerbivore"),3.5,3.75)),"No")</f>
        <v>593.06017570414861</v>
      </c>
      <c r="BI75" s="8">
        <f t="shared" si="44"/>
        <v>12</v>
      </c>
      <c r="BJ75" s="8">
        <f t="shared" si="45"/>
        <v>11</v>
      </c>
      <c r="BK75" s="8" t="str">
        <f t="shared" si="40"/>
        <v>No</v>
      </c>
      <c r="BL75" s="8">
        <f t="shared" si="41"/>
        <v>11</v>
      </c>
      <c r="BM75" s="8">
        <f t="shared" si="46"/>
        <v>13</v>
      </c>
      <c r="BN75" s="8" cm="1">
        <f t="array" ref="BN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O75" s="8" t="str">
        <f>IF(W75="No","No",IF(_xlfn.XLOOKUP(E75,Groups!A:A,Groups!BD:BD)=1,(AM75*5%),EXP(0.7354*LN(C75)^0.4078)*2/IF(_xlfn.XLOOKUP(E75,Groups!A:A,Groups!BL:BL)=1,1000,100)))</f>
        <v>No</v>
      </c>
      <c r="BP75" s="8">
        <f>IF(BH75="No","No",IF(_xlfn.XLOOKUP(E75,Groups!A:A,Groups!BF:BF)=1,(0.0315*C75+2.1825)*2,(0.7354*C75^0.4078)*2)/IF(_xlfn.XLOOKUP(E75,Groups!A:A,Groups!BM:BM)=1,1000,100))</f>
        <v>0.13181151542323583</v>
      </c>
      <c r="BQ75" s="8">
        <f t="shared" si="42"/>
        <v>0.14257984029534224</v>
      </c>
      <c r="BR75" s="8">
        <f t="shared" si="47"/>
        <v>2385.9785769484733</v>
      </c>
      <c r="BS75" s="8" t="str">
        <f t="shared" si="43"/>
        <v>No</v>
      </c>
      <c r="BT75" s="8">
        <f t="shared" si="48"/>
        <v>4499.3047367665995</v>
      </c>
      <c r="BU75" s="4">
        <v>0</v>
      </c>
      <c r="BV75" s="4">
        <v>1</v>
      </c>
    </row>
    <row r="76" spans="1:74" x14ac:dyDescent="0.25">
      <c r="A76" s="26" t="s">
        <v>210</v>
      </c>
      <c r="B76" s="6" t="s">
        <v>229</v>
      </c>
      <c r="C76" s="7">
        <v>0.5</v>
      </c>
      <c r="D76" s="7" t="s">
        <v>1304</v>
      </c>
      <c r="E76" s="7" t="str">
        <f>Groups!A22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574</v>
      </c>
      <c r="L76" s="7">
        <v>10</v>
      </c>
      <c r="M76" s="7" t="s">
        <v>538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945</v>
      </c>
      <c r="Y76" s="4" t="s">
        <v>56</v>
      </c>
      <c r="Z76" s="4">
        <v>0</v>
      </c>
      <c r="AA76" s="4">
        <v>0</v>
      </c>
      <c r="AB76" s="4">
        <v>0</v>
      </c>
      <c r="AC76" s="4" t="s">
        <v>45</v>
      </c>
      <c r="AD76" s="4" t="s">
        <v>45</v>
      </c>
      <c r="AE76" s="28" t="s">
        <v>45</v>
      </c>
      <c r="AF76" s="4" t="str">
        <f>Animals!C77</f>
        <v>&lt;li&gt;ColossusToad&lt;/li&gt;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4" t="s">
        <v>40</v>
      </c>
      <c r="AM76" s="8">
        <f t="shared" si="34"/>
        <v>707.38114816219058</v>
      </c>
      <c r="AN76" s="8">
        <f>IFERROR(C76*_xlfn.XLOOKUP(E76,Groups!A:A,Groups!K:K),0.106*C76^0.94)</f>
        <v>5.5250685324579434E-2</v>
      </c>
      <c r="AO76" s="8">
        <f>AN76*10000/(_xlfn.XLOOKUP(E76,Groups!A:A,Groups!J:J)*AM76)</f>
        <v>0.71656846191523915</v>
      </c>
      <c r="AP76" s="8">
        <f t="shared" si="35"/>
        <v>30.280337563677854</v>
      </c>
      <c r="AQ76" s="8">
        <f>IF(_xlfn.XLOOKUP(E76,Groups!A:A,Groups!M:M)=1,EXP(0.7444*LN('Base stats'!C76)+6.5696),EXP(0.7927*LN('Base stats'!C76)+4.28))</f>
        <v>41.701713953818683</v>
      </c>
      <c r="AR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"No")))))))))))))))</f>
        <v>37.439617627529138</v>
      </c>
      <c r="AS76" s="8">
        <f>IF(_xlfn.XLOOKUP(E76,Groups!A:A,Groups!U:U)=3,AQ76,IF(_xlfn.XLOOKUP(E76,Groups!A:A,Groups!U:U)=2,AP76,AR76))</f>
        <v>37.439617627529138</v>
      </c>
      <c r="AT76" s="46">
        <f>IFERROR(AVERAGE(_xlfn.XLOOKUP(B76,Animals!B:B,Animals!N:N),_xlfn.XLOOKUP(B76,Animals!B:B,Animals!O:O)),0)</f>
        <v>0</v>
      </c>
      <c r="AU76" s="8">
        <f>MROUND(40*Animals!AO76*_xlfn.XLOOKUP(Animals!BB76,Leathers!$A$2:$A$100,Leathers!$B$2:$B$100,0)+(140*_xlfn.XLOOKUP(B76,Animals!B:B,Animals!AO:AO)*2),5)</f>
        <v>30</v>
      </c>
      <c r="AV76" s="8">
        <f>IFERROR(ROUND(SQRT(V76-1)*IF(_xlfn.XLOOKUP(E76,Groups!A:A,Groups!BF:BF)=0,2,1)*IF(_xlfn.XLOOKUP('Base stats'!E76,Groups!A:A,Groups!O:O)=0,1,0.1),1),0)</f>
        <v>0.2</v>
      </c>
      <c r="AW76" s="8">
        <f t="shared" si="36"/>
        <v>0</v>
      </c>
      <c r="AX76" s="8">
        <f t="shared" si="37"/>
        <v>0</v>
      </c>
      <c r="AY76" s="8">
        <f t="shared" si="38"/>
        <v>0.5</v>
      </c>
      <c r="AZ76" s="8">
        <f>IF(_xlfn.XLOOKUP(E76,Groups!A:A,Groups!N:N)="Insect",BB76*2.5,IFERROR(AVERAGE(BB76,AR76/9.81/IF(OR(_xlfn.XLOOKUP(E76,Groups!A:A,Groups!N:N)="Pig",_xlfn.XLOOKUP(E76,Groups!A:A,Groups!N:N)="StrongBitingHerbivore"),20,25))*C76^-0.135,BB76))</f>
        <v>9.5915584225894496E-2</v>
      </c>
      <c r="BA76" s="8" t="str">
        <f>IF(W76="No","No",IF(_xlfn.XLOOKUP(E76,Groups!A:A,Groups!U:U)=1,'Base stats'!AZ76,IF(OR(_xlfn.XLOOKUP(E76,Groups!A:A,Groups!BD:BD)=1,_xlfn.XLOOKUP(E76,Groups!A:A,Groups!U:U)=2),BB76,IF(_xlfn.XLOOKUP(B76,Animals!B:B,Animals!AO:AO)&gt;4,AVERAGE(BB76,BD76),BD76))))</f>
        <v>No</v>
      </c>
      <c r="BB76" s="8">
        <f t="shared" si="39"/>
        <v>2.2035866906060905E-2</v>
      </c>
      <c r="BC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D76" s="8">
        <f>(0.048*C76^1.01)/IF(_xlfn.XLOOKUP(E76,Groups!A:A,Groups!M:M)=1,0.25,0.8)*C76^-0.25</f>
        <v>3.5429779842885908E-2</v>
      </c>
      <c r="BE76" s="8">
        <f>EXP(1.076*LN(AP76)-4.5397)*IF(_xlfn.XLOOKUP(E76,Groups!A:A,Groups!BC:BC)=1,1.25,IF(_xlfn.XLOOKUP(E76,Groups!A:A,Groups!BD:BD)=1,3.5,2.5))</f>
        <v>1.0473751742036277</v>
      </c>
      <c r="BF76" s="8">
        <f>EXP(1.076*LN(AQ76)-4.5397)*IF(_xlfn.XLOOKUP(E76,Groups!A:A,Groups!M:M)=1,0.8,IF(_xlfn.XLOOKUP(E76,Groups!A:A,Groups!BC:BC)=1,1.3,3))</f>
        <v>1.7735367701517157</v>
      </c>
      <c r="BG76" s="8" t="str">
        <f>IF(W76="No","No",IF(_xlfn.XLOOKUP(E76,Groups!A:A,Groups!U:U)=1,'Base stats'!BH76,IF(OR(_xlfn.XLOOKUP(E76,Groups!A:A,Groups!BD:BD)=1,_xlfn.XLOOKUP(E76,Groups!A:A,Groups!U:U)=2),BE76,BF76))*1.2)</f>
        <v>No</v>
      </c>
      <c r="BH76" s="8">
        <f>IFERROR(EXP(1.076*LN(AR76)-4.5397)*IF(_xlfn.XLOOKUP(E76,Groups!A:A,Groups!N:N)="Insect",1,IF(OR(_xlfn.XLOOKUP(E76,Groups!A:A,Groups!N:N)="Pig",_xlfn.XLOOKUP(E76,Groups!A:A,Groups!N:N)="StrongBitingHerbivore"),3.5,3.75)),"No")</f>
        <v>1.9741002322431316</v>
      </c>
      <c r="BI76" s="8">
        <f t="shared" si="44"/>
        <v>9</v>
      </c>
      <c r="BJ76" s="8">
        <f t="shared" si="45"/>
        <v>9</v>
      </c>
      <c r="BK76" s="8" t="str">
        <f t="shared" si="40"/>
        <v>No</v>
      </c>
      <c r="BL76" s="8">
        <f t="shared" si="41"/>
        <v>6</v>
      </c>
      <c r="BM76" s="8">
        <f t="shared" si="46"/>
        <v>10</v>
      </c>
      <c r="BN76" s="8" t="str" cm="1">
        <f t="array" ref="BN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O76" s="8" t="str">
        <f>IF(W76="No","No",IF(_xlfn.XLOOKUP(E76,Groups!A:A,Groups!BD:BD)=1,(AM76*5%),EXP(0.7354*LN(C76)^0.4078)*2/IF(_xlfn.XLOOKUP(E76,Groups!A:A,Groups!BL:BL)=1,1000,100)))</f>
        <v>No</v>
      </c>
      <c r="BP76" s="8">
        <f>IF(BH76="No","No",IF(_xlfn.XLOOKUP(E76,Groups!A:A,Groups!BF:BF)=1,(0.0315*C76+2.1825)*2,(0.7354*C76^0.4078)*2)/IF(_xlfn.XLOOKUP(E76,Groups!A:A,Groups!BM:BM)=1,1000,100))</f>
        <v>1.1086477730522874E-2</v>
      </c>
      <c r="BQ76" s="8">
        <f t="shared" si="42"/>
        <v>2.9612753377009197E-2</v>
      </c>
      <c r="BR76" s="8" t="str">
        <f t="shared" si="47"/>
        <v>No</v>
      </c>
      <c r="BS76" s="8" t="str">
        <f t="shared" si="43"/>
        <v>No</v>
      </c>
      <c r="BT76" s="8">
        <f t="shared" si="48"/>
        <v>178.06378907956608</v>
      </c>
      <c r="BU76" s="4">
        <v>0</v>
      </c>
      <c r="BV76" s="4">
        <v>1</v>
      </c>
    </row>
    <row r="77" spans="1:74" x14ac:dyDescent="0.25">
      <c r="A77" s="26" t="s">
        <v>218</v>
      </c>
      <c r="B77" s="6" t="s">
        <v>310</v>
      </c>
      <c r="C77" s="7">
        <v>55</v>
      </c>
      <c r="D77" s="7" t="s">
        <v>538</v>
      </c>
      <c r="E77" s="7" t="str">
        <f>Groups!A22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538</v>
      </c>
      <c r="L77" s="7">
        <v>20</v>
      </c>
      <c r="M77" s="7" t="s">
        <v>538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945</v>
      </c>
      <c r="Y77" s="4" t="s">
        <v>56</v>
      </c>
      <c r="Z77" s="4">
        <v>0</v>
      </c>
      <c r="AA77" s="4">
        <v>0</v>
      </c>
      <c r="AB77" s="4">
        <v>0</v>
      </c>
      <c r="AC77" s="4" t="s">
        <v>45</v>
      </c>
      <c r="AD77" s="4" t="s">
        <v>45</v>
      </c>
      <c r="AE77" s="28" t="s">
        <v>45</v>
      </c>
      <c r="AF77" s="4" t="s">
        <v>45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4" t="s">
        <v>40</v>
      </c>
      <c r="AM77" s="8">
        <f t="shared" si="34"/>
        <v>15016.154461994613</v>
      </c>
      <c r="AN77" s="8">
        <f>IFERROR(C77*_xlfn.XLOOKUP(E77,Groups!A:A,Groups!K:K),0.106*C77^0.94)</f>
        <v>4.5840230568262754</v>
      </c>
      <c r="AO77" s="8">
        <f>AN77*10000/(_xlfn.XLOOKUP(E77,Groups!A:A,Groups!J:J)*AM77)</f>
        <v>2.8006676082426014</v>
      </c>
      <c r="AP77" s="8">
        <f t="shared" si="35"/>
        <v>1605.1850768028401</v>
      </c>
      <c r="AQ77" s="8">
        <f>IF(_xlfn.XLOOKUP(E77,Groups!A:A,Groups!M:M)=1,EXP(0.7444*LN('Base stats'!C77)+6.5696),EXP(0.7927*LN('Base stats'!C77)+4.28))</f>
        <v>1731.2743173050442</v>
      </c>
      <c r="AR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"No")))))))))))))))</f>
        <v>859.52766860068562</v>
      </c>
      <c r="AS77" s="8">
        <f>IF(_xlfn.XLOOKUP(E77,Groups!A:A,Groups!U:U)=3,AQ77,IF(_xlfn.XLOOKUP(E77,Groups!A:A,Groups!U:U)=2,AP77,AR77))</f>
        <v>859.52766860068562</v>
      </c>
      <c r="AT77" s="46">
        <f>IFERROR(AVERAGE(_xlfn.XLOOKUP(B77,Animals!B:B,Animals!N:N),_xlfn.XLOOKUP(B77,Animals!B:B,Animals!O:O)),0)</f>
        <v>0</v>
      </c>
      <c r="AU77" s="8">
        <f>MROUND(40*Animals!AO77*_xlfn.XLOOKUP(Animals!BB77,Leathers!$A$2:$A$100,Leathers!$B$2:$B$100,0)+(140*_xlfn.XLOOKUP(B77,Animals!B:B,Animals!AO:AO)*2),5)</f>
        <v>250</v>
      </c>
      <c r="AV77" s="8">
        <f>IFERROR(ROUND(SQRT(V77-1)*IF(_xlfn.XLOOKUP(E77,Groups!A:A,Groups!BF:BF)=0,2,1)*IF(_xlfn.XLOOKUP('Base stats'!E77,Groups!A:A,Groups!O:O)=0,1,0.1),1),0)</f>
        <v>0.7</v>
      </c>
      <c r="AW77" s="8">
        <f t="shared" si="36"/>
        <v>0</v>
      </c>
      <c r="AX77" s="8">
        <f t="shared" si="37"/>
        <v>0</v>
      </c>
      <c r="AY77" s="8">
        <f t="shared" si="38"/>
        <v>3.4</v>
      </c>
      <c r="AZ77" s="8">
        <f>IF(_xlfn.XLOOKUP(E77,Groups!A:A,Groups!N:N)="Insect",BB77*2.5,IFERROR(AVERAGE(BB77,AR77/9.81/IF(OR(_xlfn.XLOOKUP(E77,Groups!A:A,Groups!N:N)="Pig",_xlfn.XLOOKUP(E77,Groups!A:A,Groups!N:N)="StrongBitingHerbivore"),20,25))*C77^-0.135,BB77))</f>
        <v>1.3389906085500163</v>
      </c>
      <c r="BA77" s="8" t="str">
        <f>IF(W77="No","No",IF(_xlfn.XLOOKUP(E77,Groups!A:A,Groups!U:U)=1,'Base stats'!AZ77,IF(OR(_xlfn.XLOOKUP(E77,Groups!A:A,Groups!BD:BD)=1,_xlfn.XLOOKUP(E77,Groups!A:A,Groups!U:U)=2),BB77,IF(_xlfn.XLOOKUP(B77,Animals!B:B,Animals!AO:AO)&gt;4,AVERAGE(BB77,BD77),BD77))))</f>
        <v>No</v>
      </c>
      <c r="BB77" s="8">
        <f t="shared" si="39"/>
        <v>1.0952858120082261</v>
      </c>
      <c r="BC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D77" s="8">
        <f>(0.048*C77^1.01)/IF(_xlfn.XLOOKUP(E77,Groups!A:A,Groups!M:M)=1,0.25,0.8)*C77^-0.25</f>
        <v>1.2613246825021767</v>
      </c>
      <c r="BE77" s="8">
        <f>EXP(1.076*LN(AP77)-4.5397)*IF(_xlfn.XLOOKUP(E77,Groups!A:A,Groups!BC:BC)=1,1.25,IF(_xlfn.XLOOKUP(E77,Groups!A:A,Groups!BD:BD)=1,3.5,2.5))</f>
        <v>75.078981297499624</v>
      </c>
      <c r="BF77" s="8">
        <f>EXP(1.076*LN(AQ77)-4.5397)*IF(_xlfn.XLOOKUP(E77,Groups!A:A,Groups!M:M)=1,0.8,IF(_xlfn.XLOOKUP(E77,Groups!A:A,Groups!BC:BC)=1,1.3,3))</f>
        <v>97.731888109270812</v>
      </c>
      <c r="BG77" s="8" t="str">
        <f>IF(W77="No","No",IF(_xlfn.XLOOKUP(E77,Groups!A:A,Groups!U:U)=1,'Base stats'!BH77,IF(OR(_xlfn.XLOOKUP(E77,Groups!A:A,Groups!BD:BD)=1,_xlfn.XLOOKUP(E77,Groups!A:A,Groups!U:U)=2),BE77,BF77))*1.2)</f>
        <v>No</v>
      </c>
      <c r="BH77" s="8">
        <f>IFERROR(EXP(1.076*LN(AR77)-4.5397)*IF(_xlfn.XLOOKUP(E77,Groups!A:A,Groups!N:N)="Insect",1,IF(OR(_xlfn.XLOOKUP(E77,Groups!A:A,Groups!N:N)="Pig",_xlfn.XLOOKUP(E77,Groups!A:A,Groups!N:N)="StrongBitingHerbivore"),3.5,3.75)),"No")</f>
        <v>57.507994044239602</v>
      </c>
      <c r="BI77" s="8">
        <f t="shared" si="44"/>
        <v>11</v>
      </c>
      <c r="BJ77" s="8">
        <f t="shared" si="45"/>
        <v>10</v>
      </c>
      <c r="BK77" s="8" t="str">
        <f t="shared" si="40"/>
        <v>No</v>
      </c>
      <c r="BL77" s="8">
        <f t="shared" si="41"/>
        <v>9</v>
      </c>
      <c r="BM77" s="8">
        <f t="shared" si="46"/>
        <v>12</v>
      </c>
      <c r="BN77" s="8" t="str" cm="1">
        <f t="array" ref="BN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O77" s="8" t="str">
        <f>IF(W77="No","No",IF(_xlfn.XLOOKUP(E77,Groups!A:A,Groups!BD:BD)=1,(AM77*5%),EXP(0.7354*LN(C77)^0.4078)*2/IF(_xlfn.XLOOKUP(E77,Groups!A:A,Groups!BL:BL)=1,1000,100)))</f>
        <v>No</v>
      </c>
      <c r="BP77" s="8">
        <f>IF(BH77="No","No",IF(_xlfn.XLOOKUP(E77,Groups!A:A,Groups!BF:BF)=1,(0.0315*C77+2.1825)*2,(0.7354*C77^0.4078)*2)/IF(_xlfn.XLOOKUP(E77,Groups!A:A,Groups!BM:BM)=1,1000,100))</f>
        <v>7.5383018919233477E-2</v>
      </c>
      <c r="BQ77" s="8">
        <f t="shared" si="42"/>
        <v>9.9997614552410241E-2</v>
      </c>
      <c r="BR77" s="8" t="str">
        <f t="shared" si="47"/>
        <v>No</v>
      </c>
      <c r="BS77" s="8" t="str">
        <f t="shared" si="43"/>
        <v>No</v>
      </c>
      <c r="BT77" s="8">
        <f t="shared" si="48"/>
        <v>762.8773013966786</v>
      </c>
      <c r="BU77" s="4">
        <v>0</v>
      </c>
      <c r="BV77" s="4">
        <v>1</v>
      </c>
    </row>
    <row r="78" spans="1:74" x14ac:dyDescent="0.25">
      <c r="A78" s="26" t="s">
        <v>217</v>
      </c>
      <c r="B78" s="6" t="s">
        <v>186</v>
      </c>
      <c r="C78" s="7">
        <f>AVERAGE(1316,1354)</f>
        <v>1335</v>
      </c>
      <c r="D78" s="7" t="s">
        <v>1305</v>
      </c>
      <c r="E78" s="7" t="str">
        <f>Groups!A39</f>
        <v>Hippolike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575</v>
      </c>
      <c r="L78" s="7">
        <v>25</v>
      </c>
      <c r="M78" s="7" t="s">
        <v>638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945</v>
      </c>
      <c r="Y78" s="4" t="s">
        <v>42</v>
      </c>
      <c r="Z78" s="4">
        <v>0</v>
      </c>
      <c r="AA78" s="4">
        <v>0.1</v>
      </c>
      <c r="AB78" s="4">
        <v>0.3</v>
      </c>
      <c r="AC78" s="4" t="s">
        <v>45</v>
      </c>
      <c r="AD78" s="4" t="s">
        <v>410</v>
      </c>
      <c r="AE78" s="28" t="s">
        <v>392</v>
      </c>
      <c r="AF78" s="4" t="s">
        <v>45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4" t="s">
        <v>40</v>
      </c>
      <c r="AM78" s="8">
        <f t="shared" si="34"/>
        <v>119367.41844391671</v>
      </c>
      <c r="AN78" s="8">
        <f>IFERROR(C78*_xlfn.XLOOKUP(E78,Groups!A:A,Groups!K:K),0.106*C78^0.94)</f>
        <v>240.29999999999998</v>
      </c>
      <c r="AO78" s="8">
        <f>AN78*10000/(_xlfn.XLOOKUP(E78,Groups!A:A,Groups!J:J)*AM78)</f>
        <v>18.468918777858132</v>
      </c>
      <c r="AP78" s="8">
        <f t="shared" si="35"/>
        <v>23742.955296876786</v>
      </c>
      <c r="AQ78" s="8">
        <f>IF(_xlfn.XLOOKUP(E78,Groups!A:A,Groups!M:M)=1,EXP(0.7444*LN('Base stats'!C78)+6.5696),EXP(0.7927*LN('Base stats'!C78)+4.28))</f>
        <v>21694.486842690934</v>
      </c>
      <c r="AR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"No")))))))))))))))</f>
        <v>11235.576674661184</v>
      </c>
      <c r="AS78" s="8">
        <f>IF(_xlfn.XLOOKUP(E78,Groups!A:A,Groups!U:U)=3,AQ78,IF(_xlfn.XLOOKUP(E78,Groups!A:A,Groups!U:U)=2,AP78,AR78))</f>
        <v>11235.576674661184</v>
      </c>
      <c r="AT78" s="46">
        <f>IFERROR(AVERAGE(_xlfn.XLOOKUP(B78,Animals!B:B,Animals!N:N),_xlfn.XLOOKUP(B78,Animals!B:B,Animals!O:O)),0)</f>
        <v>0</v>
      </c>
      <c r="AU78" s="8">
        <f>MROUND(40*Animals!AO78*_xlfn.XLOOKUP(Animals!BB78,Leathers!$A$2:$A$100,Leathers!$B$2:$B$100,0)+(140*_xlfn.XLOOKUP(B78,Animals!B:B,Animals!AO:AO)*2),5)</f>
        <v>1605</v>
      </c>
      <c r="AV78" s="8">
        <f>IFERROR(ROUND(SQRT(V78-1)*IF(_xlfn.XLOOKUP(E78,Groups!A:A,Groups!BF:BF)=0,2,1)*IF(_xlfn.XLOOKUP('Base stats'!E78,Groups!A:A,Groups!O:O)=0,1,0.1),1),0)</f>
        <v>7</v>
      </c>
      <c r="AW78" s="8">
        <f t="shared" si="36"/>
        <v>0</v>
      </c>
      <c r="AX78" s="8">
        <f t="shared" si="37"/>
        <v>0</v>
      </c>
      <c r="AY78" s="8">
        <f t="shared" si="38"/>
        <v>10.5</v>
      </c>
      <c r="AZ78" s="8">
        <f>IF(_xlfn.XLOOKUP(E78,Groups!A:A,Groups!N:N)="Insect",BB78*2.5,IFERROR(AVERAGE(BB78,AR78/9.81/IF(OR(_xlfn.XLOOKUP(E78,Groups!A:A,Groups!N:N)="Pig",_xlfn.XLOOKUP(E78,Groups!A:A,Groups!N:N)="StrongBitingHerbivore"),20,25))*C78^-0.135,BB78))</f>
        <v>12.52370954490711</v>
      </c>
      <c r="BA78" s="8" t="str">
        <f>IF(W78="No","No",IF(_xlfn.XLOOKUP(E78,Groups!A:A,Groups!U:U)=1,'Base stats'!AZ78,IF(OR(_xlfn.XLOOKUP(E78,Groups!A:A,Groups!BD:BD)=1,_xlfn.XLOOKUP(E78,Groups!A:A,Groups!U:U)=2),BB78,IF(_xlfn.XLOOKUP(B78,Animals!B:B,Animals!AO:AO)&gt;4,AVERAGE(BB78,BD78),BD78))))</f>
        <v>No</v>
      </c>
      <c r="BB78" s="8">
        <f t="shared" si="39"/>
        <v>8.9104357162526373</v>
      </c>
      <c r="BC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D78" s="8">
        <f>(0.048*C78^1.01)/IF(_xlfn.XLOOKUP(E78,Groups!A:A,Groups!M:M)=1,0.25,0.8)*C78^-0.25</f>
        <v>14.240230278186942</v>
      </c>
      <c r="BE78" s="8">
        <f>EXP(1.076*LN(AP78)-4.5397)*IF(_xlfn.XLOOKUP(E78,Groups!A:A,Groups!BC:BC)=1,1.25,IF(_xlfn.XLOOKUP(E78,Groups!A:A,Groups!BD:BD)=1,3.5,2.5))</f>
        <v>1362.8522229463938</v>
      </c>
      <c r="BF78" s="8">
        <f>EXP(1.076*LN(AQ78)-4.5397)*IF(_xlfn.XLOOKUP(E78,Groups!A:A,Groups!M:M)=1,0.8,IF(_xlfn.XLOOKUP(E78,Groups!A:A,Groups!BC:BC)=1,1.3,3))</f>
        <v>1484.111499243088</v>
      </c>
      <c r="BG78" s="8" t="str">
        <f>IF(W78="No","No",IF(_xlfn.XLOOKUP(E78,Groups!A:A,Groups!U:U)=1,'Base stats'!BH78,IF(OR(_xlfn.XLOOKUP(E78,Groups!A:A,Groups!BD:BD)=1,_xlfn.XLOOKUP(E78,Groups!A:A,Groups!U:U)=2),BE78,BF78))*1.2)</f>
        <v>No</v>
      </c>
      <c r="BH78" s="8">
        <f>IFERROR(EXP(1.076*LN(AR78)-4.5397)*IF(_xlfn.XLOOKUP(E78,Groups!A:A,Groups!N:N)="Insect",1,IF(OR(_xlfn.XLOOKUP(E78,Groups!A:A,Groups!N:N)="Pig",_xlfn.XLOOKUP(E78,Groups!A:A,Groups!N:N)="StrongBitingHerbivore"),3.5,3.75)),"No")</f>
        <v>852.98619140962069</v>
      </c>
      <c r="BI78" s="8">
        <f t="shared" si="44"/>
        <v>17</v>
      </c>
      <c r="BJ78" s="8">
        <f t="shared" si="45"/>
        <v>12</v>
      </c>
      <c r="BK78" s="8" t="str">
        <f t="shared" si="40"/>
        <v>No</v>
      </c>
      <c r="BL78" s="8">
        <f t="shared" si="41"/>
        <v>11</v>
      </c>
      <c r="BM78" s="8">
        <f t="shared" si="46"/>
        <v>14</v>
      </c>
      <c r="BN78" s="8" t="str" cm="1">
        <f t="array" ref="BN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O78" s="8" t="str">
        <f>IF(W78="No","No",IF(_xlfn.XLOOKUP(E78,Groups!A:A,Groups!BD:BD)=1,(AM78*5%),EXP(0.7354*LN(C78)^0.4078)*2/IF(_xlfn.XLOOKUP(E78,Groups!A:A,Groups!BL:BL)=1,1000,100)))</f>
        <v>No</v>
      </c>
      <c r="BP78" s="8">
        <f>IF(BH78="No","No",IF(_xlfn.XLOOKUP(E78,Groups!A:A,Groups!BF:BF)=1,(0.0315*C78+2.1825)*2,(0.7354*C78^0.4078)*2)/IF(_xlfn.XLOOKUP(E78,Groups!A:A,Groups!BM:BM)=1,1000,100))</f>
        <v>0.88470000000000004</v>
      </c>
      <c r="BQ78" s="8">
        <f t="shared" si="42"/>
        <v>0.22834576481801233</v>
      </c>
      <c r="BR78" s="8" t="str">
        <f t="shared" si="47"/>
        <v>No</v>
      </c>
      <c r="BS78" s="8" t="str">
        <f t="shared" si="43"/>
        <v>No</v>
      </c>
      <c r="BT78" s="8">
        <f t="shared" si="48"/>
        <v>964.15303652042576</v>
      </c>
      <c r="BU78" s="4">
        <v>0</v>
      </c>
      <c r="BV78" s="4">
        <v>1</v>
      </c>
    </row>
    <row r="79" spans="1:74" x14ac:dyDescent="0.25">
      <c r="A79" s="26" t="s">
        <v>286</v>
      </c>
      <c r="B79" s="6" t="s">
        <v>287</v>
      </c>
      <c r="C79" s="7">
        <f>AVERAGE(8000,4000)</f>
        <v>6000</v>
      </c>
      <c r="D79" s="7" t="s">
        <v>1185</v>
      </c>
      <c r="E79" s="7" t="s">
        <v>72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538</v>
      </c>
      <c r="L79" s="7">
        <v>26</v>
      </c>
      <c r="M79" s="7" t="s">
        <v>638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IF(AR79="No","No",IF(_xlfn.XLOOKUP(E79,Groups!A:A,Groups!AM:AM)=1,MROUND(EXP(0.3582*LN(C79)-0.2221)*T79,0.05),IF(_xlfn.XLOOKUP(E79,Groups!A:A,Groups!AM:AM)=2,MROUND(EXP(0.3582*LN(C79)-0.2221)*T79,0.05),"Need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945</v>
      </c>
      <c r="Y79" s="4" t="s">
        <v>42</v>
      </c>
      <c r="Z79" s="4">
        <v>0</v>
      </c>
      <c r="AA79" s="4">
        <v>0</v>
      </c>
      <c r="AB79" s="4">
        <v>0</v>
      </c>
      <c r="AC79" s="4" t="s">
        <v>1082</v>
      </c>
      <c r="AD79" s="4" t="s">
        <v>407</v>
      </c>
      <c r="AE79" s="28" t="s">
        <v>396</v>
      </c>
      <c r="AF79" s="4" t="str">
        <f>Animals!C26</f>
        <v>&lt;li&gt;Elephant&lt;/li&gt;</v>
      </c>
      <c r="AG79" s="4">
        <v>1</v>
      </c>
      <c r="AH79" s="4">
        <v>0</v>
      </c>
      <c r="AI79" s="4">
        <v>0</v>
      </c>
      <c r="AJ79" s="4">
        <v>0</v>
      </c>
      <c r="AK79" s="4">
        <v>0</v>
      </c>
      <c r="AL79" s="44" t="s">
        <v>40</v>
      </c>
      <c r="AM79" s="8">
        <f t="shared" si="34"/>
        <v>317045.27964091528</v>
      </c>
      <c r="AN79" s="8">
        <f>IFERROR(C79*_xlfn.XLOOKUP(E79,Groups!A:A,Groups!K:K),0.106*C79^0.94)</f>
        <v>480</v>
      </c>
      <c r="AO79" s="8">
        <f>AN79*10000/(_xlfn.XLOOKUP(E79,Groups!A:A,Groups!J:J)*AM79)</f>
        <v>13.889718622394339</v>
      </c>
      <c r="AP79" s="8">
        <f t="shared" si="35"/>
        <v>84497.743412668031</v>
      </c>
      <c r="AQ79" s="8">
        <f>IF(_xlfn.XLOOKUP(E79,Groups!A:A,Groups!M:M)=1,EXP(0.7444*LN('Base stats'!C79)+6.5696),EXP(0.7927*LN('Base stats'!C79)+4.28))</f>
        <v>71403.726647358781</v>
      </c>
      <c r="AR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"No")))))))))))))))</f>
        <v>No</v>
      </c>
      <c r="AS79" s="8">
        <f>IF(_xlfn.XLOOKUP(E79,Groups!A:A,Groups!U:U)=3,AQ79,IF(_xlfn.XLOOKUP(E79,Groups!A:A,Groups!U:U)=2,AP79,AR79))</f>
        <v>71403.726647358781</v>
      </c>
      <c r="AT79" s="46">
        <f>IFERROR(AVERAGE(_xlfn.XLOOKUP(B79,Animals!B:B,Animals!N:N),_xlfn.XLOOKUP(B79,Animals!B:B,Animals!O:O)),0)</f>
        <v>0</v>
      </c>
      <c r="AU79" s="8">
        <f>MROUND(40*Animals!AO79*_xlfn.XLOOKUP(Animals!BB79,Leathers!$A$2:$A$100,Leathers!$B$2:$B$100,0)+(140*_xlfn.XLOOKUP(B79,Animals!B:B,Animals!AO:AO)*2),5)</f>
        <v>2200</v>
      </c>
      <c r="AV79" s="8">
        <f>IFERROR(ROUND(SQRT(V79-1)*IF(_xlfn.XLOOKUP(E79,Groups!A:A,Groups!BF:BF)=0,2,1)*IF(_xlfn.XLOOKUP('Base stats'!E79,Groups!A:A,Groups!O:O)=0,1,0.1),1),0)</f>
        <v>0</v>
      </c>
      <c r="AW79" s="8">
        <f t="shared" si="36"/>
        <v>0</v>
      </c>
      <c r="AX79" s="8">
        <f t="shared" si="37"/>
        <v>11.8</v>
      </c>
      <c r="AY79" s="8">
        <f t="shared" si="38"/>
        <v>18.100000000000001</v>
      </c>
      <c r="AZ79" s="8">
        <f>IF(_xlfn.XLOOKUP(E79,Groups!A:A,Groups!N:N)="Insect",BB79*2.5,IFERROR(AVERAGE(BB79,AR79/9.81/IF(OR(_xlfn.XLOOKUP(E79,Groups!A:A,Groups!N:N)="Pig",_xlfn.XLOOKUP(E79,Groups!A:A,Groups!N:N)="StrongBitingHerbivore"),20,25))*C79^-0.135,BB79))</f>
        <v>27.670187995209911</v>
      </c>
      <c r="BA79" s="8">
        <f>IF(W79="No","No",IF(_xlfn.XLOOKUP(E79,Groups!A:A,Groups!U:U)=1,'Base stats'!AZ79,IF(OR(_xlfn.XLOOKUP(E79,Groups!A:A,Groups!BD:BD)=1,_xlfn.XLOOKUP(E79,Groups!A:A,Groups!U:U)=2),BB79,IF(_xlfn.XLOOKUP(B79,Animals!B:B,Animals!AO:AO)&gt;4,AVERAGE(BB79,BD79),BD79))))</f>
        <v>36.145948551119211</v>
      </c>
      <c r="BB79" s="8">
        <f t="shared" si="39"/>
        <v>27.670187995209911</v>
      </c>
      <c r="BC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D79" s="8">
        <f>(0.048*C79^1.01)/IF(_xlfn.XLOOKUP(E79,Groups!A:A,Groups!M:M)=1,0.25,0.8)*C79^-0.25</f>
        <v>44.621709107028508</v>
      </c>
      <c r="BE79" s="8">
        <f>EXP(1.076*LN(AP79)-4.5397)*IF(_xlfn.XLOOKUP(E79,Groups!A:A,Groups!BC:BC)=1,1.25,IF(_xlfn.XLOOKUP(E79,Groups!A:A,Groups!BD:BD)=1,3.5,2.5))</f>
        <v>2670.7220547406591</v>
      </c>
      <c r="BF79" s="8">
        <f>EXP(1.076*LN(AQ79)-4.5397)*IF(_xlfn.XLOOKUP(E79,Groups!A:A,Groups!M:M)=1,0.8,IF(_xlfn.XLOOKUP(E79,Groups!A:A,Groups!BC:BC)=1,1.3,3))</f>
        <v>2317.2898443594122</v>
      </c>
      <c r="BG79" s="8">
        <f>IF(W79="No","No",IF(_xlfn.XLOOKUP(E79,Groups!A:A,Groups!U:U)=1,'Base stats'!BH79,IF(OR(_xlfn.XLOOKUP(E79,Groups!A:A,Groups!BD:BD)=1,_xlfn.XLOOKUP(E79,Groups!A:A,Groups!U:U)=2),BE79,BF79))*1.2)</f>
        <v>2780.7478132312945</v>
      </c>
      <c r="BH79" s="8" t="str">
        <f>IFERROR(EXP(1.076*LN(AR79)-4.5397)*IF(_xlfn.XLOOKUP(E79,Groups!A:A,Groups!N:N)="Insect",1,IF(OR(_xlfn.XLOOKUP(E79,Groups!A:A,Groups!N:N)="Pig",_xlfn.XLOOKUP(E79,Groups!A:A,Groups!N:N)="StrongBitingHerbivore"),3.5,3.75)),"No")</f>
        <v>No</v>
      </c>
      <c r="BI79" s="8">
        <f t="shared" si="44"/>
        <v>13</v>
      </c>
      <c r="BJ79" s="8">
        <f t="shared" si="45"/>
        <v>11</v>
      </c>
      <c r="BK79" s="8">
        <f t="shared" si="40"/>
        <v>12</v>
      </c>
      <c r="BL79" s="8" t="str">
        <f t="shared" si="41"/>
        <v>No</v>
      </c>
      <c r="BM79" s="8">
        <f t="shared" si="46"/>
        <v>10</v>
      </c>
      <c r="BN79" s="8" cm="1">
        <f t="array" ref="BN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O79" s="8">
        <f>IF(W79="No","No",IF(_xlfn.XLOOKUP(E79,Groups!A:A,Groups!BD:BD)=1,(AM79*5%),EXP(0.7354*LN(C79)^0.4078)*2/IF(_xlfn.XLOOKUP(E79,Groups!A:A,Groups!BL:BL)=1,1000,100)))</f>
        <v>0.11822361841876085</v>
      </c>
      <c r="BP79" s="8" t="str">
        <f>IF(BH79="No","No",IF(_xlfn.XLOOKUP(E79,Groups!A:A,Groups!BF:BF)=1,(0.0315*C79+2.1825)*2,(0.7354*C79^0.4078)*2)/IF(_xlfn.XLOOKUP(E79,Groups!A:A,Groups!BM:BM)=1,1000,100))</f>
        <v>No</v>
      </c>
      <c r="BQ79" s="8">
        <f t="shared" si="42"/>
        <v>0.16847574944282484</v>
      </c>
      <c r="BR79" s="8">
        <f t="shared" si="47"/>
        <v>2.5902091152033417</v>
      </c>
      <c r="BS79" s="8">
        <f t="shared" si="43"/>
        <v>23521.085299399183</v>
      </c>
      <c r="BT79" s="8" t="str">
        <f t="shared" si="48"/>
        <v>No</v>
      </c>
      <c r="BU79" s="4">
        <v>0</v>
      </c>
      <c r="BV79" s="4">
        <v>1</v>
      </c>
    </row>
    <row r="80" spans="1:74" s="16" customFormat="1" x14ac:dyDescent="0.25">
      <c r="A80" s="26" t="s">
        <v>289</v>
      </c>
      <c r="B80" s="6" t="s">
        <v>1143</v>
      </c>
      <c r="C80" s="7">
        <v>7000</v>
      </c>
      <c r="D80" s="7" t="s">
        <v>538</v>
      </c>
      <c r="E80" s="7" t="str">
        <f>Groups!A63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538</v>
      </c>
      <c r="L80" s="7">
        <v>35</v>
      </c>
      <c r="M80" s="7" t="s">
        <v>638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IF(AR80="No","No",IF(_xlfn.XLOOKUP(E80,Groups!A:A,Groups!AM:AM)=1,MROUND(EXP(0.3582*LN(C80)-0.2221)*T80,0.05),IF(_xlfn.XLOOKUP(E80,Groups!A:A,Groups!AM:AM)=2,MROUND(EXP(0.3582*LN(C80)-0.2221)*T80,0.05),"Need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945</v>
      </c>
      <c r="Y80" s="4" t="s">
        <v>1022</v>
      </c>
      <c r="Z80" s="4">
        <v>0</v>
      </c>
      <c r="AA80" s="4">
        <v>0</v>
      </c>
      <c r="AB80" s="4">
        <v>0</v>
      </c>
      <c r="AC80" s="4" t="s">
        <v>1088</v>
      </c>
      <c r="AD80" s="4" t="s">
        <v>409</v>
      </c>
      <c r="AE80" s="28" t="s">
        <v>381</v>
      </c>
      <c r="AF80" s="4" t="str">
        <f>Animals!C27</f>
        <v>&lt;li&gt;Thrumbo&lt;/li&gt;</v>
      </c>
      <c r="AG80" s="4">
        <v>0</v>
      </c>
      <c r="AH80" s="4">
        <v>0</v>
      </c>
      <c r="AI80" s="4">
        <v>0</v>
      </c>
      <c r="AJ80" s="4">
        <v>0</v>
      </c>
      <c r="AK80" s="4">
        <v>1</v>
      </c>
      <c r="AL80" s="44" t="s">
        <v>40</v>
      </c>
      <c r="AM80" s="8">
        <f t="shared" si="34"/>
        <v>350458.58634124394</v>
      </c>
      <c r="AN80" s="8">
        <f>IFERROR(C80*_xlfn.XLOOKUP(E80,Groups!A:A,Groups!K:K),0.106*C80^0.94)</f>
        <v>436.21241605032162</v>
      </c>
      <c r="AO80" s="8">
        <f>AN80*10000/(_xlfn.XLOOKUP(E80,Groups!A:A,Groups!J:J)*AM80)</f>
        <v>11.419177406619859</v>
      </c>
      <c r="AP80" s="8">
        <f t="shared" si="35"/>
        <v>96248.742493610582</v>
      </c>
      <c r="AQ80" s="8">
        <f>IF(_xlfn.XLOOKUP(E80,Groups!A:A,Groups!M:M)=1,EXP(0.7444*LN('Base stats'!C80)+6.5696),EXP(0.7927*LN('Base stats'!C80)+4.28))</f>
        <v>80684.404662262488</v>
      </c>
      <c r="AR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"No")))))))))))))))</f>
        <v>No</v>
      </c>
      <c r="AS80" s="8">
        <f>IF(_xlfn.XLOOKUP(E80,Groups!A:A,Groups!U:U)=3,AQ80,IF(_xlfn.XLOOKUP(E80,Groups!A:A,Groups!U:U)=2,AP80,AR80))</f>
        <v>96248.742493610582</v>
      </c>
      <c r="AT80" s="46">
        <f>IFERROR(AVERAGE(_xlfn.XLOOKUP(B80,Animals!B:B,Animals!N:N),_xlfn.XLOOKUP(B80,Animals!B:B,Animals!O:O)),0)</f>
        <v>1.2000000000000002</v>
      </c>
      <c r="AU80" s="8">
        <f>MROUND(40*Animals!AO80*_xlfn.XLOOKUP(Animals!BB80,Leathers!$A$2:$A$100,Leathers!$B$2:$B$100,0)+(140*_xlfn.XLOOKUP(B80,Animals!B:B,Animals!AO:AO)*2),5)</f>
        <v>6480</v>
      </c>
      <c r="AV80" s="8">
        <f>IFERROR(ROUND(SQRT(V80-1)*IF(_xlfn.XLOOKUP(E80,Groups!A:A,Groups!BF:BF)=0,2,1)*IF(_xlfn.XLOOKUP('Base stats'!E80,Groups!A:A,Groups!O:O)=0,1,0.1),1),0)</f>
        <v>0</v>
      </c>
      <c r="AW80" s="8">
        <f t="shared" si="36"/>
        <v>0</v>
      </c>
      <c r="AX80" s="8">
        <f t="shared" si="37"/>
        <v>8.9</v>
      </c>
      <c r="AY80" s="8">
        <f t="shared" si="38"/>
        <v>19.100000000000001</v>
      </c>
      <c r="AZ80" s="8">
        <f>IF(_xlfn.XLOOKUP(E80,Groups!A:A,Groups!N:N)="Insect",BB80*2.5,IFERROR(AVERAGE(BB80,AR80/9.81/IF(OR(_xlfn.XLOOKUP(E80,Groups!A:A,Groups!N:N)="Pig",_xlfn.XLOOKUP(E80,Groups!A:A,Groups!N:N)="StrongBitingHerbivore"),20,25))*C80^-0.135,BB80))</f>
        <v>31.080642587354337</v>
      </c>
      <c r="BA80" s="8">
        <f>IF(W80="No","No",IF(_xlfn.XLOOKUP(E80,Groups!A:A,Groups!U:U)=1,'Base stats'!AZ80,IF(OR(_xlfn.XLOOKUP(E80,Groups!A:A,Groups!BD:BD)=1,_xlfn.XLOOKUP(E80,Groups!A:A,Groups!U:U)=2),BB80,IF(_xlfn.XLOOKUP(B80,Animals!B:B,Animals!AO:AO)&gt;4,AVERAGE(BB80,BD80),BD80))))</f>
        <v>31.080642587354337</v>
      </c>
      <c r="BB80" s="8">
        <f t="shared" si="39"/>
        <v>31.080642587354337</v>
      </c>
      <c r="BC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D80" s="8">
        <f>(0.048*C80^1.01)/IF(_xlfn.XLOOKUP(E80,Groups!A:A,Groups!M:M)=1,0.25,0.8)*C80^-0.25</f>
        <v>50.167881368257298</v>
      </c>
      <c r="BE80" s="8">
        <f>EXP(1.076*LN(AP80)-4.5397)*IF(_xlfn.XLOOKUP(E80,Groups!A:A,Groups!BC:BC)=1,1.25,IF(_xlfn.XLOOKUP(E80,Groups!A:A,Groups!BD:BD)=1,3.5,2.5))</f>
        <v>3072.3907043748436</v>
      </c>
      <c r="BF80" s="8">
        <f>EXP(1.076*LN(AQ80)-4.5397)*IF(_xlfn.XLOOKUP(E80,Groups!A:A,Groups!M:M)=1,0.8,IF(_xlfn.XLOOKUP(E80,Groups!A:A,Groups!BC:BC)=1,1.3,3))</f>
        <v>2642.9095557450332</v>
      </c>
      <c r="BG80" s="8">
        <f>IF(W80="No","No",IF(_xlfn.XLOOKUP(E80,Groups!A:A,Groups!U:U)=1,'Base stats'!BH80,IF(OR(_xlfn.XLOOKUP(E80,Groups!A:A,Groups!BD:BD)=1,_xlfn.XLOOKUP(E80,Groups!A:A,Groups!U:U)=2),BE80,BF80))*1.2)</f>
        <v>3686.8688452498122</v>
      </c>
      <c r="BH80" s="8" t="str">
        <f>IFERROR(EXP(1.076*LN(AR80)-4.5397)*IF(_xlfn.XLOOKUP(E80,Groups!A:A,Groups!N:N)="Insect",1,IF(OR(_xlfn.XLOOKUP(E80,Groups!A:A,Groups!N:N)="Pig",_xlfn.XLOOKUP(E80,Groups!A:A,Groups!N:N)="StrongBitingHerbivore"),3.5,3.75)),"No")</f>
        <v>No</v>
      </c>
      <c r="BI80" s="8">
        <f t="shared" si="44"/>
        <v>14</v>
      </c>
      <c r="BJ80" s="8">
        <f t="shared" si="45"/>
        <v>11</v>
      </c>
      <c r="BK80" s="8">
        <f t="shared" si="40"/>
        <v>15</v>
      </c>
      <c r="BL80" s="8" t="str">
        <f t="shared" si="41"/>
        <v>No</v>
      </c>
      <c r="BM80" s="8">
        <f t="shared" si="46"/>
        <v>10</v>
      </c>
      <c r="BN80" s="8" cm="1">
        <f t="array" ref="BN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O80" s="8">
        <f>IF(W80="No","No",IF(_xlfn.XLOOKUP(E80,Groups!A:A,Groups!BD:BD)=1,(AM80*5%),EXP(0.7354*LN(C80)^0.4078)*2/IF(_xlfn.XLOOKUP(E80,Groups!A:A,Groups!BL:BL)=1,1000,100)))</f>
        <v>1.1974334259305537E-2</v>
      </c>
      <c r="BP80" s="8" t="str">
        <f>IF(BH80="No","No",IF(_xlfn.XLOOKUP(E80,Groups!A:A,Groups!BF:BF)=1,(0.0315*C80+2.1825)*2,(0.7354*C80^0.4078)*2)/IF(_xlfn.XLOOKUP(E80,Groups!A:A,Groups!BM:BM)=1,1000,100))</f>
        <v>No</v>
      </c>
      <c r="BQ80" s="8">
        <f t="shared" si="42"/>
        <v>0.17533545041371795</v>
      </c>
      <c r="BR80" s="8">
        <f t="shared" si="47"/>
        <v>2.5521275047954406</v>
      </c>
      <c r="BS80" s="8">
        <f t="shared" si="43"/>
        <v>307897.60544596956</v>
      </c>
      <c r="BT80" s="8" t="str">
        <f t="shared" si="48"/>
        <v>No</v>
      </c>
      <c r="BU80" s="4">
        <v>0</v>
      </c>
      <c r="BV80" s="4">
        <v>1</v>
      </c>
    </row>
    <row r="81" spans="1:74" x14ac:dyDescent="0.25">
      <c r="A81" s="26" t="s">
        <v>221</v>
      </c>
      <c r="B81" s="6" t="s">
        <v>235</v>
      </c>
      <c r="C81" s="7">
        <v>5.5</v>
      </c>
      <c r="D81" s="7" t="s">
        <v>576</v>
      </c>
      <c r="E81" s="7" t="s">
        <v>938</v>
      </c>
      <c r="F81" s="7">
        <v>133</v>
      </c>
      <c r="G81" s="7">
        <f>365/365</f>
        <v>1</v>
      </c>
      <c r="H81" s="7">
        <v>22.3</v>
      </c>
      <c r="I81" s="4">
        <v>0</v>
      </c>
      <c r="J81" s="7">
        <v>4</v>
      </c>
      <c r="K81" s="7" t="s">
        <v>576</v>
      </c>
      <c r="L81" s="7">
        <f>MIN(20*C81^0.183,19.9*C81^0.142)</f>
        <v>25.350386103494984</v>
      </c>
      <c r="M81" s="7" t="s">
        <v>638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945</v>
      </c>
      <c r="Y81" s="4" t="s">
        <v>53</v>
      </c>
      <c r="Z81" s="4">
        <v>0</v>
      </c>
      <c r="AA81" s="4">
        <v>0</v>
      </c>
      <c r="AB81" s="4">
        <v>0</v>
      </c>
      <c r="AC81" s="4" t="s">
        <v>45</v>
      </c>
      <c r="AD81" s="4" t="s">
        <v>45</v>
      </c>
      <c r="AE81" s="28" t="s">
        <v>382</v>
      </c>
      <c r="AF81" s="4" t="s">
        <v>45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4" t="s">
        <v>40</v>
      </c>
      <c r="AM81" s="8">
        <f t="shared" si="34"/>
        <v>3361.6982414074623</v>
      </c>
      <c r="AN81" s="8">
        <f>IFERROR(C81*_xlfn.XLOOKUP(E81,Groups!A:A,Groups!K:K),0.106*C81^0.94)</f>
        <v>1.76</v>
      </c>
      <c r="AO81" s="8">
        <f>AN81*10000/(_xlfn.XLOOKUP(E81,Groups!A:A,Groups!J:J)*AM81)</f>
        <v>5.4535928024454705</v>
      </c>
      <c r="AP81" s="8">
        <f t="shared" si="35"/>
        <v>229.52241957602808</v>
      </c>
      <c r="AQ81" s="8">
        <f>IF(_xlfn.XLOOKUP(E81,Groups!A:A,Groups!M:M)=1,EXP(0.7444*LN('Base stats'!C81)+6.5696),EXP(0.7927*LN('Base stats'!C81)+4.28))</f>
        <v>279.03962943422897</v>
      </c>
      <c r="AR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"No")))))))))))))))</f>
        <v>243.92832248984715</v>
      </c>
      <c r="AS81" s="8">
        <f>IF(_xlfn.XLOOKUP(E81,Groups!A:A,Groups!U:U)=3,AQ81,IF(_xlfn.XLOOKUP(E81,Groups!A:A,Groups!U:U)=2,AP81,AR81))</f>
        <v>243.92832248984715</v>
      </c>
      <c r="AT81" s="46">
        <f>IFERROR(AVERAGE(_xlfn.XLOOKUP(B81,Animals!B:B,Animals!N:N),_xlfn.XLOOKUP(B81,Animals!B:B,Animals!O:O)),0)</f>
        <v>0.25</v>
      </c>
      <c r="AU81" s="8">
        <f>MROUND(40*Animals!AO81*_xlfn.XLOOKUP(Animals!BB81,Leathers!$A$2:$A$100,Leathers!$B$2:$B$100,0)+(140*_xlfn.XLOOKUP(B81,Animals!B:B,Animals!AO:AO)*2),5)</f>
        <v>120</v>
      </c>
      <c r="AV81" s="8">
        <f>IFERROR(ROUND(SQRT(V81-1)*IF(_xlfn.XLOOKUP(E81,Groups!A:A,Groups!BF:BF)=0,2,1)*IF(_xlfn.XLOOKUP('Base stats'!E81,Groups!A:A,Groups!O:O)=0,1,0.1),1),0)</f>
        <v>1.4</v>
      </c>
      <c r="AW81" s="8">
        <f t="shared" si="36"/>
        <v>1</v>
      </c>
      <c r="AX81" s="8">
        <f t="shared" si="37"/>
        <v>0</v>
      </c>
      <c r="AY81" s="8">
        <f t="shared" si="38"/>
        <v>1.1000000000000001</v>
      </c>
      <c r="AZ81" s="8">
        <f>IF(_xlfn.XLOOKUP(E81,Groups!A:A,Groups!N:N)="Insect",BB81*2.5,IFERROR(AVERAGE(BB81,AR81/9.81/IF(OR(_xlfn.XLOOKUP(E81,Groups!A:A,Groups!N:N)="Pig",_xlfn.XLOOKUP(E81,Groups!A:A,Groups!N:N)="StrongBitingHerbivore"),20,25))*C81^-0.135,BB81))</f>
        <v>0.4592721757129784</v>
      </c>
      <c r="BA81" s="8" t="str">
        <f>IF(W81="No","No",IF(_xlfn.XLOOKUP(E81,Groups!A:A,Groups!U:U)=1,'Base stats'!AZ81,IF(OR(_xlfn.XLOOKUP(E81,Groups!A:A,Groups!BD:BD)=1,_xlfn.XLOOKUP(E81,Groups!A:A,Groups!U:U)=2),BB81,IF(_xlfn.XLOOKUP(B81,Animals!B:B,Animals!AO:AO)&gt;4,AVERAGE(BB81,BD81),BD81))))</f>
        <v>No</v>
      </c>
      <c r="BB81" s="8">
        <f t="shared" si="39"/>
        <v>0.16163204285849328</v>
      </c>
      <c r="BC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0.26837449888753917</v>
      </c>
      <c r="BD81" s="8">
        <f>(0.048*C81^1.01)/IF(_xlfn.XLOOKUP(E81,Groups!A:A,Groups!M:M)=1,0.25,0.8)*C81^-0.25</f>
        <v>0.21919310785743251</v>
      </c>
      <c r="BE81" s="8">
        <f>EXP(1.076*LN(AP81)-4.5397)*IF(_xlfn.XLOOKUP(E81,Groups!A:A,Groups!BC:BC)=1,1.25,IF(_xlfn.XLOOKUP(E81,Groups!A:A,Groups!BD:BD)=1,3.5,2.5))</f>
        <v>9.260217158407297</v>
      </c>
      <c r="BF81" s="8">
        <f>EXP(1.076*LN(AQ81)-4.5397)*IF(_xlfn.XLOOKUP(E81,Groups!A:A,Groups!M:M)=1,0.8,IF(_xlfn.XLOOKUP(E81,Groups!A:A,Groups!BC:BC)=1,1.3,3))</f>
        <v>13.711693256346145</v>
      </c>
      <c r="BG81" s="8" t="str">
        <f>IF(W81="No","No",IF(_xlfn.XLOOKUP(E81,Groups!A:A,Groups!U:U)=1,'Base stats'!BH81,IF(OR(_xlfn.XLOOKUP(E81,Groups!A:A,Groups!BD:BD)=1,_xlfn.XLOOKUP(E81,Groups!A:A,Groups!U:U)=2),BE81,BF81))*1.2)</f>
        <v>No</v>
      </c>
      <c r="BH81" s="8">
        <f>IFERROR(EXP(1.076*LN(AR81)-4.5397)*IF(_xlfn.XLOOKUP(E81,Groups!A:A,Groups!N:N)="Insect",1,IF(OR(_xlfn.XLOOKUP(E81,Groups!A:A,Groups!N:N)="Pig",_xlfn.XLOOKUP(E81,Groups!A:A,Groups!N:N)="StrongBitingHerbivore"),3.5,3.75)),"No")</f>
        <v>14.830601542844571</v>
      </c>
      <c r="BI81" s="8">
        <f t="shared" si="44"/>
        <v>10</v>
      </c>
      <c r="BJ81" s="8">
        <f t="shared" si="45"/>
        <v>10</v>
      </c>
      <c r="BK81" s="8" t="str">
        <f t="shared" si="40"/>
        <v>No</v>
      </c>
      <c r="BL81" s="8">
        <f t="shared" si="41"/>
        <v>8</v>
      </c>
      <c r="BM81" s="8">
        <f t="shared" si="46"/>
        <v>11</v>
      </c>
      <c r="BN81" s="8" t="str" cm="1">
        <f t="array" ref="BN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O81" s="8" t="str">
        <f>IF(W81="No","No",IF(_xlfn.XLOOKUP(E81,Groups!A:A,Groups!BD:BD)=1,(AM81*5%),EXP(0.7354*LN(C81)^0.4078)*2/IF(_xlfn.XLOOKUP(E81,Groups!A:A,Groups!BL:BL)=1,1000,100)))</f>
        <v>No</v>
      </c>
      <c r="BP81" s="8">
        <f>IF(BH81="No","No",IF(_xlfn.XLOOKUP(E81,Groups!A:A,Groups!BF:BF)=1,(0.0315*C81+2.1825)*2,(0.7354*C81^0.4078)*2)/IF(_xlfn.XLOOKUP(E81,Groups!A:A,Groups!BM:BM)=1,1000,100))</f>
        <v>2.9476337872033787E-2</v>
      </c>
      <c r="BQ81" s="8">
        <f t="shared" si="42"/>
        <v>5.5092494884551362E-2</v>
      </c>
      <c r="BR81" s="8" t="str">
        <f t="shared" si="47"/>
        <v>No</v>
      </c>
      <c r="BS81" s="8" t="str">
        <f t="shared" si="43"/>
        <v>No</v>
      </c>
      <c r="BT81" s="8">
        <f t="shared" si="48"/>
        <v>503.1358239693464</v>
      </c>
      <c r="BU81" s="4">
        <v>0</v>
      </c>
      <c r="BV81" s="4">
        <v>1</v>
      </c>
    </row>
    <row r="82" spans="1:74" x14ac:dyDescent="0.25">
      <c r="A82" s="26" t="s">
        <v>199</v>
      </c>
      <c r="B82" s="6" t="s">
        <v>254</v>
      </c>
      <c r="C82" s="7">
        <v>19.5</v>
      </c>
      <c r="D82" s="7" t="s">
        <v>941</v>
      </c>
      <c r="E82" s="7" t="str">
        <f>Groups!A36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577</v>
      </c>
      <c r="L82" s="7">
        <f>MIN(20*C82^0.183,19.9*C82^0.142)</f>
        <v>30.34156594609226</v>
      </c>
      <c r="M82" s="7" t="s">
        <v>638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IF(AR82="No","No",IF(_xlfn.XLOOKUP(E82,Groups!A:A,Groups!AM:AM)=1,MROUND(EXP(0.3582*LN(C82)-0.2221)*T82,0.05),IF(_xlfn.XLOOKUP(E82,Groups!A:A,Groups!AM:AM)=2,MROUND(EXP(0.3582*LN(C82)-0.2221)*T82,0.05),"Need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945</v>
      </c>
      <c r="Y82" s="4" t="s">
        <v>56</v>
      </c>
      <c r="Z82" s="4">
        <v>1</v>
      </c>
      <c r="AA82" s="4">
        <v>0</v>
      </c>
      <c r="AB82" s="4">
        <v>0</v>
      </c>
      <c r="AC82" s="4" t="s">
        <v>45</v>
      </c>
      <c r="AD82" s="4" t="s">
        <v>45</v>
      </c>
      <c r="AE82" s="28" t="s">
        <v>394</v>
      </c>
      <c r="AF82" s="4" t="s">
        <v>45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4" t="s">
        <v>40</v>
      </c>
      <c r="AM82" s="8">
        <f t="shared" si="34"/>
        <v>7653.2425283064531</v>
      </c>
      <c r="AN82" s="8">
        <f>IFERROR(C82*_xlfn.XLOOKUP(E82,Groups!A:A,Groups!K:K),0.106*C82^0.94)</f>
        <v>2.4326249999999998</v>
      </c>
      <c r="AO82" s="8">
        <f>AN82*10000/(_xlfn.XLOOKUP(E82,Groups!A:A,Groups!J:J)*AM82)</f>
        <v>2.9161052283282691</v>
      </c>
      <c r="AP82" s="8">
        <f t="shared" si="35"/>
        <v>668.54860340455468</v>
      </c>
      <c r="AQ82" s="8">
        <f>IF(_xlfn.XLOOKUP(E82,Groups!A:A,Groups!M:M)=1,EXP(0.7444*LN('Base stats'!C82)+6.5696),EXP(0.7927*LN('Base stats'!C82)+4.28))</f>
        <v>761.01079790211725</v>
      </c>
      <c r="AR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"No")))))))))))))))</f>
        <v>1382.2468726417935</v>
      </c>
      <c r="AS82" s="8">
        <f>IF(_xlfn.XLOOKUP(E82,Groups!A:A,Groups!U:U)=3,AQ82,IF(_xlfn.XLOOKUP(E82,Groups!A:A,Groups!U:U)=2,AP82,AR82))</f>
        <v>1382.2468726417935</v>
      </c>
      <c r="AT82" s="46">
        <f>IFERROR(AVERAGE(_xlfn.XLOOKUP(B82,Animals!B:B,Animals!N:N),_xlfn.XLOOKUP(B82,Animals!B:B,Animals!O:O)),0)</f>
        <v>0</v>
      </c>
      <c r="AU82" s="8">
        <f>MROUND(40*Animals!AO82*_xlfn.XLOOKUP(Animals!BB82,Leathers!$A$2:$A$100,Leathers!$B$2:$B$100,0)+(140*_xlfn.XLOOKUP(B82,Animals!B:B,Animals!AO:AO)*2),5)</f>
        <v>195</v>
      </c>
      <c r="AV82" s="8">
        <f>IFERROR(ROUND(SQRT(V82-1)*IF(_xlfn.XLOOKUP(E82,Groups!A:A,Groups!BF:BF)=0,2,1)*IF(_xlfn.XLOOKUP('Base stats'!E82,Groups!A:A,Groups!O:O)=0,1,0.1),1),0)</f>
        <v>2.7</v>
      </c>
      <c r="AW82" s="8">
        <f t="shared" si="36"/>
        <v>1.7</v>
      </c>
      <c r="AX82" s="8">
        <f t="shared" si="37"/>
        <v>0</v>
      </c>
      <c r="AY82" s="8">
        <f t="shared" si="38"/>
        <v>2.2999999999999998</v>
      </c>
      <c r="AZ82" s="8">
        <f>IF(_xlfn.XLOOKUP(E82,Groups!A:A,Groups!N:N)="Insect",BB82*2.5,IFERROR(AVERAGE(BB82,AR82/9.81/IF(OR(_xlfn.XLOOKUP(E82,Groups!A:A,Groups!N:N)="Pig",_xlfn.XLOOKUP(E82,Groups!A:A,Groups!N:N)="StrongBitingHerbivore"),20,25))*C82^-0.135,BB82))</f>
        <v>2.0420115594351516</v>
      </c>
      <c r="BA82" s="8" t="str">
        <f>IF(W82="No","No",IF(_xlfn.XLOOKUP(E82,Groups!A:A,Groups!U:U)=1,'Base stats'!AZ82,IF(OR(_xlfn.XLOOKUP(E82,Groups!A:A,Groups!BD:BD)=1,_xlfn.XLOOKUP(E82,Groups!A:A,Groups!U:U)=2),BB82,IF(_xlfn.XLOOKUP(B82,Animals!B:B,Animals!AO:AO)&gt;4,AVERAGE(BB82,BD82),BD82))))</f>
        <v>No</v>
      </c>
      <c r="BB82" s="8">
        <f t="shared" si="39"/>
        <v>0.4627056781836914</v>
      </c>
      <c r="BC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D82" s="8">
        <f>(0.048*C82^1.01)/IF(_xlfn.XLOOKUP(E82,Groups!A:A,Groups!M:M)=1,0.25,0.8)*C82^-0.25</f>
        <v>0.5735582817362489</v>
      </c>
      <c r="BE82" s="8">
        <f>EXP(1.076*LN(AP82)-4.5397)*IF(_xlfn.XLOOKUP(E82,Groups!A:A,Groups!BC:BC)=1,1.25,IF(_xlfn.XLOOKUP(E82,Groups!A:A,Groups!BD:BD)=1,3.5,2.5))</f>
        <v>29.256100688292047</v>
      </c>
      <c r="BF82" s="8">
        <f>EXP(1.076*LN(AQ82)-4.5397)*IF(_xlfn.XLOOKUP(E82,Groups!A:A,Groups!M:M)=1,0.8,IF(_xlfn.XLOOKUP(E82,Groups!A:A,Groups!BC:BC)=1,1.3,3))</f>
        <v>40.358137574306554</v>
      </c>
      <c r="BG82" s="8" t="str">
        <f>IF(W82="No","No",IF(_xlfn.XLOOKUP(E82,Groups!A:A,Groups!U:U)=1,'Base stats'!BH82,IF(OR(_xlfn.XLOOKUP(E82,Groups!A:A,Groups!BD:BD)=1,_xlfn.XLOOKUP(E82,Groups!A:A,Groups!U:U)=2),BE82,BF82))*1.2)</f>
        <v>No</v>
      </c>
      <c r="BH82" s="8">
        <f>IFERROR(EXP(1.076*LN(AR82)-4.5397)*IF(_xlfn.XLOOKUP(E82,Groups!A:A,Groups!N:N)="Insect",1,IF(OR(_xlfn.XLOOKUP(E82,Groups!A:A,Groups!N:N)="Pig",_xlfn.XLOOKUP(E82,Groups!A:A,Groups!N:N)="StrongBitingHerbivore"),3.5,3.75)),"No")</f>
        <v>95.881480441229712</v>
      </c>
      <c r="BI82" s="8">
        <f t="shared" si="44"/>
        <v>11</v>
      </c>
      <c r="BJ82" s="8">
        <f t="shared" si="45"/>
        <v>10</v>
      </c>
      <c r="BK82" s="8" t="str">
        <f t="shared" si="40"/>
        <v>No</v>
      </c>
      <c r="BL82" s="8">
        <f t="shared" si="41"/>
        <v>9</v>
      </c>
      <c r="BM82" s="8">
        <f t="shared" si="46"/>
        <v>11</v>
      </c>
      <c r="BN82" s="8" cm="1">
        <f t="array" ref="BN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O82" s="8" t="str">
        <f>IF(W82="No","No",IF(_xlfn.XLOOKUP(E82,Groups!A:A,Groups!BD:BD)=1,(AM82*5%),EXP(0.7354*LN(C82)^0.4078)*2/IF(_xlfn.XLOOKUP(E82,Groups!A:A,Groups!BL:BL)=1,1000,100)))</f>
        <v>No</v>
      </c>
      <c r="BP82" s="8">
        <f>IF(BH82="No","No",IF(_xlfn.XLOOKUP(E82,Groups!A:A,Groups!BF:BF)=1,(0.0315*C82+2.1825)*2,(0.7354*C82^0.4078)*2)/IF(_xlfn.XLOOKUP(E82,Groups!A:A,Groups!BM:BM)=1,1000,100))</f>
        <v>4.9388943457744701E-2</v>
      </c>
      <c r="BQ82" s="8">
        <f t="shared" si="42"/>
        <v>7.6454131905750483E-2</v>
      </c>
      <c r="BR82" s="8">
        <f t="shared" si="47"/>
        <v>817.14923925909534</v>
      </c>
      <c r="BS82" s="8" t="str">
        <f t="shared" si="43"/>
        <v>No</v>
      </c>
      <c r="BT82" s="8">
        <f t="shared" si="48"/>
        <v>1941.3551643043802</v>
      </c>
      <c r="BU82" s="4">
        <v>0</v>
      </c>
      <c r="BV82" s="4">
        <v>1</v>
      </c>
    </row>
    <row r="83" spans="1:74" x14ac:dyDescent="0.25">
      <c r="A83" s="26" t="s">
        <v>200</v>
      </c>
      <c r="B83" s="6" t="s">
        <v>290</v>
      </c>
      <c r="C83" s="7">
        <v>0.94499999999999995</v>
      </c>
      <c r="D83" s="7" t="s">
        <v>941</v>
      </c>
      <c r="E83" s="7" t="str">
        <f>Groups!A34</f>
        <v>Mustelid (can fish)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590</v>
      </c>
      <c r="L83" s="7">
        <f>MIN(20*C83^0.183,19.9*C83^0.142)</f>
        <v>19.740783847805943</v>
      </c>
      <c r="M83" s="7" t="s">
        <v>638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IF(AR83="No","No",IF(_xlfn.XLOOKUP(E83,Groups!A:A,Groups!AM:AM)=1,MROUND(EXP(0.3582*LN(C83)-0.2221)*T83,0.05),IF(_xlfn.XLOOKUP(E83,Groups!A:A,Groups!AM:AM)=2,MROUND(EXP(0.3582*LN(C83)-0.2221)*T83,0.05),"Need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945</v>
      </c>
      <c r="Y83" s="4" t="s">
        <v>56</v>
      </c>
      <c r="Z83" s="4">
        <v>1</v>
      </c>
      <c r="AA83" s="4">
        <v>0</v>
      </c>
      <c r="AB83" s="4">
        <v>0</v>
      </c>
      <c r="AC83" s="4" t="s">
        <v>45</v>
      </c>
      <c r="AD83" s="4" t="s">
        <v>45</v>
      </c>
      <c r="AE83" s="28" t="s">
        <v>397</v>
      </c>
      <c r="AF83" s="4" t="s">
        <v>45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4" t="s">
        <v>40</v>
      </c>
      <c r="AM83" s="8">
        <f t="shared" si="34"/>
        <v>1069.9257856436234</v>
      </c>
      <c r="AN83" s="8">
        <f>IFERROR(C83*_xlfn.XLOOKUP(E83,Groups!A:A,Groups!K:K),0.106*C83^0.94)</f>
        <v>0.11788875</v>
      </c>
      <c r="AO83" s="8">
        <f>AN83*10000/(_xlfn.XLOOKUP(E83,Groups!A:A,Groups!J:J)*AM83)</f>
        <v>1.0108627903448459</v>
      </c>
      <c r="AP83" s="8">
        <f t="shared" si="35"/>
        <v>51.842746143999378</v>
      </c>
      <c r="AQ83" s="8">
        <f>IF(_xlfn.XLOOKUP(E83,Groups!A:A,Groups!M:M)=1,EXP(0.7444*LN('Base stats'!C83)+6.5696),EXP(0.7927*LN('Base stats'!C83)+4.28))</f>
        <v>69.072500329128502</v>
      </c>
      <c r="AR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"No")))))))))))))))</f>
        <v>73.840943941527698</v>
      </c>
      <c r="AS83" s="8">
        <f>IF(_xlfn.XLOOKUP(E83,Groups!A:A,Groups!U:U)=3,AQ83,IF(_xlfn.XLOOKUP(E83,Groups!A:A,Groups!U:U)=2,AP83,AR83))</f>
        <v>73.840943941527698</v>
      </c>
      <c r="AT83" s="46">
        <f>IFERROR(AVERAGE(_xlfn.XLOOKUP(B83,Animals!B:B,Animals!N:N),_xlfn.XLOOKUP(B83,Animals!B:B,Animals!O:O)),0)</f>
        <v>0</v>
      </c>
      <c r="AU83" s="8">
        <f>MROUND(40*Animals!AO83*_xlfn.XLOOKUP(Animals!BB83,Leathers!$A$2:$A$100,Leathers!$B$2:$B$100,0)+(140*_xlfn.XLOOKUP(B83,Animals!B:B,Animals!AO:AO)*2),5)</f>
        <v>75</v>
      </c>
      <c r="AV83" s="8">
        <f>IFERROR(ROUND(SQRT(V83-1)*IF(_xlfn.XLOOKUP(E83,Groups!A:A,Groups!BF:BF)=0,2,1)*IF(_xlfn.XLOOKUP('Base stats'!E83,Groups!A:A,Groups!O:O)=0,1,0.1),1),0)</f>
        <v>0</v>
      </c>
      <c r="AW83" s="8">
        <f t="shared" si="36"/>
        <v>0</v>
      </c>
      <c r="AX83" s="8">
        <f t="shared" si="37"/>
        <v>0</v>
      </c>
      <c r="AY83" s="8">
        <f t="shared" si="38"/>
        <v>0.6</v>
      </c>
      <c r="AZ83" s="8">
        <f>IF(_xlfn.XLOOKUP(E83,Groups!A:A,Groups!N:N)="Insect",BB83*2.5,IFERROR(AVERAGE(BB83,AR83/9.81/IF(OR(_xlfn.XLOOKUP(E83,Groups!A:A,Groups!N:N)="Pig",_xlfn.XLOOKUP(E83,Groups!A:A,Groups!N:N)="StrongBitingHerbivore"),20,25))*C83^-0.135,BB83))</f>
        <v>0.17053956579837354</v>
      </c>
      <c r="BA83" s="8" t="str">
        <f>IF(W83="No","No",IF(_xlfn.XLOOKUP(E83,Groups!A:A,Groups!U:U)=1,'Base stats'!AZ83,IF(OR(_xlfn.XLOOKUP(E83,Groups!A:A,Groups!BD:BD)=1,_xlfn.XLOOKUP(E83,Groups!A:A,Groups!U:U)=2),BB83,IF(_xlfn.XLOOKUP(B83,Animals!B:B,Animals!AO:AO)&gt;4,AVERAGE(BB83,BD83),BD83))))</f>
        <v>No</v>
      </c>
      <c r="BB83" s="8">
        <f t="shared" si="39"/>
        <v>3.7399853403098704E-2</v>
      </c>
      <c r="BC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D83" s="8">
        <f>(0.048*C83^1.01)/IF(_xlfn.XLOOKUP(E83,Groups!A:A,Groups!M:M)=1,0.25,0.8)*C83^-0.25</f>
        <v>5.7475058879815466E-2</v>
      </c>
      <c r="BE83" s="8">
        <f>EXP(1.076*LN(AP83)-4.5397)*IF(_xlfn.XLOOKUP(E83,Groups!A:A,Groups!BC:BC)=1,1.25,IF(_xlfn.XLOOKUP(E83,Groups!A:A,Groups!BD:BD)=1,3.5,2.5))</f>
        <v>1.8680032839406988</v>
      </c>
      <c r="BF83" s="8">
        <f>EXP(1.076*LN(AQ83)-4.5397)*IF(_xlfn.XLOOKUP(E83,Groups!A:A,Groups!M:M)=1,0.8,IF(_xlfn.XLOOKUP(E83,Groups!A:A,Groups!BC:BC)=1,1.3,3))</f>
        <v>3.0524388037913885</v>
      </c>
      <c r="BG83" s="8" t="str">
        <f>IF(W83="No","No",IF(_xlfn.XLOOKUP(E83,Groups!A:A,Groups!U:U)=1,'Base stats'!BH83,IF(OR(_xlfn.XLOOKUP(E83,Groups!A:A,Groups!BD:BD)=1,_xlfn.XLOOKUP(E83,Groups!A:A,Groups!U:U)=2),BE83,BF83))*1.2)</f>
        <v>No</v>
      </c>
      <c r="BH83" s="8">
        <f>IFERROR(EXP(1.076*LN(AR83)-4.5397)*IF(_xlfn.XLOOKUP(E83,Groups!A:A,Groups!N:N)="Insect",1,IF(OR(_xlfn.XLOOKUP(E83,Groups!A:A,Groups!N:N)="Pig",_xlfn.XLOOKUP(E83,Groups!A:A,Groups!N:N)="StrongBitingHerbivore"),3.5,3.75)),"No")</f>
        <v>4.0997034019459191</v>
      </c>
      <c r="BI83" s="8">
        <f t="shared" si="44"/>
        <v>9</v>
      </c>
      <c r="BJ83" s="8">
        <f t="shared" si="45"/>
        <v>9</v>
      </c>
      <c r="BK83" s="8" t="str">
        <f t="shared" si="40"/>
        <v>No</v>
      </c>
      <c r="BL83" s="8">
        <f t="shared" si="41"/>
        <v>6</v>
      </c>
      <c r="BM83" s="8">
        <f t="shared" si="46"/>
        <v>10</v>
      </c>
      <c r="BN83" s="8" cm="1">
        <f t="array" ref="BN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O83" s="8" t="str">
        <f>IF(W83="No","No",IF(_xlfn.XLOOKUP(E83,Groups!A:A,Groups!BD:BD)=1,(AM83*5%),EXP(0.7354*LN(C83)^0.4078)*2/IF(_xlfn.XLOOKUP(E83,Groups!A:A,Groups!BL:BL)=1,1000,100)))</f>
        <v>No</v>
      </c>
      <c r="BP83" s="8">
        <f>IF(BH83="No","No",IF(_xlfn.XLOOKUP(E83,Groups!A:A,Groups!BF:BF)=1,(0.0315*C83+2.1825)*2,(0.7354*C83^0.4078)*2)/IF(_xlfn.XLOOKUP(E83,Groups!A:A,Groups!BM:BM)=1,1000,100))</f>
        <v>1.4372579272989176E-2</v>
      </c>
      <c r="BQ83" s="8">
        <f t="shared" si="42"/>
        <v>3.491837114322812E-2</v>
      </c>
      <c r="BR83" s="8">
        <f t="shared" si="47"/>
        <v>212.37933329948154</v>
      </c>
      <c r="BS83" s="8" t="str">
        <f t="shared" si="43"/>
        <v>No</v>
      </c>
      <c r="BT83" s="8">
        <f t="shared" si="48"/>
        <v>285.24479316322964</v>
      </c>
      <c r="BU83" s="4">
        <v>0</v>
      </c>
      <c r="BV83" s="4">
        <v>1</v>
      </c>
    </row>
    <row r="84" spans="1:74" x14ac:dyDescent="0.25">
      <c r="A84" s="26" t="s">
        <v>105</v>
      </c>
      <c r="B84" s="6" t="s">
        <v>106</v>
      </c>
      <c r="C84" s="7">
        <v>13</v>
      </c>
      <c r="D84" s="7" t="s">
        <v>578</v>
      </c>
      <c r="E84" s="7" t="str">
        <f>Groups!A37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578</v>
      </c>
      <c r="L84" s="7">
        <f>MIN(20*C84^0.183,19.9*C84^0.142)</f>
        <v>28.643958275612917</v>
      </c>
      <c r="M84" s="7" t="s">
        <v>638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IF(AR84="No","No",IF(_xlfn.XLOOKUP(E84,Groups!A:A,Groups!AM:AM)=1,MROUND(EXP(0.3582*LN(C84)-0.2221)*T84,0.05),IF(_xlfn.XLOOKUP(E84,Groups!A:A,Groups!AM:AM)=2,MROUND(EXP(0.3582*LN(C84)-0.2221)*T84,0.05),"Need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945</v>
      </c>
      <c r="Y84" s="4" t="s">
        <v>1023</v>
      </c>
      <c r="Z84" s="4">
        <v>0</v>
      </c>
      <c r="AA84" s="4">
        <v>0</v>
      </c>
      <c r="AB84" s="4">
        <v>0</v>
      </c>
      <c r="AC84" s="4" t="s">
        <v>45</v>
      </c>
      <c r="AD84" s="4" t="s">
        <v>45</v>
      </c>
      <c r="AE84" s="28" t="s">
        <v>394</v>
      </c>
      <c r="AF84" s="4" t="s">
        <v>45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4" t="s">
        <v>40</v>
      </c>
      <c r="AM84" s="8">
        <f t="shared" si="34"/>
        <v>5880.1195755064182</v>
      </c>
      <c r="AN84" s="8">
        <f>IFERROR(C84*_xlfn.XLOOKUP(E84,Groups!A:A,Groups!K:K),0.106*C84^0.94)</f>
        <v>1.62175</v>
      </c>
      <c r="AO84" s="8">
        <f>AN84*10000/(_xlfn.XLOOKUP(E84,Groups!A:A,Groups!J:J)*AM84)</f>
        <v>2.5302955451702847</v>
      </c>
      <c r="AP84" s="8">
        <f t="shared" si="35"/>
        <v>474.66662819206232</v>
      </c>
      <c r="AQ84" s="8">
        <f>IF(_xlfn.XLOOKUP(E84,Groups!A:A,Groups!M:M)=1,EXP(0.7444*LN('Base stats'!C84)+6.5696),EXP(0.7927*LN('Base stats'!C84)+4.28))</f>
        <v>551.82742176243494</v>
      </c>
      <c r="AR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"No")))))))))))))))</f>
        <v>464.43475661202478</v>
      </c>
      <c r="AS84" s="8">
        <f>IF(_xlfn.XLOOKUP(E84,Groups!A:A,Groups!U:U)=3,AQ84,IF(_xlfn.XLOOKUP(E84,Groups!A:A,Groups!U:U)=2,AP84,AR84))</f>
        <v>464.43475661202478</v>
      </c>
      <c r="AT84" s="46">
        <f>IFERROR(AVERAGE(_xlfn.XLOOKUP(B84,Animals!B:B,Animals!N:N),_xlfn.XLOOKUP(B84,Animals!B:B,Animals!O:O)),0)</f>
        <v>0</v>
      </c>
      <c r="AU84" s="8">
        <f>MROUND(40*Animals!AO84*_xlfn.XLOOKUP(Animals!BB84,Leathers!$A$2:$A$100,Leathers!$B$2:$B$100,0)+(140*_xlfn.XLOOKUP(B84,Animals!B:B,Animals!AO:AO)*2),5)</f>
        <v>160</v>
      </c>
      <c r="AV84" s="8">
        <f>IFERROR(ROUND(SQRT(V84-1)*IF(_xlfn.XLOOKUP(E84,Groups!A:A,Groups!BF:BF)=0,2,1)*IF(_xlfn.XLOOKUP('Base stats'!E84,Groups!A:A,Groups!O:O)=0,1,0.1),1),0)</f>
        <v>2</v>
      </c>
      <c r="AW84" s="8">
        <f t="shared" si="36"/>
        <v>1.6</v>
      </c>
      <c r="AX84" s="8">
        <f t="shared" si="37"/>
        <v>0</v>
      </c>
      <c r="AY84" s="8">
        <f t="shared" si="38"/>
        <v>1.9</v>
      </c>
      <c r="AZ84" s="8">
        <f>IF(_xlfn.XLOOKUP(E84,Groups!A:A,Groups!N:N)="Insect",BB84*2.5,IFERROR(AVERAGE(BB84,AR84/9.81/IF(OR(_xlfn.XLOOKUP(E84,Groups!A:A,Groups!N:N)="Pig",_xlfn.XLOOKUP(E84,Groups!A:A,Groups!N:N)="StrongBitingHerbivore"),20,25))*C84^-0.135,BB84))</f>
        <v>0.76562856738155183</v>
      </c>
      <c r="BA84" s="8" t="str">
        <f>IF(W84="No","No",IF(_xlfn.XLOOKUP(E84,Groups!A:A,Groups!U:U)=1,'Base stats'!AZ84,IF(OR(_xlfn.XLOOKUP(E84,Groups!A:A,Groups!BD:BD)=1,_xlfn.XLOOKUP(E84,Groups!A:A,Groups!U:U)=2),BB84,IF(_xlfn.XLOOKUP(B84,Animals!B:B,Animals!AO:AO)&gt;4,AVERAGE(BB84,BD84),BD84))))</f>
        <v>No</v>
      </c>
      <c r="BB84" s="8">
        <f t="shared" si="39"/>
        <v>0.27114359796251353</v>
      </c>
      <c r="BC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D84" s="8">
        <f>(0.048*C84^1.01)/IF(_xlfn.XLOOKUP(E84,Groups!A:A,Groups!M:M)=1,0.25,0.8)*C84^-0.25</f>
        <v>0.42145207667865642</v>
      </c>
      <c r="BE84" s="8">
        <f>EXP(1.076*LN(AP84)-4.5397)*IF(_xlfn.XLOOKUP(E84,Groups!A:A,Groups!BC:BC)=1,1.25,IF(_xlfn.XLOOKUP(E84,Groups!A:A,Groups!BD:BD)=1,3.5,2.5))</f>
        <v>20.237999913081378</v>
      </c>
      <c r="BF84" s="8">
        <f>EXP(1.076*LN(AQ84)-4.5397)*IF(_xlfn.XLOOKUP(E84,Groups!A:A,Groups!M:M)=1,0.8,IF(_xlfn.XLOOKUP(E84,Groups!A:A,Groups!BC:BC)=1,1.3,3))</f>
        <v>28.55846905043661</v>
      </c>
      <c r="BG84" s="8" t="str">
        <f>IF(W84="No","No",IF(_xlfn.XLOOKUP(E84,Groups!A:A,Groups!U:U)=1,'Base stats'!BH84,IF(OR(_xlfn.XLOOKUP(E84,Groups!A:A,Groups!BD:BD)=1,_xlfn.XLOOKUP(E84,Groups!A:A,Groups!U:U)=2),BE84,BF84))*1.2)</f>
        <v>No</v>
      </c>
      <c r="BH84" s="8">
        <f>IFERROR(EXP(1.076*LN(AR84)-4.5397)*IF(_xlfn.XLOOKUP(E84,Groups!A:A,Groups!N:N)="Insect",1,IF(OR(_xlfn.XLOOKUP(E84,Groups!A:A,Groups!N:N)="Pig",_xlfn.XLOOKUP(E84,Groups!A:A,Groups!N:N)="StrongBitingHerbivore"),3.5,3.75)),"No")</f>
        <v>29.653475370398347</v>
      </c>
      <c r="BI84" s="8">
        <f t="shared" si="44"/>
        <v>12</v>
      </c>
      <c r="BJ84" s="8">
        <f t="shared" si="45"/>
        <v>10</v>
      </c>
      <c r="BK84" s="8" t="str">
        <f t="shared" si="40"/>
        <v>No</v>
      </c>
      <c r="BL84" s="8">
        <f t="shared" si="41"/>
        <v>8</v>
      </c>
      <c r="BM84" s="8">
        <f t="shared" si="46"/>
        <v>11</v>
      </c>
      <c r="BN84" s="8" cm="1">
        <f t="array" ref="BN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O84" s="8" t="str">
        <f>IF(W84="No","No",IF(_xlfn.XLOOKUP(E84,Groups!A:A,Groups!BD:BD)=1,(AM84*5%),EXP(0.7354*LN(C84)^0.4078)*2/IF(_xlfn.XLOOKUP(E84,Groups!A:A,Groups!BL:BL)=1,1000,100)))</f>
        <v>No</v>
      </c>
      <c r="BP84" s="8">
        <f>IF(BH84="No","No",IF(_xlfn.XLOOKUP(E84,Groups!A:A,Groups!BF:BF)=1,(0.0315*C84+2.1825)*2,(0.7354*C84^0.4078)*2)/IF(_xlfn.XLOOKUP(E84,Groups!A:A,Groups!BM:BM)=1,1000,100))</f>
        <v>4.1861975603950628E-2</v>
      </c>
      <c r="BQ84" s="8">
        <f t="shared" si="42"/>
        <v>6.8835334564904344E-2</v>
      </c>
      <c r="BR84" s="8">
        <f t="shared" si="47"/>
        <v>682.20547736742435</v>
      </c>
      <c r="BS84" s="8" t="str">
        <f t="shared" si="43"/>
        <v>No</v>
      </c>
      <c r="BT84" s="8">
        <f t="shared" si="48"/>
        <v>708.3630178122761</v>
      </c>
      <c r="BU84" s="4">
        <v>0</v>
      </c>
      <c r="BV84" s="4">
        <v>1</v>
      </c>
    </row>
    <row r="85" spans="1:74" x14ac:dyDescent="0.25">
      <c r="A85" s="26" t="s">
        <v>208</v>
      </c>
      <c r="B85" s="6" t="s">
        <v>227</v>
      </c>
      <c r="C85" s="7">
        <v>10.9999</v>
      </c>
      <c r="D85" s="7" t="s">
        <v>941</v>
      </c>
      <c r="E85" s="7" t="str">
        <f>Groups!A35</f>
        <v>Mustelid (semi-aquatic)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579</v>
      </c>
      <c r="L85" s="7">
        <f>MIN(20*C85^0.183,19.9*C85^0.142)</f>
        <v>27.972435239628787</v>
      </c>
      <c r="M85" s="7" t="s">
        <v>638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IF(AR85="No","No",IF(_xlfn.XLOOKUP(E85,Groups!A:A,Groups!AM:AM)=1,MROUND(EXP(0.3582*LN(C85)-0.2221)*T85,0.05),IF(_xlfn.XLOOKUP(E85,Groups!A:A,Groups!AM:AM)=2,MROUND(EXP(0.3582*LN(C85)-0.2221)*T85,0.05),"Need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945</v>
      </c>
      <c r="Y85" s="4" t="s">
        <v>56</v>
      </c>
      <c r="Z85" s="4">
        <v>0</v>
      </c>
      <c r="AA85" s="4">
        <v>0</v>
      </c>
      <c r="AB85" s="4">
        <v>0</v>
      </c>
      <c r="AC85" s="4" t="s">
        <v>45</v>
      </c>
      <c r="AD85" s="4" t="s">
        <v>45</v>
      </c>
      <c r="AE85" s="28" t="s">
        <v>394</v>
      </c>
      <c r="AF85" s="4" t="s">
        <v>45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4">
        <v>13</v>
      </c>
      <c r="AM85" s="8">
        <f t="shared" si="34"/>
        <v>5275.0387933539723</v>
      </c>
      <c r="AN85" s="8">
        <f>IFERROR(C85*_xlfn.XLOOKUP(E85,Groups!A:A,Groups!K:K),0.106*C85^0.94)</f>
        <v>1.3722375250000001</v>
      </c>
      <c r="AO85" s="8">
        <f>AN85*10000/(_xlfn.XLOOKUP(E85,Groups!A:A,Groups!J:J)*AM85)</f>
        <v>2.386586257451687</v>
      </c>
      <c r="AP85" s="8">
        <f t="shared" si="35"/>
        <v>412.1941424119421</v>
      </c>
      <c r="AQ85" s="8">
        <f>IF(_xlfn.XLOOKUP(E85,Groups!A:A,Groups!M:M)=1,EXP(0.7444*LN('Base stats'!C85)+6.5696),EXP(0.7927*LN('Base stats'!C85)+4.28))</f>
        <v>483.38061995508809</v>
      </c>
      <c r="AR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"No")))))))))))))))</f>
        <v>409.83621149771199</v>
      </c>
      <c r="AS85" s="8">
        <f>IF(_xlfn.XLOOKUP(E85,Groups!A:A,Groups!U:U)=3,AQ85,IF(_xlfn.XLOOKUP(E85,Groups!A:A,Groups!U:U)=2,AP85,AR85))</f>
        <v>409.83621149771199</v>
      </c>
      <c r="AT85" s="46">
        <f>IFERROR(AVERAGE(_xlfn.XLOOKUP(B85,Animals!B:B,Animals!N:N),_xlfn.XLOOKUP(B85,Animals!B:B,Animals!O:O)),0)</f>
        <v>0</v>
      </c>
      <c r="AU85" s="8">
        <f>MROUND(40*Animals!AO85*_xlfn.XLOOKUP(Animals!BB85,Leathers!$A$2:$A$100,Leathers!$B$2:$B$100,0)+(140*_xlfn.XLOOKUP(B85,Animals!B:B,Animals!AO:AO)*2),5)</f>
        <v>160</v>
      </c>
      <c r="AV85" s="8">
        <f>IFERROR(ROUND(SQRT(V85-1)*IF(_xlfn.XLOOKUP(E85,Groups!A:A,Groups!BF:BF)=0,2,1)*IF(_xlfn.XLOOKUP('Base stats'!E85,Groups!A:A,Groups!O:O)=0,1,0.1),1),0)</f>
        <v>1.3</v>
      </c>
      <c r="AW85" s="8">
        <f t="shared" si="36"/>
        <v>0</v>
      </c>
      <c r="AX85" s="8">
        <f t="shared" si="37"/>
        <v>0</v>
      </c>
      <c r="AY85" s="8">
        <f t="shared" si="38"/>
        <v>1.7</v>
      </c>
      <c r="AZ85" s="8">
        <f>IF(_xlfn.XLOOKUP(E85,Groups!A:A,Groups!N:N)="Insect",BB85*2.5,IFERROR(AVERAGE(BB85,AR85/9.81/IF(OR(_xlfn.XLOOKUP(E85,Groups!A:A,Groups!N:N)="Pig",_xlfn.XLOOKUP(E85,Groups!A:A,Groups!N:N)="StrongBitingHerbivore"),20,25))*C85^-0.135,BB85))</f>
        <v>0.70848966072269592</v>
      </c>
      <c r="BA85" s="8" t="str">
        <f>IF(W85="No","No",IF(_xlfn.XLOOKUP(E85,Groups!A:A,Groups!U:U)=1,'Base stats'!AZ85,IF(OR(_xlfn.XLOOKUP(E85,Groups!A:A,Groups!BD:BD)=1,_xlfn.XLOOKUP(E85,Groups!A:A,Groups!U:U)=2),BB85,IF(_xlfn.XLOOKUP(B85,Animals!B:B,Animals!AO:AO)&gt;4,AVERAGE(BB85,BD85),BD85))))</f>
        <v>No</v>
      </c>
      <c r="BB85" s="8">
        <f t="shared" si="39"/>
        <v>0.28752797616753567</v>
      </c>
      <c r="BC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D85" s="8">
        <f>(0.048*C85^1.01)/IF(_xlfn.XLOOKUP(E85,Groups!A:A,Groups!M:M)=1,0.25,0.8)*C85^-0.25</f>
        <v>0.3711989084933881</v>
      </c>
      <c r="BE85" s="8">
        <f>EXP(1.076*LN(AP85)-4.5397)*IF(_xlfn.XLOOKUP(E85,Groups!A:A,Groups!BC:BC)=1,1.25,IF(_xlfn.XLOOKUP(E85,Groups!A:A,Groups!BD:BD)=1,3.5,2.5))</f>
        <v>17.386929894519422</v>
      </c>
      <c r="BF85" s="8">
        <f>EXP(1.076*LN(AQ85)-4.5397)*IF(_xlfn.XLOOKUP(E85,Groups!A:A,Groups!M:M)=1,0.8,IF(_xlfn.XLOOKUP(E85,Groups!A:A,Groups!BC:BC)=1,1.3,3))</f>
        <v>24.765654586765486</v>
      </c>
      <c r="BG85" s="8" t="str">
        <f>IF(W85="No","No",IF(_xlfn.XLOOKUP(E85,Groups!A:A,Groups!U:U)=1,'Base stats'!BH85,IF(OR(_xlfn.XLOOKUP(E85,Groups!A:A,Groups!BD:BD)=1,_xlfn.XLOOKUP(E85,Groups!A:A,Groups!U:U)=2),BE85,BF85))*1.2)</f>
        <v>No</v>
      </c>
      <c r="BH85" s="8">
        <f>IFERROR(EXP(1.076*LN(AR85)-4.5397)*IF(_xlfn.XLOOKUP(E85,Groups!A:A,Groups!N:N)="Insect",1,IF(OR(_xlfn.XLOOKUP(E85,Groups!A:A,Groups!N:N)="Pig",_xlfn.XLOOKUP(E85,Groups!A:A,Groups!N:N)="StrongBitingHerbivore"),3.5,3.75)),"No")</f>
        <v>25.91989998800803</v>
      </c>
      <c r="BI85" s="8">
        <f t="shared" si="44"/>
        <v>10</v>
      </c>
      <c r="BJ85" s="8">
        <f t="shared" si="45"/>
        <v>10</v>
      </c>
      <c r="BK85" s="8" t="str">
        <f t="shared" si="40"/>
        <v>No</v>
      </c>
      <c r="BL85" s="8">
        <f t="shared" si="41"/>
        <v>8</v>
      </c>
      <c r="BM85" s="8">
        <f t="shared" si="46"/>
        <v>11</v>
      </c>
      <c r="BN85" s="8" cm="1">
        <f t="array" ref="BN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O85" s="8" t="str">
        <f>IF(W85="No","No",IF(_xlfn.XLOOKUP(E85,Groups!A:A,Groups!BD:BD)=1,(AM85*5%),EXP(0.7354*LN(C85)^0.4078)*2/IF(_xlfn.XLOOKUP(E85,Groups!A:A,Groups!BL:BL)=1,1000,100)))</f>
        <v>No</v>
      </c>
      <c r="BP85" s="8">
        <f>IF(BH85="No","No",IF(_xlfn.XLOOKUP(E85,Groups!A:A,Groups!BF:BF)=1,(0.0315*C85+2.1825)*2,(0.7354*C85^0.4078)*2)/IF(_xlfn.XLOOKUP(E85,Groups!A:A,Groups!BM:BM)=1,1000,100))</f>
        <v>3.9104969198687008E-2</v>
      </c>
      <c r="BQ85" s="8">
        <f t="shared" si="42"/>
        <v>6.5921524279310459E-2</v>
      </c>
      <c r="BR85" s="8">
        <f t="shared" si="47"/>
        <v>633.31221310863532</v>
      </c>
      <c r="BS85" s="8" t="str">
        <f t="shared" si="43"/>
        <v>No</v>
      </c>
      <c r="BT85" s="8">
        <f t="shared" si="48"/>
        <v>662.82880460313265</v>
      </c>
      <c r="BU85" s="4">
        <v>0</v>
      </c>
      <c r="BV85" s="4">
        <v>1</v>
      </c>
    </row>
    <row r="86" spans="1:74" x14ac:dyDescent="0.25">
      <c r="A86" s="26" t="s">
        <v>206</v>
      </c>
      <c r="B86" s="6" t="s">
        <v>225</v>
      </c>
      <c r="C86" s="7">
        <v>180</v>
      </c>
      <c r="D86" s="7" t="s">
        <v>580</v>
      </c>
      <c r="E86" s="7" t="str">
        <f>Groups!A42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580</v>
      </c>
      <c r="L86" s="7">
        <f>6.7*3.6</f>
        <v>24.12</v>
      </c>
      <c r="M86" s="7" t="s">
        <v>648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IF(AR86="No","No",IF(_xlfn.XLOOKUP(E86,Groups!A:A,Groups!AM:AM)=1,MROUND(EXP(0.3582*LN(C86)-0.2221)*T86,0.05),IF(_xlfn.XLOOKUP(E86,Groups!A:A,Groups!AM:AM)=2,MROUND(EXP(0.3582*LN(C86)-0.2221)*T86,0.05),"Need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945</v>
      </c>
      <c r="Y86" s="4" t="s">
        <v>56</v>
      </c>
      <c r="Z86" s="4">
        <v>0</v>
      </c>
      <c r="AA86" s="4">
        <v>0</v>
      </c>
      <c r="AB86" s="4">
        <v>0</v>
      </c>
      <c r="AC86" s="4" t="s">
        <v>45</v>
      </c>
      <c r="AD86" s="4" t="s">
        <v>410</v>
      </c>
      <c r="AE86" s="28" t="s">
        <v>403</v>
      </c>
      <c r="AF86" s="4" t="str">
        <f>Animals!C87</f>
        <v>&lt;li&gt;Seal&lt;/li&gt;</v>
      </c>
      <c r="AG86" s="4">
        <v>0</v>
      </c>
      <c r="AH86" s="4">
        <v>1</v>
      </c>
      <c r="AI86" s="4">
        <v>0</v>
      </c>
      <c r="AJ86" s="4">
        <v>0</v>
      </c>
      <c r="AK86" s="4">
        <v>0</v>
      </c>
      <c r="AL86" s="44">
        <v>20</v>
      </c>
      <c r="AM86" s="8">
        <f t="shared" si="34"/>
        <v>32452.64560229296</v>
      </c>
      <c r="AN86" s="8">
        <f>IFERROR(C86*_xlfn.XLOOKUP(E86,Groups!A:A,Groups!K:K),0.106*C86^0.94)</f>
        <v>22.454999999999998</v>
      </c>
      <c r="AO86" s="8">
        <f>AN86*10000/(_xlfn.XLOOKUP(E86,Groups!A:A,Groups!J:J)*AM86)</f>
        <v>6.34799322177206</v>
      </c>
      <c r="AP86" s="8">
        <f t="shared" si="35"/>
        <v>4369.8792317253037</v>
      </c>
      <c r="AQ86" s="8">
        <f>IF(_xlfn.XLOOKUP(E86,Groups!A:A,Groups!M:M)=1,EXP(0.7444*LN('Base stats'!C86)+6.5696),EXP(0.7927*LN('Base stats'!C86)+4.28))</f>
        <v>4431.3382067712973</v>
      </c>
      <c r="AR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"No")))))))))))))))</f>
        <v>3321.4193930594188</v>
      </c>
      <c r="AS86" s="8">
        <f>IF(_xlfn.XLOOKUP(E86,Groups!A:A,Groups!U:U)=3,AQ86,IF(_xlfn.XLOOKUP(E86,Groups!A:A,Groups!U:U)=2,AP86,AR86))</f>
        <v>3321.4193930594188</v>
      </c>
      <c r="AT86" s="46">
        <f>IFERROR(AVERAGE(_xlfn.XLOOKUP(B86,Animals!B:B,Animals!N:N),_xlfn.XLOOKUP(B86,Animals!B:B,Animals!O:O)),0)</f>
        <v>0</v>
      </c>
      <c r="AU86" s="8">
        <f>MROUND(40*Animals!AO86*_xlfn.XLOOKUP(Animals!BB86,Leathers!$A$2:$A$100,Leathers!$B$2:$B$100,0)+(140*_xlfn.XLOOKUP(B86,Animals!B:B,Animals!AO:AO)*2),5)</f>
        <v>750</v>
      </c>
      <c r="AV86" s="8">
        <f>IFERROR(ROUND(SQRT(V86-1)*IF(_xlfn.XLOOKUP(E86,Groups!A:A,Groups!BF:BF)=0,2,1)*IF(_xlfn.XLOOKUP('Base stats'!E86,Groups!A:A,Groups!O:O)=0,1,0.1),1),0)</f>
        <v>4.0999999999999996</v>
      </c>
      <c r="AW86" s="8">
        <f t="shared" si="36"/>
        <v>0</v>
      </c>
      <c r="AX86" s="8">
        <f t="shared" si="37"/>
        <v>0</v>
      </c>
      <c r="AY86" s="8">
        <f t="shared" si="38"/>
        <v>5.0999999999999996</v>
      </c>
      <c r="AZ86" s="8">
        <f>IF(_xlfn.XLOOKUP(E86,Groups!A:A,Groups!N:N)="Insect",BB86*2.5,IFERROR(AVERAGE(BB86,AR86/9.81/IF(OR(_xlfn.XLOOKUP(E86,Groups!A:A,Groups!N:N)="Pig",_xlfn.XLOOKUP(E86,Groups!A:A,Groups!N:N)="StrongBitingHerbivore"),20,25))*C86^-0.135,BB86))</f>
        <v>4.0867552418265269</v>
      </c>
      <c r="BA86" s="8" t="str">
        <f>IF(W86="No","No",IF(_xlfn.XLOOKUP(E86,Groups!A:A,Groups!U:U)=1,'Base stats'!AZ86,IF(OR(_xlfn.XLOOKUP(E86,Groups!A:A,Groups!BD:BD)=1,_xlfn.XLOOKUP(E86,Groups!A:A,Groups!U:U)=2),BB86,IF(_xlfn.XLOOKUP(B86,Animals!B:B,Animals!AO:AO)&gt;4,AVERAGE(BB86,BD86),BD86))))</f>
        <v>No</v>
      </c>
      <c r="BB86" s="8">
        <f t="shared" si="39"/>
        <v>2.9337122802000692</v>
      </c>
      <c r="BC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D86" s="8">
        <f>(0.048*C86^1.01)/IF(_xlfn.XLOOKUP(E86,Groups!A:A,Groups!M:M)=1,0.25,0.8)*C86^-0.25</f>
        <v>3.1056917919729647</v>
      </c>
      <c r="BE86" s="8">
        <f>EXP(1.076*LN(AP86)-4.5397)*IF(_xlfn.XLOOKUP(E86,Groups!A:A,Groups!BC:BC)=1,1.25,IF(_xlfn.XLOOKUP(E86,Groups!A:A,Groups!BD:BD)=1,3.5,2.5))</f>
        <v>220.55578881170885</v>
      </c>
      <c r="BF86" s="8">
        <f>EXP(1.076*LN(AQ86)-4.5397)*IF(_xlfn.XLOOKUP(E86,Groups!A:A,Groups!M:M)=1,0.8,IF(_xlfn.XLOOKUP(E86,Groups!A:A,Groups!BC:BC)=1,1.3,3))</f>
        <v>268.67431157890962</v>
      </c>
      <c r="BG86" s="8" t="str">
        <f>IF(W86="No","No",IF(_xlfn.XLOOKUP(E86,Groups!A:A,Groups!U:U)=1,'Base stats'!BH86,IF(OR(_xlfn.XLOOKUP(E86,Groups!A:A,Groups!BD:BD)=1,_xlfn.XLOOKUP(E86,Groups!A:A,Groups!U:U)=2),BE86,BF86))*1.2)</f>
        <v>No</v>
      </c>
      <c r="BH86" s="8">
        <f>IFERROR(EXP(1.076*LN(AR86)-4.5397)*IF(_xlfn.XLOOKUP(E86,Groups!A:A,Groups!N:N)="Insect",1,IF(OR(_xlfn.XLOOKUP(E86,Groups!A:A,Groups!N:N)="Pig",_xlfn.XLOOKUP(E86,Groups!A:A,Groups!N:N)="StrongBitingHerbivore"),3.5,3.75)),"No")</f>
        <v>246.26853554065281</v>
      </c>
      <c r="BI86" s="8">
        <f t="shared" si="44"/>
        <v>12</v>
      </c>
      <c r="BJ86" s="8">
        <f t="shared" si="45"/>
        <v>11</v>
      </c>
      <c r="BK86" s="8" t="str">
        <f t="shared" si="40"/>
        <v>No</v>
      </c>
      <c r="BL86" s="8">
        <f t="shared" si="41"/>
        <v>10</v>
      </c>
      <c r="BM86" s="8">
        <f t="shared" si="46"/>
        <v>13</v>
      </c>
      <c r="BN86" s="8" t="str" cm="1">
        <f t="array" ref="BN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O86" s="8" t="str">
        <f>IF(W86="No","No",IF(_xlfn.XLOOKUP(E86,Groups!A:A,Groups!BD:BD)=1,(AM86*5%),EXP(0.7354*LN(C86)^0.4078)*2/IF(_xlfn.XLOOKUP(E86,Groups!A:A,Groups!BL:BL)=1,1000,100)))</f>
        <v>No</v>
      </c>
      <c r="BP86" s="8">
        <f>IF(BH86="No","No",IF(_xlfn.XLOOKUP(E86,Groups!A:A,Groups!BF:BF)=1,(0.0315*C86+2.1825)*2,(0.7354*C86^0.4078)*2)/IF(_xlfn.XLOOKUP(E86,Groups!A:A,Groups!BM:BM)=1,1000,100))</f>
        <v>0.12225137396044293</v>
      </c>
      <c r="BQ86" s="8">
        <f t="shared" si="42"/>
        <v>0.13592468947809011</v>
      </c>
      <c r="BR86" s="8" t="str">
        <f t="shared" si="47"/>
        <v>No</v>
      </c>
      <c r="BS86" s="8" t="str">
        <f t="shared" si="43"/>
        <v>No</v>
      </c>
      <c r="BT86" s="8">
        <f t="shared" si="48"/>
        <v>2014.4439081751204</v>
      </c>
      <c r="BU86" s="4">
        <v>0</v>
      </c>
      <c r="BV86" s="4">
        <v>1</v>
      </c>
    </row>
    <row r="87" spans="1:74" x14ac:dyDescent="0.25">
      <c r="A87" s="26" t="s">
        <v>189</v>
      </c>
      <c r="B87" s="6" t="s">
        <v>190</v>
      </c>
      <c r="C87" s="7">
        <v>115</v>
      </c>
      <c r="D87" s="7" t="s">
        <v>581</v>
      </c>
      <c r="E87" s="7" t="str">
        <f>Groups!A42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581</v>
      </c>
      <c r="L87" s="7">
        <v>18</v>
      </c>
      <c r="M87" s="7" t="s">
        <v>538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IF(AR87="No","No",IF(_xlfn.XLOOKUP(E87,Groups!A:A,Groups!AM:AM)=1,MROUND(EXP(0.3582*LN(C87)-0.2221)*T87,0.05),IF(_xlfn.XLOOKUP(E87,Groups!A:A,Groups!AM:AM)=2,MROUND(EXP(0.3582*LN(C87)-0.2221)*T87,0.05),"Need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945</v>
      </c>
      <c r="Y87" s="4" t="s">
        <v>56</v>
      </c>
      <c r="Z87" s="4">
        <v>0</v>
      </c>
      <c r="AA87" s="4">
        <v>0</v>
      </c>
      <c r="AB87" s="4">
        <v>0</v>
      </c>
      <c r="AC87" s="4" t="s">
        <v>45</v>
      </c>
      <c r="AD87" s="4" t="s">
        <v>410</v>
      </c>
      <c r="AE87" s="28" t="s">
        <v>403</v>
      </c>
      <c r="AF87" s="4" t="s">
        <v>45</v>
      </c>
      <c r="AG87" s="4">
        <v>0</v>
      </c>
      <c r="AH87" s="4">
        <v>1</v>
      </c>
      <c r="AI87" s="4">
        <v>0</v>
      </c>
      <c r="AJ87" s="4">
        <v>0</v>
      </c>
      <c r="AK87" s="4">
        <v>0</v>
      </c>
      <c r="AL87" s="44">
        <v>20</v>
      </c>
      <c r="AM87" s="8">
        <f t="shared" si="34"/>
        <v>24253.620343607145</v>
      </c>
      <c r="AN87" s="8">
        <f>IFERROR(C87*_xlfn.XLOOKUP(E87,Groups!A:A,Groups!K:K),0.106*C87^0.94)</f>
        <v>14.34625</v>
      </c>
      <c r="AO87" s="8">
        <f>AN87*10000/(_xlfn.XLOOKUP(E87,Groups!A:A,Groups!J:J)*AM87)</f>
        <v>5.4266938548725276</v>
      </c>
      <c r="AP87" s="8">
        <f t="shared" si="35"/>
        <v>2993.0378945402767</v>
      </c>
      <c r="AQ87" s="8">
        <f>IF(_xlfn.XLOOKUP(E87,Groups!A:A,Groups!M:M)=1,EXP(0.7444*LN('Base stats'!C87)+6.5696),EXP(0.7927*LN('Base stats'!C87)+4.28))</f>
        <v>3106.6731258745958</v>
      </c>
      <c r="AR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"No")))))))))))))))</f>
        <v>2375.0082527213076</v>
      </c>
      <c r="AS87" s="8">
        <f>IF(_xlfn.XLOOKUP(E87,Groups!A:A,Groups!U:U)=3,AQ87,IF(_xlfn.XLOOKUP(E87,Groups!A:A,Groups!U:U)=2,AP87,AR87))</f>
        <v>2375.0082527213076</v>
      </c>
      <c r="AT87" s="46">
        <f>IFERROR(AVERAGE(_xlfn.XLOOKUP(B87,Animals!B:B,Animals!N:N),_xlfn.XLOOKUP(B87,Animals!B:B,Animals!O:O)),0)</f>
        <v>0</v>
      </c>
      <c r="AU87" s="8">
        <f>MROUND(40*Animals!AO87*_xlfn.XLOOKUP(Animals!BB87,Leathers!$A$2:$A$100,Leathers!$B$2:$B$100,0)+(140*_xlfn.XLOOKUP(B87,Animals!B:B,Animals!AO:AO)*2),5)</f>
        <v>570</v>
      </c>
      <c r="AV87" s="8">
        <f>IFERROR(ROUND(SQRT(V87-1)*IF(_xlfn.XLOOKUP(E87,Groups!A:A,Groups!BF:BF)=0,2,1)*IF(_xlfn.XLOOKUP('Base stats'!E87,Groups!A:A,Groups!O:O)=0,1,0.1),1),0)</f>
        <v>3.7</v>
      </c>
      <c r="AW87" s="8">
        <f t="shared" si="36"/>
        <v>0</v>
      </c>
      <c r="AX87" s="8">
        <f t="shared" si="37"/>
        <v>0</v>
      </c>
      <c r="AY87" s="8">
        <f t="shared" si="38"/>
        <v>4.4000000000000004</v>
      </c>
      <c r="AZ87" s="8">
        <f>IF(_xlfn.XLOOKUP(E87,Groups!A:A,Groups!N:N)="Insect",BB87*2.5,IFERROR(AVERAGE(BB87,AR87/9.81/IF(OR(_xlfn.XLOOKUP(E87,Groups!A:A,Groups!N:N)="Pig",_xlfn.XLOOKUP(E87,Groups!A:A,Groups!N:N)="StrongBitingHerbivore"),20,25))*C87^-0.135,BB87))</f>
        <v>3.0844368439880543</v>
      </c>
      <c r="BA87" s="8" t="str">
        <f>IF(W87="No","No",IF(_xlfn.XLOOKUP(E87,Groups!A:A,Groups!U:U)=1,'Base stats'!AZ87,IF(OR(_xlfn.XLOOKUP(E87,Groups!A:A,Groups!BD:BD)=1,_xlfn.XLOOKUP(E87,Groups!A:A,Groups!U:U)=2),BB87,IF(_xlfn.XLOOKUP(B87,Animals!B:B,Animals!AO:AO)&gt;4,AVERAGE(BB87,BD87),BD87))))</f>
        <v>No</v>
      </c>
      <c r="BB87" s="8">
        <f t="shared" si="39"/>
        <v>2.0217431129008374</v>
      </c>
      <c r="BC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D87" s="8">
        <f>(0.048*C87^1.01)/IF(_xlfn.XLOOKUP(E87,Groups!A:A,Groups!M:M)=1,0.25,0.8)*C87^-0.25</f>
        <v>2.2094369311808464</v>
      </c>
      <c r="BE87" s="8">
        <f>EXP(1.076*LN(AP87)-4.5397)*IF(_xlfn.XLOOKUP(E87,Groups!A:A,Groups!BC:BC)=1,1.25,IF(_xlfn.XLOOKUP(E87,Groups!A:A,Groups!BD:BD)=1,3.5,2.5))</f>
        <v>146.78108476936248</v>
      </c>
      <c r="BF87" s="8">
        <f>EXP(1.076*LN(AQ87)-4.5397)*IF(_xlfn.XLOOKUP(E87,Groups!A:A,Groups!M:M)=1,0.8,IF(_xlfn.XLOOKUP(E87,Groups!A:A,Groups!BC:BC)=1,1.3,3))</f>
        <v>183.34312035376047</v>
      </c>
      <c r="BG87" s="8" t="str">
        <f>IF(W87="No","No",IF(_xlfn.XLOOKUP(E87,Groups!A:A,Groups!U:U)=1,'Base stats'!BH87,IF(OR(_xlfn.XLOOKUP(E87,Groups!A:A,Groups!BD:BD)=1,_xlfn.XLOOKUP(E87,Groups!A:A,Groups!U:U)=2),BE87,BF87))*1.2)</f>
        <v>No</v>
      </c>
      <c r="BH87" s="8">
        <f>IFERROR(EXP(1.076*LN(AR87)-4.5397)*IF(_xlfn.XLOOKUP(E87,Groups!A:A,Groups!N:N)="Insect",1,IF(OR(_xlfn.XLOOKUP(E87,Groups!A:A,Groups!N:N)="Pig",_xlfn.XLOOKUP(E87,Groups!A:A,Groups!N:N)="StrongBitingHerbivore"),3.5,3.75)),"No")</f>
        <v>171.66441610011933</v>
      </c>
      <c r="BI87" s="8">
        <f t="shared" si="44"/>
        <v>12</v>
      </c>
      <c r="BJ87" s="8">
        <f t="shared" si="45"/>
        <v>11</v>
      </c>
      <c r="BK87" s="8" t="str">
        <f t="shared" si="40"/>
        <v>No</v>
      </c>
      <c r="BL87" s="8">
        <f t="shared" si="41"/>
        <v>10</v>
      </c>
      <c r="BM87" s="8">
        <f t="shared" si="46"/>
        <v>12</v>
      </c>
      <c r="BN87" s="8" t="str" cm="1">
        <f t="array" ref="BN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O87" s="8" t="str">
        <f>IF(W87="No","No",IF(_xlfn.XLOOKUP(E87,Groups!A:A,Groups!BD:BD)=1,(AM87*5%),EXP(0.7354*LN(C87)^0.4078)*2/IF(_xlfn.XLOOKUP(E87,Groups!A:A,Groups!BL:BL)=1,1000,100)))</f>
        <v>No</v>
      </c>
      <c r="BP87" s="8">
        <f>IF(BH87="No","No",IF(_xlfn.XLOOKUP(E87,Groups!A:A,Groups!BF:BF)=1,(0.0315*C87+2.1825)*2,(0.7354*C87^0.4078)*2)/IF(_xlfn.XLOOKUP(E87,Groups!A:A,Groups!BM:BM)=1,1000,100))</f>
        <v>0.1018371415070493</v>
      </c>
      <c r="BQ87" s="8">
        <f t="shared" si="42"/>
        <v>0.12103849461637306</v>
      </c>
      <c r="BR87" s="8" t="str">
        <f t="shared" si="47"/>
        <v>No</v>
      </c>
      <c r="BS87" s="8" t="str">
        <f t="shared" si="43"/>
        <v>No</v>
      </c>
      <c r="BT87" s="8">
        <f t="shared" si="48"/>
        <v>1685.6759091989684</v>
      </c>
      <c r="BU87" s="4">
        <v>0</v>
      </c>
      <c r="BV87" s="4">
        <v>1</v>
      </c>
    </row>
    <row r="88" spans="1:74" x14ac:dyDescent="0.25">
      <c r="A88" s="26" t="s">
        <v>191</v>
      </c>
      <c r="B88" s="6" t="s">
        <v>192</v>
      </c>
      <c r="C88" s="7">
        <v>1012.5</v>
      </c>
      <c r="D88" s="7" t="s">
        <v>582</v>
      </c>
      <c r="E88" s="7" t="str">
        <f>Groups!A41</f>
        <v>TuskedPinniped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582</v>
      </c>
      <c r="L88" s="7">
        <v>12</v>
      </c>
      <c r="M88" s="7" t="s">
        <v>538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IF(AR88="No","No",IF(_xlfn.XLOOKUP(E88,Groups!A:A,Groups!AM:AM)=1,MROUND(EXP(0.3582*LN(C88)-0.2221)*T88,0.05),IF(_xlfn.XLOOKUP(E88,Groups!A:A,Groups!AM:AM)=2,MROUND(EXP(0.3582*LN(C88)-0.2221)*T88,0.05),"Need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945</v>
      </c>
      <c r="Y88" s="4" t="s">
        <v>56</v>
      </c>
      <c r="Z88" s="4">
        <v>0</v>
      </c>
      <c r="AA88" s="4">
        <v>0</v>
      </c>
      <c r="AB88" s="4">
        <v>0</v>
      </c>
      <c r="AC88" s="4" t="s">
        <v>45</v>
      </c>
      <c r="AD88" s="4" t="s">
        <v>410</v>
      </c>
      <c r="AE88" s="28" t="s">
        <v>403</v>
      </c>
      <c r="AF88" s="4" t="str">
        <f>Animals!C87</f>
        <v>&lt;li&gt;Seal&lt;/li&gt;</v>
      </c>
      <c r="AG88" s="4">
        <v>0</v>
      </c>
      <c r="AH88" s="4">
        <v>1</v>
      </c>
      <c r="AI88" s="4">
        <v>0</v>
      </c>
      <c r="AJ88" s="4">
        <v>0</v>
      </c>
      <c r="AK88" s="4">
        <v>0</v>
      </c>
      <c r="AL88" s="44">
        <v>13</v>
      </c>
      <c r="AM88" s="8">
        <f t="shared" si="34"/>
        <v>99730.902585309115</v>
      </c>
      <c r="AN88" s="8">
        <f>IFERROR(C88*_xlfn.XLOOKUP(E88,Groups!A:A,Groups!K:K),0.106*C88^0.94)</f>
        <v>126.309375</v>
      </c>
      <c r="AO88" s="8">
        <f>AN88*10000/(_xlfn.XLOOKUP(E88,Groups!A:A,Groups!J:J)*AM88)</f>
        <v>11.619283245866109</v>
      </c>
      <c r="AP88" s="8">
        <f t="shared" si="35"/>
        <v>18797.406492948736</v>
      </c>
      <c r="AQ88" s="8">
        <f>IF(_xlfn.XLOOKUP(E88,Groups!A:A,Groups!M:M)=1,EXP(0.7444*LN('Base stats'!C88)+6.5696),EXP(0.7927*LN('Base stats'!C88)+4.28))</f>
        <v>17424.367581962186</v>
      </c>
      <c r="AR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"No")))))))))))))))</f>
        <v>No</v>
      </c>
      <c r="AS88" s="8">
        <f>IF(_xlfn.XLOOKUP(E88,Groups!A:A,Groups!U:U)=3,AQ88,IF(_xlfn.XLOOKUP(E88,Groups!A:A,Groups!U:U)=2,AP88,AR88))</f>
        <v>17424.367581962186</v>
      </c>
      <c r="AT88" s="46">
        <f>IFERROR(AVERAGE(_xlfn.XLOOKUP(B88,Animals!B:B,Animals!N:N),_xlfn.XLOOKUP(B88,Animals!B:B,Animals!O:O)),0)</f>
        <v>0</v>
      </c>
      <c r="AU88" s="8">
        <f>MROUND(40*Animals!AO88*_xlfn.XLOOKUP(Animals!BB88,Leathers!$A$2:$A$100,Leathers!$B$2:$B$100,0)+(140*_xlfn.XLOOKUP(B88,Animals!B:B,Animals!AO:AO)*2),5)</f>
        <v>1540</v>
      </c>
      <c r="AV88" s="8">
        <f>IFERROR(ROUND(SQRT(V88-1)*IF(_xlfn.XLOOKUP(E88,Groups!A:A,Groups!BF:BF)=0,2,1)*IF(_xlfn.XLOOKUP('Base stats'!E88,Groups!A:A,Groups!O:O)=0,1,0.1),1),0)</f>
        <v>0</v>
      </c>
      <c r="AW88" s="8">
        <f t="shared" si="36"/>
        <v>0</v>
      </c>
      <c r="AX88" s="8">
        <f t="shared" si="37"/>
        <v>7.1</v>
      </c>
      <c r="AY88" s="8">
        <f t="shared" si="38"/>
        <v>9.6</v>
      </c>
      <c r="AZ88" s="8">
        <f>IF(_xlfn.XLOOKUP(E88,Groups!A:A,Groups!N:N)="Insect",BB88*2.5,IFERROR(AVERAGE(BB88,AR88/9.81/IF(OR(_xlfn.XLOOKUP(E88,Groups!A:A,Groups!N:N)="Pig",_xlfn.XLOOKUP(E88,Groups!A:A,Groups!N:N)="StrongBitingHerbivore"),20,25))*C88^-0.135,BB88))</f>
        <v>12.324500833292777</v>
      </c>
      <c r="BA88" s="8">
        <f>IF(W88="No","No",IF(_xlfn.XLOOKUP(E88,Groups!A:A,Groups!U:U)=1,'Base stats'!AZ88,IF(OR(_xlfn.XLOOKUP(E88,Groups!A:A,Groups!BD:BD)=1,_xlfn.XLOOKUP(E88,Groups!A:A,Groups!U:U)=2),BB88,IF(_xlfn.XLOOKUP(B88,Animals!B:B,Animals!AO:AO)&gt;4,AVERAGE(BB88,BD88),BD88))))</f>
        <v>11.541213487704422</v>
      </c>
      <c r="BB88" s="8">
        <f t="shared" si="39"/>
        <v>12.324500833292777</v>
      </c>
      <c r="BC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D88" s="8">
        <f>(0.048*C88^1.01)/IF(_xlfn.XLOOKUP(E88,Groups!A:A,Groups!M:M)=1,0.25,0.8)*C88^-0.25</f>
        <v>11.541213487704422</v>
      </c>
      <c r="BE88" s="8">
        <f>EXP(1.076*LN(AP88)-4.5397)*IF(_xlfn.XLOOKUP(E88,Groups!A:A,Groups!BC:BC)=1,1.25,IF(_xlfn.XLOOKUP(E88,Groups!A:A,Groups!BD:BD)=1,3.5,2.5))</f>
        <v>1059.9923359772902</v>
      </c>
      <c r="BF88" s="8">
        <f>EXP(1.076*LN(AQ88)-4.5397)*IF(_xlfn.XLOOKUP(E88,Groups!A:A,Groups!M:M)=1,0.8,IF(_xlfn.XLOOKUP(E88,Groups!A:A,Groups!BC:BC)=1,1.3,3))</f>
        <v>1172.3021281689462</v>
      </c>
      <c r="BG88" s="8">
        <f>IF(W88="No","No",IF(_xlfn.XLOOKUP(E88,Groups!A:A,Groups!U:U)=1,'Base stats'!BH88,IF(OR(_xlfn.XLOOKUP(E88,Groups!A:A,Groups!BD:BD)=1,_xlfn.XLOOKUP(E88,Groups!A:A,Groups!U:U)=2),BE88,BF88))*1.2)</f>
        <v>1406.7625538027353</v>
      </c>
      <c r="BH88" s="8" t="str">
        <f>IFERROR(EXP(1.076*LN(AR88)-4.5397)*IF(_xlfn.XLOOKUP(E88,Groups!A:A,Groups!N:N)="Insect",1,IF(OR(_xlfn.XLOOKUP(E88,Groups!A:A,Groups!N:N)="Pig",_xlfn.XLOOKUP(E88,Groups!A:A,Groups!N:N)="StrongBitingHerbivore"),3.5,3.75)),"No")</f>
        <v>No</v>
      </c>
      <c r="BI88" s="8">
        <f t="shared" si="44"/>
        <v>13</v>
      </c>
      <c r="BJ88" s="8">
        <f t="shared" si="45"/>
        <v>12</v>
      </c>
      <c r="BK88" s="8">
        <f t="shared" si="40"/>
        <v>15</v>
      </c>
      <c r="BL88" s="8" t="str">
        <f t="shared" si="41"/>
        <v>No</v>
      </c>
      <c r="BM88" s="8">
        <f t="shared" si="46"/>
        <v>14</v>
      </c>
      <c r="BN88" s="8" t="str" cm="1">
        <f t="array" ref="BN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O88" s="8">
        <f>IF(W88="No","No",IF(_xlfn.XLOOKUP(E88,Groups!A:A,Groups!BD:BD)=1,(AM88*5%),EXP(0.7354*LN(C88)^0.4078)*2/IF(_xlfn.XLOOKUP(E88,Groups!A:A,Groups!BL:BL)=1,1000,100)))</f>
        <v>0.10091436540167323</v>
      </c>
      <c r="BP88" s="8" t="str">
        <f>IF(BH88="No","No",IF(_xlfn.XLOOKUP(E88,Groups!A:A,Groups!BF:BF)=1,(0.0315*C88+2.1825)*2,(0.7354*C88^0.4078)*2)/IF(_xlfn.XLOOKUP(E88,Groups!A:A,Groups!BM:BM)=1,1000,100))</f>
        <v>No</v>
      </c>
      <c r="BQ88" s="8">
        <f t="shared" si="42"/>
        <v>0.21257048888544453</v>
      </c>
      <c r="BR88" s="8" t="str">
        <f t="shared" si="47"/>
        <v>No</v>
      </c>
      <c r="BS88" s="8">
        <f t="shared" si="43"/>
        <v>13940.161524113495</v>
      </c>
      <c r="BT88" s="8" t="str">
        <f t="shared" si="48"/>
        <v>No</v>
      </c>
      <c r="BU88" s="4">
        <v>0</v>
      </c>
      <c r="BV88" s="4">
        <v>1</v>
      </c>
    </row>
    <row r="89" spans="1:74" x14ac:dyDescent="0.25">
      <c r="A89" s="26" t="s">
        <v>111</v>
      </c>
      <c r="B89" s="6" t="s">
        <v>112</v>
      </c>
      <c r="C89" s="7">
        <v>150</v>
      </c>
      <c r="D89" s="7" t="s">
        <v>1306</v>
      </c>
      <c r="E89" s="7" t="str">
        <f>Groups!A44</f>
        <v>Primate (tailless)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583</v>
      </c>
      <c r="L89" s="7">
        <v>32</v>
      </c>
      <c r="M89" s="7" t="s">
        <v>638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IF(AR89="No","No",IF(_xlfn.XLOOKUP(E89,Groups!A:A,Groups!AM:AM)=1,MROUND(EXP(0.3582*LN(C89)-0.2221)*T89,0.05),IF(_xlfn.XLOOKUP(E89,Groups!A:A,Groups!AM:AM)=2,MROUND(EXP(0.3582*LN(C89)-0.2221)*T89,0.05),"Need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945</v>
      </c>
      <c r="Y89" s="4" t="s">
        <v>42</v>
      </c>
      <c r="Z89" s="4">
        <v>0</v>
      </c>
      <c r="AA89" s="4">
        <v>0</v>
      </c>
      <c r="AB89" s="4">
        <v>0</v>
      </c>
      <c r="AC89" s="4" t="s">
        <v>1085</v>
      </c>
      <c r="AD89" s="4" t="s">
        <v>407</v>
      </c>
      <c r="AE89" s="28" t="s">
        <v>394</v>
      </c>
      <c r="AF89" s="4" t="str">
        <f>Animals!C31</f>
        <v>&lt;li&gt;Monkey&lt;/li&gt;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4" t="s">
        <v>40</v>
      </c>
      <c r="AM89" s="8">
        <f t="shared" si="34"/>
        <v>28825.861601687579</v>
      </c>
      <c r="AN89" s="8">
        <f>IFERROR(C89*_xlfn.XLOOKUP(E89,Groups!A:A,Groups!K:K),0.106*C89^0.94)</f>
        <v>11.771495712556113</v>
      </c>
      <c r="AO89" s="8">
        <f>AN89*10000/(_xlfn.XLOOKUP(E89,Groups!A:A,Groups!J:J)*AM89)</f>
        <v>3.7464751271603496</v>
      </c>
      <c r="AP89" s="8">
        <f t="shared" si="35"/>
        <v>3746.1489061563307</v>
      </c>
      <c r="AQ89" s="8">
        <f>IF(_xlfn.XLOOKUP(E89,Groups!A:A,Groups!M:M)=1,EXP(0.7444*LN('Base stats'!C89)+6.5696),EXP(0.7927*LN('Base stats'!C89)+4.28))</f>
        <v>3835.0225645496203</v>
      </c>
      <c r="AR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"No")))))))))))))))</f>
        <v>1958.5634169804396</v>
      </c>
      <c r="AS89" s="8">
        <f>IF(_xlfn.XLOOKUP(E89,Groups!A:A,Groups!U:U)=3,AQ89,IF(_xlfn.XLOOKUP(E89,Groups!A:A,Groups!U:U)=2,AP89,AR89))</f>
        <v>1958.5634169804396</v>
      </c>
      <c r="AT89" s="46">
        <f>IFERROR(AVERAGE(_xlfn.XLOOKUP(B89,Animals!B:B,Animals!N:N),_xlfn.XLOOKUP(B89,Animals!B:B,Animals!O:O)),0)</f>
        <v>0</v>
      </c>
      <c r="AU89" s="8">
        <f>MROUND(40*Animals!AO89*_xlfn.XLOOKUP(Animals!BB89,Leathers!$A$2:$A$100,Leathers!$B$2:$B$100,0)+(140*_xlfn.XLOOKUP(B89,Animals!B:B,Animals!AO:AO)*2),5)</f>
        <v>535</v>
      </c>
      <c r="AV89" s="8">
        <f>IFERROR(ROUND(SQRT(V89-1)*IF(_xlfn.XLOOKUP(E89,Groups!A:A,Groups!BF:BF)=0,2,1)*IF(_xlfn.XLOOKUP('Base stats'!E89,Groups!A:A,Groups!O:O)=0,1,0.1),1),0)</f>
        <v>3</v>
      </c>
      <c r="AW89" s="8">
        <f t="shared" si="36"/>
        <v>0</v>
      </c>
      <c r="AX89" s="8">
        <f t="shared" si="37"/>
        <v>0</v>
      </c>
      <c r="AY89" s="8">
        <f t="shared" si="38"/>
        <v>4.8</v>
      </c>
      <c r="AZ89" s="8">
        <f>IF(_xlfn.XLOOKUP(E89,Groups!A:A,Groups!N:N)="Insect",BB89*2.5,IFERROR(AVERAGE(BB89,AR89/9.81/IF(OR(_xlfn.XLOOKUP(E89,Groups!A:A,Groups!N:N)="Pig",_xlfn.XLOOKUP(E89,Groups!A:A,Groups!N:N)="StrongBitingHerbivore"),20,25))*C89^-0.135,BB89))</f>
        <v>2.4659107178066355</v>
      </c>
      <c r="BA89" s="8" t="str">
        <f>IF(W89="No","No",IF(_xlfn.XLOOKUP(E89,Groups!A:A,Groups!U:U)=1,'Base stats'!AZ89,IF(OR(_xlfn.XLOOKUP(E89,Groups!A:A,Groups!BD:BD)=1,_xlfn.XLOOKUP(E89,Groups!A:A,Groups!U:U)=2),BB89,IF(_xlfn.XLOOKUP(B89,Animals!B:B,Animals!AO:AO)&gt;4,AVERAGE(BB89,BD89),BD89))))</f>
        <v>No</v>
      </c>
      <c r="BB89" s="8">
        <f t="shared" si="39"/>
        <v>1.7141896806845596</v>
      </c>
      <c r="BC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D89" s="8">
        <f>(0.048*C89^1.01)/IF(_xlfn.XLOOKUP(E89,Groups!A:A,Groups!M:M)=1,0.25,0.8)*C89^-0.25</f>
        <v>2.7038376258152188</v>
      </c>
      <c r="BE89" s="8">
        <f>EXP(1.076*LN(AP89)-4.5397)*IF(_xlfn.XLOOKUP(E89,Groups!A:A,Groups!BC:BC)=1,1.25,IF(_xlfn.XLOOKUP(E89,Groups!A:A,Groups!BD:BD)=1,3.5,2.5))</f>
        <v>186.87484615605439</v>
      </c>
      <c r="BF89" s="8">
        <f>EXP(1.076*LN(AQ89)-4.5397)*IF(_xlfn.XLOOKUP(E89,Groups!A:A,Groups!M:M)=1,0.8,IF(_xlfn.XLOOKUP(E89,Groups!A:A,Groups!BC:BC)=1,1.3,3))</f>
        <v>229.97937056804284</v>
      </c>
      <c r="BG89" s="8" t="str">
        <f>IF(W89="No","No",IF(_xlfn.XLOOKUP(E89,Groups!A:A,Groups!U:U)=1,'Base stats'!BH89,IF(OR(_xlfn.XLOOKUP(E89,Groups!A:A,Groups!BD:BD)=1,_xlfn.XLOOKUP(E89,Groups!A:A,Groups!U:U)=2),BE89,BF89))*1.2)</f>
        <v>No</v>
      </c>
      <c r="BH89" s="8">
        <f>IFERROR(EXP(1.076*LN(AR89)-4.5397)*IF(_xlfn.XLOOKUP(E89,Groups!A:A,Groups!N:N)="Insect",1,IF(OR(_xlfn.XLOOKUP(E89,Groups!A:A,Groups!N:N)="Pig",_xlfn.XLOOKUP(E89,Groups!A:A,Groups!N:N)="StrongBitingHerbivore"),3.5,3.75)),"No")</f>
        <v>139.504914419214</v>
      </c>
      <c r="BI89" s="8">
        <f t="shared" si="44"/>
        <v>14</v>
      </c>
      <c r="BJ89" s="8">
        <f t="shared" si="45"/>
        <v>11</v>
      </c>
      <c r="BK89" s="8" t="str">
        <f t="shared" si="40"/>
        <v>No</v>
      </c>
      <c r="BL89" s="8">
        <f t="shared" si="41"/>
        <v>10</v>
      </c>
      <c r="BM89" s="8">
        <f t="shared" si="46"/>
        <v>13</v>
      </c>
      <c r="BN89" s="8" cm="1">
        <f t="array" ref="BN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O89" s="8" t="str">
        <f>IF(W89="No","No",IF(_xlfn.XLOOKUP(E89,Groups!A:A,Groups!BD:BD)=1,(AM89*5%),EXP(0.7354*LN(C89)^0.4078)*2/IF(_xlfn.XLOOKUP(E89,Groups!A:A,Groups!BL:BL)=1,1000,100)))</f>
        <v>No</v>
      </c>
      <c r="BP89" s="8">
        <f>IF(BH89="No","No",IF(_xlfn.XLOOKUP(E89,Groups!A:A,Groups!BF:BF)=1,(0.0315*C89+2.1825)*2,(0.7354*C89^0.4078)*2)/IF(_xlfn.XLOOKUP(E89,Groups!A:A,Groups!BM:BM)=1,1000,100))</f>
        <v>0.11349157855001941</v>
      </c>
      <c r="BQ89" s="8">
        <f t="shared" si="42"/>
        <v>0.12965776963635597</v>
      </c>
      <c r="BR89" s="8">
        <f t="shared" si="47"/>
        <v>38.2611257388685</v>
      </c>
      <c r="BS89" s="8" t="str">
        <f t="shared" si="43"/>
        <v>No</v>
      </c>
      <c r="BT89" s="8">
        <f t="shared" si="48"/>
        <v>1229.2093933448082</v>
      </c>
      <c r="BU89" s="4">
        <v>0</v>
      </c>
      <c r="BV89" s="4">
        <v>1</v>
      </c>
    </row>
    <row r="90" spans="1:74" x14ac:dyDescent="0.25">
      <c r="A90" s="26" t="s">
        <v>219</v>
      </c>
      <c r="B90" s="6" t="s">
        <v>268</v>
      </c>
      <c r="C90" s="7">
        <v>87</v>
      </c>
      <c r="D90" s="7" t="s">
        <v>584</v>
      </c>
      <c r="E90" s="7" t="str">
        <f>Groups!A28</f>
        <v>Lizardlike (monitor lizard)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584</v>
      </c>
      <c r="L90" s="7">
        <v>20</v>
      </c>
      <c r="M90" s="7" t="s">
        <v>649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945</v>
      </c>
      <c r="Y90" s="4" t="s">
        <v>56</v>
      </c>
      <c r="Z90" s="4">
        <v>0</v>
      </c>
      <c r="AA90" s="4">
        <v>0</v>
      </c>
      <c r="AB90" s="4">
        <v>0</v>
      </c>
      <c r="AC90" s="4" t="s">
        <v>45</v>
      </c>
      <c r="AD90" s="4" t="s">
        <v>45</v>
      </c>
      <c r="AE90" s="28" t="s">
        <v>395</v>
      </c>
      <c r="AF90" s="4" t="str">
        <f>Animals!C32</f>
        <v>&lt;li&gt;Iguana&lt;/li&gt;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4" t="s">
        <v>40</v>
      </c>
      <c r="AM90" s="8">
        <f t="shared" si="34"/>
        <v>20230.680574341102</v>
      </c>
      <c r="AN90" s="8">
        <f>IFERROR(C90*_xlfn.XLOOKUP(E90,Groups!A:A,Groups!K:K),0.106*C90^0.94)</f>
        <v>7.0543006115668359</v>
      </c>
      <c r="AO90" s="8">
        <f>AN90*10000/(_xlfn.XLOOKUP(E90,Groups!A:A,Groups!J:J)*AM90)</f>
        <v>3.1990201217768943</v>
      </c>
      <c r="AP90" s="8">
        <f t="shared" si="35"/>
        <v>2364.5726521368742</v>
      </c>
      <c r="AQ90" s="8">
        <f>IF(_xlfn.XLOOKUP(E90,Groups!A:A,Groups!M:M)=1,EXP(0.7444*LN('Base stats'!C90)+6.5696),EXP(0.7927*LN('Base stats'!C90)+4.28))</f>
        <v>2490.2175762402062</v>
      </c>
      <c r="AR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"No")))))))))))))))</f>
        <v>2911.3214320540633</v>
      </c>
      <c r="AS90" s="8">
        <f>IF(_xlfn.XLOOKUP(E90,Groups!A:A,Groups!U:U)=3,AQ90,IF(_xlfn.XLOOKUP(E90,Groups!A:A,Groups!U:U)=2,AP90,AR90))</f>
        <v>2911.3214320540633</v>
      </c>
      <c r="AT90" s="46">
        <f>IFERROR(AVERAGE(_xlfn.XLOOKUP(B90,Animals!B:B,Animals!N:N),_xlfn.XLOOKUP(B90,Animals!B:B,Animals!O:O)),0)</f>
        <v>0</v>
      </c>
      <c r="AU90" s="8">
        <f>MROUND(40*Animals!AO90*_xlfn.XLOOKUP(Animals!BB90,Leathers!$A$2:$A$100,Leathers!$B$2:$B$100,0)+(140*_xlfn.XLOOKUP(B90,Animals!B:B,Animals!AO:AO)*2),5)</f>
        <v>525</v>
      </c>
      <c r="AV90" s="8">
        <f>IFERROR(ROUND(SQRT(V90-1)*IF(_xlfn.XLOOKUP(E90,Groups!A:A,Groups!BF:BF)=0,2,1)*IF(_xlfn.XLOOKUP('Base stats'!E90,Groups!A:A,Groups!O:O)=0,1,0.1),1),0)</f>
        <v>2.4</v>
      </c>
      <c r="AW90" s="8">
        <f t="shared" si="36"/>
        <v>1</v>
      </c>
      <c r="AX90" s="8">
        <f t="shared" si="37"/>
        <v>0</v>
      </c>
      <c r="AY90" s="8">
        <f t="shared" si="38"/>
        <v>4</v>
      </c>
      <c r="AZ90" s="8">
        <f>IF(_xlfn.XLOOKUP(E90,Groups!A:A,Groups!N:N)="Insect",BB90*2.5,IFERROR(AVERAGE(BB90,AR90/9.81/IF(OR(_xlfn.XLOOKUP(E90,Groups!A:A,Groups!N:N)="Pig",_xlfn.XLOOKUP(E90,Groups!A:A,Groups!N:N)="StrongBitingHerbivore"),20,25))*C90^-0.135,BB90))</f>
        <v>3.6866939696073127</v>
      </c>
      <c r="BA90" s="8" t="str">
        <f>IF(W90="No","No",IF(_xlfn.XLOOKUP(E90,Groups!A:A,Groups!U:U)=1,'Base stats'!AZ90,IF(OR(_xlfn.XLOOKUP(E90,Groups!A:A,Groups!BD:BD)=1,_xlfn.XLOOKUP(E90,Groups!A:A,Groups!U:U)=2),BB90,IF(_xlfn.XLOOKUP(B90,Animals!B:B,Animals!AO:AO)&gt;4,AVERAGE(BB90,BD90),BD90))))</f>
        <v>No</v>
      </c>
      <c r="BB90" s="8">
        <f t="shared" si="39"/>
        <v>1.6033434647752516</v>
      </c>
      <c r="BC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D90" s="8">
        <f>(0.048*C90^1.01)/IF(_xlfn.XLOOKUP(E90,Groups!A:A,Groups!M:M)=1,0.25,0.8)*C90^-0.25</f>
        <v>1.7872523730274505</v>
      </c>
      <c r="BE90" s="8">
        <f>EXP(1.076*LN(AP90)-4.5397)*IF(_xlfn.XLOOKUP(E90,Groups!A:A,Groups!BC:BC)=1,1.25,IF(_xlfn.XLOOKUP(E90,Groups!A:A,Groups!BD:BD)=1,3.5,2.5))</f>
        <v>113.90196432761797</v>
      </c>
      <c r="BF90" s="8">
        <f>EXP(1.076*LN(AQ90)-4.5397)*IF(_xlfn.XLOOKUP(E90,Groups!A:A,Groups!M:M)=1,0.8,IF(_xlfn.XLOOKUP(E90,Groups!A:A,Groups!BC:BC)=1,1.3,3))</f>
        <v>144.51266952975502</v>
      </c>
      <c r="BG90" s="8" t="str">
        <f>IF(W90="No","No",IF(_xlfn.XLOOKUP(E90,Groups!A:A,Groups!U:U)=1,'Base stats'!BH90,IF(OR(_xlfn.XLOOKUP(E90,Groups!A:A,Groups!BD:BD)=1,_xlfn.XLOOKUP(E90,Groups!A:A,Groups!U:U)=2),BE90,BF90))*1.2)</f>
        <v>No</v>
      </c>
      <c r="BH90" s="8">
        <f>IFERROR(EXP(1.076*LN(AR90)-4.5397)*IF(_xlfn.XLOOKUP(E90,Groups!A:A,Groups!N:N)="Insect",1,IF(OR(_xlfn.XLOOKUP(E90,Groups!A:A,Groups!N:N)="Pig",_xlfn.XLOOKUP(E90,Groups!A:A,Groups!N:N)="StrongBitingHerbivore"),3.5,3.75)),"No")</f>
        <v>213.71038057558172</v>
      </c>
      <c r="BI90" s="8">
        <f t="shared" si="44"/>
        <v>11</v>
      </c>
      <c r="BJ90" s="8">
        <f t="shared" si="45"/>
        <v>11</v>
      </c>
      <c r="BK90" s="8" t="str">
        <f t="shared" si="40"/>
        <v>No</v>
      </c>
      <c r="BL90" s="8">
        <f t="shared" si="41"/>
        <v>10</v>
      </c>
      <c r="BM90" s="8">
        <f t="shared" si="46"/>
        <v>12</v>
      </c>
      <c r="BN90" s="8" cm="1">
        <f t="array" ref="BN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O90" s="8" t="str">
        <f>IF(W90="No","No",IF(_xlfn.XLOOKUP(E90,Groups!A:A,Groups!BD:BD)=1,(AM90*5%),EXP(0.7354*LN(C90)^0.4078)*2/IF(_xlfn.XLOOKUP(E90,Groups!A:A,Groups!BL:BL)=1,1000,100)))</f>
        <v>No</v>
      </c>
      <c r="BP90" s="8">
        <f>IF(BH90="No","No",IF(_xlfn.XLOOKUP(E90,Groups!A:A,Groups!BF:BF)=1,(0.0315*C90+2.1825)*2,(0.7354*C90^0.4078)*2)/IF(_xlfn.XLOOKUP(E90,Groups!A:A,Groups!BM:BM)=1,1000,100))</f>
        <v>9.0884447708193095E-2</v>
      </c>
      <c r="BQ90" s="8">
        <f t="shared" si="42"/>
        <v>0.11260319583324513</v>
      </c>
      <c r="BR90" s="8">
        <f t="shared" si="47"/>
        <v>1590.0703934929388</v>
      </c>
      <c r="BS90" s="8" t="str">
        <f t="shared" si="43"/>
        <v>No</v>
      </c>
      <c r="BT90" s="8">
        <f t="shared" si="48"/>
        <v>2351.4516065691628</v>
      </c>
      <c r="BU90" s="4">
        <v>0</v>
      </c>
      <c r="BV90" s="4">
        <v>1</v>
      </c>
    </row>
    <row r="91" spans="1:74" x14ac:dyDescent="0.25">
      <c r="A91" s="26" t="s">
        <v>193</v>
      </c>
      <c r="B91" s="6" t="s">
        <v>194</v>
      </c>
      <c r="C91" s="7">
        <f>1.35-0.0378*(AVERAGE(278,379))+4.6*10^-6*(AVERAGE(278,379))^3</f>
        <v>151.99890097499997</v>
      </c>
      <c r="D91" s="7" t="s">
        <v>1307</v>
      </c>
      <c r="E91" s="7" t="s">
        <v>195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585</v>
      </c>
      <c r="L91" s="7">
        <v>12</v>
      </c>
      <c r="M91" s="7" t="s">
        <v>538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945</v>
      </c>
      <c r="Y91" s="4" t="s">
        <v>56</v>
      </c>
      <c r="Z91" s="4">
        <v>0</v>
      </c>
      <c r="AA91" s="4">
        <v>0</v>
      </c>
      <c r="AB91" s="4">
        <v>0</v>
      </c>
      <c r="AC91" s="4" t="s">
        <v>45</v>
      </c>
      <c r="AD91" s="4" t="s">
        <v>45</v>
      </c>
      <c r="AE91" s="28" t="s">
        <v>395</v>
      </c>
      <c r="AF91" s="4" t="s">
        <v>45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4">
        <v>15</v>
      </c>
      <c r="AM91" s="8">
        <f t="shared" si="34"/>
        <v>29074.969636256101</v>
      </c>
      <c r="AN91" s="8">
        <f>IFERROR(C91*_xlfn.XLOOKUP(E91,Groups!A:A,Groups!K:K),0.106*C91^0.94)</f>
        <v>30.399780194999995</v>
      </c>
      <c r="AO91" s="8">
        <f>AN91*10000/(_xlfn.XLOOKUP(E91,Groups!A:A,Groups!J:J)*AM91)</f>
        <v>5.621318973414672</v>
      </c>
      <c r="AP91" s="8">
        <f t="shared" si="35"/>
        <v>3788.2739356721245</v>
      </c>
      <c r="AQ91" s="8">
        <f>IF(_xlfn.XLOOKUP(E91,Groups!A:A,Groups!M:M)=1,EXP(0.7444*LN('Base stats'!C91)+6.5696),EXP(0.7927*LN('Base stats'!C91)+4.28))</f>
        <v>3875.4782646004551</v>
      </c>
      <c r="AR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"No")))))))))))))))</f>
        <v>10015.596078910863</v>
      </c>
      <c r="AS91" s="8">
        <f>IF(_xlfn.XLOOKUP(E91,Groups!A:A,Groups!U:U)=3,AQ91,IF(_xlfn.XLOOKUP(E91,Groups!A:A,Groups!U:U)=2,AP91,AR91))</f>
        <v>10015.596078910863</v>
      </c>
      <c r="AT91" s="46">
        <f>IFERROR(AVERAGE(_xlfn.XLOOKUP(B91,Animals!B:B,Animals!N:N),_xlfn.XLOOKUP(B91,Animals!B:B,Animals!O:O)),0)</f>
        <v>0.22500000000000001</v>
      </c>
      <c r="AU91" s="8">
        <f>MROUND(40*Animals!AO91*_xlfn.XLOOKUP(Animals!BB91,Leathers!$A$2:$A$100,Leathers!$B$2:$B$100,0)+(140*_xlfn.XLOOKUP(B91,Animals!B:B,Animals!AO:AO)*2),5)</f>
        <v>730</v>
      </c>
      <c r="AV91" s="8">
        <f>IFERROR(ROUND(SQRT(V91-1)*IF(_xlfn.XLOOKUP(E91,Groups!A:A,Groups!BF:BF)=0,2,1)*IF(_xlfn.XLOOKUP('Base stats'!E91,Groups!A:A,Groups!O:O)=0,1,0.1),1),0)</f>
        <v>1.4</v>
      </c>
      <c r="AW91" s="8">
        <f t="shared" si="36"/>
        <v>0</v>
      </c>
      <c r="AX91" s="8">
        <f t="shared" si="37"/>
        <v>0</v>
      </c>
      <c r="AY91" s="8">
        <f t="shared" si="38"/>
        <v>4.8</v>
      </c>
      <c r="AZ91" s="8">
        <f>IF(_xlfn.XLOOKUP(E91,Groups!A:A,Groups!N:N)="Insect",BB91*2.5,IFERROR(AVERAGE(BB91,AR91/9.81/IF(OR(_xlfn.XLOOKUP(E91,Groups!A:A,Groups!N:N)="Pig",_xlfn.XLOOKUP(E91,Groups!A:A,Groups!N:N)="StrongBitingHerbivore"),20,25))*C91^-0.135,BB91))</f>
        <v>11.009961436947849</v>
      </c>
      <c r="BA91" s="8" t="str">
        <f>IF(W91="No","No",IF(_xlfn.XLOOKUP(E91,Groups!A:A,Groups!U:U)=1,'Base stats'!AZ91,IF(OR(_xlfn.XLOOKUP(E91,Groups!A:A,Groups!BD:BD)=1,_xlfn.XLOOKUP(E91,Groups!A:A,Groups!U:U)=2),BB91,IF(_xlfn.XLOOKUP(B91,Animals!B:B,Animals!AO:AO)&gt;4,AVERAGE(BB91,BD91),BD91))))</f>
        <v>No</v>
      </c>
      <c r="BB91" s="8">
        <f t="shared" si="39"/>
        <v>2.5491505145749231</v>
      </c>
      <c r="BC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D91" s="8">
        <f>(0.048*C91^1.01)/IF(_xlfn.XLOOKUP(E91,Groups!A:A,Groups!M:M)=1,0.25,0.8)*C91^-0.25</f>
        <v>2.7311779070854358</v>
      </c>
      <c r="BE91" s="8">
        <f>EXP(1.076*LN(AP91)-4.5397)*IF(_xlfn.XLOOKUP(E91,Groups!A:A,Groups!BC:BC)=1,1.25,IF(_xlfn.XLOOKUP(E91,Groups!A:A,Groups!BD:BD)=1,3.5,2.5))</f>
        <v>189.13690135976577</v>
      </c>
      <c r="BF91" s="8">
        <f>EXP(1.076*LN(AQ91)-4.5397)*IF(_xlfn.XLOOKUP(E91,Groups!A:A,Groups!M:M)=1,0.8,IF(_xlfn.XLOOKUP(E91,Groups!A:A,Groups!BC:BC)=1,1.3,3))</f>
        <v>232.59084900566722</v>
      </c>
      <c r="BG91" s="8" t="str">
        <f>IF(W91="No","No",IF(_xlfn.XLOOKUP(E91,Groups!A:A,Groups!U:U)=1,'Base stats'!BH91,IF(OR(_xlfn.XLOOKUP(E91,Groups!A:A,Groups!BD:BD)=1,_xlfn.XLOOKUP(E91,Groups!A:A,Groups!U:U)=2),BE91,BF91))*1.2)</f>
        <v>No</v>
      </c>
      <c r="BH91" s="8">
        <f>IFERROR(EXP(1.076*LN(AR91)-4.5397)*IF(_xlfn.XLOOKUP(E91,Groups!A:A,Groups!N:N)="Insect",1,IF(OR(_xlfn.XLOOKUP(E91,Groups!A:A,Groups!N:N)="Pig",_xlfn.XLOOKUP(E91,Groups!A:A,Groups!N:N)="StrongBitingHerbivore"),3.5,3.75)),"No")</f>
        <v>807.59355910972317</v>
      </c>
      <c r="BI91" s="8">
        <f t="shared" si="44"/>
        <v>12</v>
      </c>
      <c r="BJ91" s="8">
        <f t="shared" si="45"/>
        <v>11</v>
      </c>
      <c r="BK91" s="8" t="str">
        <f t="shared" si="40"/>
        <v>No</v>
      </c>
      <c r="BL91" s="8">
        <f t="shared" si="41"/>
        <v>12</v>
      </c>
      <c r="BM91" s="8">
        <f t="shared" si="46"/>
        <v>13</v>
      </c>
      <c r="BN91" s="8" t="str" cm="1">
        <f t="array" ref="BN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O91" s="8" t="str">
        <f>IF(W91="No","No",IF(_xlfn.XLOOKUP(E91,Groups!A:A,Groups!BD:BD)=1,(AM91*5%),EXP(0.7354*LN(C91)^0.4078)*2/IF(_xlfn.XLOOKUP(E91,Groups!A:A,Groups!BL:BL)=1,1000,100)))</f>
        <v>No</v>
      </c>
      <c r="BP91" s="8">
        <f>IF(BH91="No","No",IF(_xlfn.XLOOKUP(E91,Groups!A:A,Groups!BF:BF)=1,(0.0315*C91+2.1825)*2,(0.7354*C91^0.4078)*2)/IF(_xlfn.XLOOKUP(E91,Groups!A:A,Groups!BM:BM)=1,1000,100))</f>
        <v>0.13940930761424997</v>
      </c>
      <c r="BQ91" s="8">
        <f t="shared" si="42"/>
        <v>0.1301029055066765</v>
      </c>
      <c r="BR91" s="8" t="str">
        <f t="shared" si="47"/>
        <v>No</v>
      </c>
      <c r="BS91" s="8" t="str">
        <f t="shared" si="43"/>
        <v>No</v>
      </c>
      <c r="BT91" s="8">
        <f t="shared" si="48"/>
        <v>5792.9672912827345</v>
      </c>
      <c r="BU91" s="4">
        <v>0</v>
      </c>
      <c r="BV91" s="4">
        <v>1</v>
      </c>
    </row>
    <row r="92" spans="1:74" x14ac:dyDescent="0.25">
      <c r="A92" s="26" t="s">
        <v>215</v>
      </c>
      <c r="B92" s="6" t="s">
        <v>233</v>
      </c>
      <c r="C92" s="7">
        <f>(186+89.9+235)/3</f>
        <v>170.29999999999998</v>
      </c>
      <c r="D92" s="7" t="s">
        <v>1308</v>
      </c>
      <c r="E92" s="7" t="s">
        <v>177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586</v>
      </c>
      <c r="L92" s="7">
        <f>0.28*3.6*5</f>
        <v>5.0400000000000009</v>
      </c>
      <c r="M92" s="7" t="s">
        <v>645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945</v>
      </c>
      <c r="Y92" s="4" t="s">
        <v>42</v>
      </c>
      <c r="Z92" s="4">
        <v>0</v>
      </c>
      <c r="AA92" s="4">
        <v>0</v>
      </c>
      <c r="AB92" s="4">
        <v>0</v>
      </c>
      <c r="AC92" s="4" t="s">
        <v>45</v>
      </c>
      <c r="AD92" s="4" t="s">
        <v>45</v>
      </c>
      <c r="AE92" s="28" t="s">
        <v>395</v>
      </c>
      <c r="AF92" s="4" t="str">
        <f>Animals!C34</f>
        <v>&lt;li&gt;Tortoise&lt;/li&gt;</v>
      </c>
      <c r="AG92" s="4">
        <v>0</v>
      </c>
      <c r="AH92" s="4">
        <v>1</v>
      </c>
      <c r="AI92" s="4">
        <v>0</v>
      </c>
      <c r="AJ92" s="4">
        <v>0</v>
      </c>
      <c r="AK92" s="4">
        <v>0</v>
      </c>
      <c r="AL92" s="44">
        <v>10</v>
      </c>
      <c r="AM92" s="8">
        <f t="shared" si="34"/>
        <v>31304.912913104359</v>
      </c>
      <c r="AN92" s="8">
        <f>IFERROR(C92*_xlfn.XLOOKUP(E92,Groups!A:A,Groups!K:K),0.106*C92^0.94)</f>
        <v>54.495999999999995</v>
      </c>
      <c r="AO92" s="8">
        <f>AN92*10000/(_xlfn.XLOOKUP(E92,Groups!A:A,Groups!J:J)*AM92)</f>
        <v>13.088819701866509</v>
      </c>
      <c r="AP92" s="8">
        <f t="shared" si="35"/>
        <v>4170.1124176715539</v>
      </c>
      <c r="AQ92" s="8">
        <f>IF(_xlfn.XLOOKUP(E92,Groups!A:A,Groups!M:M)=1,EXP(0.7444*LN('Base stats'!C92)+6.5696),EXP(0.7927*LN('Base stats'!C92)+4.28))</f>
        <v>4240.9605634226791</v>
      </c>
      <c r="AR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"No")))))))))))))))</f>
        <v>1825.9736259604097</v>
      </c>
      <c r="AS92" s="8">
        <f>IF(_xlfn.XLOOKUP(E92,Groups!A:A,Groups!U:U)=3,AQ92,IF(_xlfn.XLOOKUP(E92,Groups!A:A,Groups!U:U)=2,AP92,AR92))</f>
        <v>1825.9736259604097</v>
      </c>
      <c r="AT92" s="46">
        <f>IFERROR(AVERAGE(_xlfn.XLOOKUP(B92,Animals!B:B,Animals!N:N),_xlfn.XLOOKUP(B92,Animals!B:B,Animals!O:O)),0)</f>
        <v>1.5500000000000003</v>
      </c>
      <c r="AU92" s="8">
        <f>MROUND(40*Animals!AO92*_xlfn.XLOOKUP(Animals!BB92,Leathers!$A$2:$A$100,Leathers!$B$2:$B$100,0)+(140*_xlfn.XLOOKUP(B92,Animals!B:B,Animals!AO:AO)*2),5)</f>
        <v>775</v>
      </c>
      <c r="AV92" s="8">
        <f>IFERROR(ROUND(SQRT(V92-1)*IF(_xlfn.XLOOKUP(E92,Groups!A:A,Groups!BF:BF)=0,2,1)*IF(_xlfn.XLOOKUP('Base stats'!E92,Groups!A:A,Groups!O:O)=0,1,0.1),1),0)</f>
        <v>0.2</v>
      </c>
      <c r="AW92" s="8">
        <f t="shared" si="36"/>
        <v>0</v>
      </c>
      <c r="AX92" s="8">
        <f t="shared" si="37"/>
        <v>0</v>
      </c>
      <c r="AY92" s="8">
        <f t="shared" si="38"/>
        <v>5</v>
      </c>
      <c r="AZ92" s="8">
        <f>IF(_xlfn.XLOOKUP(E92,Groups!A:A,Groups!N:N)="Insect",BB92*2.5,IFERROR(AVERAGE(BB92,AR92/9.81/IF(OR(_xlfn.XLOOKUP(E92,Groups!A:A,Groups!N:N)="Pig",_xlfn.XLOOKUP(E92,Groups!A:A,Groups!N:N)="StrongBitingHerbivore"),20,25))*C92^-0.135,BB92))</f>
        <v>2.3319380751030536</v>
      </c>
      <c r="BA92" s="8" t="str">
        <f>IF(W92="No","No",IF(_xlfn.XLOOKUP(E92,Groups!A:A,Groups!U:U)=1,'Base stats'!AZ92,IF(OR(_xlfn.XLOOKUP(E92,Groups!A:A,Groups!BD:BD)=1,_xlfn.XLOOKUP(E92,Groups!A:A,Groups!U:U)=2),BB92,IF(_xlfn.XLOOKUP(B92,Animals!B:B,Animals!AO:AO)&gt;4,AVERAGE(BB92,BD92),BD92))))</f>
        <v>No</v>
      </c>
      <c r="BB92" s="8">
        <f t="shared" si="39"/>
        <v>1.8863484154287324</v>
      </c>
      <c r="BC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D92" s="8">
        <f>(0.048*C92^1.01)/IF(_xlfn.XLOOKUP(E92,Groups!A:A,Groups!M:M)=1,0.25,0.8)*C92^-0.25</f>
        <v>2.9776550353771003</v>
      </c>
      <c r="BE92" s="8">
        <f>EXP(1.076*LN(AP92)-4.5397)*IF(_xlfn.XLOOKUP(E92,Groups!A:A,Groups!BC:BC)=1,1.25,IF(_xlfn.XLOOKUP(E92,Groups!A:A,Groups!BD:BD)=1,3.5,2.5))</f>
        <v>104.86301644922904</v>
      </c>
      <c r="BF92" s="8">
        <f>EXP(1.076*LN(AQ92)-4.5397)*IF(_xlfn.XLOOKUP(E92,Groups!A:A,Groups!M:M)=1,0.8,IF(_xlfn.XLOOKUP(E92,Groups!A:A,Groups!BC:BC)=1,1.3,3))</f>
        <v>111.0524664515993</v>
      </c>
      <c r="BG92" s="8" t="str">
        <f>IF(W92="No","No",IF(_xlfn.XLOOKUP(E92,Groups!A:A,Groups!U:U)=1,'Base stats'!BH92,IF(OR(_xlfn.XLOOKUP(E92,Groups!A:A,Groups!BD:BD)=1,_xlfn.XLOOKUP(E92,Groups!A:A,Groups!U:U)=2),BE92,BF92))*1.2)</f>
        <v>No</v>
      </c>
      <c r="BH92" s="8">
        <f>IFERROR(EXP(1.076*LN(AR92)-4.5397)*IF(_xlfn.XLOOKUP(E92,Groups!A:A,Groups!N:N)="Insect",1,IF(OR(_xlfn.XLOOKUP(E92,Groups!A:A,Groups!N:N)="Pig",_xlfn.XLOOKUP(E92,Groups!A:A,Groups!N:N)="StrongBitingHerbivore"),3.5,3.75)),"No")</f>
        <v>129.36973562155501</v>
      </c>
      <c r="BI92" s="8">
        <f t="shared" si="44"/>
        <v>10</v>
      </c>
      <c r="BJ92" s="8">
        <f t="shared" si="45"/>
        <v>9</v>
      </c>
      <c r="BK92" s="8" t="str">
        <f t="shared" si="40"/>
        <v>No</v>
      </c>
      <c r="BL92" s="8">
        <f t="shared" si="41"/>
        <v>10</v>
      </c>
      <c r="BM92" s="8">
        <f t="shared" si="46"/>
        <v>8</v>
      </c>
      <c r="BN92" s="8" t="str" cm="1">
        <f t="array" ref="BN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O92" s="8" t="str">
        <f>IF(W92="No","No",IF(_xlfn.XLOOKUP(E92,Groups!A:A,Groups!BD:BD)=1,(AM92*5%),EXP(0.7354*LN(C92)^0.4078)*2/IF(_xlfn.XLOOKUP(E92,Groups!A:A,Groups!BL:BL)=1,1000,100)))</f>
        <v>No</v>
      </c>
      <c r="BP92" s="8">
        <f>IF(BH92="No","No",IF(_xlfn.XLOOKUP(E92,Groups!A:A,Groups!BF:BF)=1,(0.0315*C92+2.1825)*2,(0.7354*C92^0.4078)*2)/IF(_xlfn.XLOOKUP(E92,Groups!A:A,Groups!BM:BM)=1,1000,100))</f>
        <v>0.15093899999999999</v>
      </c>
      <c r="BQ92" s="8">
        <f t="shared" si="42"/>
        <v>6.6994606718955574E-2</v>
      </c>
      <c r="BR92" s="8" t="str">
        <f t="shared" si="47"/>
        <v>No</v>
      </c>
      <c r="BS92" s="8" t="str">
        <f t="shared" si="43"/>
        <v>No</v>
      </c>
      <c r="BT92" s="8">
        <f t="shared" si="48"/>
        <v>857.09946151461861</v>
      </c>
      <c r="BU92" s="4">
        <v>0</v>
      </c>
      <c r="BV92" s="4">
        <v>1</v>
      </c>
    </row>
    <row r="93" spans="1:74" x14ac:dyDescent="0.25">
      <c r="A93" s="26" t="s">
        <v>278</v>
      </c>
      <c r="B93" s="6" t="s">
        <v>279</v>
      </c>
      <c r="C93" s="7">
        <v>1.125</v>
      </c>
      <c r="D93" s="7" t="s">
        <v>587</v>
      </c>
      <c r="E93" s="7" t="s">
        <v>123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587</v>
      </c>
      <c r="L93" s="7">
        <f>MIN(20*C93^0.183,19.9*C93^0.142)</f>
        <v>20.235630218079802</v>
      </c>
      <c r="M93" s="7" t="s">
        <v>638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945</v>
      </c>
      <c r="Y93" s="4" t="s">
        <v>42</v>
      </c>
      <c r="Z93" s="4">
        <v>0</v>
      </c>
      <c r="AA93" s="4">
        <v>0</v>
      </c>
      <c r="AB93" s="4">
        <v>0</v>
      </c>
      <c r="AC93" s="4" t="s">
        <v>45</v>
      </c>
      <c r="AD93" s="4" t="s">
        <v>410</v>
      </c>
      <c r="AE93" s="28" t="s">
        <v>394</v>
      </c>
      <c r="AF93" s="4" t="str">
        <f>Animals!C35</f>
        <v>&lt;li&gt;Rat&lt;/li&gt;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4" t="s">
        <v>40</v>
      </c>
      <c r="AM93" s="8">
        <f t="shared" si="34"/>
        <v>1198.3180978153825</v>
      </c>
      <c r="AN93" s="8">
        <f>IFERROR(C93*_xlfn.XLOOKUP(E93,Groups!A:A,Groups!K:K),0.106*C93^0.94)</f>
        <v>0.11841023318340879</v>
      </c>
      <c r="AO93" s="8">
        <f>AN93*10000/(_xlfn.XLOOKUP(E93,Groups!A:A,Groups!J:J)*AM93)</f>
        <v>0.90654761578511223</v>
      </c>
      <c r="AP93" s="8">
        <f t="shared" si="35"/>
        <v>60.068845547201157</v>
      </c>
      <c r="AQ93" s="8">
        <f>IF(_xlfn.XLOOKUP(E93,Groups!A:A,Groups!M:M)=1,EXP(0.7444*LN('Base stats'!C93)+6.5696),EXP(0.7927*LN('Base stats'!C93)+4.28))</f>
        <v>79.310189413887159</v>
      </c>
      <c r="AR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"No")))))))))))))))</f>
        <v>78.795269044622231</v>
      </c>
      <c r="AS93" s="8">
        <f>IF(_xlfn.XLOOKUP(E93,Groups!A:A,Groups!U:U)=3,AQ93,IF(_xlfn.XLOOKUP(E93,Groups!A:A,Groups!U:U)=2,AP93,AR93))</f>
        <v>78.795269044622231</v>
      </c>
      <c r="AT93" s="46">
        <f>IFERROR(AVERAGE(_xlfn.XLOOKUP(B93,Animals!B:B,Animals!N:N),_xlfn.XLOOKUP(B93,Animals!B:B,Animals!O:O)),0)</f>
        <v>0</v>
      </c>
      <c r="AU93" s="8">
        <f>MROUND(40*Animals!AO93*_xlfn.XLOOKUP(Animals!BB93,Leathers!$A$2:$A$100,Leathers!$B$2:$B$100,0)+(140*_xlfn.XLOOKUP(B93,Animals!B:B,Animals!AO:AO)*2),5)</f>
        <v>55</v>
      </c>
      <c r="AV93" s="8">
        <f>IFERROR(ROUND(SQRT(V93-1)*IF(_xlfn.XLOOKUP(E93,Groups!A:A,Groups!BF:BF)=0,2,1)*IF(_xlfn.XLOOKUP('Base stats'!E93,Groups!A:A,Groups!O:O)=0,1,0.1),1),0)</f>
        <v>0</v>
      </c>
      <c r="AW93" s="8">
        <f t="shared" si="36"/>
        <v>0</v>
      </c>
      <c r="AX93" s="8">
        <f t="shared" si="37"/>
        <v>0</v>
      </c>
      <c r="AY93" s="8">
        <f t="shared" si="38"/>
        <v>0.6</v>
      </c>
      <c r="AZ93" s="8">
        <f>IF(_xlfn.XLOOKUP(E93,Groups!A:A,Groups!N:N)="Insect",BB93*2.5,IFERROR(AVERAGE(BB93,AR93/9.81/IF(OR(_xlfn.XLOOKUP(E93,Groups!A:A,Groups!N:N)="Pig",_xlfn.XLOOKUP(E93,Groups!A:A,Groups!N:N)="StrongBitingHerbivore"),20,25))*C93^-0.135,BB93))</f>
        <v>0.17919098975003619</v>
      </c>
      <c r="BA93" s="8" t="str">
        <f>IF(W93="No","No",IF(_xlfn.XLOOKUP(E93,Groups!A:A,Groups!U:U)=1,'Base stats'!AZ93,IF(OR(_xlfn.XLOOKUP(E93,Groups!A:A,Groups!BD:BD)=1,_xlfn.XLOOKUP(E93,Groups!A:A,Groups!U:U)=2),BB93,IF(_xlfn.XLOOKUP(B93,Animals!B:B,Animals!AO:AO)&gt;4,AVERAGE(BB93,BD93),BD93))))</f>
        <v>No</v>
      </c>
      <c r="BB93" s="8">
        <f t="shared" si="39"/>
        <v>4.2840553072330437E-2</v>
      </c>
      <c r="BC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D93" s="8">
        <f>(0.048*C93^1.01)/IF(_xlfn.XLOOKUP(E93,Groups!A:A,Groups!M:M)=1,0.25,0.8)*C93^-0.25</f>
        <v>6.5618631298402716E-2</v>
      </c>
      <c r="BE93" s="8">
        <f>EXP(1.076*LN(AP93)-4.5397)*IF(_xlfn.XLOOKUP(E93,Groups!A:A,Groups!BC:BC)=1,1.25,IF(_xlfn.XLOOKUP(E93,Groups!A:A,Groups!BD:BD)=1,3.5,2.5))</f>
        <v>2.1887692579587883</v>
      </c>
      <c r="BF93" s="8">
        <f>EXP(1.076*LN(AQ93)-4.5397)*IF(_xlfn.XLOOKUP(E93,Groups!A:A,Groups!M:M)=1,0.8,IF(_xlfn.XLOOKUP(E93,Groups!A:A,Groups!BC:BC)=1,1.3,3))</f>
        <v>3.5418697425541152</v>
      </c>
      <c r="BG93" s="8" t="str">
        <f>IF(W93="No","No",IF(_xlfn.XLOOKUP(E93,Groups!A:A,Groups!U:U)=1,'Base stats'!BH93,IF(OR(_xlfn.XLOOKUP(E93,Groups!A:A,Groups!BD:BD)=1,_xlfn.XLOOKUP(E93,Groups!A:A,Groups!U:U)=2),BE93,BF93))*1.2)</f>
        <v>No</v>
      </c>
      <c r="BH93" s="8">
        <f>IFERROR(EXP(1.076*LN(AR93)-4.5397)*IF(_xlfn.XLOOKUP(E93,Groups!A:A,Groups!N:N)="Insect",1,IF(OR(_xlfn.XLOOKUP(E93,Groups!A:A,Groups!N:N)="Pig",_xlfn.XLOOKUP(E93,Groups!A:A,Groups!N:N)="StrongBitingHerbivore"),3.5,3.75)),"No")</f>
        <v>4.3964158187185465</v>
      </c>
      <c r="BI93" s="8">
        <f t="shared" si="44"/>
        <v>10</v>
      </c>
      <c r="BJ93" s="8">
        <f t="shared" si="45"/>
        <v>9</v>
      </c>
      <c r="BK93" s="8" t="str">
        <f t="shared" si="40"/>
        <v>No</v>
      </c>
      <c r="BL93" s="8">
        <f t="shared" si="41"/>
        <v>7</v>
      </c>
      <c r="BM93" s="8">
        <f t="shared" si="46"/>
        <v>10</v>
      </c>
      <c r="BN93" s="8" t="str" cm="1">
        <f t="array" ref="BN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O93" s="8" t="str">
        <f>IF(W93="No","No",IF(_xlfn.XLOOKUP(E93,Groups!A:A,Groups!BD:BD)=1,(AM93*5%),EXP(0.7354*LN(C93)^0.4078)*2/IF(_xlfn.XLOOKUP(E93,Groups!A:A,Groups!BL:BL)=1,1000,100)))</f>
        <v>No</v>
      </c>
      <c r="BP93" s="8">
        <f>IF(BH93="No","No",IF(_xlfn.XLOOKUP(E93,Groups!A:A,Groups!BF:BF)=1,(0.0315*C93+2.1825)*2,(0.7354*C93^0.4078)*2)/IF(_xlfn.XLOOKUP(E93,Groups!A:A,Groups!BM:BM)=1,1000,100))</f>
        <v>1.5431694600289387E-2</v>
      </c>
      <c r="BQ93" s="8">
        <f t="shared" si="42"/>
        <v>3.6530688503312557E-2</v>
      </c>
      <c r="BR93" s="8" t="str">
        <f t="shared" si="47"/>
        <v>No</v>
      </c>
      <c r="BS93" s="8" t="str">
        <f t="shared" si="43"/>
        <v>No</v>
      </c>
      <c r="BT93" s="8">
        <f t="shared" si="48"/>
        <v>284.89520643028419</v>
      </c>
      <c r="BU93" s="4">
        <v>0</v>
      </c>
      <c r="BV93" s="4">
        <v>1</v>
      </c>
    </row>
    <row r="94" spans="1:74" x14ac:dyDescent="0.25">
      <c r="A94" s="26" t="s">
        <v>198</v>
      </c>
      <c r="B94" s="6" t="s">
        <v>269</v>
      </c>
      <c r="C94" s="7">
        <v>15</v>
      </c>
      <c r="D94" s="7" t="s">
        <v>1309</v>
      </c>
      <c r="E94" s="7" t="s">
        <v>123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596</v>
      </c>
      <c r="L94" s="7">
        <f>MIN(20*C94^0.183,19.9*C94^0.142,13.7*C94^0.004)</f>
        <v>13.84920781657746</v>
      </c>
      <c r="M94" s="7" t="s">
        <v>638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945</v>
      </c>
      <c r="Y94" s="4" t="s">
        <v>42</v>
      </c>
      <c r="Z94" s="4">
        <v>1</v>
      </c>
      <c r="AA94" s="4">
        <v>0.1</v>
      </c>
      <c r="AB94" s="4">
        <v>0.3</v>
      </c>
      <c r="AC94" s="4" t="s">
        <v>45</v>
      </c>
      <c r="AD94" s="4" t="s">
        <v>45</v>
      </c>
      <c r="AE94" s="28" t="s">
        <v>394</v>
      </c>
      <c r="AF94" s="4" t="s">
        <v>45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4" t="s">
        <v>40</v>
      </c>
      <c r="AM94" s="8">
        <f t="shared" si="34"/>
        <v>6453.306570514339</v>
      </c>
      <c r="AN94" s="8">
        <f>IFERROR(C94*_xlfn.XLOOKUP(E94,Groups!A:A,Groups!K:K),0.106*C94^0.94)</f>
        <v>1.3515485432806338</v>
      </c>
      <c r="AO94" s="8">
        <f>AN94*10000/(_xlfn.XLOOKUP(E94,Groups!A:A,Groups!J:J)*AM94)</f>
        <v>1.9214224188046829</v>
      </c>
      <c r="AP94" s="8">
        <f t="shared" si="35"/>
        <v>535.65484345622485</v>
      </c>
      <c r="AQ94" s="8">
        <f>IF(_xlfn.XLOOKUP(E94,Groups!A:A,Groups!M:M)=1,EXP(0.7444*LN('Base stats'!C94)+6.5696),EXP(0.7927*LN('Base stats'!C94)+4.28))</f>
        <v>618.11306538043016</v>
      </c>
      <c r="AR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"No")))))))))))))))</f>
        <v>338.28144892601927</v>
      </c>
      <c r="AS94" s="8">
        <f>IF(_xlfn.XLOOKUP(E94,Groups!A:A,Groups!U:U)=3,AQ94,IF(_xlfn.XLOOKUP(E94,Groups!A:A,Groups!U:U)=2,AP94,AR94))</f>
        <v>338.28144892601927</v>
      </c>
      <c r="AT94" s="46">
        <f>IFERROR(AVERAGE(_xlfn.XLOOKUP(B94,Animals!B:B,Animals!N:N),_xlfn.XLOOKUP(B94,Animals!B:B,Animals!O:O)),0)</f>
        <v>0</v>
      </c>
      <c r="AU94" s="8">
        <f>MROUND(40*Animals!AO94*_xlfn.XLOOKUP(Animals!BB94,Leathers!$A$2:$A$100,Leathers!$B$2:$B$100,0)+(140*_xlfn.XLOOKUP(B94,Animals!B:B,Animals!AO:AO)*2),5)</f>
        <v>180</v>
      </c>
      <c r="AV94" s="8">
        <f>IFERROR(ROUND(SQRT(V94-1)*IF(_xlfn.XLOOKUP(E94,Groups!A:A,Groups!BF:BF)=0,2,1)*IF(_xlfn.XLOOKUP('Base stats'!E94,Groups!A:A,Groups!O:O)=0,1,0.1),1),0)</f>
        <v>2.8</v>
      </c>
      <c r="AW94" s="8">
        <f t="shared" si="36"/>
        <v>0</v>
      </c>
      <c r="AX94" s="8">
        <f t="shared" si="37"/>
        <v>0</v>
      </c>
      <c r="AY94" s="8">
        <f t="shared" si="38"/>
        <v>2</v>
      </c>
      <c r="AZ94" s="8">
        <f>IF(_xlfn.XLOOKUP(E94,Groups!A:A,Groups!N:N)="Insect",BB94*2.5,IFERROR(AVERAGE(BB94,AR94/9.81/IF(OR(_xlfn.XLOOKUP(E94,Groups!A:A,Groups!N:N)="Pig",_xlfn.XLOOKUP(E94,Groups!A:A,Groups!N:N)="StrongBitingHerbivore"),20,25))*C94^-0.135,BB94))</f>
        <v>0.58325810494026309</v>
      </c>
      <c r="BA94" s="8" t="str">
        <f>IF(W94="No","No",IF(_xlfn.XLOOKUP(E94,Groups!A:A,Groups!U:U)=1,'Base stats'!AZ94,IF(OR(_xlfn.XLOOKUP(E94,Groups!A:A,Groups!BD:BD)=1,_xlfn.XLOOKUP(E94,Groups!A:A,Groups!U:U)=2),BB94,IF(_xlfn.XLOOKUP(B94,Animals!B:B,Animals!AO:AO)&gt;4,AVERAGE(BB94,BD94),BD94))))</f>
        <v>No</v>
      </c>
      <c r="BB94" s="8">
        <f t="shared" si="39"/>
        <v>0.30203611563721933</v>
      </c>
      <c r="BC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D94" s="8">
        <f>(0.048*C94^1.01)/IF(_xlfn.XLOOKUP(E94,Groups!A:A,Groups!M:M)=1,0.25,0.8)*C94^-0.25</f>
        <v>0.46987312669454345</v>
      </c>
      <c r="BE94" s="8">
        <f>EXP(1.076*LN(AP94)-4.5397)*IF(_xlfn.XLOOKUP(E94,Groups!A:A,Groups!BC:BC)=1,1.25,IF(_xlfn.XLOOKUP(E94,Groups!A:A,Groups!BD:BD)=1,3.5,2.5))</f>
        <v>23.049082805105311</v>
      </c>
      <c r="BF94" s="8">
        <f>EXP(1.076*LN(AQ94)-4.5397)*IF(_xlfn.XLOOKUP(E94,Groups!A:A,Groups!M:M)=1,0.8,IF(_xlfn.XLOOKUP(E94,Groups!A:A,Groups!BC:BC)=1,1.3,3))</f>
        <v>32.265892387046144</v>
      </c>
      <c r="BG94" s="8" t="str">
        <f>IF(W94="No","No",IF(_xlfn.XLOOKUP(E94,Groups!A:A,Groups!U:U)=1,'Base stats'!BH94,IF(OR(_xlfn.XLOOKUP(E94,Groups!A:A,Groups!BD:BD)=1,_xlfn.XLOOKUP(E94,Groups!A:A,Groups!U:U)=2),BE94,BF94))*1.2)</f>
        <v>No</v>
      </c>
      <c r="BH94" s="8">
        <f>IFERROR(EXP(1.076*LN(AR94)-4.5397)*IF(_xlfn.XLOOKUP(E94,Groups!A:A,Groups!N:N)="Insect",1,IF(OR(_xlfn.XLOOKUP(E94,Groups!A:A,Groups!N:N)="Pig",_xlfn.XLOOKUP(E94,Groups!A:A,Groups!N:N)="StrongBitingHerbivore"),3.5,3.75)),"No")</f>
        <v>21.084724568463173</v>
      </c>
      <c r="BI94" s="8">
        <f t="shared" si="44"/>
        <v>12</v>
      </c>
      <c r="BJ94" s="8">
        <f t="shared" si="45"/>
        <v>10</v>
      </c>
      <c r="BK94" s="8" t="str">
        <f t="shared" si="40"/>
        <v>No</v>
      </c>
      <c r="BL94" s="8">
        <f t="shared" si="41"/>
        <v>8</v>
      </c>
      <c r="BM94" s="8">
        <f t="shared" si="46"/>
        <v>11</v>
      </c>
      <c r="BN94" s="8" t="str" cm="1">
        <f t="array" ref="BN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O94" s="8" t="str">
        <f>IF(W94="No","No",IF(_xlfn.XLOOKUP(E94,Groups!A:A,Groups!BD:BD)=1,(AM94*5%),EXP(0.7354*LN(C94)^0.4078)*2/IF(_xlfn.XLOOKUP(E94,Groups!A:A,Groups!BL:BL)=1,1000,100)))</f>
        <v>No</v>
      </c>
      <c r="BP94" s="8">
        <f>IF(BH94="No","No",IF(_xlfn.XLOOKUP(E94,Groups!A:A,Groups!BF:BF)=1,(0.0315*C94+2.1825)*2,(0.7354*C94^0.4078)*2)/IF(_xlfn.XLOOKUP(E94,Groups!A:A,Groups!BM:BM)=1,1000,100))</f>
        <v>4.4377582152222601E-2</v>
      </c>
      <c r="BQ94" s="8">
        <f t="shared" si="42"/>
        <v>7.1433404110749568E-2</v>
      </c>
      <c r="BR94" s="8" t="str">
        <f t="shared" si="47"/>
        <v>No</v>
      </c>
      <c r="BS94" s="8" t="str">
        <f t="shared" si="43"/>
        <v>No</v>
      </c>
      <c r="BT94" s="8">
        <f t="shared" si="48"/>
        <v>475.12107568499351</v>
      </c>
      <c r="BU94" s="4">
        <v>0</v>
      </c>
      <c r="BV94" s="4">
        <v>1</v>
      </c>
    </row>
    <row r="95" spans="1:74" x14ac:dyDescent="0.25">
      <c r="A95" s="26" t="s">
        <v>282</v>
      </c>
      <c r="B95" s="6" t="s">
        <v>283</v>
      </c>
      <c r="C95" s="7">
        <v>60</v>
      </c>
      <c r="D95" s="7" t="s">
        <v>538</v>
      </c>
      <c r="E95" s="7" t="str">
        <f>Groups!A50</f>
        <v>Rodentlike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538</v>
      </c>
      <c r="L95" s="7">
        <f>MIN(20*C95^0.183,19.9*C95^0.142)</f>
        <v>35.591849306006409</v>
      </c>
      <c r="M95" s="7" t="s">
        <v>638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945</v>
      </c>
      <c r="Y95" s="4" t="s">
        <v>42</v>
      </c>
      <c r="Z95" s="4">
        <v>0</v>
      </c>
      <c r="AA95" s="4">
        <v>0</v>
      </c>
      <c r="AB95" s="4">
        <v>0</v>
      </c>
      <c r="AC95" s="4" t="s">
        <v>1083</v>
      </c>
      <c r="AD95" s="4" t="s">
        <v>45</v>
      </c>
      <c r="AE95" s="28" t="s">
        <v>394</v>
      </c>
      <c r="AF95" s="4" t="s">
        <v>45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4" t="s">
        <v>40</v>
      </c>
      <c r="AM95" s="8">
        <f t="shared" si="34"/>
        <v>15889.904663781534</v>
      </c>
      <c r="AN95" s="8">
        <f>IFERROR(C95*_xlfn.XLOOKUP(E95,Groups!A:A,Groups!K:K),0.106*C95^0.94)</f>
        <v>4.9747131149875132</v>
      </c>
      <c r="AO95" s="8">
        <f>AN95*10000/(_xlfn.XLOOKUP(E95,Groups!A:A,Groups!J:J)*AM95)</f>
        <v>2.8722368590605059</v>
      </c>
      <c r="AP95" s="8">
        <f t="shared" si="35"/>
        <v>1727.6076198081698</v>
      </c>
      <c r="AQ95" s="8">
        <f>IF(_xlfn.XLOOKUP(E95,Groups!A:A,Groups!M:M)=1,EXP(0.7444*LN('Base stats'!C95)+6.5696),EXP(0.7927*LN('Base stats'!C95)+4.28))</f>
        <v>1854.9016123555098</v>
      </c>
      <c r="AR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"No")))))))))))))))</f>
        <v>737.79707174206249</v>
      </c>
      <c r="AS95" s="8">
        <f>IF(_xlfn.XLOOKUP(E95,Groups!A:A,Groups!U:U)=3,AQ95,IF(_xlfn.XLOOKUP(E95,Groups!A:A,Groups!U:U)=2,AP95,AR95))</f>
        <v>737.79707174206249</v>
      </c>
      <c r="AT95" s="46">
        <f>IFERROR(AVERAGE(_xlfn.XLOOKUP(B95,Animals!B:B,Animals!N:N),_xlfn.XLOOKUP(B95,Animals!B:B,Animals!O:O)),0)</f>
        <v>0</v>
      </c>
      <c r="AU95" s="8">
        <f>MROUND(40*Animals!AO95*_xlfn.XLOOKUP(Animals!BB95,Leathers!$A$2:$A$100,Leathers!$B$2:$B$100,0)+(140*_xlfn.XLOOKUP(B95,Animals!B:B,Animals!AO:AO)*2),5)</f>
        <v>340</v>
      </c>
      <c r="AV95" s="8">
        <f>IFERROR(ROUND(SQRT(V95-1)*IF(_xlfn.XLOOKUP(E95,Groups!A:A,Groups!BF:BF)=0,2,1)*IF(_xlfn.XLOOKUP('Base stats'!E95,Groups!A:A,Groups!O:O)=0,1,0.1),1),0)</f>
        <v>6</v>
      </c>
      <c r="AW95" s="8">
        <f t="shared" si="36"/>
        <v>0</v>
      </c>
      <c r="AX95" s="8">
        <f t="shared" si="37"/>
        <v>0</v>
      </c>
      <c r="AY95" s="8">
        <f t="shared" si="38"/>
        <v>3.5</v>
      </c>
      <c r="AZ95" s="8">
        <f>IF(_xlfn.XLOOKUP(E95,Groups!A:A,Groups!N:N)="Insect",BB95*2.5,IFERROR(AVERAGE(BB95,AR95/9.81/IF(OR(_xlfn.XLOOKUP(E95,Groups!A:A,Groups!N:N)="Pig",_xlfn.XLOOKUP(E95,Groups!A:A,Groups!N:N)="StrongBitingHerbivore"),20,25))*C95^-0.135,BB95))</f>
        <v>1.1125945320343182</v>
      </c>
      <c r="BA95" s="8" t="str">
        <f>IF(W95="No","No",IF(_xlfn.XLOOKUP(E95,Groups!A:A,Groups!U:U)=1,'Base stats'!AZ95,IF(OR(_xlfn.XLOOKUP(E95,Groups!A:A,Groups!BD:BD)=1,_xlfn.XLOOKUP(E95,Groups!A:A,Groups!U:U)=2),BB95,IF(_xlfn.XLOOKUP(B95,Animals!B:B,Animals!AO:AO)&gt;4,AVERAGE(BB95,BD95),BD95))))</f>
        <v>No</v>
      </c>
      <c r="BB95" s="8">
        <f t="shared" si="39"/>
        <v>0.85903747445843048</v>
      </c>
      <c r="BC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D95" s="8">
        <f>(0.048*C95^1.01)/IF(_xlfn.XLOOKUP(E95,Groups!A:A,Groups!M:M)=1,0.25,0.8)*C95^-0.25</f>
        <v>1.3475540718504924</v>
      </c>
      <c r="BE95" s="8">
        <f>EXP(1.076*LN(AP95)-4.5397)*IF(_xlfn.XLOOKUP(E95,Groups!A:A,Groups!BC:BC)=1,1.25,IF(_xlfn.XLOOKUP(E95,Groups!A:A,Groups!BD:BD)=1,3.5,2.5))</f>
        <v>81.257655662784387</v>
      </c>
      <c r="BF95" s="8">
        <f>EXP(1.076*LN(AQ95)-4.5397)*IF(_xlfn.XLOOKUP(E95,Groups!A:A,Groups!M:M)=1,0.8,IF(_xlfn.XLOOKUP(E95,Groups!A:A,Groups!BC:BC)=1,1.3,3))</f>
        <v>105.26108947147097</v>
      </c>
      <c r="BG95" s="8" t="str">
        <f>IF(W95="No","No",IF(_xlfn.XLOOKUP(E95,Groups!A:A,Groups!U:U)=1,'Base stats'!BH95,IF(OR(_xlfn.XLOOKUP(E95,Groups!A:A,Groups!BD:BD)=1,_xlfn.XLOOKUP(E95,Groups!A:A,Groups!U:U)=2),BE95,BF95))*1.2)</f>
        <v>No</v>
      </c>
      <c r="BH95" s="8">
        <f>IFERROR(EXP(1.076*LN(AR95)-4.5397)*IF(_xlfn.XLOOKUP(E95,Groups!A:A,Groups!N:N)="Insect",1,IF(OR(_xlfn.XLOOKUP(E95,Groups!A:A,Groups!N:N)="Pig",_xlfn.XLOOKUP(E95,Groups!A:A,Groups!N:N)="StrongBitingHerbivore"),3.5,3.75)),"No")</f>
        <v>48.793811254774489</v>
      </c>
      <c r="BI95" s="8">
        <f t="shared" si="44"/>
        <v>13</v>
      </c>
      <c r="BJ95" s="8">
        <f t="shared" si="45"/>
        <v>11</v>
      </c>
      <c r="BK95" s="8" t="str">
        <f t="shared" si="40"/>
        <v>No</v>
      </c>
      <c r="BL95" s="8">
        <f t="shared" si="41"/>
        <v>9</v>
      </c>
      <c r="BM95" s="8">
        <f t="shared" si="46"/>
        <v>12</v>
      </c>
      <c r="BN95" s="8" t="str" cm="1">
        <f t="array" ref="BN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O95" s="8" t="str">
        <f>IF(W95="No","No",IF(_xlfn.XLOOKUP(E95,Groups!A:A,Groups!BD:BD)=1,(AM95*5%),EXP(0.7354*LN(C95)^0.4078)*2/IF(_xlfn.XLOOKUP(E95,Groups!A:A,Groups!BL:BL)=1,1000,100)))</f>
        <v>No</v>
      </c>
      <c r="BP95" s="8">
        <f>IF(BH95="No","No",IF(_xlfn.XLOOKUP(E95,Groups!A:A,Groups!BF:BF)=1,(0.0315*C95+2.1825)*2,(0.7354*C95^0.4078)*2)/IF(_xlfn.XLOOKUP(E95,Groups!A:A,Groups!BM:BM)=1,1000,100))</f>
        <v>7.8105874830123129E-2</v>
      </c>
      <c r="BQ95" s="8">
        <f t="shared" si="42"/>
        <v>0.10227582528924552</v>
      </c>
      <c r="BR95" s="8" t="str">
        <f t="shared" si="47"/>
        <v>No</v>
      </c>
      <c r="BS95" s="8" t="str">
        <f t="shared" si="43"/>
        <v>No</v>
      </c>
      <c r="BT95" s="8">
        <f t="shared" si="48"/>
        <v>624.7137153370204</v>
      </c>
      <c r="BU95" s="4">
        <v>0</v>
      </c>
      <c r="BV95" s="4">
        <v>1</v>
      </c>
    </row>
    <row r="96" spans="1:74" x14ac:dyDescent="0.25">
      <c r="A96" s="26" t="s">
        <v>146</v>
      </c>
      <c r="B96" s="6" t="s">
        <v>147</v>
      </c>
      <c r="C96" s="7">
        <v>386</v>
      </c>
      <c r="D96" s="7" t="s">
        <v>588</v>
      </c>
      <c r="E96" s="7" t="str">
        <f>Groups!A55</f>
        <v>Ruminant (cervid)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588</v>
      </c>
      <c r="L96" s="7">
        <v>56</v>
      </c>
      <c r="M96" s="7" t="s">
        <v>638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IF(AR96="No","No",IF(_xlfn.XLOOKUP(E96,Groups!A:A,Groups!AM:AM)=1,MROUND(EXP(0.3582*LN(C96)-0.2221)*T96,0.05),IF(_xlfn.XLOOKUP(E96,Groups!A:A,Groups!AM:AM)=2,MROUND(EXP(0.3582*LN(C96)-0.2221)*T96,0.05),"Need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945</v>
      </c>
      <c r="Y96" s="4" t="s">
        <v>42</v>
      </c>
      <c r="Z96" s="4">
        <v>0</v>
      </c>
      <c r="AA96" s="4">
        <v>2.5000000000000001E-2</v>
      </c>
      <c r="AB96" s="4">
        <v>0.05</v>
      </c>
      <c r="AC96" s="4" t="s">
        <v>45</v>
      </c>
      <c r="AD96" s="4" t="s">
        <v>45</v>
      </c>
      <c r="AE96" s="28" t="s">
        <v>401</v>
      </c>
      <c r="AF96" s="4" t="str">
        <f>Animals!C53</f>
        <v>&lt;li&gt;Deer&lt;/li&gt;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4" t="s">
        <v>40</v>
      </c>
      <c r="AM96" s="8">
        <f t="shared" si="34"/>
        <v>53284.970149935914</v>
      </c>
      <c r="AN96" s="8">
        <f>IFERROR(C96*_xlfn.XLOOKUP(E96,Groups!A:A,Groups!K:K),0.106*C96^0.94)</f>
        <v>28.621865177479517</v>
      </c>
      <c r="AO96" s="8">
        <f>AN96*10000/(_xlfn.XLOOKUP(E96,Groups!A:A,Groups!J:J)*AM96)</f>
        <v>4.9279546994315222</v>
      </c>
      <c r="AP96" s="8">
        <f t="shared" si="35"/>
        <v>8323.9803426759372</v>
      </c>
      <c r="AQ96" s="8">
        <f>IF(_xlfn.XLOOKUP(E96,Groups!A:A,Groups!M:M)=1,EXP(0.7444*LN('Base stats'!C96)+6.5696),EXP(0.7927*LN('Base stats'!C96)+4.28))</f>
        <v>8112.7508566761171</v>
      </c>
      <c r="AR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"No")))))))))))))))</f>
        <v>No</v>
      </c>
      <c r="AS96" s="8">
        <f>IF(_xlfn.XLOOKUP(E96,Groups!A:A,Groups!U:U)=3,AQ96,IF(_xlfn.XLOOKUP(E96,Groups!A:A,Groups!U:U)=2,AP96,AR96))</f>
        <v>8112.7508566761171</v>
      </c>
      <c r="AT96" s="46">
        <f>IFERROR(AVERAGE(_xlfn.XLOOKUP(B96,Animals!B:B,Animals!N:N),_xlfn.XLOOKUP(B96,Animals!B:B,Animals!O:O)),0)</f>
        <v>0</v>
      </c>
      <c r="AU96" s="8">
        <f>MROUND(40*Animals!AO96*_xlfn.XLOOKUP(Animals!BB96,Leathers!$A$2:$A$100,Leathers!$B$2:$B$100,0)+(140*_xlfn.XLOOKUP(B96,Animals!B:B,Animals!AO:AO)*2),5)</f>
        <v>1000</v>
      </c>
      <c r="AV96" s="8">
        <f>IFERROR(ROUND(SQRT(V96-1)*IF(_xlfn.XLOOKUP(E96,Groups!A:A,Groups!BF:BF)=0,2,1)*IF(_xlfn.XLOOKUP('Base stats'!E96,Groups!A:A,Groups!O:O)=0,1,0.1),1),0)</f>
        <v>0</v>
      </c>
      <c r="AW96" s="8">
        <f t="shared" si="36"/>
        <v>0</v>
      </c>
      <c r="AX96" s="8">
        <f t="shared" si="37"/>
        <v>9</v>
      </c>
      <c r="AY96" s="8">
        <f t="shared" si="38"/>
        <v>6.8</v>
      </c>
      <c r="AZ96" s="8">
        <f>IF(_xlfn.XLOOKUP(E96,Groups!A:A,Groups!N:N)="Insect",BB96*2.5,IFERROR(AVERAGE(BB96,AR96/9.81/IF(OR(_xlfn.XLOOKUP(E96,Groups!A:A,Groups!N:N)="Pig",_xlfn.XLOOKUP(E96,Groups!A:A,Groups!N:N)="StrongBitingHerbivore"),20,25))*C96^-0.135,BB96))</f>
        <v>3.4960118395648152</v>
      </c>
      <c r="BA96" s="8">
        <f>IF(W96="No","No",IF(_xlfn.XLOOKUP(E96,Groups!A:A,Groups!U:U)=1,'Base stats'!AZ96,IF(OR(_xlfn.XLOOKUP(E96,Groups!A:A,Groups!BD:BD)=1,_xlfn.XLOOKUP(E96,Groups!A:A,Groups!U:U)=2),BB96,IF(_xlfn.XLOOKUP(B96,Animals!B:B,Animals!AO:AO)&gt;4,AVERAGE(BB96,BD96),BD96))))</f>
        <v>5.545715701799768</v>
      </c>
      <c r="BB96" s="8">
        <f t="shared" si="39"/>
        <v>3.4960118395648152</v>
      </c>
      <c r="BC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D96" s="8">
        <f>(0.048*C96^1.01)/IF(_xlfn.XLOOKUP(E96,Groups!A:A,Groups!M:M)=1,0.25,0.8)*C96^-0.25</f>
        <v>5.545715701799768</v>
      </c>
      <c r="BE96" s="8">
        <f>EXP(1.076*LN(AP96)-4.5397)*IF(_xlfn.XLOOKUP(E96,Groups!A:A,Groups!BC:BC)=1,1.25,IF(_xlfn.XLOOKUP(E96,Groups!A:A,Groups!BD:BD)=1,3.5,2.5))</f>
        <v>441.214274487794</v>
      </c>
      <c r="BF96" s="8">
        <f>EXP(1.076*LN(AQ96)-4.5397)*IF(_xlfn.XLOOKUP(E96,Groups!A:A,Groups!M:M)=1,0.8,IF(_xlfn.XLOOKUP(E96,Groups!A:A,Groups!BC:BC)=1,1.3,3))</f>
        <v>515.01456660506551</v>
      </c>
      <c r="BG96" s="8">
        <f>IF(W96="No","No",IF(_xlfn.XLOOKUP(E96,Groups!A:A,Groups!U:U)=1,'Base stats'!BH96,IF(OR(_xlfn.XLOOKUP(E96,Groups!A:A,Groups!BD:BD)=1,_xlfn.XLOOKUP(E96,Groups!A:A,Groups!U:U)=2),BE96,BF96))*1.2)</f>
        <v>618.01747992607864</v>
      </c>
      <c r="BH96" s="8" t="str">
        <f>IFERROR(EXP(1.076*LN(AR96)-4.5397)*IF(_xlfn.XLOOKUP(E96,Groups!A:A,Groups!N:N)="Insect",1,IF(OR(_xlfn.XLOOKUP(E96,Groups!A:A,Groups!N:N)="Pig",_xlfn.XLOOKUP(E96,Groups!A:A,Groups!N:N)="StrongBitingHerbivore"),3.5,3.75)),"No")</f>
        <v>No</v>
      </c>
      <c r="BI96" s="8">
        <f t="shared" si="44"/>
        <v>15</v>
      </c>
      <c r="BJ96" s="8">
        <f t="shared" si="45"/>
        <v>11</v>
      </c>
      <c r="BK96" s="8">
        <f t="shared" si="40"/>
        <v>14</v>
      </c>
      <c r="BL96" s="8" t="str">
        <f t="shared" si="41"/>
        <v>No</v>
      </c>
      <c r="BM96" s="8">
        <f t="shared" si="46"/>
        <v>13</v>
      </c>
      <c r="BN96" s="8" cm="1">
        <f t="array" ref="BN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O96" s="8">
        <f>IF(W96="No","No",IF(_xlfn.XLOOKUP(E96,Groups!A:A,Groups!BD:BD)=1,(AM96*5%),EXP(0.7354*LN(C96)^0.4078)*2/IF(_xlfn.XLOOKUP(E96,Groups!A:A,Groups!BL:BL)=1,1000,100)))</f>
        <v>9.1669548120059424E-2</v>
      </c>
      <c r="BP96" s="8" t="str">
        <f>IF(BH96="No","No",IF(_xlfn.XLOOKUP(E96,Groups!A:A,Groups!BF:BF)=1,(0.0315*C96+2.1825)*2,(0.7354*C96^0.4078)*2)/IF(_xlfn.XLOOKUP(E96,Groups!A:A,Groups!BM:BM)=1,1000,100))</f>
        <v>No</v>
      </c>
      <c r="BQ96" s="8">
        <f t="shared" si="42"/>
        <v>0.1656055256280648</v>
      </c>
      <c r="BR96" s="8">
        <f t="shared" si="47"/>
        <v>7.3536127416123254</v>
      </c>
      <c r="BS96" s="8">
        <f t="shared" si="43"/>
        <v>6741.7969500260042</v>
      </c>
      <c r="BT96" s="8" t="str">
        <f t="shared" si="48"/>
        <v>No</v>
      </c>
      <c r="BU96" s="4">
        <v>0</v>
      </c>
      <c r="BV96" s="4">
        <v>1</v>
      </c>
    </row>
    <row r="97" spans="1:74" x14ac:dyDescent="0.25">
      <c r="A97" s="26" t="s">
        <v>212</v>
      </c>
      <c r="B97" s="6" t="s">
        <v>230</v>
      </c>
      <c r="C97" s="7">
        <v>315</v>
      </c>
      <c r="D97" s="7" t="s">
        <v>589</v>
      </c>
      <c r="E97" s="7" t="str">
        <f>Groups!A54</f>
        <v>Ruminant  (bovid, 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589</v>
      </c>
      <c r="L97" s="7">
        <f>MIN(114.4*C97^-0.13,97.8*C97^-0.094)</f>
        <v>54.155884391441859</v>
      </c>
      <c r="M97" s="7" t="s">
        <v>638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IF(AR97="No","No",IF(_xlfn.XLOOKUP(E97,Groups!A:A,Groups!AM:AM)=1,MROUND(EXP(0.3582*LN(C97)-0.2221)*T97,0.05),IF(_xlfn.XLOOKUP(E97,Groups!A:A,Groups!AM:AM)=2,MROUND(EXP(0.3582*LN(C97)-0.2221)*T97,0.05),"Need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945</v>
      </c>
      <c r="Y97" s="4" t="s">
        <v>42</v>
      </c>
      <c r="Z97" s="4">
        <v>0</v>
      </c>
      <c r="AA97" s="4">
        <v>2.5000000000000001E-2</v>
      </c>
      <c r="AB97" s="4">
        <v>0.05</v>
      </c>
      <c r="AC97" s="4" t="s">
        <v>45</v>
      </c>
      <c r="AD97" s="4" t="s">
        <v>407</v>
      </c>
      <c r="AE97" s="28" t="s">
        <v>401</v>
      </c>
      <c r="AF97" s="4" t="str">
        <f>Animals!C52</f>
        <v>&lt;li&gt;Sheep&lt;/li&gt;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4" t="s">
        <v>40</v>
      </c>
      <c r="AM97" s="8">
        <f t="shared" si="34"/>
        <v>46690.103725594781</v>
      </c>
      <c r="AN97" s="8">
        <f>IFERROR(C97*_xlfn.XLOOKUP(E97,Groups!A:A,Groups!K:K),0.106*C97^0.94)</f>
        <v>23.643827698853102</v>
      </c>
      <c r="AO97" s="8">
        <f>AN97*10000/(_xlfn.XLOOKUP(E97,Groups!A:A,Groups!J:J)*AM97)</f>
        <v>4.6458635372292765</v>
      </c>
      <c r="AP97" s="8">
        <f t="shared" si="35"/>
        <v>7010.7369859297514</v>
      </c>
      <c r="AQ97" s="8">
        <f>IF(_xlfn.XLOOKUP(E97,Groups!A:A,Groups!M:M)=1,EXP(0.7444*LN('Base stats'!C97)+6.5696),EXP(0.7927*LN('Base stats'!C97)+4.28))</f>
        <v>6905.4368583239793</v>
      </c>
      <c r="AR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"No")))))))))))))))</f>
        <v>No</v>
      </c>
      <c r="AS97" s="8">
        <f>IF(_xlfn.XLOOKUP(E97,Groups!A:A,Groups!U:U)=3,AQ97,IF(_xlfn.XLOOKUP(E97,Groups!A:A,Groups!U:U)=2,AP97,AR97))</f>
        <v>6905.4368583239793</v>
      </c>
      <c r="AT97" s="46">
        <f>IFERROR(AVERAGE(_xlfn.XLOOKUP(B97,Animals!B:B,Animals!N:N),_xlfn.XLOOKUP(B97,Animals!B:B,Animals!O:O)),0)</f>
        <v>0</v>
      </c>
      <c r="AU97" s="8">
        <f>MROUND(40*Animals!AO97*_xlfn.XLOOKUP(Animals!BB97,Leathers!$A$2:$A$100,Leathers!$B$2:$B$100,0)+(140*_xlfn.XLOOKUP(B97,Animals!B:B,Animals!AO:AO)*2),5)</f>
        <v>820</v>
      </c>
      <c r="AV97" s="8">
        <f>IFERROR(ROUND(SQRT(V97-1)*IF(_xlfn.XLOOKUP(E97,Groups!A:A,Groups!BF:BF)=0,2,1)*IF(_xlfn.XLOOKUP('Base stats'!E97,Groups!A:A,Groups!O:O)=0,1,0.1),1),0)</f>
        <v>0</v>
      </c>
      <c r="AW97" s="8">
        <f t="shared" si="36"/>
        <v>0</v>
      </c>
      <c r="AX97" s="8">
        <f t="shared" si="37"/>
        <v>7.5</v>
      </c>
      <c r="AY97" s="8">
        <f t="shared" si="38"/>
        <v>6.3</v>
      </c>
      <c r="AZ97" s="8">
        <f>IF(_xlfn.XLOOKUP(E97,Groups!A:A,Groups!N:N)="Insect",BB97*2.5,IFERROR(AVERAGE(BB97,AR97/9.81/IF(OR(_xlfn.XLOOKUP(E97,Groups!A:A,Groups!N:N)="Pig",_xlfn.XLOOKUP(E97,Groups!A:A,Groups!N:N)="StrongBitingHerbivore"),20,25))*C97^-0.135,BB97))</f>
        <v>2.9992469409942233</v>
      </c>
      <c r="BA97" s="8">
        <f>IF(W97="No","No",IF(_xlfn.XLOOKUP(E97,Groups!A:A,Groups!U:U)=1,'Base stats'!AZ97,IF(OR(_xlfn.XLOOKUP(E97,Groups!A:A,Groups!BD:BD)=1,_xlfn.XLOOKUP(E97,Groups!A:A,Groups!U:U)=2),BB97,IF(_xlfn.XLOOKUP(B97,Animals!B:B,Animals!AO:AO)&gt;4,AVERAGE(BB97,BD97),BD97))))</f>
        <v>2.9992469409942233</v>
      </c>
      <c r="BB97" s="8">
        <f t="shared" si="39"/>
        <v>2.9992469409942233</v>
      </c>
      <c r="BC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D97" s="8">
        <f>(0.048*C97^1.01)/IF(_xlfn.XLOOKUP(E97,Groups!A:A,Groups!M:M)=1,0.25,0.8)*C97^-0.25</f>
        <v>4.7518997656342457</v>
      </c>
      <c r="BE97" s="8">
        <f>EXP(1.076*LN(AP97)-4.5397)*IF(_xlfn.XLOOKUP(E97,Groups!A:A,Groups!BC:BC)=1,1.25,IF(_xlfn.XLOOKUP(E97,Groups!A:A,Groups!BD:BD)=1,3.5,2.5))</f>
        <v>513.50313408080808</v>
      </c>
      <c r="BF97" s="8">
        <f>EXP(1.076*LN(AQ97)-4.5397)*IF(_xlfn.XLOOKUP(E97,Groups!A:A,Groups!M:M)=1,0.8,IF(_xlfn.XLOOKUP(E97,Groups!A:A,Groups!BC:BC)=1,1.3,3))</f>
        <v>433.03627852091654</v>
      </c>
      <c r="BG97" s="8">
        <f>IF(W97="No","No",IF(_xlfn.XLOOKUP(E97,Groups!A:A,Groups!U:U)=1,'Base stats'!BH97,IF(OR(_xlfn.XLOOKUP(E97,Groups!A:A,Groups!BD:BD)=1,_xlfn.XLOOKUP(E97,Groups!A:A,Groups!U:U)=2),BE97,BF97))*1.2)</f>
        <v>616.2037608969697</v>
      </c>
      <c r="BH97" s="8" t="str">
        <f>IFERROR(EXP(1.076*LN(AR97)-4.5397)*IF(_xlfn.XLOOKUP(E97,Groups!A:A,Groups!N:N)="Insect",1,IF(OR(_xlfn.XLOOKUP(E97,Groups!A:A,Groups!N:N)="Pig",_xlfn.XLOOKUP(E97,Groups!A:A,Groups!N:N)="StrongBitingHerbivore"),3.5,3.75)),"No")</f>
        <v>No</v>
      </c>
      <c r="BI97" s="8">
        <f t="shared" si="44"/>
        <v>18</v>
      </c>
      <c r="BJ97" s="8">
        <f t="shared" si="45"/>
        <v>11</v>
      </c>
      <c r="BK97" s="8">
        <f t="shared" si="40"/>
        <v>20</v>
      </c>
      <c r="BL97" s="8" t="str">
        <f t="shared" si="41"/>
        <v>No</v>
      </c>
      <c r="BM97" s="8">
        <f t="shared" si="46"/>
        <v>13</v>
      </c>
      <c r="BN97" s="8" cm="1">
        <f t="array" ref="BN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O97" s="8">
        <f>IF(W97="No","No",IF(_xlfn.XLOOKUP(E97,Groups!A:A,Groups!BD:BD)=1,(AM97*5%),EXP(0.7354*LN(C97)^0.4078)*2/IF(_xlfn.XLOOKUP(E97,Groups!A:A,Groups!BL:BL)=1,1000,100)))</f>
        <v>2334.5051862797391</v>
      </c>
      <c r="BP97" s="8" t="str">
        <f>IF(BH97="No","No",IF(_xlfn.XLOOKUP(E97,Groups!A:A,Groups!BF:BF)=1,(0.0315*C97+2.1825)*2,(0.7354*C97^0.4078)*2)/IF(_xlfn.XLOOKUP(E97,Groups!A:A,Groups!BM:BM)=1,1000,100))</f>
        <v>No</v>
      </c>
      <c r="BQ97" s="8">
        <f t="shared" si="42"/>
        <v>0.21996230168977488</v>
      </c>
      <c r="BR97" s="8">
        <f t="shared" si="47"/>
        <v>7.4286345950640467</v>
      </c>
      <c r="BS97" s="8">
        <f t="shared" si="43"/>
        <v>0.26395476202772988</v>
      </c>
      <c r="BT97" s="8" t="str">
        <f t="shared" si="48"/>
        <v>No</v>
      </c>
      <c r="BU97" s="4">
        <v>0</v>
      </c>
      <c r="BV97" s="4">
        <v>1</v>
      </c>
    </row>
    <row r="98" spans="1:74" x14ac:dyDescent="0.25">
      <c r="A98" s="26" t="s">
        <v>292</v>
      </c>
      <c r="B98" s="6" t="s">
        <v>293</v>
      </c>
      <c r="C98" s="7">
        <v>50</v>
      </c>
      <c r="D98" s="7" t="s">
        <v>538</v>
      </c>
      <c r="E98" s="7" t="s">
        <v>672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538</v>
      </c>
      <c r="L98" s="7">
        <v>5</v>
      </c>
      <c r="M98" s="7" t="s">
        <v>538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945</v>
      </c>
      <c r="Y98" s="4" t="s">
        <v>42</v>
      </c>
      <c r="Z98" s="4">
        <v>0</v>
      </c>
      <c r="AA98" s="4">
        <v>0</v>
      </c>
      <c r="AB98" s="4">
        <v>0</v>
      </c>
      <c r="AC98" s="4" t="s">
        <v>45</v>
      </c>
      <c r="AD98" s="4" t="s">
        <v>45</v>
      </c>
      <c r="AE98" s="28" t="s">
        <v>45</v>
      </c>
      <c r="AF98" s="4" t="s">
        <v>45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4" t="s">
        <v>40</v>
      </c>
      <c r="AM98" s="8">
        <f t="shared" ref="AM98:AM129" si="51">(0.111*C98^0.65)*10000</f>
        <v>14114.109472474363</v>
      </c>
      <c r="AN98" s="8">
        <f>IFERROR(C98*_xlfn.XLOOKUP(E98,Groups!A:A,Groups!K:K),0.106*C98^0.94)</f>
        <v>16</v>
      </c>
      <c r="AO98" s="8">
        <f>AN98*10000/(_xlfn.XLOOKUP(E98,Groups!A:A,Groups!J:J)*AM98)</f>
        <v>4.1985829410511464</v>
      </c>
      <c r="AP98" s="8">
        <f t="shared" ref="AP98:AP129" si="52">EXP(0.8447*LN(C98)+3.996)</f>
        <v>1481.019280401604</v>
      </c>
      <c r="AQ98" s="8">
        <f>IF(_xlfn.XLOOKUP(E98,Groups!A:A,Groups!M:M)=1,EXP(0.7444*LN('Base stats'!C98)+6.5696),EXP(0.7927*LN('Base stats'!C98)+4.28))</f>
        <v>1605.2914958133745</v>
      </c>
      <c r="AR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"No")))))))))))))))</f>
        <v>806.61210998277977</v>
      </c>
      <c r="AS98" s="8">
        <f>IF(_xlfn.XLOOKUP(E98,Groups!A:A,Groups!U:U)=3,AQ98,IF(_xlfn.XLOOKUP(E98,Groups!A:A,Groups!U:U)=2,AP98,AR98))</f>
        <v>806.61210998277977</v>
      </c>
      <c r="AT98" s="46">
        <f>IFERROR(AVERAGE(_xlfn.XLOOKUP(B98,Animals!B:B,Animals!N:N),_xlfn.XLOOKUP(B98,Animals!B:B,Animals!O:O)),0)</f>
        <v>0.32500000000000007</v>
      </c>
      <c r="AU98" s="8">
        <f>MROUND(40*Animals!AO98*_xlfn.XLOOKUP(Animals!BB98,Leathers!$A$2:$A$100,Leathers!$B$2:$B$100,0)+(140*_xlfn.XLOOKUP(B98,Animals!B:B,Animals!AO:AO)*2),5)</f>
        <v>240</v>
      </c>
      <c r="AV98" s="8">
        <f>IFERROR(ROUND(SQRT(V98-1)*IF(_xlfn.XLOOKUP(E98,Groups!A:A,Groups!BF:BF)=0,2,1)*IF(_xlfn.XLOOKUP('Base stats'!E98,Groups!A:A,Groups!O:O)=0,1,0.1),1),0)</f>
        <v>0</v>
      </c>
      <c r="AW98" s="8">
        <f t="shared" ref="AW98:AW129" si="53">IFERROR(ROUND(SQRT(U98-1),1),0)</f>
        <v>0</v>
      </c>
      <c r="AX98" s="8">
        <f t="shared" ref="AX98:AX129" si="54">IFERROR(ROUND(SQRT(W98),1),0)</f>
        <v>0</v>
      </c>
      <c r="AY98" s="8">
        <f t="shared" ref="AY98:AY129" si="55">ROUND(
  EXP(0.3582*LN(C98)-0.2221) *
  (0.75 + 0.25*(C98^4/(C98^4+10^4))),
1)</f>
        <v>3.3</v>
      </c>
      <c r="AZ98" s="8">
        <f>IF(_xlfn.XLOOKUP(E98,Groups!A:A,Groups!N:N)="Insect",BB98*2.5,IFERROR(AVERAGE(BB98,AR98/9.81/IF(OR(_xlfn.XLOOKUP(E98,Groups!A:A,Groups!N:N)="Pig",_xlfn.XLOOKUP(E98,Groups!A:A,Groups!N:N)="StrongBitingHerbivore"),20,25))*C98^-0.135,BB98))</f>
        <v>1.1905201802188443</v>
      </c>
      <c r="BA98" s="8" t="str">
        <f>IF(W98="No","No",IF(_xlfn.XLOOKUP(E98,Groups!A:A,Groups!U:U)=1,'Base stats'!AZ98,IF(OR(_xlfn.XLOOKUP(E98,Groups!A:A,Groups!BD:BD)=1,_xlfn.XLOOKUP(E98,Groups!A:A,Groups!U:U)=2),BB98,IF(_xlfn.XLOOKUP(B98,Animals!B:B,Animals!AO:AO)&gt;4,AVERAGE(BB98,BD98),BD98))))</f>
        <v>No</v>
      </c>
      <c r="BB98" s="8">
        <f t="shared" ref="BB98:BB129" si="56">(0.0392*C98^IF(OR(Y98="Herbivore",Y98="Dendrovore",Y98="OmnivoreRough"),0.889,0.966))*C98^-0.135</f>
        <v>0.74870278790389155</v>
      </c>
      <c r="BC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D98" s="8">
        <f>(0.048*C98^1.01)/IF(_xlfn.XLOOKUP(E98,Groups!A:A,Groups!M:M)=1,0.25,0.8)*C98^-0.25</f>
        <v>1.1731902733256112</v>
      </c>
      <c r="BE98" s="8">
        <f>EXP(1.076*LN(AP98)-4.5397)*IF(_xlfn.XLOOKUP(E98,Groups!A:A,Groups!BC:BC)=1,1.25,IF(_xlfn.XLOOKUP(E98,Groups!A:A,Groups!BD:BD)=1,3.5,2.5))</f>
        <v>34.42442382219248</v>
      </c>
      <c r="BF98" s="8">
        <f>EXP(1.076*LN(AQ98)-4.5397)*IF(_xlfn.XLOOKUP(E98,Groups!A:A,Groups!M:M)=1,0.8,IF(_xlfn.XLOOKUP(E98,Groups!A:A,Groups!BC:BC)=1,1.3,3))</f>
        <v>39.043855300247856</v>
      </c>
      <c r="BG98" s="8" t="str">
        <f>IF(W98="No","No",IF(_xlfn.XLOOKUP(E98,Groups!A:A,Groups!U:U)=1,'Base stats'!BH98,IF(OR(_xlfn.XLOOKUP(E98,Groups!A:A,Groups!BD:BD)=1,_xlfn.XLOOKUP(E98,Groups!A:A,Groups!U:U)=2),BE98,BF98))*1.2)</f>
        <v>No</v>
      </c>
      <c r="BH98" s="8">
        <f>IFERROR(EXP(1.076*LN(AR98)-4.5397)*IF(_xlfn.XLOOKUP(E98,Groups!A:A,Groups!N:N)="Insect",1,IF(OR(_xlfn.XLOOKUP(E98,Groups!A:A,Groups!N:N)="Pig",_xlfn.XLOOKUP(E98,Groups!A:A,Groups!N:N)="StrongBitingHerbivore"),3.5,3.75)),"No")</f>
        <v>53.707614904612583</v>
      </c>
      <c r="BI98" s="8">
        <f t="shared" si="44"/>
        <v>9</v>
      </c>
      <c r="BJ98" s="8">
        <f t="shared" si="45"/>
        <v>9</v>
      </c>
      <c r="BK98" s="8" t="str">
        <f t="shared" ref="BK98:BK129" si="57">IF(W98="No","No",ROUNDDOWN(SQRT((2*BG98)/BA98),0))</f>
        <v>No</v>
      </c>
      <c r="BL98" s="8">
        <f t="shared" ref="BL98:BL129" si="58">IF(V98="No","No",ROUNDDOWN(SQRT((2*BH98)/AZ98),0))</f>
        <v>9</v>
      </c>
      <c r="BM98" s="8">
        <f t="shared" si="46"/>
        <v>8</v>
      </c>
      <c r="BN98" s="8" t="str" cm="1">
        <f t="array" ref="BN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O98" s="8" t="str">
        <f>IF(W98="No","No",IF(_xlfn.XLOOKUP(E98,Groups!A:A,Groups!BD:BD)=1,(AM98*5%),EXP(0.7354*LN(C98)^0.4078)*2/IF(_xlfn.XLOOKUP(E98,Groups!A:A,Groups!BL:BL)=1,1000,100)))</f>
        <v>No</v>
      </c>
      <c r="BP98" s="8">
        <f>IF(BH98="No","No",IF(_xlfn.XLOOKUP(E98,Groups!A:A,Groups!BF:BF)=1,(0.0315*C98+2.1825)*2,(0.7354*C98^0.4078)*2)/IF(_xlfn.XLOOKUP(E98,Groups!A:A,Groups!BM:BM)=1,1000,100))</f>
        <v>7.2509279375208957E-2</v>
      </c>
      <c r="BQ98" s="8">
        <f t="shared" ref="BQ98:BQ129" si="59">BE98/(AM98*5%)</f>
        <v>4.8780157032688065E-2</v>
      </c>
      <c r="BR98" s="8" t="str">
        <f t="shared" si="47"/>
        <v>No</v>
      </c>
      <c r="BS98" s="8" t="str">
        <f t="shared" ref="BS98:BS129" si="60">IF(W98="No","No",BG98/BO98)</f>
        <v>No</v>
      </c>
      <c r="BT98" s="8">
        <f t="shared" si="48"/>
        <v>740.69988513739531</v>
      </c>
      <c r="BU98" s="4">
        <v>0</v>
      </c>
      <c r="BV98" s="4">
        <v>1</v>
      </c>
    </row>
    <row r="99" spans="1:74" x14ac:dyDescent="0.25">
      <c r="A99" s="26" t="s">
        <v>284</v>
      </c>
      <c r="B99" s="6" t="s">
        <v>285</v>
      </c>
      <c r="C99" s="7">
        <v>45</v>
      </c>
      <c r="D99" s="7" t="s">
        <v>538</v>
      </c>
      <c r="E99" s="7" t="s">
        <v>55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538</v>
      </c>
      <c r="L99" s="7">
        <f>MIN(37.5*C99^0.089,79.3*C99^-0.072)</f>
        <v>52.621979546581734</v>
      </c>
      <c r="M99" s="7" t="s">
        <v>638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IF(AR99="No","No",IF(_xlfn.XLOOKUP(E99,Groups!A:A,Groups!AM:AM)=1,MROUND(EXP(0.3582*LN(C99)-0.2221)*T99,0.05),IF(_xlfn.XLOOKUP(E99,Groups!A:A,Groups!AM:AM)=2,MROUND(EXP(0.3582*LN(C99)-0.2221)*T99,0.05),"Need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945</v>
      </c>
      <c r="Y99" s="4" t="s">
        <v>53</v>
      </c>
      <c r="Z99" s="4">
        <v>0</v>
      </c>
      <c r="AA99" s="4">
        <v>0</v>
      </c>
      <c r="AB99" s="4">
        <v>0</v>
      </c>
      <c r="AC99" s="4" t="s">
        <v>45</v>
      </c>
      <c r="AD99" s="4" t="s">
        <v>408</v>
      </c>
      <c r="AE99" s="28" t="s">
        <v>388</v>
      </c>
      <c r="AF99" s="4" t="str">
        <f>Animals!C14</f>
        <v>&lt;li&gt;YorkshireTerrier&lt;/li&gt;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4" t="s">
        <v>40</v>
      </c>
      <c r="AM99" s="8">
        <f t="shared" si="51"/>
        <v>13179.869579281049</v>
      </c>
      <c r="AN99" s="8">
        <f>IFERROR(C99*_xlfn.XLOOKUP(E99,Groups!A:A,Groups!K:K),0.106*C99^0.94)</f>
        <v>5.6137499999999996</v>
      </c>
      <c r="AO99" s="8">
        <f>AN99*10000/(_xlfn.XLOOKUP(E99,Groups!A:A,Groups!J:J)*AM99)</f>
        <v>3.9076481954680351</v>
      </c>
      <c r="AP99" s="8">
        <f t="shared" si="52"/>
        <v>1354.9066055012743</v>
      </c>
      <c r="AQ99" s="8">
        <f>IF(_xlfn.XLOOKUP(E99,Groups!A:A,Groups!M:M)=1,EXP(0.7444*LN('Base stats'!C99)+6.5696),EXP(0.7927*LN('Base stats'!C99)+4.28))</f>
        <v>1476.6648670095913</v>
      </c>
      <c r="AR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"No")))))))))))))))</f>
        <v>3304.3391328153939</v>
      </c>
      <c r="AS99" s="8">
        <f>IF(_xlfn.XLOOKUP(E99,Groups!A:A,Groups!U:U)=3,AQ99,IF(_xlfn.XLOOKUP(E99,Groups!A:A,Groups!U:U)=2,AP99,AR99))</f>
        <v>3304.3391328153939</v>
      </c>
      <c r="AT99" s="46">
        <f>IFERROR(AVERAGE(_xlfn.XLOOKUP(B99,Animals!B:B,Animals!N:N),_xlfn.XLOOKUP(B99,Animals!B:B,Animals!O:O)),0)</f>
        <v>0</v>
      </c>
      <c r="AU99" s="8">
        <f>MROUND(40*Animals!AO99*_xlfn.XLOOKUP(Animals!BB99,Leathers!$A$2:$A$100,Leathers!$B$2:$B$100,0)+(140*_xlfn.XLOOKUP(B99,Animals!B:B,Animals!AO:AO)*2),5)</f>
        <v>290</v>
      </c>
      <c r="AV99" s="8">
        <f>IFERROR(ROUND(SQRT(V99-1)*IF(_xlfn.XLOOKUP(E99,Groups!A:A,Groups!BF:BF)=0,2,1)*IF(_xlfn.XLOOKUP('Base stats'!E99,Groups!A:A,Groups!O:O)=0,1,0.1),1),0)</f>
        <v>3</v>
      </c>
      <c r="AW99" s="8">
        <f t="shared" si="53"/>
        <v>0</v>
      </c>
      <c r="AX99" s="8">
        <f t="shared" si="54"/>
        <v>0</v>
      </c>
      <c r="AY99" s="8">
        <f t="shared" si="55"/>
        <v>3.1</v>
      </c>
      <c r="AZ99" s="8">
        <f>IF(_xlfn.XLOOKUP(E99,Groups!A:A,Groups!N:N)="Insect",BB99*2.5,IFERROR(AVERAGE(BB99,AR99/9.81/IF(OR(_xlfn.XLOOKUP(E99,Groups!A:A,Groups!N:N)="Pig",_xlfn.XLOOKUP(E99,Groups!A:A,Groups!N:N)="StrongBitingHerbivore"),20,25))*C99^-0.135,BB99))</f>
        <v>4.306862806069268</v>
      </c>
      <c r="BA99" s="8" t="str">
        <f>IF(W99="No","No",IF(_xlfn.XLOOKUP(E99,Groups!A:A,Groups!U:U)=1,'Base stats'!AZ99,IF(OR(_xlfn.XLOOKUP(E99,Groups!A:A,Groups!BD:BD)=1,_xlfn.XLOOKUP(E99,Groups!A:A,Groups!U:U)=2),BB99,IF(_xlfn.XLOOKUP(B99,Animals!B:B,Animals!AO:AO)&gt;4,AVERAGE(BB99,BD99),BD99))))</f>
        <v>No</v>
      </c>
      <c r="BB99" s="8">
        <f t="shared" si="56"/>
        <v>0.92705535303548403</v>
      </c>
      <c r="BC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D99" s="8">
        <f>(0.048*C99^1.01)/IF(_xlfn.XLOOKUP(E99,Groups!A:A,Groups!M:M)=1,0.25,0.8)*C99^-0.25</f>
        <v>1.0829109891226825</v>
      </c>
      <c r="BE99" s="8">
        <f>EXP(1.076*LN(AP99)-4.5397)*IF(_xlfn.XLOOKUP(E99,Groups!A:A,Groups!BC:BC)=1,1.25,IF(_xlfn.XLOOKUP(E99,Groups!A:A,Groups!BD:BD)=1,3.5,2.5))</f>
        <v>62.561596172096557</v>
      </c>
      <c r="BF99" s="8">
        <f>EXP(1.076*LN(AQ99)-4.5397)*IF(_xlfn.XLOOKUP(E99,Groups!A:A,Groups!M:M)=1,0.8,IF(_xlfn.XLOOKUP(E99,Groups!A:A,Groups!BC:BC)=1,1.3,3))</f>
        <v>82.35727435557628</v>
      </c>
      <c r="BG99" s="8" t="str">
        <f>IF(W99="No","No",IF(_xlfn.XLOOKUP(E99,Groups!A:A,Groups!U:U)=1,'Base stats'!BH99,IF(OR(_xlfn.XLOOKUP(E99,Groups!A:A,Groups!BD:BD)=1,_xlfn.XLOOKUP(E99,Groups!A:A,Groups!U:U)=2),BE99,BF99))*1.2)</f>
        <v>No</v>
      </c>
      <c r="BH99" s="8">
        <f>IFERROR(EXP(1.076*LN(AR99)-4.5397)*IF(_xlfn.XLOOKUP(E99,Groups!A:A,Groups!N:N)="Insect",1,IF(OR(_xlfn.XLOOKUP(E99,Groups!A:A,Groups!N:N)="Pig",_xlfn.XLOOKUP(E99,Groups!A:A,Groups!N:N)="StrongBitingHerbivore"),3.5,3.75)),"No")</f>
        <v>244.9061282607627</v>
      </c>
      <c r="BI99" s="8">
        <f t="shared" si="44"/>
        <v>11</v>
      </c>
      <c r="BJ99" s="8">
        <f t="shared" si="45"/>
        <v>10</v>
      </c>
      <c r="BK99" s="8" t="str">
        <f t="shared" si="57"/>
        <v>No</v>
      </c>
      <c r="BL99" s="8">
        <f t="shared" si="58"/>
        <v>10</v>
      </c>
      <c r="BM99" s="8">
        <f t="shared" si="46"/>
        <v>12</v>
      </c>
      <c r="BN99" s="8" t="str" cm="1">
        <f t="array" ref="BN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O99" s="8" t="str">
        <f>IF(W99="No","No",IF(_xlfn.XLOOKUP(E99,Groups!A:A,Groups!BD:BD)=1,(AM99*5%),EXP(0.7354*LN(C99)^0.4078)*2/IF(_xlfn.XLOOKUP(E99,Groups!A:A,Groups!BL:BL)=1,1000,100)))</f>
        <v>No</v>
      </c>
      <c r="BP99" s="8">
        <f>IF(BH99="No","No",IF(_xlfn.XLOOKUP(E99,Groups!A:A,Groups!BF:BF)=1,(0.0315*C99+2.1825)*2,(0.7354*C99^0.4078)*2)/IF(_xlfn.XLOOKUP(E99,Groups!A:A,Groups!BM:BM)=1,1000,100))</f>
        <v>6.9459824922917246E-2</v>
      </c>
      <c r="BQ99" s="8">
        <f t="shared" si="59"/>
        <v>9.4935076247559105E-2</v>
      </c>
      <c r="BR99" s="8" t="str">
        <f t="shared" si="47"/>
        <v>No</v>
      </c>
      <c r="BS99" s="8" t="str">
        <f t="shared" si="60"/>
        <v>No</v>
      </c>
      <c r="BT99" s="8">
        <f t="shared" si="48"/>
        <v>3525.867341769811</v>
      </c>
      <c r="BU99" s="4">
        <v>0</v>
      </c>
      <c r="BV99" s="4">
        <v>1</v>
      </c>
    </row>
    <row r="100" spans="1:74" x14ac:dyDescent="0.25">
      <c r="A100" s="26" t="s">
        <v>211</v>
      </c>
      <c r="B100" s="6" t="s">
        <v>288</v>
      </c>
      <c r="C100" s="7">
        <v>68</v>
      </c>
      <c r="D100" s="7" t="s">
        <v>1310</v>
      </c>
      <c r="E100" s="7" t="s">
        <v>55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538</v>
      </c>
      <c r="L100" s="7">
        <f>MIN(37.5*C100^0.089,79.3*C100^-0.072)</f>
        <v>54.591441355706628</v>
      </c>
      <c r="M100" s="7" t="s">
        <v>638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IF(AR100="No","No",IF(_xlfn.XLOOKUP(E100,Groups!A:A,Groups!AM:AM)=1,MROUND(EXP(0.3582*LN(C100)-0.2221)*T100,0.05),IF(_xlfn.XLOOKUP(E100,Groups!A:A,Groups!AM:AM)=2,MROUND(EXP(0.3582*LN(C100)-0.2221)*T100,0.05),"Need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945</v>
      </c>
      <c r="Y100" s="4" t="s">
        <v>56</v>
      </c>
      <c r="Z100" s="4">
        <v>0</v>
      </c>
      <c r="AA100" s="4">
        <v>0</v>
      </c>
      <c r="AB100" s="4">
        <v>0</v>
      </c>
      <c r="AC100" s="4" t="s">
        <v>45</v>
      </c>
      <c r="AD100" s="4" t="s">
        <v>320</v>
      </c>
      <c r="AE100" s="28" t="s">
        <v>405</v>
      </c>
      <c r="AF100" s="4" t="str">
        <f>Animals!C56</f>
        <v>&lt;li&gt;Wolf_Timber&lt;/li&gt;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4" t="s">
        <v>40</v>
      </c>
      <c r="AM100" s="8">
        <f t="shared" si="51"/>
        <v>17236.686074279878</v>
      </c>
      <c r="AN100" s="8">
        <f>IFERROR(C100*_xlfn.XLOOKUP(E100,Groups!A:A,Groups!K:K),0.106*C100^0.94)</f>
        <v>8.4830000000000005</v>
      </c>
      <c r="AO100" s="8">
        <f>AN100*10000/(_xlfn.XLOOKUP(E100,Groups!A:A,Groups!J:J)*AM100)</f>
        <v>4.5151189583665916</v>
      </c>
      <c r="AP100" s="8">
        <f t="shared" si="52"/>
        <v>1920.264389799592</v>
      </c>
      <c r="AQ100" s="8">
        <f>IF(_xlfn.XLOOKUP(E100,Groups!A:A,Groups!M:M)=1,EXP(0.7444*LN('Base stats'!C100)+6.5696),EXP(0.7927*LN('Base stats'!C100)+4.28))</f>
        <v>2048.3784474727427</v>
      </c>
      <c r="AR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"No")))))))))))))))</f>
        <v>4477.240146810359</v>
      </c>
      <c r="AS100" s="8">
        <f>IF(_xlfn.XLOOKUP(E100,Groups!A:A,Groups!U:U)=3,AQ100,IF(_xlfn.XLOOKUP(E100,Groups!A:A,Groups!U:U)=2,AP100,AR100))</f>
        <v>4477.240146810359</v>
      </c>
      <c r="AT100" s="46">
        <f>IFERROR(AVERAGE(_xlfn.XLOOKUP(B100,Animals!B:B,Animals!N:N),_xlfn.XLOOKUP(B100,Animals!B:B,Animals!O:O)),0)</f>
        <v>0</v>
      </c>
      <c r="AU100" s="8">
        <f>MROUND(40*Animals!AO100*_xlfn.XLOOKUP(Animals!BB100,Leathers!$A$2:$A$100,Leathers!$B$2:$B$100,0)+(140*_xlfn.XLOOKUP(B100,Animals!B:B,Animals!AO:AO)*2),5)</f>
        <v>400</v>
      </c>
      <c r="AV100" s="8">
        <f>IFERROR(ROUND(SQRT(V100-1)*IF(_xlfn.XLOOKUP(E100,Groups!A:A,Groups!BF:BF)=0,2,1)*IF(_xlfn.XLOOKUP('Base stats'!E100,Groups!A:A,Groups!O:O)=0,1,0.1),1),0)</f>
        <v>3.3</v>
      </c>
      <c r="AW100" s="8">
        <f t="shared" si="53"/>
        <v>0</v>
      </c>
      <c r="AX100" s="8">
        <f t="shared" si="54"/>
        <v>0</v>
      </c>
      <c r="AY100" s="8">
        <f t="shared" si="55"/>
        <v>3.6</v>
      </c>
      <c r="AZ100" s="8">
        <f>IF(_xlfn.XLOOKUP(E100,Groups!A:A,Groups!N:N)="Insect",BB100*2.5,IFERROR(AVERAGE(BB100,AR100/9.81/IF(OR(_xlfn.XLOOKUP(E100,Groups!A:A,Groups!N:N)="Pig",_xlfn.XLOOKUP(E100,Groups!A:A,Groups!N:N)="StrongBitingHerbivore"),20,25))*C100^-0.135,BB100))</f>
        <v>5.5335153960244625</v>
      </c>
      <c r="BA100" s="8" t="str">
        <f>IF(W100="No","No",IF(_xlfn.XLOOKUP(E100,Groups!A:A,Groups!U:U)=1,'Base stats'!AZ100,IF(OR(_xlfn.XLOOKUP(E100,Groups!A:A,Groups!BD:BD)=1,_xlfn.XLOOKUP(E100,Groups!A:A,Groups!U:U)=2),BB100,IF(_xlfn.XLOOKUP(B100,Animals!B:B,Animals!AO:AO)&gt;4,AVERAGE(BB100,BD100),BD100))))</f>
        <v>No</v>
      </c>
      <c r="BB100" s="8">
        <f t="shared" si="56"/>
        <v>1.3064746082064107</v>
      </c>
      <c r="BC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D100" s="8">
        <f>(0.048*C100^1.01)/IF(_xlfn.XLOOKUP(E100,Groups!A:A,Groups!M:M)=1,0.25,0.8)*C100^-0.25</f>
        <v>1.4820335118073542</v>
      </c>
      <c r="BE100" s="8">
        <f>EXP(1.076*LN(AP100)-4.5397)*IF(_xlfn.XLOOKUP(E100,Groups!A:A,Groups!BC:BC)=1,1.25,IF(_xlfn.XLOOKUP(E100,Groups!A:A,Groups!BD:BD)=1,3.5,2.5))</f>
        <v>91.047875310537293</v>
      </c>
      <c r="BF100" s="8">
        <f>EXP(1.076*LN(AQ100)-4.5397)*IF(_xlfn.XLOOKUP(E100,Groups!A:A,Groups!M:M)=1,0.8,IF(_xlfn.XLOOKUP(E100,Groups!A:A,Groups!BC:BC)=1,1.3,3))</f>
        <v>117.12024383801356</v>
      </c>
      <c r="BG100" s="8" t="str">
        <f>IF(W100="No","No",IF(_xlfn.XLOOKUP(E100,Groups!A:A,Groups!U:U)=1,'Base stats'!BH100,IF(OR(_xlfn.XLOOKUP(E100,Groups!A:A,Groups!BD:BD)=1,_xlfn.XLOOKUP(E100,Groups!A:A,Groups!U:U)=2),BE100,BF100))*1.2)</f>
        <v>No</v>
      </c>
      <c r="BH100" s="8">
        <f>IFERROR(EXP(1.076*LN(AR100)-4.5397)*IF(_xlfn.XLOOKUP(E100,Groups!A:A,Groups!N:N)="Insect",1,IF(OR(_xlfn.XLOOKUP(E100,Groups!A:A,Groups!N:N)="Pig",_xlfn.XLOOKUP(E100,Groups!A:A,Groups!N:N)="StrongBitingHerbivore"),3.5,3.75)),"No")</f>
        <v>339.58757148956568</v>
      </c>
      <c r="BI100" s="8">
        <f t="shared" si="44"/>
        <v>11</v>
      </c>
      <c r="BJ100" s="8">
        <f t="shared" si="45"/>
        <v>11</v>
      </c>
      <c r="BK100" s="8" t="str">
        <f t="shared" si="57"/>
        <v>No</v>
      </c>
      <c r="BL100" s="8">
        <f t="shared" si="58"/>
        <v>11</v>
      </c>
      <c r="BM100" s="8">
        <f t="shared" si="46"/>
        <v>12</v>
      </c>
      <c r="BN100" s="8" t="str" cm="1">
        <f t="array" ref="BN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O100" s="8" t="str">
        <f>IF(W100="No","No",IF(_xlfn.XLOOKUP(E100,Groups!A:A,Groups!BD:BD)=1,(AM100*5%),EXP(0.7354*LN(C100)^0.4078)*2/IF(_xlfn.XLOOKUP(E100,Groups!A:A,Groups!BL:BL)=1,1000,100)))</f>
        <v>No</v>
      </c>
      <c r="BP100" s="8">
        <f>IF(BH100="No","No",IF(_xlfn.XLOOKUP(E100,Groups!A:A,Groups!BF:BF)=1,(0.0315*C100+2.1825)*2,(0.7354*C100^0.4078)*2)/IF(_xlfn.XLOOKUP(E100,Groups!A:A,Groups!BM:BM)=1,1000,100))</f>
        <v>8.2196013688283359E-2</v>
      </c>
      <c r="BQ100" s="8">
        <f t="shared" si="59"/>
        <v>0.10564429254924645</v>
      </c>
      <c r="BR100" s="8" t="str">
        <f t="shared" si="47"/>
        <v>No</v>
      </c>
      <c r="BS100" s="8" t="str">
        <f t="shared" si="60"/>
        <v>No</v>
      </c>
      <c r="BT100" s="8">
        <f t="shared" si="48"/>
        <v>4131.4360180215435</v>
      </c>
      <c r="BU100" s="4">
        <v>0</v>
      </c>
      <c r="BV100" s="4">
        <v>1</v>
      </c>
    </row>
    <row r="101" spans="1:74" x14ac:dyDescent="0.25">
      <c r="A101" s="26" t="s">
        <v>207</v>
      </c>
      <c r="B101" s="6" t="s">
        <v>226</v>
      </c>
      <c r="C101" s="7">
        <v>0.3</v>
      </c>
      <c r="D101" s="7" t="s">
        <v>538</v>
      </c>
      <c r="E101" s="7" t="s">
        <v>430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598</v>
      </c>
      <c r="L101" s="7">
        <v>3</v>
      </c>
      <c r="M101" s="7" t="s">
        <v>538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IF(AR101="No","No",IF(_xlfn.XLOOKUP(E101,Groups!A:A,Groups!AM:AM)=1,MROUND(EXP(0.3582*LN(C101)-0.2221)*T101,0.05),IF(_xlfn.XLOOKUP(E101,Groups!A:A,Groups!AM:AM)=2,MROUND(EXP(0.3582*LN(C101)-0.2221)*T101,0.05),"Need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945</v>
      </c>
      <c r="Y101" s="4" t="s">
        <v>1023</v>
      </c>
      <c r="Z101" s="4">
        <v>0</v>
      </c>
      <c r="AA101" s="4">
        <v>0</v>
      </c>
      <c r="AB101" s="4">
        <v>0</v>
      </c>
      <c r="AC101" s="4" t="s">
        <v>45</v>
      </c>
      <c r="AD101" s="4" t="s">
        <v>45</v>
      </c>
      <c r="AE101" s="28" t="s">
        <v>45</v>
      </c>
      <c r="AF101" s="4" t="s">
        <v>45</v>
      </c>
      <c r="AG101" s="4">
        <v>0</v>
      </c>
      <c r="AH101" s="4">
        <v>1</v>
      </c>
      <c r="AI101" s="4">
        <v>0</v>
      </c>
      <c r="AJ101" s="4">
        <v>0</v>
      </c>
      <c r="AK101" s="4">
        <v>0</v>
      </c>
      <c r="AL101" s="44" t="s">
        <v>40</v>
      </c>
      <c r="AM101" s="8">
        <f t="shared" si="51"/>
        <v>507.51840257727082</v>
      </c>
      <c r="AN101" s="8">
        <f>IFERROR(C101*_xlfn.XLOOKUP(E101,Groups!A:A,Groups!K:K),0.106*C101^0.94)</f>
        <v>9.6000000000000002E-2</v>
      </c>
      <c r="AO101" s="8">
        <f>AN101*10000/(_xlfn.XLOOKUP(E101,Groups!A:A,Groups!J:J)*AM101)</f>
        <v>0.9955563292462275</v>
      </c>
      <c r="AP101" s="8">
        <f t="shared" si="52"/>
        <v>19.668220728047135</v>
      </c>
      <c r="AQ101" s="8">
        <f>IF(_xlfn.XLOOKUP(E101,Groups!A:A,Groups!M:M)=1,EXP(0.7444*LN('Base stats'!C101)+6.5696),EXP(0.7927*LN('Base stats'!C101)+4.28))</f>
        <v>291.01145901650079</v>
      </c>
      <c r="AR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"No")))))))))))))))</f>
        <v>No</v>
      </c>
      <c r="AS101" s="8" t="str">
        <f>IF(_xlfn.XLOOKUP(E101,Groups!A:A,Groups!U:U)=3,AQ101,IF(_xlfn.XLOOKUP(E101,Groups!A:A,Groups!U:U)=2,AP101,AR101))</f>
        <v>No</v>
      </c>
      <c r="AT101" s="46">
        <f>IFERROR(AVERAGE(_xlfn.XLOOKUP(B101,Animals!B:B,Animals!N:N),_xlfn.XLOOKUP(B101,Animals!B:B,Animals!O:O)),0)</f>
        <v>0.05</v>
      </c>
      <c r="AU101" s="8">
        <f>MROUND(40*Animals!AO101*_xlfn.XLOOKUP(Animals!BB101,Leathers!$A$2:$A$100,Leathers!$B$2:$B$100,0)+(140*_xlfn.XLOOKUP(B101,Animals!B:B,Animals!AO:AO)*2),5)</f>
        <v>30</v>
      </c>
      <c r="AV101" s="8">
        <f>IFERROR(ROUND(SQRT(V101-1)*IF(_xlfn.XLOOKUP(E101,Groups!A:A,Groups!BF:BF)=0,2,1)*IF(_xlfn.XLOOKUP('Base stats'!E101,Groups!A:A,Groups!O:O)=0,1,0.1),1),0)</f>
        <v>0</v>
      </c>
      <c r="AW101" s="8">
        <f t="shared" si="53"/>
        <v>0.7</v>
      </c>
      <c r="AX101" s="8">
        <f t="shared" si="54"/>
        <v>0</v>
      </c>
      <c r="AY101" s="8">
        <f t="shared" si="55"/>
        <v>0.4</v>
      </c>
      <c r="AZ101" s="8">
        <f>IF(_xlfn.XLOOKUP(E101,Groups!A:A,Groups!N:N)="Insect",BB101*2.5,IFERROR(AVERAGE(BB101,AR101/9.81/IF(OR(_xlfn.XLOOKUP(E101,Groups!A:A,Groups!N:N)="Pig",_xlfn.XLOOKUP(E101,Groups!A:A,Groups!N:N)="StrongBitingHerbivore"),20,25))*C101^-0.135,BB101))</f>
        <v>1.581377273367229E-2</v>
      </c>
      <c r="BA101" s="8" t="str">
        <f>IF(W101="No","No",IF(_xlfn.XLOOKUP(E101,Groups!A:A,Groups!U:U)=1,'Base stats'!AZ101,IF(OR(_xlfn.XLOOKUP(E101,Groups!A:A,Groups!BD:BD)=1,_xlfn.XLOOKUP(E101,Groups!A:A,Groups!U:U)=2),BB101,IF(_xlfn.XLOOKUP(B101,Animals!B:B,Animals!AO:AO)&gt;4,AVERAGE(BB101,BD101),BD101))))</f>
        <v>No</v>
      </c>
      <c r="BB101" s="8">
        <f t="shared" si="56"/>
        <v>1.581377273367229E-2</v>
      </c>
      <c r="BC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D101" s="8">
        <f>(0.048*C101^1.01)/IF(_xlfn.XLOOKUP(E101,Groups!A:A,Groups!M:M)=1,0.25,0.8)*C101^-0.25</f>
        <v>7.6897705663396307E-2</v>
      </c>
      <c r="BE101" s="8">
        <f>EXP(1.076*LN(AP101)-4.5397)*IF(_xlfn.XLOOKUP(E101,Groups!A:A,Groups!BC:BC)=1,1.25,IF(_xlfn.XLOOKUP(E101,Groups!A:A,Groups!BD:BD)=1,3.5,2.5))</f>
        <v>0.32918085782853995</v>
      </c>
      <c r="BF101" s="8">
        <f>EXP(1.076*LN(AQ101)-4.5397)*IF(_xlfn.XLOOKUP(E101,Groups!A:A,Groups!M:M)=1,0.8,IF(_xlfn.XLOOKUP(E101,Groups!A:A,Groups!BC:BC)=1,1.3,3))</f>
        <v>3.8255209501584542</v>
      </c>
      <c r="BG101" s="8" t="str">
        <f>IF(W101="No","No",IF(_xlfn.XLOOKUP(E101,Groups!A:A,Groups!U:U)=1,'Base stats'!BH101,IF(OR(_xlfn.XLOOKUP(E101,Groups!A:A,Groups!BD:BD)=1,_xlfn.XLOOKUP(E101,Groups!A:A,Groups!U:U)=2),BE101,BF101))*1.2)</f>
        <v>No</v>
      </c>
      <c r="BH101" s="8" t="str">
        <f>IFERROR(EXP(1.076*LN(AR101)-4.5397)*IF(_xlfn.XLOOKUP(E101,Groups!A:A,Groups!N:N)="Insect",1,IF(OR(_xlfn.XLOOKUP(E101,Groups!A:A,Groups!N:N)="Pig",_xlfn.XLOOKUP(E101,Groups!A:A,Groups!N:N)="StrongBitingHerbivore"),3.5,3.75)),"No")</f>
        <v>No</v>
      </c>
      <c r="BI101" s="8">
        <f t="shared" si="44"/>
        <v>6</v>
      </c>
      <c r="BJ101" s="8">
        <f t="shared" si="45"/>
        <v>15</v>
      </c>
      <c r="BK101" s="8" t="str">
        <f t="shared" si="57"/>
        <v>No</v>
      </c>
      <c r="BL101" s="8" t="str">
        <f t="shared" si="58"/>
        <v>No</v>
      </c>
      <c r="BM101" s="8">
        <f t="shared" si="46"/>
        <v>9</v>
      </c>
      <c r="BN101" s="8" cm="1">
        <f t="array" ref="BN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O101" s="8" t="str">
        <f>IF(W101="No","No",IF(_xlfn.XLOOKUP(E101,Groups!A:A,Groups!BD:BD)=1,(AM101*5%),EXP(0.7354*LN(C101)^0.4078)*2/IF(_xlfn.XLOOKUP(E101,Groups!A:A,Groups!BL:BL)=1,1000,100)))</f>
        <v>No</v>
      </c>
      <c r="BP101" s="8" t="str">
        <f>IF(BH101="No","No",IF(_xlfn.XLOOKUP(E101,Groups!A:A,Groups!BF:BF)=1,(0.0315*C101+2.1825)*2,(0.7354*C101^0.4078)*2)/IF(_xlfn.XLOOKUP(E101,Groups!A:A,Groups!BM:BM)=1,1000,100))</f>
        <v>No</v>
      </c>
      <c r="BQ101" s="8">
        <f t="shared" si="59"/>
        <v>1.2972174256417094E-2</v>
      </c>
      <c r="BR101" s="8">
        <f t="shared" si="47"/>
        <v>424.97845744360723</v>
      </c>
      <c r="BS101" s="8" t="str">
        <f t="shared" si="60"/>
        <v>No</v>
      </c>
      <c r="BT101" s="8" t="str">
        <f t="shared" si="48"/>
        <v>No</v>
      </c>
      <c r="BU101" s="4">
        <v>0</v>
      </c>
      <c r="BV101" s="4">
        <v>1</v>
      </c>
    </row>
    <row r="102" spans="1:74" x14ac:dyDescent="0.25">
      <c r="A102" s="26" t="s">
        <v>294</v>
      </c>
      <c r="B102" s="6" t="s">
        <v>295</v>
      </c>
      <c r="C102" s="7">
        <v>0.3</v>
      </c>
      <c r="D102" s="7" t="s">
        <v>538</v>
      </c>
      <c r="E102" s="7" t="s">
        <v>430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599</v>
      </c>
      <c r="L102" s="7">
        <v>3</v>
      </c>
      <c r="M102" s="7" t="s">
        <v>538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IF(AR102="No","No",IF(_xlfn.XLOOKUP(E102,Groups!A:A,Groups!AM:AM)=1,MROUND(EXP(0.3582*LN(C102)-0.2221)*T102,0.05),IF(_xlfn.XLOOKUP(E102,Groups!A:A,Groups!AM:AM)=2,MROUND(EXP(0.3582*LN(C102)-0.2221)*T102,0.05),"Need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945</v>
      </c>
      <c r="Y102" s="4" t="s">
        <v>1023</v>
      </c>
      <c r="Z102" s="4">
        <v>0</v>
      </c>
      <c r="AA102" s="4">
        <v>0</v>
      </c>
      <c r="AB102" s="4">
        <v>0</v>
      </c>
      <c r="AC102" s="4" t="s">
        <v>45</v>
      </c>
      <c r="AD102" s="4" t="s">
        <v>45</v>
      </c>
      <c r="AE102" s="28" t="s">
        <v>45</v>
      </c>
      <c r="AF102" s="4" t="str">
        <f>Animals!C101</f>
        <v>&lt;li&gt;StoneCrab&lt;/li&gt;</v>
      </c>
      <c r="AG102" s="4">
        <v>0</v>
      </c>
      <c r="AH102" s="4">
        <v>1</v>
      </c>
      <c r="AI102" s="4">
        <v>0</v>
      </c>
      <c r="AJ102" s="4">
        <v>0</v>
      </c>
      <c r="AK102" s="4">
        <v>0</v>
      </c>
      <c r="AL102" s="44" t="s">
        <v>40</v>
      </c>
      <c r="AM102" s="8">
        <f t="shared" si="51"/>
        <v>507.51840257727082</v>
      </c>
      <c r="AN102" s="8">
        <f>IFERROR(C102*_xlfn.XLOOKUP(E102,Groups!A:A,Groups!K:K),0.106*C102^0.94)</f>
        <v>9.6000000000000002E-2</v>
      </c>
      <c r="AO102" s="8">
        <f>AN102*10000/(_xlfn.XLOOKUP(E102,Groups!A:A,Groups!J:J)*AM102)</f>
        <v>0.9955563292462275</v>
      </c>
      <c r="AP102" s="8">
        <f t="shared" si="52"/>
        <v>19.668220728047135</v>
      </c>
      <c r="AQ102" s="8">
        <f>IF(_xlfn.XLOOKUP(E102,Groups!A:A,Groups!M:M)=1,EXP(0.7444*LN('Base stats'!C102)+6.5696),EXP(0.7927*LN('Base stats'!C102)+4.28))</f>
        <v>291.01145901650079</v>
      </c>
      <c r="AR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"No")))))))))))))))</f>
        <v>No</v>
      </c>
      <c r="AS102" s="8" t="str">
        <f>IF(_xlfn.XLOOKUP(E102,Groups!A:A,Groups!U:U)=3,AQ102,IF(_xlfn.XLOOKUP(E102,Groups!A:A,Groups!U:U)=2,AP102,AR102))</f>
        <v>No</v>
      </c>
      <c r="AT102" s="46">
        <f>IFERROR(AVERAGE(_xlfn.XLOOKUP(B102,Animals!B:B,Animals!N:N),_xlfn.XLOOKUP(B102,Animals!B:B,Animals!O:O)),0)</f>
        <v>0.05</v>
      </c>
      <c r="AU102" s="8">
        <f>MROUND(40*Animals!AO102*_xlfn.XLOOKUP(Animals!BB102,Leathers!$A$2:$A$100,Leathers!$B$2:$B$100,0)+(140*_xlfn.XLOOKUP(B102,Animals!B:B,Animals!AO:AO)*2),5)</f>
        <v>30</v>
      </c>
      <c r="AV102" s="8">
        <f>IFERROR(ROUND(SQRT(V102-1)*IF(_xlfn.XLOOKUP(E102,Groups!A:A,Groups!BF:BF)=0,2,1)*IF(_xlfn.XLOOKUP('Base stats'!E102,Groups!A:A,Groups!O:O)=0,1,0.1),1),0)</f>
        <v>0</v>
      </c>
      <c r="AW102" s="8">
        <f t="shared" si="53"/>
        <v>0.7</v>
      </c>
      <c r="AX102" s="8">
        <f t="shared" si="54"/>
        <v>0</v>
      </c>
      <c r="AY102" s="8">
        <f t="shared" si="55"/>
        <v>0.4</v>
      </c>
      <c r="AZ102" s="8">
        <f>IF(_xlfn.XLOOKUP(E102,Groups!A:A,Groups!N:N)="Insect",BB102*2.5,IFERROR(AVERAGE(BB102,AR102/9.81/IF(OR(_xlfn.XLOOKUP(E102,Groups!A:A,Groups!N:N)="Pig",_xlfn.XLOOKUP(E102,Groups!A:A,Groups!N:N)="StrongBitingHerbivore"),20,25))*C102^-0.135,BB102))</f>
        <v>1.581377273367229E-2</v>
      </c>
      <c r="BA102" s="8" t="str">
        <f>IF(W102="No","No",IF(_xlfn.XLOOKUP(E102,Groups!A:A,Groups!U:U)=1,'Base stats'!AZ102,IF(OR(_xlfn.XLOOKUP(E102,Groups!A:A,Groups!BD:BD)=1,_xlfn.XLOOKUP(E102,Groups!A:A,Groups!U:U)=2),BB102,IF(_xlfn.XLOOKUP(B102,Animals!B:B,Animals!AO:AO)&gt;4,AVERAGE(BB102,BD102),BD102))))</f>
        <v>No</v>
      </c>
      <c r="BB102" s="8">
        <f t="shared" si="56"/>
        <v>1.581377273367229E-2</v>
      </c>
      <c r="BC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D102" s="8">
        <f>(0.048*C102^1.01)/IF(_xlfn.XLOOKUP(E102,Groups!A:A,Groups!M:M)=1,0.25,0.8)*C102^-0.25</f>
        <v>7.6897705663396307E-2</v>
      </c>
      <c r="BE102" s="8">
        <f>EXP(1.076*LN(AP102)-4.5397)*IF(_xlfn.XLOOKUP(E102,Groups!A:A,Groups!BC:BC)=1,1.25,IF(_xlfn.XLOOKUP(E102,Groups!A:A,Groups!BD:BD)=1,3.5,2.5))</f>
        <v>0.32918085782853995</v>
      </c>
      <c r="BF102" s="8">
        <f>EXP(1.076*LN(AQ102)-4.5397)*IF(_xlfn.XLOOKUP(E102,Groups!A:A,Groups!M:M)=1,0.8,IF(_xlfn.XLOOKUP(E102,Groups!A:A,Groups!BC:BC)=1,1.3,3))</f>
        <v>3.8255209501584542</v>
      </c>
      <c r="BG102" s="8" t="str">
        <f>IF(W102="No","No",IF(_xlfn.XLOOKUP(E102,Groups!A:A,Groups!U:U)=1,'Base stats'!BH102,IF(OR(_xlfn.XLOOKUP(E102,Groups!A:A,Groups!BD:BD)=1,_xlfn.XLOOKUP(E102,Groups!A:A,Groups!U:U)=2),BE102,BF102))*1.2)</f>
        <v>No</v>
      </c>
      <c r="BH102" s="8" t="str">
        <f>IFERROR(EXP(1.076*LN(AR102)-4.5397)*IF(_xlfn.XLOOKUP(E102,Groups!A:A,Groups!N:N)="Insect",1,IF(OR(_xlfn.XLOOKUP(E102,Groups!A:A,Groups!N:N)="Pig",_xlfn.XLOOKUP(E102,Groups!A:A,Groups!N:N)="StrongBitingHerbivore"),3.5,3.75)),"No")</f>
        <v>No</v>
      </c>
      <c r="BI102" s="8">
        <f t="shared" si="44"/>
        <v>6</v>
      </c>
      <c r="BJ102" s="8">
        <f t="shared" si="45"/>
        <v>15</v>
      </c>
      <c r="BK102" s="8" t="str">
        <f t="shared" si="57"/>
        <v>No</v>
      </c>
      <c r="BL102" s="8" t="str">
        <f t="shared" si="58"/>
        <v>No</v>
      </c>
      <c r="BM102" s="8">
        <f t="shared" si="46"/>
        <v>9</v>
      </c>
      <c r="BN102" s="8" cm="1">
        <f t="array" ref="BN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O102" s="8" t="str">
        <f>IF(W102="No","No",IF(_xlfn.XLOOKUP(E102,Groups!A:A,Groups!BD:BD)=1,(AM102*5%),EXP(0.7354*LN(C102)^0.4078)*2/IF(_xlfn.XLOOKUP(E102,Groups!A:A,Groups!BL:BL)=1,1000,100)))</f>
        <v>No</v>
      </c>
      <c r="BP102" s="8" t="str">
        <f>IF(BH102="No","No",IF(_xlfn.XLOOKUP(E102,Groups!A:A,Groups!BF:BF)=1,(0.0315*C102+2.1825)*2,(0.7354*C102^0.4078)*2)/IF(_xlfn.XLOOKUP(E102,Groups!A:A,Groups!BM:BM)=1,1000,100))</f>
        <v>No</v>
      </c>
      <c r="BQ102" s="8">
        <f t="shared" si="59"/>
        <v>1.2972174256417094E-2</v>
      </c>
      <c r="BR102" s="8">
        <f t="shared" si="47"/>
        <v>424.97845744360723</v>
      </c>
      <c r="BS102" s="8" t="str">
        <f t="shared" si="60"/>
        <v>No</v>
      </c>
      <c r="BT102" s="8" t="str">
        <f t="shared" si="48"/>
        <v>No</v>
      </c>
      <c r="BU102" s="4">
        <v>0</v>
      </c>
      <c r="BV102" s="4">
        <v>1</v>
      </c>
    </row>
    <row r="103" spans="1:74" x14ac:dyDescent="0.25">
      <c r="A103" s="26" t="s">
        <v>247</v>
      </c>
      <c r="B103" s="6" t="s">
        <v>432</v>
      </c>
      <c r="C103" s="7">
        <v>25</v>
      </c>
      <c r="D103" s="7" t="s">
        <v>538</v>
      </c>
      <c r="E103" s="7" t="str">
        <f>Groups!A2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538</v>
      </c>
      <c r="L103" s="7">
        <v>25</v>
      </c>
      <c r="M103" s="7" t="s">
        <v>538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8</v>
      </c>
      <c r="W103" s="7" t="s">
        <v>45</v>
      </c>
      <c r="X103" s="7" t="s">
        <v>945</v>
      </c>
      <c r="Y103" s="4" t="s">
        <v>53</v>
      </c>
      <c r="Z103" s="4">
        <v>0</v>
      </c>
      <c r="AA103" s="4">
        <v>0</v>
      </c>
      <c r="AB103" s="4">
        <v>0</v>
      </c>
      <c r="AC103" s="4" t="s">
        <v>1085</v>
      </c>
      <c r="AD103" s="4" t="s">
        <v>45</v>
      </c>
      <c r="AE103" s="28" t="s">
        <v>45</v>
      </c>
      <c r="AF103" s="4" t="str">
        <f>Animals!C105</f>
        <v>&lt;li&gt;Megaspider&lt;/li&gt;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4" t="s">
        <v>40</v>
      </c>
      <c r="AM103" s="8">
        <f t="shared" si="51"/>
        <v>8994.6441116448314</v>
      </c>
      <c r="AN103" s="8">
        <f>IFERROR(C103*_xlfn.XLOOKUP(E103,Groups!A:A,Groups!K:K),0.106*C103^0.94)</f>
        <v>8</v>
      </c>
      <c r="AO103" s="8">
        <f>AN103*10000/(_xlfn.XLOOKUP(E103,Groups!A:A,Groups!J:J)*AM103)</f>
        <v>7.4118181708109265</v>
      </c>
      <c r="AP103" s="8">
        <f t="shared" si="52"/>
        <v>824.67090957260996</v>
      </c>
      <c r="AQ103" s="8">
        <f>IF(_xlfn.XLOOKUP(E103,Groups!A:A,Groups!M:M)=1,EXP(0.7444*LN('Base stats'!C103)+6.5696),EXP(0.7927*LN('Base stats'!C103)+4.28))</f>
        <v>7830.104727318685</v>
      </c>
      <c r="AR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"No")))))))))))))))</f>
        <v>7830.104727318685</v>
      </c>
      <c r="AS103" s="8">
        <f>IF(_xlfn.XLOOKUP(E103,Groups!A:A,Groups!U:U)=3,AQ103,IF(_xlfn.XLOOKUP(E103,Groups!A:A,Groups!U:U)=2,AP103,AR103))</f>
        <v>7830.104727318685</v>
      </c>
      <c r="AT103" s="46">
        <f>IFERROR(AVERAGE(_xlfn.XLOOKUP(B103,Animals!B:B,Animals!N:N),_xlfn.XLOOKUP(B103,Animals!B:B,Animals!O:O)),0)</f>
        <v>0.25</v>
      </c>
      <c r="AU103" s="8">
        <f>MROUND(40*Animals!AO103*_xlfn.XLOOKUP(Animals!BB103,Leathers!$A$2:$A$100,Leathers!$B$2:$B$100,0)+(140*_xlfn.XLOOKUP(B103,Animals!B:B,Animals!AO:AO)*2),5)</f>
        <v>180</v>
      </c>
      <c r="AV103" s="8">
        <f>IFERROR(ROUND(SQRT(V103-1)*IF(_xlfn.XLOOKUP(E103,Groups!A:A,Groups!BF:BF)=0,2,1)*IF(_xlfn.XLOOKUP('Base stats'!E103,Groups!A:A,Groups!O:O)=0,1,0.1),1),0)</f>
        <v>5.3</v>
      </c>
      <c r="AW103" s="8">
        <f t="shared" si="53"/>
        <v>0</v>
      </c>
      <c r="AX103" s="8">
        <f t="shared" si="54"/>
        <v>0</v>
      </c>
      <c r="AY103" s="8">
        <f t="shared" si="55"/>
        <v>2.5</v>
      </c>
      <c r="AZ103" s="8">
        <f>IF(_xlfn.XLOOKUP(E103,Groups!A:A,Groups!N:N)="Insect",BB103*2.5,IFERROR(AVERAGE(BB103,AR103/9.81/IF(OR(_xlfn.XLOOKUP(E103,Groups!A:A,Groups!N:N)="Pig",_xlfn.XLOOKUP(E103,Groups!A:A,Groups!N:N)="StrongBitingHerbivore"),20,25))*C103^-0.135,BB103))</f>
        <v>1.4220478920214752</v>
      </c>
      <c r="BA103" s="8" t="str">
        <f>IF(W103="No","No",IF(_xlfn.XLOOKUP(E103,Groups!A:A,Groups!U:U)=1,'Base stats'!AZ103,IF(OR(_xlfn.XLOOKUP(E103,Groups!A:A,Groups!BD:BD)=1,_xlfn.XLOOKUP(E103,Groups!A:A,Groups!U:U)=2),BB103,IF(_xlfn.XLOOKUP(B103,Animals!B:B,Animals!AO:AO)&gt;4,AVERAGE(BB103,BD103),BD103))))</f>
        <v>No</v>
      </c>
      <c r="BB103" s="8">
        <f t="shared" si="56"/>
        <v>0.56881915680859008</v>
      </c>
      <c r="BC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1.0285671023961926</v>
      </c>
      <c r="BD103" s="8">
        <f>(0.048*C103^1.01)/IF(_xlfn.XLOOKUP(E103,Groups!A:A,Groups!M:M)=1,0.25,0.8)*C103^-0.25</f>
        <v>2.216846565212883</v>
      </c>
      <c r="BE103" s="8">
        <f>EXP(1.076*LN(AP103)-4.5397)*IF(_xlfn.XLOOKUP(E103,Groups!A:A,Groups!BC:BC)=1,1.25,IF(_xlfn.XLOOKUP(E103,Groups!A:A,Groups!BD:BD)=1,3.5,2.5))</f>
        <v>18.334174469833012</v>
      </c>
      <c r="BF103" s="8">
        <f>EXP(1.076*LN(AQ103)-4.5397)*IF(_xlfn.XLOOKUP(E103,Groups!A:A,Groups!M:M)=1,0.8,IF(_xlfn.XLOOKUP(E103,Groups!A:A,Groups!BC:BC)=1,1.3,3))</f>
        <v>132.1956710188129</v>
      </c>
      <c r="BG103" s="8" t="str">
        <f>IF(W103="No","No",IF(_xlfn.XLOOKUP(E103,Groups!A:A,Groups!U:U)=1,'Base stats'!BH103,IF(OR(_xlfn.XLOOKUP(E103,Groups!A:A,Groups!BD:BD)=1,_xlfn.XLOOKUP(E103,Groups!A:A,Groups!U:U)=2),BE103,BF103))*1.2)</f>
        <v>No</v>
      </c>
      <c r="BH103" s="8">
        <f>IFERROR(EXP(1.076*LN(AR103)-4.5397)*IF(_xlfn.XLOOKUP(E103,Groups!A:A,Groups!N:N)="Insect",1,IF(OR(_xlfn.XLOOKUP(E103,Groups!A:A,Groups!N:N)="Pig",_xlfn.XLOOKUP(E103,Groups!A:A,Groups!N:N)="StrongBitingHerbivore"),3.5,3.75)),"No")</f>
        <v>165.24458877351611</v>
      </c>
      <c r="BI103" s="8">
        <f t="shared" si="44"/>
        <v>8</v>
      </c>
      <c r="BJ103" s="8">
        <f t="shared" si="45"/>
        <v>16</v>
      </c>
      <c r="BK103" s="8" t="str">
        <f t="shared" si="57"/>
        <v>No</v>
      </c>
      <c r="BL103" s="8">
        <f t="shared" si="58"/>
        <v>15</v>
      </c>
      <c r="BM103" s="8">
        <f t="shared" si="46"/>
        <v>10</v>
      </c>
      <c r="BN103" s="8" t="str" cm="1">
        <f t="array" ref="BN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O103" s="8" t="str">
        <f>IF(W103="No","No",IF(_xlfn.XLOOKUP(E103,Groups!A:A,Groups!BD:BD)=1,(AM103*5%),EXP(0.7354*LN(C103)^0.4078)*2/IF(_xlfn.XLOOKUP(E103,Groups!A:A,Groups!BL:BL)=1,1000,100)))</f>
        <v>No</v>
      </c>
      <c r="BP103" s="8">
        <f>IF(BH103="No","No",IF(_xlfn.XLOOKUP(E103,Groups!A:A,Groups!BF:BF)=1,(0.0315*C103+2.1825)*2,(0.7354*C103^0.4078)*2)/IF(_xlfn.XLOOKUP(E103,Groups!A:A,Groups!BM:BM)=1,1000,100))</f>
        <v>5.4655460365074494E-2</v>
      </c>
      <c r="BQ103" s="8">
        <f t="shared" si="59"/>
        <v>4.0766870244697828E-2</v>
      </c>
      <c r="BR103" s="8" t="str">
        <f t="shared" si="47"/>
        <v>No</v>
      </c>
      <c r="BS103" s="8" t="str">
        <f t="shared" si="60"/>
        <v>No</v>
      </c>
      <c r="BT103" s="8">
        <f t="shared" si="48"/>
        <v>3023.3866418790503</v>
      </c>
      <c r="BU103" s="4">
        <v>0</v>
      </c>
      <c r="BV103" s="4">
        <v>1</v>
      </c>
    </row>
    <row r="104" spans="1:74" x14ac:dyDescent="0.25">
      <c r="A104" s="26" t="s">
        <v>249</v>
      </c>
      <c r="B104" s="6" t="s">
        <v>433</v>
      </c>
      <c r="C104" s="7">
        <v>150</v>
      </c>
      <c r="D104" s="7" t="s">
        <v>538</v>
      </c>
      <c r="E104" s="7" t="str">
        <f>Groups!A14</f>
        <v>ClawedBeetle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538</v>
      </c>
      <c r="L104" s="7">
        <v>27</v>
      </c>
      <c r="M104" s="7" t="s">
        <v>538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945</v>
      </c>
      <c r="Y104" s="4" t="s">
        <v>53</v>
      </c>
      <c r="Z104" s="4">
        <v>0</v>
      </c>
      <c r="AA104" s="4">
        <v>0</v>
      </c>
      <c r="AB104" s="4">
        <v>0</v>
      </c>
      <c r="AC104" s="4" t="s">
        <v>1083</v>
      </c>
      <c r="AD104" s="4" t="s">
        <v>45</v>
      </c>
      <c r="AE104" s="28" t="s">
        <v>45</v>
      </c>
      <c r="AF104" s="4" t="str">
        <f>Animals!C105</f>
        <v>&lt;li&gt;Megaspider&lt;/li&gt;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4" t="s">
        <v>40</v>
      </c>
      <c r="AM104" s="8">
        <f t="shared" si="51"/>
        <v>28825.861601687579</v>
      </c>
      <c r="AN104" s="8">
        <f>IFERROR(C104*_xlfn.XLOOKUP(E104,Groups!A:A,Groups!K:K),0.106*C104^0.94)</f>
        <v>48</v>
      </c>
      <c r="AO104" s="8">
        <f>AN104*10000/(_xlfn.XLOOKUP(E104,Groups!A:A,Groups!J:J)*AM104)</f>
        <v>13.876428240971729</v>
      </c>
      <c r="AP104" s="8">
        <f t="shared" si="52"/>
        <v>3746.1489061563307</v>
      </c>
      <c r="AQ104" s="8">
        <f>IF(_xlfn.XLOOKUP(E104,Groups!A:A,Groups!M:M)=1,EXP(0.7444*LN('Base stats'!C104)+6.5696),EXP(0.7927*LN('Base stats'!C104)+4.28))</f>
        <v>29718.25887786362</v>
      </c>
      <c r="AR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"No")))))))))))))))</f>
        <v>29718.25887786362</v>
      </c>
      <c r="AS104" s="8">
        <f>IF(_xlfn.XLOOKUP(E104,Groups!A:A,Groups!U:U)=3,AQ104,IF(_xlfn.XLOOKUP(E104,Groups!A:A,Groups!U:U)=2,AP104,AR104))</f>
        <v>29718.25887786362</v>
      </c>
      <c r="AT104" s="46">
        <f>IFERROR(AVERAGE(_xlfn.XLOOKUP(B104,Animals!B:B,Animals!N:N),_xlfn.XLOOKUP(B104,Animals!B:B,Animals!O:O)),0)</f>
        <v>0.4</v>
      </c>
      <c r="AU104" s="8">
        <f>MROUND(40*Animals!AO104*_xlfn.XLOOKUP(Animals!BB104,Leathers!$A$2:$A$100,Leathers!$B$2:$B$100,0)+(140*_xlfn.XLOOKUP(B104,Animals!B:B,Animals!AO:AO)*2),5)</f>
        <v>420</v>
      </c>
      <c r="AV104" s="8">
        <f>IFERROR(ROUND(SQRT(V104-1)*IF(_xlfn.XLOOKUP(E104,Groups!A:A,Groups!BF:BF)=0,2,1)*IF(_xlfn.XLOOKUP('Base stats'!E104,Groups!A:A,Groups!O:O)=0,1,0.1),1),0)</f>
        <v>7.2</v>
      </c>
      <c r="AW104" s="8">
        <f t="shared" si="53"/>
        <v>2.2000000000000002</v>
      </c>
      <c r="AX104" s="8">
        <f t="shared" si="54"/>
        <v>0</v>
      </c>
      <c r="AY104" s="8">
        <f t="shared" si="55"/>
        <v>4.8</v>
      </c>
      <c r="AZ104" s="8">
        <f>IF(_xlfn.XLOOKUP(E104,Groups!A:A,Groups!N:N)="Insect",BB104*2.5,IFERROR(AVERAGE(BB104,AR104/9.81/IF(OR(_xlfn.XLOOKUP(E104,Groups!A:A,Groups!N:N)="Pig",_xlfn.XLOOKUP(E104,Groups!A:A,Groups!N:N)="StrongBitingHerbivore"),20,25))*C104^-0.135,BB104))</f>
        <v>6.3031539120089342</v>
      </c>
      <c r="BA104" s="8" t="str">
        <f>IF(W104="No","No",IF(_xlfn.XLOOKUP(E104,Groups!A:A,Groups!U:U)=1,'Base stats'!AZ104,IF(OR(_xlfn.XLOOKUP(E104,Groups!A:A,Groups!BD:BD)=1,_xlfn.XLOOKUP(E104,Groups!A:A,Groups!U:U)=2),BB104,IF(_xlfn.XLOOKUP(B104,Animals!B:B,Animals!AO:AO)&gt;4,AVERAGE(BB104,BD104),BD104))))</f>
        <v>No</v>
      </c>
      <c r="BB104" s="8">
        <f t="shared" si="56"/>
        <v>2.5212615648035737</v>
      </c>
      <c r="BC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D104" s="8">
        <f>(0.048*C104^1.01)/IF(_xlfn.XLOOKUP(E104,Groups!A:A,Groups!M:M)=1,0.25,0.8)*C104^-0.25</f>
        <v>8.6522804026087012</v>
      </c>
      <c r="BE104" s="8">
        <f>EXP(1.076*LN(AP104)-4.5397)*IF(_xlfn.XLOOKUP(E104,Groups!A:A,Groups!BC:BC)=1,1.25,IF(_xlfn.XLOOKUP(E104,Groups!A:A,Groups!BD:BD)=1,3.5,2.5))</f>
        <v>93.437423078027194</v>
      </c>
      <c r="BF104" s="8">
        <f>EXP(1.076*LN(AQ104)-4.5397)*IF(_xlfn.XLOOKUP(E104,Groups!A:A,Groups!M:M)=1,0.8,IF(_xlfn.XLOOKUP(E104,Groups!A:A,Groups!BC:BC)=1,1.3,3))</f>
        <v>555.26009687930457</v>
      </c>
      <c r="BG104" s="8" t="str">
        <f>IF(W104="No","No",IF(_xlfn.XLOOKUP(E104,Groups!A:A,Groups!U:U)=1,'Base stats'!BH104,IF(OR(_xlfn.XLOOKUP(E104,Groups!A:A,Groups!BD:BD)=1,_xlfn.XLOOKUP(E104,Groups!A:A,Groups!U:U)=2),BE104,BF104))*1.2)</f>
        <v>No</v>
      </c>
      <c r="BH104" s="8">
        <f>IFERROR(EXP(1.076*LN(AR104)-4.5397)*IF(_xlfn.XLOOKUP(E104,Groups!A:A,Groups!N:N)="Insect",1,IF(OR(_xlfn.XLOOKUP(E104,Groups!A:A,Groups!N:N)="Pig",_xlfn.XLOOKUP(E104,Groups!A:A,Groups!N:N)="StrongBitingHerbivore"),3.5,3.75)),"No")</f>
        <v>694.07512109913068</v>
      </c>
      <c r="BI104" s="8">
        <f t="shared" si="44"/>
        <v>8</v>
      </c>
      <c r="BJ104" s="8">
        <f t="shared" si="45"/>
        <v>16</v>
      </c>
      <c r="BK104" s="8" t="str">
        <f t="shared" si="57"/>
        <v>No</v>
      </c>
      <c r="BL104" s="8">
        <f t="shared" si="58"/>
        <v>14</v>
      </c>
      <c r="BM104" s="8">
        <f t="shared" si="46"/>
        <v>11</v>
      </c>
      <c r="BN104" s="8" cm="1">
        <f t="array" ref="BN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O104" s="8" t="str">
        <f>IF(W104="No","No",IF(_xlfn.XLOOKUP(E104,Groups!A:A,Groups!BD:BD)=1,(AM104*5%),EXP(0.7354*LN(C104)^0.4078)*2/IF(_xlfn.XLOOKUP(E104,Groups!A:A,Groups!BL:BL)=1,1000,100)))</f>
        <v>No</v>
      </c>
      <c r="BP104" s="8">
        <f>IF(BH104="No","No",IF(_xlfn.XLOOKUP(E104,Groups!A:A,Groups!BF:BF)=1,(0.0315*C104+2.1825)*2,(0.7354*C104^0.4078)*2)/IF(_xlfn.XLOOKUP(E104,Groups!A:A,Groups!BM:BM)=1,1000,100))</f>
        <v>0.11349157855001941</v>
      </c>
      <c r="BQ104" s="8">
        <f t="shared" si="59"/>
        <v>6.4828884818177987E-2</v>
      </c>
      <c r="BR104" s="8">
        <f t="shared" si="47"/>
        <v>48925.2245825961</v>
      </c>
      <c r="BS104" s="8" t="str">
        <f t="shared" si="60"/>
        <v>No</v>
      </c>
      <c r="BT104" s="8">
        <f t="shared" si="48"/>
        <v>6115.6530728245116</v>
      </c>
      <c r="BU104" s="4">
        <v>0</v>
      </c>
      <c r="BV104" s="4">
        <v>1</v>
      </c>
    </row>
    <row r="105" spans="1:74" x14ac:dyDescent="0.25">
      <c r="A105" s="26" t="s">
        <v>248</v>
      </c>
      <c r="B105" s="6" t="s">
        <v>434</v>
      </c>
      <c r="C105" s="7">
        <v>300</v>
      </c>
      <c r="D105" s="7" t="s">
        <v>538</v>
      </c>
      <c r="E105" s="7" t="str">
        <f>Groups!A12</f>
        <v>BeetleLike (Scorpion)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538</v>
      </c>
      <c r="L105" s="7">
        <v>20</v>
      </c>
      <c r="M105" s="7" t="s">
        <v>538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945</v>
      </c>
      <c r="Y105" s="4" t="s">
        <v>53</v>
      </c>
      <c r="Z105" s="4">
        <v>0</v>
      </c>
      <c r="AA105" s="4">
        <v>0</v>
      </c>
      <c r="AB105" s="4">
        <v>0</v>
      </c>
      <c r="AC105" s="4" t="s">
        <v>1084</v>
      </c>
      <c r="AD105" s="4" t="s">
        <v>45</v>
      </c>
      <c r="AE105" s="28" t="s">
        <v>45</v>
      </c>
      <c r="AF105" s="4" t="s">
        <v>45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4" t="s">
        <v>40</v>
      </c>
      <c r="AM105" s="8">
        <f t="shared" si="51"/>
        <v>45232.625241713278</v>
      </c>
      <c r="AN105" s="8">
        <f>IFERROR(C105*_xlfn.XLOOKUP(E105,Groups!A:A,Groups!K:K),0.106*C105^0.94)</f>
        <v>96</v>
      </c>
      <c r="AO105" s="8">
        <f>AN105*10000/(_xlfn.XLOOKUP(E105,Groups!A:A,Groups!J:J)*AM105)</f>
        <v>17.686349083763645</v>
      </c>
      <c r="AP105" s="8">
        <f t="shared" si="52"/>
        <v>6727.6760861471967</v>
      </c>
      <c r="AQ105" s="8">
        <f>IF(_xlfn.XLOOKUP(E105,Groups!A:A,Groups!M:M)=1,EXP(0.7444*LN('Base stats'!C105)+6.5696),EXP(0.7927*LN('Base stats'!C105)+4.28))</f>
        <v>49786.327351106935</v>
      </c>
      <c r="AR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"No")))))))))))))))</f>
        <v>49786.327351106935</v>
      </c>
      <c r="AS105" s="8">
        <f>IF(_xlfn.XLOOKUP(E105,Groups!A:A,Groups!U:U)=3,AQ105,IF(_xlfn.XLOOKUP(E105,Groups!A:A,Groups!U:U)=2,AP105,AR105))</f>
        <v>49786.327351106935</v>
      </c>
      <c r="AT105" s="46">
        <f>IFERROR(AVERAGE(_xlfn.XLOOKUP(B105,Animals!B:B,Animals!N:N),_xlfn.XLOOKUP(B105,Animals!B:B,Animals!O:O)),0)</f>
        <v>0.5</v>
      </c>
      <c r="AU105" s="8">
        <f>MROUND(40*Animals!AO105*_xlfn.XLOOKUP(Animals!BB105,Leathers!$A$2:$A$100,Leathers!$B$2:$B$100,0)+(140*_xlfn.XLOOKUP(B105,Animals!B:B,Animals!AO:AO)*2),5)</f>
        <v>630</v>
      </c>
      <c r="AV105" s="8">
        <f>IFERROR(ROUND(SQRT(V105-1)*IF(_xlfn.XLOOKUP(E105,Groups!A:A,Groups!BF:BF)=0,2,1)*IF(_xlfn.XLOOKUP('Base stats'!E105,Groups!A:A,Groups!O:O)=0,1,0.1),1),0)</f>
        <v>8.6999999999999993</v>
      </c>
      <c r="AW105" s="8">
        <f t="shared" si="53"/>
        <v>2.6</v>
      </c>
      <c r="AX105" s="8">
        <f t="shared" si="54"/>
        <v>0</v>
      </c>
      <c r="AY105" s="8">
        <f t="shared" si="55"/>
        <v>6.2</v>
      </c>
      <c r="AZ105" s="8">
        <f>IF(_xlfn.XLOOKUP(E105,Groups!A:A,Groups!N:N)="Insect",BB105*2.5,IFERROR(AVERAGE(BB105,AR105/9.81/IF(OR(_xlfn.XLOOKUP(E105,Groups!A:A,Groups!N:N)="Pig",_xlfn.XLOOKUP(E105,Groups!A:A,Groups!N:N)="StrongBitingHerbivore"),20,25))*C105^-0.135,BB105))</f>
        <v>11.212793869379865</v>
      </c>
      <c r="BA105" s="8" t="str">
        <f>IF(W105="No","No",IF(_xlfn.XLOOKUP(E105,Groups!A:A,Groups!U:U)=1,'Base stats'!AZ105,IF(OR(_xlfn.XLOOKUP(E105,Groups!A:A,Groups!BD:BD)=1,_xlfn.XLOOKUP(E105,Groups!A:A,Groups!U:U)=2),BB105,IF(_xlfn.XLOOKUP(B105,Animals!B:B,Animals!AO:AO)&gt;4,AVERAGE(BB105,BD105),BD105))))</f>
        <v>No</v>
      </c>
      <c r="BB105" s="8">
        <f t="shared" si="56"/>
        <v>4.4851175477519458</v>
      </c>
      <c r="BC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D105" s="8">
        <f>(0.048*C105^1.01)/IF(_xlfn.XLOOKUP(E105,Groups!A:A,Groups!M:M)=1,0.25,0.8)*C105^-0.25</f>
        <v>14.652555744310158</v>
      </c>
      <c r="BE105" s="8">
        <f>EXP(1.076*LN(AP105)-4.5397)*IF(_xlfn.XLOOKUP(E105,Groups!A:A,Groups!BC:BC)=1,1.25,IF(_xlfn.XLOOKUP(E105,Groups!A:A,Groups!BD:BD)=1,3.5,2.5))</f>
        <v>175.43901189464424</v>
      </c>
      <c r="BF105" s="8">
        <f>EXP(1.076*LN(AQ105)-4.5397)*IF(_xlfn.XLOOKUP(E105,Groups!A:A,Groups!M:M)=1,0.8,IF(_xlfn.XLOOKUP(E105,Groups!A:A,Groups!BC:BC)=1,1.3,3))</f>
        <v>967.41715569980647</v>
      </c>
      <c r="BG105" s="8" t="str">
        <f>IF(W105="No","No",IF(_xlfn.XLOOKUP(E105,Groups!A:A,Groups!U:U)=1,'Base stats'!BH105,IF(OR(_xlfn.XLOOKUP(E105,Groups!A:A,Groups!BD:BD)=1,_xlfn.XLOOKUP(E105,Groups!A:A,Groups!U:U)=2),BE105,BF105))*1.2)</f>
        <v>No</v>
      </c>
      <c r="BH105" s="8">
        <f>IFERROR(EXP(1.076*LN(AR105)-4.5397)*IF(_xlfn.XLOOKUP(E105,Groups!A:A,Groups!N:N)="Insect",1,IF(OR(_xlfn.XLOOKUP(E105,Groups!A:A,Groups!N:N)="Pig",_xlfn.XLOOKUP(E105,Groups!A:A,Groups!N:N)="StrongBitingHerbivore"),3.5,3.75)),"No")</f>
        <v>1209.271444624758</v>
      </c>
      <c r="BI105" s="8">
        <f t="shared" si="44"/>
        <v>8</v>
      </c>
      <c r="BJ105" s="8">
        <f t="shared" si="45"/>
        <v>16</v>
      </c>
      <c r="BK105" s="8" t="str">
        <f t="shared" si="57"/>
        <v>No</v>
      </c>
      <c r="BL105" s="8">
        <f t="shared" si="58"/>
        <v>14</v>
      </c>
      <c r="BM105" s="8">
        <f t="shared" si="46"/>
        <v>11</v>
      </c>
      <c r="BN105" s="8" cm="1">
        <f t="array" ref="BN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O105" s="8" t="str">
        <f>IF(W105="No","No",IF(_xlfn.XLOOKUP(E105,Groups!A:A,Groups!BD:BD)=1,(AM105*5%),EXP(0.7354*LN(C105)^0.4078)*2/IF(_xlfn.XLOOKUP(E105,Groups!A:A,Groups!BL:BL)=1,1000,100)))</f>
        <v>No</v>
      </c>
      <c r="BP105" s="8">
        <f>IF(BH105="No","No",IF(_xlfn.XLOOKUP(E105,Groups!A:A,Groups!BF:BF)=1,(0.0315*C105+2.1825)*2,(0.7354*C105^0.4078)*2)/IF(_xlfn.XLOOKUP(E105,Groups!A:A,Groups!BM:BM)=1,1000,100))</f>
        <v>0.15056487532717558</v>
      </c>
      <c r="BQ105" s="8">
        <f t="shared" si="59"/>
        <v>7.7571890181981018E-2</v>
      </c>
      <c r="BR105" s="8">
        <f t="shared" si="47"/>
        <v>64252.512652610458</v>
      </c>
      <c r="BS105" s="8" t="str">
        <f t="shared" si="60"/>
        <v>No</v>
      </c>
      <c r="BT105" s="8">
        <f t="shared" si="48"/>
        <v>8031.5640815763063</v>
      </c>
      <c r="BU105" s="4">
        <v>0</v>
      </c>
      <c r="BV105" s="4">
        <v>1</v>
      </c>
    </row>
    <row r="106" spans="1:74" x14ac:dyDescent="0.25">
      <c r="A106" s="26" t="s">
        <v>296</v>
      </c>
      <c r="B106" s="6" t="s">
        <v>435</v>
      </c>
      <c r="C106" s="7">
        <v>6500</v>
      </c>
      <c r="D106" s="7" t="s">
        <v>538</v>
      </c>
      <c r="E106" s="7" t="str">
        <f>Groups!A2</f>
        <v>Beetle</v>
      </c>
      <c r="F106" s="7" t="str">
        <f t="shared" si="61"/>
        <v>Lay eggs</v>
      </c>
      <c r="G106" s="7">
        <v>10</v>
      </c>
      <c r="H106" s="7">
        <v>100</v>
      </c>
      <c r="I106" s="4">
        <v>0</v>
      </c>
      <c r="J106" s="7" t="str">
        <f t="shared" si="62"/>
        <v>Lay eggs</v>
      </c>
      <c r="K106" s="7" t="s">
        <v>538</v>
      </c>
      <c r="L106" s="7">
        <v>15</v>
      </c>
      <c r="M106" s="7" t="s">
        <v>538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945</v>
      </c>
      <c r="Y106" s="4" t="s">
        <v>53</v>
      </c>
      <c r="Z106" s="4">
        <v>0</v>
      </c>
      <c r="AA106" s="4">
        <v>0</v>
      </c>
      <c r="AB106" s="4">
        <v>0</v>
      </c>
      <c r="AC106" s="4" t="s">
        <v>1086</v>
      </c>
      <c r="AD106" s="4" t="s">
        <v>45</v>
      </c>
      <c r="AE106" s="28" t="s">
        <v>45</v>
      </c>
      <c r="AF106" s="4" t="str">
        <f>Animals!C105</f>
        <v>&lt;li&gt;Megaspider&lt;/li&gt;</v>
      </c>
      <c r="AG106" s="4">
        <v>0</v>
      </c>
      <c r="AH106" s="4">
        <v>0</v>
      </c>
      <c r="AI106" s="4">
        <v>0</v>
      </c>
      <c r="AJ106" s="4">
        <v>1</v>
      </c>
      <c r="AK106" s="4">
        <v>1</v>
      </c>
      <c r="AL106" s="44" t="s">
        <v>40</v>
      </c>
      <c r="AM106" s="8">
        <f t="shared" si="51"/>
        <v>333977.07792303176</v>
      </c>
      <c r="AN106" s="8">
        <f>IFERROR(C106*_xlfn.XLOOKUP(E106,Groups!A:A,Groups!K:K),0.106*C106^0.94)</f>
        <v>2080</v>
      </c>
      <c r="AO106" s="8">
        <f>AN106*10000/(_xlfn.XLOOKUP(E106,Groups!A:A,Groups!J:J)*AM106)</f>
        <v>51.899769412701936</v>
      </c>
      <c r="AP106" s="8">
        <f t="shared" si="52"/>
        <v>90408.374736964019</v>
      </c>
      <c r="AQ106" s="8">
        <f>IF(_xlfn.XLOOKUP(E106,Groups!A:A,Groups!M:M)=1,EXP(0.7444*LN('Base stats'!C106)+6.5696),EXP(0.7927*LN('Base stats'!C106)+4.28))</f>
        <v>491443.65353680309</v>
      </c>
      <c r="AR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"No")))))))))))))))</f>
        <v>491443.65353680309</v>
      </c>
      <c r="AS106" s="8">
        <f>IF(_xlfn.XLOOKUP(E106,Groups!A:A,Groups!U:U)=3,AQ106,IF(_xlfn.XLOOKUP(E106,Groups!A:A,Groups!U:U)=2,AP106,AR106))</f>
        <v>491443.65353680309</v>
      </c>
      <c r="AT106" s="46">
        <f>IFERROR(AVERAGE(_xlfn.XLOOKUP(B106,Animals!B:B,Animals!N:N),_xlfn.XLOOKUP(B106,Animals!B:B,Animals!O:O)),0)</f>
        <v>1.1000000000000001</v>
      </c>
      <c r="AU106" s="8">
        <f>MROUND(40*Animals!AO106*_xlfn.XLOOKUP(Animals!BB106,Leathers!$A$2:$A$100,Leathers!$B$2:$B$100,0)+(140*_xlfn.XLOOKUP(B106,Animals!B:B,Animals!AO:AO)*2),5)</f>
        <v>1540</v>
      </c>
      <c r="AV106" s="8">
        <f>IFERROR(ROUND(SQRT(V106-1)*IF(_xlfn.XLOOKUP(E106,Groups!A:A,Groups!BF:BF)=0,2,1)*IF(_xlfn.XLOOKUP('Base stats'!E106,Groups!A:A,Groups!O:O)=0,1,0.1),1),0)</f>
        <v>10.4</v>
      </c>
      <c r="AW106" s="8">
        <f t="shared" si="53"/>
        <v>0</v>
      </c>
      <c r="AX106" s="8">
        <f t="shared" si="54"/>
        <v>0</v>
      </c>
      <c r="AY106" s="8">
        <f t="shared" si="55"/>
        <v>18.600000000000001</v>
      </c>
      <c r="AZ106" s="8">
        <f>IF(_xlfn.XLOOKUP(E106,Groups!A:A,Groups!N:N)="Insect",BB106*2.5,IFERROR(AVERAGE(BB106,AR106/9.81/IF(OR(_xlfn.XLOOKUP(E106,Groups!A:A,Groups!N:N)="Pig",_xlfn.XLOOKUP(E106,Groups!A:A,Groups!N:N)="StrongBitingHerbivore"),20,25))*C106^-0.135,BB106))</f>
        <v>144.46314823737697</v>
      </c>
      <c r="BA106" s="8" t="str">
        <f>IF(W106="No","No",IF(_xlfn.XLOOKUP(E106,Groups!A:A,Groups!U:U)=1,'Base stats'!AZ106,IF(OR(_xlfn.XLOOKUP(E106,Groups!A:A,Groups!BD:BD)=1,_xlfn.XLOOKUP(E106,Groups!A:A,Groups!U:U)=2),BB106,IF(_xlfn.XLOOKUP(B106,Animals!B:B,Animals!AO:AO)&gt;4,AVERAGE(BB106,BD106),BD106))))</f>
        <v>No</v>
      </c>
      <c r="BB106" s="8">
        <f t="shared" si="56"/>
        <v>57.785259294950791</v>
      </c>
      <c r="BC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D106" s="8">
        <f>(0.048*C106^1.01)/IF(_xlfn.XLOOKUP(E106,Groups!A:A,Groups!M:M)=1,0.25,0.8)*C106^-0.25</f>
        <v>151.74534583478444</v>
      </c>
      <c r="BE106" s="8">
        <f>EXP(1.076*LN(AP106)-4.5397)*IF(_xlfn.XLOOKUP(E106,Groups!A:A,Groups!BC:BC)=1,1.25,IF(_xlfn.XLOOKUP(E106,Groups!A:A,Groups!BD:BD)=1,3.5,2.5))</f>
        <v>2872.2608182712406</v>
      </c>
      <c r="BF106" s="8">
        <f>EXP(1.076*LN(AQ106)-4.5397)*IF(_xlfn.XLOOKUP(E106,Groups!A:A,Groups!M:M)=1,0.8,IF(_xlfn.XLOOKUP(E106,Groups!A:A,Groups!BC:BC)=1,1.3,3))</f>
        <v>11364.466742743723</v>
      </c>
      <c r="BG106" s="8" t="str">
        <f>IF(W106="No","No",IF(_xlfn.XLOOKUP(E106,Groups!A:A,Groups!U:U)=1,'Base stats'!BH106,IF(OR(_xlfn.XLOOKUP(E106,Groups!A:A,Groups!BD:BD)=1,_xlfn.XLOOKUP(E106,Groups!A:A,Groups!U:U)=2),BE106,BF106))*1.2)</f>
        <v>No</v>
      </c>
      <c r="BH106" s="8">
        <f>IFERROR(EXP(1.076*LN(AR106)-4.5397)*IF(_xlfn.XLOOKUP(E106,Groups!A:A,Groups!N:N)="Insect",1,IF(OR(_xlfn.XLOOKUP(E106,Groups!A:A,Groups!N:N)="Pig",_xlfn.XLOOKUP(E106,Groups!A:A,Groups!N:N)="StrongBitingHerbivore"),3.5,3.75)),"No")</f>
        <v>14205.583428429652</v>
      </c>
      <c r="BI106" s="8">
        <f t="shared" si="44"/>
        <v>9</v>
      </c>
      <c r="BJ106" s="8">
        <f t="shared" si="45"/>
        <v>16</v>
      </c>
      <c r="BK106" s="8" t="str">
        <f t="shared" si="57"/>
        <v>No</v>
      </c>
      <c r="BL106" s="8">
        <f t="shared" si="58"/>
        <v>14</v>
      </c>
      <c r="BM106" s="8">
        <f t="shared" si="46"/>
        <v>12</v>
      </c>
      <c r="BN106" s="8" t="str" cm="1">
        <f t="array" ref="BN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O106" s="8" t="str">
        <f>IF(W106="No","No",IF(_xlfn.XLOOKUP(E106,Groups!A:A,Groups!BD:BD)=1,(AM106*5%),EXP(0.7354*LN(C106)^0.4078)*2/IF(_xlfn.XLOOKUP(E106,Groups!A:A,Groups!BL:BL)=1,1000,100)))</f>
        <v>No</v>
      </c>
      <c r="BP106" s="8">
        <f>IF(BH106="No","No",IF(_xlfn.XLOOKUP(E106,Groups!A:A,Groups!BF:BF)=1,(0.0315*C106+2.1825)*2,(0.7354*C106^0.4078)*2)/IF(_xlfn.XLOOKUP(E106,Groups!A:A,Groups!BM:BM)=1,1000,100))</f>
        <v>0.52778821429382305</v>
      </c>
      <c r="BQ106" s="8">
        <f t="shared" si="59"/>
        <v>0.17200347018624917</v>
      </c>
      <c r="BR106" s="8" t="str">
        <f t="shared" si="47"/>
        <v>No</v>
      </c>
      <c r="BS106" s="8" t="str">
        <f t="shared" si="60"/>
        <v>No</v>
      </c>
      <c r="BT106" s="8">
        <f t="shared" si="48"/>
        <v>26915.310049953699</v>
      </c>
      <c r="BU106" s="4">
        <v>0</v>
      </c>
      <c r="BV106" s="4">
        <v>1</v>
      </c>
    </row>
    <row r="107" spans="1:74" x14ac:dyDescent="0.25">
      <c r="A107" s="26" t="s">
        <v>298</v>
      </c>
      <c r="B107" s="6" t="s">
        <v>436</v>
      </c>
      <c r="C107" s="7">
        <v>15</v>
      </c>
      <c r="D107" s="7" t="s">
        <v>538</v>
      </c>
      <c r="E107" s="7" t="str">
        <f>Groups!A2</f>
        <v>Beetle</v>
      </c>
      <c r="F107" s="7" t="str">
        <f t="shared" si="61"/>
        <v>Lay eggs</v>
      </c>
      <c r="G107" s="7">
        <v>1</v>
      </c>
      <c r="H107" s="7">
        <v>1</v>
      </c>
      <c r="I107" s="4">
        <v>0</v>
      </c>
      <c r="J107" s="7" t="str">
        <f t="shared" si="62"/>
        <v>Lay eggs</v>
      </c>
      <c r="K107" s="7" t="s">
        <v>538</v>
      </c>
      <c r="L107" s="7">
        <v>15</v>
      </c>
      <c r="M107" s="7" t="s">
        <v>538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6</v>
      </c>
      <c r="W107" s="7" t="s">
        <v>45</v>
      </c>
      <c r="X107" s="7" t="s">
        <v>945</v>
      </c>
      <c r="Y107" s="4" t="s">
        <v>53</v>
      </c>
      <c r="Z107" s="4">
        <v>0</v>
      </c>
      <c r="AA107" s="4">
        <v>0</v>
      </c>
      <c r="AB107" s="4">
        <v>0</v>
      </c>
      <c r="AC107" s="4" t="s">
        <v>1087</v>
      </c>
      <c r="AD107" s="4" t="s">
        <v>45</v>
      </c>
      <c r="AE107" s="28" t="s">
        <v>45</v>
      </c>
      <c r="AF107" s="4" t="str">
        <f>Animals!C105</f>
        <v>&lt;li&gt;Megaspider&lt;/li&gt;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4" t="s">
        <v>40</v>
      </c>
      <c r="AM107" s="8">
        <f t="shared" si="51"/>
        <v>6453.306570514339</v>
      </c>
      <c r="AN107" s="8">
        <f>IFERROR(C107*_xlfn.XLOOKUP(E107,Groups!A:A,Groups!K:K),0.106*C107^0.94)</f>
        <v>4.8</v>
      </c>
      <c r="AO107" s="8">
        <f>AN107*10000/(_xlfn.XLOOKUP(E107,Groups!A:A,Groups!J:J)*AM107)</f>
        <v>6.1983728129023223</v>
      </c>
      <c r="AP107" s="8">
        <f t="shared" si="52"/>
        <v>535.65484345622485</v>
      </c>
      <c r="AQ107" s="8">
        <f>IF(_xlfn.XLOOKUP(E107,Groups!A:A,Groups!M:M)=1,EXP(0.7444*LN('Base stats'!C107)+6.5696),EXP(0.7927*LN('Base stats'!C107)+4.28))</f>
        <v>5353.3219353913164</v>
      </c>
      <c r="AR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"No")))))))))))))))</f>
        <v>5353.3219353913164</v>
      </c>
      <c r="AS107" s="8">
        <f>IF(_xlfn.XLOOKUP(E107,Groups!A:A,Groups!U:U)=3,AQ107,IF(_xlfn.XLOOKUP(E107,Groups!A:A,Groups!U:U)=2,AP107,AR107))</f>
        <v>5353.3219353913164</v>
      </c>
      <c r="AT107" s="46">
        <f>IFERROR(AVERAGE(_xlfn.XLOOKUP(B107,Animals!B:B,Animals!N:N),_xlfn.XLOOKUP(B107,Animals!B:B,Animals!O:O)),0)</f>
        <v>0.2</v>
      </c>
      <c r="AU107" s="8">
        <f>MROUND(40*Animals!AO107*_xlfn.XLOOKUP(Animals!BB107,Leathers!$A$2:$A$100,Leathers!$B$2:$B$100,0)+(140*_xlfn.XLOOKUP(B107,Animals!B:B,Animals!AO:AO)*2),5)</f>
        <v>140</v>
      </c>
      <c r="AV107" s="8">
        <f>IFERROR(ROUND(SQRT(V107-1)*IF(_xlfn.XLOOKUP(E107,Groups!A:A,Groups!BF:BF)=0,2,1)*IF(_xlfn.XLOOKUP('Base stats'!E107,Groups!A:A,Groups!O:O)=0,1,0.1),1),0)</f>
        <v>4.5</v>
      </c>
      <c r="AW107" s="8">
        <f t="shared" si="53"/>
        <v>0</v>
      </c>
      <c r="AX107" s="8">
        <f t="shared" si="54"/>
        <v>0</v>
      </c>
      <c r="AY107" s="8">
        <f t="shared" si="55"/>
        <v>2</v>
      </c>
      <c r="AZ107" s="8">
        <f>IF(_xlfn.XLOOKUP(E107,Groups!A:A,Groups!N:N)="Insect",BB107*2.5,IFERROR(AVERAGE(BB107,AR107/9.81/IF(OR(_xlfn.XLOOKUP(E107,Groups!A:A,Groups!N:N)="Pig",_xlfn.XLOOKUP(E107,Groups!A:A,Groups!N:N)="StrongBitingHerbivore"),20,25))*C107^-0.135,BB107))</f>
        <v>0.93016054081951027</v>
      </c>
      <c r="BA107" s="8" t="str">
        <f>IF(W107="No","No",IF(_xlfn.XLOOKUP(E107,Groups!A:A,Groups!U:U)=1,'Base stats'!AZ107,IF(OR(_xlfn.XLOOKUP(E107,Groups!A:A,Groups!BD:BD)=1,_xlfn.XLOOKUP(E107,Groups!A:A,Groups!U:U)=2),BB107,IF(_xlfn.XLOOKUP(B107,Animals!B:B,Animals!AO:AO)&gt;4,AVERAGE(BB107,BD107),BD107))))</f>
        <v>No</v>
      </c>
      <c r="BB107" s="8">
        <f t="shared" si="56"/>
        <v>0.37206421632780412</v>
      </c>
      <c r="BC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0.69054280580117122</v>
      </c>
      <c r="BD107" s="8">
        <f>(0.048*C107^1.01)/IF(_xlfn.XLOOKUP(E107,Groups!A:A,Groups!M:M)=1,0.25,0.8)*C107^-0.25</f>
        <v>1.503594005422539</v>
      </c>
      <c r="BE107" s="8">
        <f>EXP(1.076*LN(AP107)-4.5397)*IF(_xlfn.XLOOKUP(E107,Groups!A:A,Groups!BC:BC)=1,1.25,IF(_xlfn.XLOOKUP(E107,Groups!A:A,Groups!BD:BD)=1,3.5,2.5))</f>
        <v>11.524541402552655</v>
      </c>
      <c r="BF107" s="8">
        <f>EXP(1.076*LN(AQ107)-4.5397)*IF(_xlfn.XLOOKUP(E107,Groups!A:A,Groups!M:M)=1,0.8,IF(_xlfn.XLOOKUP(E107,Groups!A:A,Groups!BC:BC)=1,1.3,3))</f>
        <v>87.805569597772788</v>
      </c>
      <c r="BG107" s="8" t="str">
        <f>IF(W107="No","No",IF(_xlfn.XLOOKUP(E107,Groups!A:A,Groups!U:U)=1,'Base stats'!BH107,IF(OR(_xlfn.XLOOKUP(E107,Groups!A:A,Groups!BD:BD)=1,_xlfn.XLOOKUP(E107,Groups!A:A,Groups!U:U)=2),BE107,BF107))*1.2)</f>
        <v>No</v>
      </c>
      <c r="BH107" s="8">
        <f>IFERROR(EXP(1.076*LN(AR107)-4.5397)*IF(_xlfn.XLOOKUP(E107,Groups!A:A,Groups!N:N)="Insect",1,IF(OR(_xlfn.XLOOKUP(E107,Groups!A:A,Groups!N:N)="Pig",_xlfn.XLOOKUP(E107,Groups!A:A,Groups!N:N)="StrongBitingHerbivore"),3.5,3.75)),"No")</f>
        <v>109.75696199721598</v>
      </c>
      <c r="BI107" s="8">
        <f t="shared" si="44"/>
        <v>7</v>
      </c>
      <c r="BJ107" s="8">
        <f t="shared" si="45"/>
        <v>15</v>
      </c>
      <c r="BK107" s="8" t="str">
        <f t="shared" si="57"/>
        <v>No</v>
      </c>
      <c r="BL107" s="8">
        <f t="shared" si="58"/>
        <v>15</v>
      </c>
      <c r="BM107" s="8">
        <f t="shared" si="46"/>
        <v>10</v>
      </c>
      <c r="BN107" s="8" t="str" cm="1">
        <f t="array" ref="BN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O107" s="8" t="str">
        <f>IF(W107="No","No",IF(_xlfn.XLOOKUP(E107,Groups!A:A,Groups!BD:BD)=1,(AM107*5%),EXP(0.7354*LN(C107)^0.4078)*2/IF(_xlfn.XLOOKUP(E107,Groups!A:A,Groups!BL:BL)=1,1000,100)))</f>
        <v>No</v>
      </c>
      <c r="BP107" s="8">
        <f>IF(BH107="No","No",IF(_xlfn.XLOOKUP(E107,Groups!A:A,Groups!BF:BF)=1,(0.0315*C107+2.1825)*2,(0.7354*C107^0.4078)*2)/IF(_xlfn.XLOOKUP(E107,Groups!A:A,Groups!BM:BM)=1,1000,100))</f>
        <v>4.4377582152222601E-2</v>
      </c>
      <c r="BQ107" s="8">
        <f t="shared" si="59"/>
        <v>3.5716702055374784E-2</v>
      </c>
      <c r="BR107" s="8" t="str">
        <f t="shared" si="47"/>
        <v>No</v>
      </c>
      <c r="BS107" s="8" t="str">
        <f t="shared" si="60"/>
        <v>No</v>
      </c>
      <c r="BT107" s="8">
        <f t="shared" si="48"/>
        <v>2473.2524097579508</v>
      </c>
      <c r="BU107" s="4">
        <v>0</v>
      </c>
      <c r="BV107" s="4">
        <v>1</v>
      </c>
    </row>
    <row r="108" spans="1:74" x14ac:dyDescent="0.25">
      <c r="A108" s="26" t="s">
        <v>297</v>
      </c>
      <c r="B108" s="6" t="s">
        <v>437</v>
      </c>
      <c r="C108" s="7">
        <v>30</v>
      </c>
      <c r="D108" s="7" t="s">
        <v>538</v>
      </c>
      <c r="E108" s="7" t="str">
        <f>Groups!A2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538</v>
      </c>
      <c r="L108" s="7">
        <v>30</v>
      </c>
      <c r="M108" s="7" t="s">
        <v>538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9</v>
      </c>
      <c r="W108" s="7" t="s">
        <v>45</v>
      </c>
      <c r="X108" s="7" t="s">
        <v>945</v>
      </c>
      <c r="Y108" s="4" t="s">
        <v>53</v>
      </c>
      <c r="Z108" s="4">
        <v>0</v>
      </c>
      <c r="AA108" s="4">
        <v>0</v>
      </c>
      <c r="AB108" s="4">
        <v>0</v>
      </c>
      <c r="AC108" s="4" t="s">
        <v>1085</v>
      </c>
      <c r="AD108" s="4" t="s">
        <v>45</v>
      </c>
      <c r="AE108" s="28" t="s">
        <v>45</v>
      </c>
      <c r="AF108" s="4" t="str">
        <f>Animals!C105</f>
        <v>&lt;li&gt;Megaspider&lt;/li&gt;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4" t="s">
        <v>40</v>
      </c>
      <c r="AM108" s="8">
        <f t="shared" si="51"/>
        <v>10126.323428156336</v>
      </c>
      <c r="AN108" s="8">
        <f>IFERROR(C108*_xlfn.XLOOKUP(E108,Groups!A:A,Groups!K:K),0.106*C108^0.94)</f>
        <v>9.6</v>
      </c>
      <c r="AO108" s="8">
        <f>AN108*10000/(_xlfn.XLOOKUP(E108,Groups!A:A,Groups!J:J)*AM108)</f>
        <v>7.9002019407714403</v>
      </c>
      <c r="AP108" s="8">
        <f t="shared" si="52"/>
        <v>961.97785272953513</v>
      </c>
      <c r="AQ108" s="8">
        <f>IF(_xlfn.XLOOKUP(E108,Groups!A:A,Groups!M:M)=1,EXP(0.7444*LN('Base stats'!C108)+6.5696),EXP(0.7927*LN('Base stats'!C108)+4.28))</f>
        <v>8968.2992326908861</v>
      </c>
      <c r="AR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"No")))))))))))))))</f>
        <v>8968.2992326908861</v>
      </c>
      <c r="AS108" s="8">
        <f>IF(_xlfn.XLOOKUP(E108,Groups!A:A,Groups!U:U)=3,AQ108,IF(_xlfn.XLOOKUP(E108,Groups!A:A,Groups!U:U)=2,AP108,AR108))</f>
        <v>8968.2992326908861</v>
      </c>
      <c r="AT108" s="46">
        <f>IFERROR(AVERAGE(_xlfn.XLOOKUP(B108,Animals!B:B,Animals!N:N),_xlfn.XLOOKUP(B108,Animals!B:B,Animals!O:O)),0)</f>
        <v>0.27500000000000002</v>
      </c>
      <c r="AU108" s="8">
        <f>MROUND(40*Animals!AO108*_xlfn.XLOOKUP(Animals!BB108,Leathers!$A$2:$A$100,Leathers!$B$2:$B$100,0)+(140*_xlfn.XLOOKUP(B108,Animals!B:B,Animals!AO:AO)*2),5)</f>
        <v>195</v>
      </c>
      <c r="AV108" s="8">
        <f>IFERROR(ROUND(SQRT(V108-1)*IF(_xlfn.XLOOKUP(E108,Groups!A:A,Groups!BF:BF)=0,2,1)*IF(_xlfn.XLOOKUP('Base stats'!E108,Groups!A:A,Groups!O:O)=0,1,0.1),1),0)</f>
        <v>5.7</v>
      </c>
      <c r="AW108" s="8">
        <f t="shared" si="53"/>
        <v>0</v>
      </c>
      <c r="AX108" s="8">
        <f t="shared" si="54"/>
        <v>0</v>
      </c>
      <c r="AY108" s="8">
        <f t="shared" si="55"/>
        <v>2.7</v>
      </c>
      <c r="AZ108" s="8">
        <f>IF(_xlfn.XLOOKUP(E108,Groups!A:A,Groups!N:N)="Insect",BB108*2.5,IFERROR(AVERAGE(BB108,AR108/9.81/IF(OR(_xlfn.XLOOKUP(E108,Groups!A:A,Groups!N:N)="Pig",_xlfn.XLOOKUP(E108,Groups!A:A,Groups!N:N)="StrongBitingHerbivore"),20,25))*C108^-0.135,BB108))</f>
        <v>1.6546793169319762</v>
      </c>
      <c r="BA108" s="8" t="str">
        <f>IF(W108="No","No",IF(_xlfn.XLOOKUP(E108,Groups!A:A,Groups!U:U)=1,'Base stats'!AZ108,IF(OR(_xlfn.XLOOKUP(E108,Groups!A:A,Groups!BD:BD)=1,_xlfn.XLOOKUP(E108,Groups!A:A,Groups!U:U)=2),BB108,IF(_xlfn.XLOOKUP(B108,Animals!B:B,Animals!AO:AO)&gt;4,AVERAGE(BB108,BD108),BD108))))</f>
        <v>No</v>
      </c>
      <c r="BB108" s="8">
        <f t="shared" si="56"/>
        <v>0.66187172677279049</v>
      </c>
      <c r="BC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1.1857523708832671</v>
      </c>
      <c r="BD108" s="8">
        <f>(0.048*C108^1.01)/IF(_xlfn.XLOOKUP(E108,Groups!A:A,Groups!M:M)=1,0.25,0.8)*C108^-0.25</f>
        <v>2.5463223515758622</v>
      </c>
      <c r="BE108" s="8">
        <f>EXP(1.076*LN(AP108)-4.5397)*IF(_xlfn.XLOOKUP(E108,Groups!A:A,Groups!BC:BC)=1,1.25,IF(_xlfn.XLOOKUP(E108,Groups!A:A,Groups!BD:BD)=1,3.5,2.5))</f>
        <v>21.638590723059181</v>
      </c>
      <c r="BF108" s="8">
        <f>EXP(1.076*LN(AQ108)-4.5397)*IF(_xlfn.XLOOKUP(E108,Groups!A:A,Groups!M:M)=1,0.8,IF(_xlfn.XLOOKUP(E108,Groups!A:A,Groups!BC:BC)=1,1.3,3))</f>
        <v>152.98166547945354</v>
      </c>
      <c r="BG108" s="8" t="str">
        <f>IF(W108="No","No",IF(_xlfn.XLOOKUP(E108,Groups!A:A,Groups!U:U)=1,'Base stats'!BH108,IF(OR(_xlfn.XLOOKUP(E108,Groups!A:A,Groups!BD:BD)=1,_xlfn.XLOOKUP(E108,Groups!A:A,Groups!U:U)=2),BE108,BF108))*1.2)</f>
        <v>No</v>
      </c>
      <c r="BH108" s="8">
        <f>IFERROR(EXP(1.076*LN(AR108)-4.5397)*IF(_xlfn.XLOOKUP(E108,Groups!A:A,Groups!N:N)="Insect",1,IF(OR(_xlfn.XLOOKUP(E108,Groups!A:A,Groups!N:N)="Pig",_xlfn.XLOOKUP(E108,Groups!A:A,Groups!N:N)="StrongBitingHerbivore"),3.5,3.75)),"No")</f>
        <v>191.22708184931693</v>
      </c>
      <c r="BI108" s="8">
        <f t="shared" si="44"/>
        <v>8</v>
      </c>
      <c r="BJ108" s="8">
        <f t="shared" si="45"/>
        <v>16</v>
      </c>
      <c r="BK108" s="8" t="str">
        <f t="shared" si="57"/>
        <v>No</v>
      </c>
      <c r="BL108" s="8">
        <f t="shared" si="58"/>
        <v>15</v>
      </c>
      <c r="BM108" s="8">
        <f t="shared" si="46"/>
        <v>10</v>
      </c>
      <c r="BN108" s="8" t="str" cm="1">
        <f t="array" ref="BN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O108" s="8" t="str">
        <f>IF(W108="No","No",IF(_xlfn.XLOOKUP(E108,Groups!A:A,Groups!BD:BD)=1,(AM108*5%),EXP(0.7354*LN(C108)^0.4078)*2/IF(_xlfn.XLOOKUP(E108,Groups!A:A,Groups!BL:BL)=1,1000,100)))</f>
        <v>No</v>
      </c>
      <c r="BP108" s="8">
        <f>IF(BH108="No","No",IF(_xlfn.XLOOKUP(E108,Groups!A:A,Groups!BF:BF)=1,(0.0315*C108+2.1825)*2,(0.7354*C108^0.4078)*2)/IF(_xlfn.XLOOKUP(E108,Groups!A:A,Groups!BM:BM)=1,1000,100))</f>
        <v>5.8874016992600434E-2</v>
      </c>
      <c r="BQ108" s="8">
        <f t="shared" si="59"/>
        <v>4.2737309106467759E-2</v>
      </c>
      <c r="BR108" s="8" t="str">
        <f t="shared" si="47"/>
        <v>No</v>
      </c>
      <c r="BS108" s="8" t="str">
        <f t="shared" si="60"/>
        <v>No</v>
      </c>
      <c r="BT108" s="8">
        <f t="shared" si="48"/>
        <v>3248.0726068573044</v>
      </c>
      <c r="BU108" s="4">
        <v>0</v>
      </c>
      <c r="BV108" s="4">
        <v>1</v>
      </c>
    </row>
    <row r="109" spans="1:74" x14ac:dyDescent="0.25">
      <c r="A109" s="26" t="s">
        <v>64</v>
      </c>
      <c r="B109" s="6" t="s">
        <v>926</v>
      </c>
      <c r="C109" s="7">
        <v>13.25</v>
      </c>
      <c r="D109" s="7" t="s">
        <v>593</v>
      </c>
      <c r="E109" s="7" t="s">
        <v>55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593</v>
      </c>
      <c r="L109" s="7">
        <v>65</v>
      </c>
      <c r="M109" s="7" t="s">
        <v>638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IF(AR109="No","No",IF(_xlfn.XLOOKUP(E109,Groups!A:A,Groups!AM:AM)=1,MROUND(EXP(0.3582*LN(C109)-0.2221)*T109,0.05),IF(_xlfn.XLOOKUP(E109,Groups!A:A,Groups!AM:AM)=2,MROUND(EXP(0.3582*LN(C109)-0.2221)*T109,0.05),"Need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945</v>
      </c>
      <c r="Y109" s="4" t="s">
        <v>56</v>
      </c>
      <c r="Z109" s="4">
        <v>0</v>
      </c>
      <c r="AA109" s="4">
        <v>0</v>
      </c>
      <c r="AB109" s="4">
        <v>0</v>
      </c>
      <c r="AC109" s="4" t="s">
        <v>45</v>
      </c>
      <c r="AD109" s="4" t="s">
        <v>320</v>
      </c>
      <c r="AE109" s="28" t="s">
        <v>405</v>
      </c>
      <c r="AF109" s="4" t="str">
        <f>Animals!C56</f>
        <v>&lt;li&gt;Wolf_Timber&lt;/li&gt;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4" t="s">
        <v>40</v>
      </c>
      <c r="AM109" s="8">
        <f t="shared" si="51"/>
        <v>5953.3758261455168</v>
      </c>
      <c r="AN109" s="8">
        <f>IFERROR(C109*_xlfn.XLOOKUP(E109,Groups!A:A,Groups!K:K),0.106*C109^0.94)</f>
        <v>1.6529374999999999</v>
      </c>
      <c r="AO109" s="8">
        <f>AN109*10000/(_xlfn.XLOOKUP(E109,Groups!A:A,Groups!J:J)*AM109)</f>
        <v>2.5472210495405099</v>
      </c>
      <c r="AP109" s="8">
        <f t="shared" si="52"/>
        <v>482.36579284271642</v>
      </c>
      <c r="AQ109" s="8">
        <f>IF(_xlfn.XLOOKUP(E109,Groups!A:A,Groups!M:M)=1,EXP(0.7444*LN('Base stats'!C109)+6.5696),EXP(0.7927*LN('Base stats'!C109)+4.28))</f>
        <v>560.22296698291473</v>
      </c>
      <c r="AR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"No")))))))))))))))</f>
        <v>814.17434778069526</v>
      </c>
      <c r="AS109" s="8">
        <f>IF(_xlfn.XLOOKUP(E109,Groups!A:A,Groups!U:U)=3,AQ109,IF(_xlfn.XLOOKUP(E109,Groups!A:A,Groups!U:U)=2,AP109,AR109))</f>
        <v>814.17434778069526</v>
      </c>
      <c r="AT109" s="46">
        <f>IFERROR(AVERAGE(_xlfn.XLOOKUP(B109,Animals!B:B,Animals!N:N),_xlfn.XLOOKUP(B109,Animals!B:B,Animals!O:O)),0)</f>
        <v>0</v>
      </c>
      <c r="AU109" s="8">
        <f>MROUND(40*Animals!AO109*_xlfn.XLOOKUP(Animals!BB109,Leathers!$A$2:$A$100,Leathers!$B$2:$B$100,0)+(140*_xlfn.XLOOKUP(B109,Animals!B:B,Animals!AO:AO)*2),5)</f>
        <v>200</v>
      </c>
      <c r="AV109" s="8">
        <f>IFERROR(ROUND(SQRT(V109-1)*IF(_xlfn.XLOOKUP(E109,Groups!A:A,Groups!BF:BF)=0,2,1)*IF(_xlfn.XLOOKUP('Base stats'!E109,Groups!A:A,Groups!O:O)=0,1,0.1),1),0)</f>
        <v>2.2999999999999998</v>
      </c>
      <c r="AW109" s="8">
        <f t="shared" si="53"/>
        <v>0</v>
      </c>
      <c r="AX109" s="8">
        <f t="shared" si="54"/>
        <v>0</v>
      </c>
      <c r="AY109" s="8">
        <f t="shared" si="55"/>
        <v>1.9</v>
      </c>
      <c r="AZ109" s="8">
        <f>IF(_xlfn.XLOOKUP(E109,Groups!A:A,Groups!N:N)="Insect",BB109*2.5,IFERROR(AVERAGE(BB109,AR109/9.81/IF(OR(_xlfn.XLOOKUP(E109,Groups!A:A,Groups!N:N)="Pig",_xlfn.XLOOKUP(E109,Groups!A:A,Groups!N:N)="StrongBitingHerbivore"),20,25))*C109^-0.135,BB109))</f>
        <v>1.2894512039154595</v>
      </c>
      <c r="BA109" s="8" t="str">
        <f>IF(W109="No","No",IF(_xlfn.XLOOKUP(E109,Groups!A:A,Groups!U:U)=1,'Base stats'!AZ109,IF(OR(_xlfn.XLOOKUP(E109,Groups!A:A,Groups!BD:BD)=1,_xlfn.XLOOKUP(E109,Groups!A:A,Groups!U:U)=2),BB109,IF(_xlfn.XLOOKUP(B109,Animals!B:B,Animals!AO:AO)&gt;4,AVERAGE(BB109,BD109),BD109))))</f>
        <v>No</v>
      </c>
      <c r="BB109" s="8">
        <f t="shared" si="56"/>
        <v>0.33561971314389133</v>
      </c>
      <c r="BC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D109" s="8">
        <f>(0.048*C109^1.01)/IF(_xlfn.XLOOKUP(E109,Groups!A:A,Groups!M:M)=1,0.25,0.8)*C109^-0.25</f>
        <v>0.42759765800687999</v>
      </c>
      <c r="BE109" s="8">
        <f>EXP(1.076*LN(AP109)-4.5397)*IF(_xlfn.XLOOKUP(E109,Groups!A:A,Groups!BC:BC)=1,1.25,IF(_xlfn.XLOOKUP(E109,Groups!A:A,Groups!BD:BD)=1,3.5,2.5))</f>
        <v>20.591427987572672</v>
      </c>
      <c r="BF109" s="8">
        <f>EXP(1.076*LN(AQ109)-4.5397)*IF(_xlfn.XLOOKUP(E109,Groups!A:A,Groups!M:M)=1,0.8,IF(_xlfn.XLOOKUP(E109,Groups!A:A,Groups!BC:BC)=1,1.3,3))</f>
        <v>29.026250140724073</v>
      </c>
      <c r="BG109" s="8" t="str">
        <f>IF(W109="No","No",IF(_xlfn.XLOOKUP(E109,Groups!A:A,Groups!U:U)=1,'Base stats'!BH109,IF(OR(_xlfn.XLOOKUP(E109,Groups!A:A,Groups!BD:BD)=1,_xlfn.XLOOKUP(E109,Groups!A:A,Groups!U:U)=2),BE109,BF109))*1.2)</f>
        <v>No</v>
      </c>
      <c r="BH109" s="8">
        <f>IFERROR(EXP(1.076*LN(AR109)-4.5397)*IF(_xlfn.XLOOKUP(E109,Groups!A:A,Groups!N:N)="Insect",1,IF(OR(_xlfn.XLOOKUP(E109,Groups!A:A,Groups!N:N)="Pig",_xlfn.XLOOKUP(E109,Groups!A:A,Groups!N:N)="StrongBitingHerbivore"),3.5,3.75)),"No")</f>
        <v>54.249600793987327</v>
      </c>
      <c r="BI109" s="8">
        <f t="shared" si="44"/>
        <v>11</v>
      </c>
      <c r="BJ109" s="8">
        <f t="shared" si="45"/>
        <v>10</v>
      </c>
      <c r="BK109" s="8" t="str">
        <f t="shared" si="57"/>
        <v>No</v>
      </c>
      <c r="BL109" s="8">
        <f t="shared" si="58"/>
        <v>9</v>
      </c>
      <c r="BM109" s="8">
        <f t="shared" si="46"/>
        <v>11</v>
      </c>
      <c r="BN109" s="8" t="str" cm="1">
        <f t="array" ref="BN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O109" s="8" t="str">
        <f>IF(W109="No","No",IF(_xlfn.XLOOKUP(E109,Groups!A:A,Groups!BD:BD)=1,(AM109*5%),EXP(0.7354*LN(C109)^0.4078)*2/IF(_xlfn.XLOOKUP(E109,Groups!A:A,Groups!BL:BL)=1,1000,100)))</f>
        <v>No</v>
      </c>
      <c r="BP109" s="8">
        <f>IF(BH109="No","No",IF(_xlfn.XLOOKUP(E109,Groups!A:A,Groups!BF:BF)=1,(0.0315*C109+2.1825)*2,(0.7354*C109^0.4078)*2)/IF(_xlfn.XLOOKUP(E109,Groups!A:A,Groups!BM:BM)=1,1000,100))</f>
        <v>4.2188419557802559E-2</v>
      </c>
      <c r="BQ109" s="8">
        <f t="shared" si="59"/>
        <v>6.9175636105958685E-2</v>
      </c>
      <c r="BR109" s="8" t="str">
        <f t="shared" si="47"/>
        <v>No</v>
      </c>
      <c r="BS109" s="8" t="str">
        <f t="shared" si="60"/>
        <v>No</v>
      </c>
      <c r="BT109" s="8">
        <f t="shared" si="48"/>
        <v>1285.8884348502243</v>
      </c>
      <c r="BU109" s="4">
        <v>0</v>
      </c>
      <c r="BV109" s="4">
        <v>1</v>
      </c>
    </row>
    <row r="110" spans="1:74" x14ac:dyDescent="0.25">
      <c r="A110" s="26" t="s">
        <v>140</v>
      </c>
      <c r="B110" s="6" t="s">
        <v>141</v>
      </c>
      <c r="C110" s="7">
        <f>AVERAGE(828,1192)</f>
        <v>1010</v>
      </c>
      <c r="D110" s="7" t="s">
        <v>1311</v>
      </c>
      <c r="E110" s="7" t="s">
        <v>140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594</v>
      </c>
      <c r="L110" s="7">
        <v>60</v>
      </c>
      <c r="M110" s="7" t="s">
        <v>638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IF(AR110="No","No",IF(_xlfn.XLOOKUP(E110,Groups!A:A,Groups!AM:AM)=1,MROUND(EXP(0.3582*LN(C110)-0.2221)*T110,0.05),IF(_xlfn.XLOOKUP(E110,Groups!A:A,Groups!AM:AM)=2,MROUND(EXP(0.3582*LN(C110)-0.2221)*T110,0.05),"Need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945</v>
      </c>
      <c r="Y110" s="4" t="s">
        <v>42</v>
      </c>
      <c r="Z110" s="4">
        <v>0</v>
      </c>
      <c r="AA110" s="4">
        <v>0</v>
      </c>
      <c r="AB110" s="4">
        <v>0</v>
      </c>
      <c r="AC110" s="4" t="s">
        <v>45</v>
      </c>
      <c r="AD110" s="4" t="s">
        <v>407</v>
      </c>
      <c r="AE110" s="28" t="s">
        <v>401</v>
      </c>
      <c r="AF110" s="4" t="s">
        <v>45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4" t="s">
        <v>40</v>
      </c>
      <c r="AM110" s="8">
        <f t="shared" si="51"/>
        <v>99570.771403361592</v>
      </c>
      <c r="AN110" s="8">
        <f>IFERROR(C110*_xlfn.XLOOKUP(E110,Groups!A:A,Groups!K:K),0.106*C110^0.94)</f>
        <v>70.691623640156394</v>
      </c>
      <c r="AO110" s="8">
        <f>AN110*10000/(_xlfn.XLOOKUP(E110,Groups!A:A,Groups!J:J)*AM110)</f>
        <v>6.5134275524061964</v>
      </c>
      <c r="AP110" s="8">
        <f t="shared" si="52"/>
        <v>18758.193612802883</v>
      </c>
      <c r="AQ110" s="8">
        <f>IF(_xlfn.XLOOKUP(E110,Groups!A:A,Groups!M:M)=1,EXP(0.7444*LN('Base stats'!C110)+6.5696),EXP(0.7927*LN('Base stats'!C110)+4.28))</f>
        <v>17390.254410050497</v>
      </c>
      <c r="AR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"No")))))))))))))))</f>
        <v>No</v>
      </c>
      <c r="AS110" s="8" t="str">
        <f>IF(_xlfn.XLOOKUP(E110,Groups!A:A,Groups!U:U)=3,AQ110,IF(_xlfn.XLOOKUP(E110,Groups!A:A,Groups!U:U)=2,AP110,AR110))</f>
        <v>No</v>
      </c>
      <c r="AT110" s="46">
        <f>IFERROR(AVERAGE(_xlfn.XLOOKUP(B110,Animals!B:B,Animals!N:N),_xlfn.XLOOKUP(B110,Animals!B:B,Animals!O:O)),0)</f>
        <v>0</v>
      </c>
      <c r="AU110" s="8">
        <f>MROUND(40*Animals!AO110*_xlfn.XLOOKUP(Animals!BB110,Leathers!$A$2:$A$100,Leathers!$B$2:$B$100,0)+(140*_xlfn.XLOOKUP(B110,Animals!B:B,Animals!AO:AO)*2),5)</f>
        <v>1275</v>
      </c>
      <c r="AV110" s="8">
        <f>IFERROR(ROUND(SQRT(V110-1)*IF(_xlfn.XLOOKUP(E110,Groups!A:A,Groups!BF:BF)=0,2,1)*IF(_xlfn.XLOOKUP('Base stats'!E110,Groups!A:A,Groups!O:O)=0,1,0.1),1),0)</f>
        <v>0</v>
      </c>
      <c r="AW110" s="8">
        <f t="shared" si="53"/>
        <v>0</v>
      </c>
      <c r="AX110" s="8">
        <f t="shared" si="54"/>
        <v>0</v>
      </c>
      <c r="AY110" s="8">
        <f t="shared" si="55"/>
        <v>9.5</v>
      </c>
      <c r="AZ110" s="8">
        <f>IF(_xlfn.XLOOKUP(E110,Groups!A:A,Groups!N:N)="Insect",BB110*2.5,IFERROR(AVERAGE(BB110,AR110/9.81/IF(OR(_xlfn.XLOOKUP(E110,Groups!A:A,Groups!N:N)="Pig",_xlfn.XLOOKUP(E110,Groups!A:A,Groups!N:N)="StrongBitingHerbivore"),20,25))*C110^-0.135,BB110))</f>
        <v>7.2201194539052933</v>
      </c>
      <c r="BA110" s="8" t="str">
        <f>IF(W110="No","No",IF(_xlfn.XLOOKUP(E110,Groups!A:A,Groups!U:U)=1,'Base stats'!AZ110,IF(OR(_xlfn.XLOOKUP(E110,Groups!A:A,Groups!BD:BD)=1,_xlfn.XLOOKUP(E110,Groups!A:A,Groups!U:U)=2),BB110,IF(_xlfn.XLOOKUP(B110,Animals!B:B,Animals!AO:AO)&gt;4,AVERAGE(BB110,BD110),BD110))))</f>
        <v>No</v>
      </c>
      <c r="BB110" s="8">
        <f t="shared" si="56"/>
        <v>7.2201194539052933</v>
      </c>
      <c r="BC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D110" s="8">
        <f>(0.048*C110^1.01)/IF(_xlfn.XLOOKUP(E110,Groups!A:A,Groups!M:M)=1,0.25,0.8)*C110^-0.25</f>
        <v>11.519549478279703</v>
      </c>
      <c r="BE110" s="8">
        <f>EXP(1.076*LN(AP110)-4.5397)*IF(_xlfn.XLOOKUP(E110,Groups!A:A,Groups!BC:BC)=1,1.25,IF(_xlfn.XLOOKUP(E110,Groups!A:A,Groups!BD:BD)=1,3.5,2.5))</f>
        <v>1057.6132433293185</v>
      </c>
      <c r="BF110" s="8">
        <f>EXP(1.076*LN(AQ110)-4.5397)*IF(_xlfn.XLOOKUP(E110,Groups!A:A,Groups!M:M)=1,0.8,IF(_xlfn.XLOOKUP(E110,Groups!A:A,Groups!BC:BC)=1,1.3,3))</f>
        <v>1169.832767236893</v>
      </c>
      <c r="BG110" s="8" t="str">
        <f>IF(W110="No","No",IF(_xlfn.XLOOKUP(E110,Groups!A:A,Groups!U:U)=1,'Base stats'!BH110,IF(OR(_xlfn.XLOOKUP(E110,Groups!A:A,Groups!BD:BD)=1,_xlfn.XLOOKUP(E110,Groups!A:A,Groups!U:U)=2),BE110,BF110))*1.2)</f>
        <v>No</v>
      </c>
      <c r="BH110" s="8" t="str">
        <f>IFERROR(EXP(1.076*LN(AR110)-4.5397)*IF(_xlfn.XLOOKUP(E110,Groups!A:A,Groups!N:N)="Insect",1,IF(OR(_xlfn.XLOOKUP(E110,Groups!A:A,Groups!N:N)="Pig",_xlfn.XLOOKUP(E110,Groups!A:A,Groups!N:N)="StrongBitingHerbivore"),3.5,3.75)),"No")</f>
        <v>No</v>
      </c>
      <c r="BI110" s="8">
        <f t="shared" si="44"/>
        <v>17</v>
      </c>
      <c r="BJ110" s="8">
        <f t="shared" si="45"/>
        <v>12</v>
      </c>
      <c r="BK110" s="8" t="str">
        <f t="shared" si="57"/>
        <v>No</v>
      </c>
      <c r="BL110" s="8" t="str">
        <f t="shared" si="58"/>
        <v>No</v>
      </c>
      <c r="BM110" s="8">
        <f t="shared" si="46"/>
        <v>14</v>
      </c>
      <c r="BN110" s="8" cm="1">
        <f t="array" ref="BN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O110" s="8" t="str">
        <f>IF(W110="No","No",IF(_xlfn.XLOOKUP(E110,Groups!A:A,Groups!BD:BD)=1,(AM110*5%),EXP(0.7354*LN(C110)^0.4078)*2/IF(_xlfn.XLOOKUP(E110,Groups!A:A,Groups!BL:BL)=1,1000,100)))</f>
        <v>No</v>
      </c>
      <c r="BP110" s="8" t="str">
        <f>IF(BH110="No","No",IF(_xlfn.XLOOKUP(E110,Groups!A:A,Groups!BF:BF)=1,(0.0315*C110+2.1825)*2,(0.7354*C110^0.4078)*2)/IF(_xlfn.XLOOKUP(E110,Groups!A:A,Groups!BM:BM)=1,1000,100))</f>
        <v>No</v>
      </c>
      <c r="BQ110" s="8">
        <f t="shared" si="59"/>
        <v>0.21243447819539793</v>
      </c>
      <c r="BR110" s="8">
        <f t="shared" si="47"/>
        <v>6.9337091832526889</v>
      </c>
      <c r="BS110" s="8" t="str">
        <f t="shared" si="60"/>
        <v>No</v>
      </c>
      <c r="BT110" s="8" t="str">
        <f t="shared" si="48"/>
        <v>No</v>
      </c>
      <c r="BU110" s="4">
        <v>0.25</v>
      </c>
      <c r="BV110" s="4">
        <v>1</v>
      </c>
    </row>
    <row r="111" spans="1:74" x14ac:dyDescent="0.25">
      <c r="A111" s="26" t="s">
        <v>94</v>
      </c>
      <c r="B111" s="6" t="s">
        <v>95</v>
      </c>
      <c r="C111" s="7">
        <f>AVERAGE(313,302)</f>
        <v>307.5</v>
      </c>
      <c r="D111" s="7" t="s">
        <v>1311</v>
      </c>
      <c r="E111" s="7" t="str">
        <f>Groups!A25</f>
        <v>Horselike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607</v>
      </c>
      <c r="L111" s="7">
        <v>70</v>
      </c>
      <c r="M111" s="7" t="s">
        <v>638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945</v>
      </c>
      <c r="Y111" s="4" t="s">
        <v>42</v>
      </c>
      <c r="Z111" s="4">
        <v>0</v>
      </c>
      <c r="AA111" s="4">
        <v>0</v>
      </c>
      <c r="AB111" s="4">
        <v>0</v>
      </c>
      <c r="AC111" s="4" t="s">
        <v>45</v>
      </c>
      <c r="AD111" s="4" t="s">
        <v>410</v>
      </c>
      <c r="AE111" s="28" t="s">
        <v>401</v>
      </c>
      <c r="AF111" s="4" t="str">
        <f>Animals!C21</f>
        <v>&lt;li&gt;Horse&lt;/li&gt;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4" t="s">
        <v>40</v>
      </c>
      <c r="AM111" s="8">
        <f t="shared" si="51"/>
        <v>45964.475299594313</v>
      </c>
      <c r="AN111" s="8">
        <f>IFERROR(C111*_xlfn.XLOOKUP(E111,Groups!A:A,Groups!K:K),0.106*C111^0.94)</f>
        <v>23.114275118066921</v>
      </c>
      <c r="AO111" s="8">
        <f>AN111*10000/(_xlfn.XLOOKUP(E111,Groups!A:A,Groups!J:J)*AM111)</f>
        <v>4.6135100750816971</v>
      </c>
      <c r="AP111" s="8">
        <f t="shared" si="52"/>
        <v>6869.4746092289315</v>
      </c>
      <c r="AQ111" s="8">
        <f>IF(_xlfn.XLOOKUP(E111,Groups!A:A,Groups!M:M)=1,EXP(0.7444*LN('Base stats'!C111)+6.5696),EXP(0.7927*LN('Base stats'!C111)+4.28))</f>
        <v>6774.7801948725964</v>
      </c>
      <c r="AR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"No")))))))))))))))</f>
        <v>3968.6993291858662</v>
      </c>
      <c r="AS111" s="8">
        <f>IF(_xlfn.XLOOKUP(E111,Groups!A:A,Groups!U:U)=3,AQ111,IF(_xlfn.XLOOKUP(E111,Groups!A:A,Groups!U:U)=2,AP111,AR111))</f>
        <v>3968.6993291858662</v>
      </c>
      <c r="AT111" s="46">
        <f>IFERROR(AVERAGE(_xlfn.XLOOKUP(B111,Animals!B:B,Animals!N:N),_xlfn.XLOOKUP(B111,Animals!B:B,Animals!O:O)),0)</f>
        <v>0</v>
      </c>
      <c r="AU111" s="8">
        <f>MROUND(40*Animals!AO111*_xlfn.XLOOKUP(Animals!BB111,Leathers!$A$2:$A$100,Leathers!$B$2:$B$100,0)+(140*_xlfn.XLOOKUP(B111,Animals!B:B,Animals!AO:AO)*2),5)</f>
        <v>820</v>
      </c>
      <c r="AV111" s="8">
        <f>IFERROR(ROUND(SQRT(V111-1)*IF(_xlfn.XLOOKUP(E111,Groups!A:A,Groups!BF:BF)=0,2,1)*IF(_xlfn.XLOOKUP('Base stats'!E111,Groups!A:A,Groups!O:O)=0,1,0.1),1),0)</f>
        <v>0.7</v>
      </c>
      <c r="AW111" s="8">
        <f t="shared" si="53"/>
        <v>0</v>
      </c>
      <c r="AX111" s="8">
        <f t="shared" si="54"/>
        <v>0</v>
      </c>
      <c r="AY111" s="8">
        <f t="shared" si="55"/>
        <v>6.2</v>
      </c>
      <c r="AZ111" s="8">
        <f>IF(_xlfn.XLOOKUP(E111,Groups!A:A,Groups!N:N)="Insect",BB111*2.5,IFERROR(AVERAGE(BB111,AR111/9.81/IF(OR(_xlfn.XLOOKUP(E111,Groups!A:A,Groups!N:N)="Pig",_xlfn.XLOOKUP(E111,Groups!A:A,Groups!N:N)="StrongBitingHerbivore"),20,25))*C111^-0.135,BB111))</f>
        <v>5.3468065944260559</v>
      </c>
      <c r="BA111" s="8" t="str">
        <f>IF(W111="No","No",IF(_xlfn.XLOOKUP(E111,Groups!A:A,Groups!U:U)=1,'Base stats'!AZ111,IF(OR(_xlfn.XLOOKUP(E111,Groups!A:A,Groups!BD:BD)=1,_xlfn.XLOOKUP(E111,Groups!A:A,Groups!U:U)=2),BB111,IF(_xlfn.XLOOKUP(B111,Animals!B:B,Animals!AO:AO)&gt;4,AVERAGE(BB111,BD111),BD111))))</f>
        <v>No</v>
      </c>
      <c r="BB111" s="8">
        <f t="shared" si="56"/>
        <v>2.9452440519384546</v>
      </c>
      <c r="BC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D111" s="8">
        <f>(0.048*C111^1.01)/IF(_xlfn.XLOOKUP(E111,Groups!A:A,Groups!M:M)=1,0.25,0.8)*C111^-0.25</f>
        <v>4.6656648810088752</v>
      </c>
      <c r="BE111" s="8">
        <f>EXP(1.076*LN(AP111)-4.5397)*IF(_xlfn.XLOOKUP(E111,Groups!A:A,Groups!BC:BC)=1,1.25,IF(_xlfn.XLOOKUP(E111,Groups!A:A,Groups!BD:BD)=1,3.5,2.5))</f>
        <v>358.84182730808686</v>
      </c>
      <c r="BF111" s="8">
        <f>EXP(1.076*LN(AQ111)-4.5397)*IF(_xlfn.XLOOKUP(E111,Groups!A:A,Groups!M:M)=1,0.8,IF(_xlfn.XLOOKUP(E111,Groups!A:A,Groups!BC:BC)=1,1.3,3))</f>
        <v>424.22654536784819</v>
      </c>
      <c r="BG111" s="8" t="str">
        <f>IF(W111="No","No",IF(_xlfn.XLOOKUP(E111,Groups!A:A,Groups!U:U)=1,'Base stats'!BH111,IF(OR(_xlfn.XLOOKUP(E111,Groups!A:A,Groups!BD:BD)=1,_xlfn.XLOOKUP(E111,Groups!A:A,Groups!U:U)=2),BE111,BF111))*1.2)</f>
        <v>No</v>
      </c>
      <c r="BH111" s="8">
        <f>IFERROR(EXP(1.076*LN(AR111)-4.5397)*IF(_xlfn.XLOOKUP(E111,Groups!A:A,Groups!N:N)="Insect",1,IF(OR(_xlfn.XLOOKUP(E111,Groups!A:A,Groups!N:N)="Pig",_xlfn.XLOOKUP(E111,Groups!A:A,Groups!N:N)="StrongBitingHerbivore"),3.5,3.75)),"No")</f>
        <v>278.38565051291096</v>
      </c>
      <c r="BI111" s="8">
        <f t="shared" si="44"/>
        <v>15</v>
      </c>
      <c r="BJ111" s="8">
        <f t="shared" si="45"/>
        <v>11</v>
      </c>
      <c r="BK111" s="8" t="str">
        <f t="shared" si="57"/>
        <v>No</v>
      </c>
      <c r="BL111" s="8">
        <f t="shared" si="58"/>
        <v>10</v>
      </c>
      <c r="BM111" s="8">
        <f t="shared" si="46"/>
        <v>13</v>
      </c>
      <c r="BN111" s="8" cm="1">
        <f t="array" ref="BN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O111" s="8" t="str">
        <f>IF(W111="No","No",IF(_xlfn.XLOOKUP(E111,Groups!A:A,Groups!BD:BD)=1,(AM111*5%),EXP(0.7354*LN(C111)^0.4078)*2/IF(_xlfn.XLOOKUP(E111,Groups!A:A,Groups!BL:BL)=1,1000,100)))</f>
        <v>No</v>
      </c>
      <c r="BP111" s="8">
        <f>IF(BH111="No","No",IF(_xlfn.XLOOKUP(E111,Groups!A:A,Groups!BF:BF)=1,(0.0315*C111+2.1825)*2,(0.7354*C111^0.4078)*2)/IF(_xlfn.XLOOKUP(E111,Groups!A:A,Groups!BM:BM)=1,1000,100))</f>
        <v>0.23737499999999997</v>
      </c>
      <c r="BQ111" s="8">
        <f t="shared" si="59"/>
        <v>0.15613876802429377</v>
      </c>
      <c r="BR111" s="8">
        <f t="shared" si="47"/>
        <v>7.4371633734880449</v>
      </c>
      <c r="BS111" s="8" t="str">
        <f t="shared" si="60"/>
        <v>No</v>
      </c>
      <c r="BT111" s="8">
        <f t="shared" si="48"/>
        <v>1172.7673533982559</v>
      </c>
      <c r="BU111" s="4">
        <v>0</v>
      </c>
      <c r="BV111" s="4">
        <v>1</v>
      </c>
    </row>
    <row r="112" spans="1:74" x14ac:dyDescent="0.25">
      <c r="A112" s="26" t="s">
        <v>152</v>
      </c>
      <c r="B112" s="6" t="s">
        <v>153</v>
      </c>
      <c r="C112" s="7">
        <f>AVERAGE(250,200)</f>
        <v>225</v>
      </c>
      <c r="D112" s="7" t="s">
        <v>1311</v>
      </c>
      <c r="E112" s="7" t="str">
        <f>Groups!A53</f>
        <v>Ruminant (bovid, harmless)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595</v>
      </c>
      <c r="L112" s="7">
        <v>80</v>
      </c>
      <c r="M112" s="7" t="s">
        <v>638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IF(AR112="No","No",IF(_xlfn.XLOOKUP(E112,Groups!A:A,Groups!AM:AM)=1,MROUND(EXP(0.3582*LN(C112)-0.2221)*T112,0.05),IF(_xlfn.XLOOKUP(E112,Groups!A:A,Groups!AM:AM)=2,MROUND(EXP(0.3582*LN(C112)-0.2221)*T112,0.05),"Need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945</v>
      </c>
      <c r="Y112" s="4" t="s">
        <v>42</v>
      </c>
      <c r="Z112" s="4">
        <v>0</v>
      </c>
      <c r="AA112" s="4">
        <v>0</v>
      </c>
      <c r="AB112" s="4">
        <v>0</v>
      </c>
      <c r="AC112" s="4" t="s">
        <v>45</v>
      </c>
      <c r="AD112" s="4" t="s">
        <v>410</v>
      </c>
      <c r="AE112" s="28" t="s">
        <v>401</v>
      </c>
      <c r="AF112" s="4" t="str">
        <f>Animals!C54</f>
        <v>&lt;li&gt;Gazelle&lt;/li&gt;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4" t="s">
        <v>40</v>
      </c>
      <c r="AM112" s="8">
        <f t="shared" si="51"/>
        <v>37518.167291030215</v>
      </c>
      <c r="AN112" s="8">
        <f>IFERROR(C112*_xlfn.XLOOKUP(E112,Groups!A:A,Groups!K:K),0.106*C112^0.94)</f>
        <v>17.232862875886827</v>
      </c>
      <c r="AO112" s="8">
        <f>AN112*10000/(_xlfn.XLOOKUP(E112,Groups!A:A,Groups!J:J)*AM112)</f>
        <v>4.213949423099991</v>
      </c>
      <c r="AP112" s="8">
        <f t="shared" si="52"/>
        <v>5276.2980808141829</v>
      </c>
      <c r="AQ112" s="8">
        <f>IF(_xlfn.XLOOKUP(E112,Groups!A:A,Groups!M:M)=1,EXP(0.7444*LN('Base stats'!C112)+6.5696),EXP(0.7927*LN('Base stats'!C112)+4.28))</f>
        <v>5288.7795472348907</v>
      </c>
      <c r="AR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"No")))))))))))))))</f>
        <v>No</v>
      </c>
      <c r="AS112" s="8">
        <f>IF(_xlfn.XLOOKUP(E112,Groups!A:A,Groups!U:U)=3,AQ112,IF(_xlfn.XLOOKUP(E112,Groups!A:A,Groups!U:U)=2,AP112,AR112))</f>
        <v>5288.7795472348907</v>
      </c>
      <c r="AT112" s="46">
        <f>IFERROR(AVERAGE(_xlfn.XLOOKUP(B112,Animals!B:B,Animals!N:N),_xlfn.XLOOKUP(B112,Animals!B:B,Animals!O:O)),0)</f>
        <v>0</v>
      </c>
      <c r="AU112" s="8">
        <f>MROUND(40*Animals!AO112*_xlfn.XLOOKUP(Animals!BB112,Leathers!$A$2:$A$100,Leathers!$B$2:$B$100,0)+(140*_xlfn.XLOOKUP(B112,Animals!B:B,Animals!AO:AO)*2),5)</f>
        <v>730</v>
      </c>
      <c r="AV112" s="8">
        <f>IFERROR(ROUND(SQRT(V112-1)*IF(_xlfn.XLOOKUP(E112,Groups!A:A,Groups!BF:BF)=0,2,1)*IF(_xlfn.XLOOKUP('Base stats'!E112,Groups!A:A,Groups!O:O)=0,1,0.1),1),0)</f>
        <v>0</v>
      </c>
      <c r="AW112" s="8">
        <f t="shared" si="53"/>
        <v>0</v>
      </c>
      <c r="AX112" s="8">
        <f t="shared" si="54"/>
        <v>6.7</v>
      </c>
      <c r="AY112" s="8">
        <f t="shared" si="55"/>
        <v>5.6</v>
      </c>
      <c r="AZ112" s="8">
        <f>IF(_xlfn.XLOOKUP(E112,Groups!A:A,Groups!N:N)="Insect",BB112*2.5,IFERROR(AVERAGE(BB112,AR112/9.81/IF(OR(_xlfn.XLOOKUP(E112,Groups!A:A,Groups!N:N)="Pig",_xlfn.XLOOKUP(E112,Groups!A:A,Groups!N:N)="StrongBitingHerbivore"),20,25))*C112^-0.135,BB112))</f>
        <v>2.3271891619698901</v>
      </c>
      <c r="BA112" s="8">
        <f>IF(W112="No","No",IF(_xlfn.XLOOKUP(E112,Groups!A:A,Groups!U:U)=1,'Base stats'!AZ112,IF(OR(_xlfn.XLOOKUP(E112,Groups!A:A,Groups!BD:BD)=1,_xlfn.XLOOKUP(E112,Groups!A:A,Groups!U:U)=2),BB112,IF(_xlfn.XLOOKUP(B112,Animals!B:B,Animals!AO:AO)&gt;4,AVERAGE(BB112,BD112),BD112))))</f>
        <v>3.6796792531617739</v>
      </c>
      <c r="BB112" s="8">
        <f t="shared" si="56"/>
        <v>2.3271891619698901</v>
      </c>
      <c r="BC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D112" s="8">
        <f>(0.048*C112^1.01)/IF(_xlfn.XLOOKUP(E112,Groups!A:A,Groups!M:M)=1,0.25,0.8)*C112^-0.25</f>
        <v>3.6796792531617739</v>
      </c>
      <c r="BE112" s="8">
        <f>EXP(1.076*LN(AP112)-4.5397)*IF(_xlfn.XLOOKUP(E112,Groups!A:A,Groups!BC:BC)=1,1.25,IF(_xlfn.XLOOKUP(E112,Groups!A:A,Groups!BD:BD)=1,3.5,2.5))</f>
        <v>270.14672095717975</v>
      </c>
      <c r="BF112" s="8">
        <f>EXP(1.076*LN(AQ112)-4.5397)*IF(_xlfn.XLOOKUP(E112,Groups!A:A,Groups!M:M)=1,0.8,IF(_xlfn.XLOOKUP(E112,Groups!A:A,Groups!BC:BC)=1,1.3,3))</f>
        <v>325.00128281545972</v>
      </c>
      <c r="BG112" s="8">
        <f>IF(W112="No","No",IF(_xlfn.XLOOKUP(E112,Groups!A:A,Groups!U:U)=1,'Base stats'!BH112,IF(OR(_xlfn.XLOOKUP(E112,Groups!A:A,Groups!BD:BD)=1,_xlfn.XLOOKUP(E112,Groups!A:A,Groups!U:U)=2),BE112,BF112))*1.2)</f>
        <v>390.00153937855163</v>
      </c>
      <c r="BH112" s="8" t="str">
        <f>IFERROR(EXP(1.076*LN(AR112)-4.5397)*IF(_xlfn.XLOOKUP(E112,Groups!A:A,Groups!N:N)="Insect",1,IF(OR(_xlfn.XLOOKUP(E112,Groups!A:A,Groups!N:N)="Pig",_xlfn.XLOOKUP(E112,Groups!A:A,Groups!N:N)="StrongBitingHerbivore"),3.5,3.75)),"No")</f>
        <v>No</v>
      </c>
      <c r="BI112" s="8">
        <f t="shared" si="44"/>
        <v>15</v>
      </c>
      <c r="BJ112" s="8">
        <f t="shared" si="45"/>
        <v>11</v>
      </c>
      <c r="BK112" s="8">
        <f t="shared" si="57"/>
        <v>14</v>
      </c>
      <c r="BL112" s="8" t="str">
        <f t="shared" si="58"/>
        <v>No</v>
      </c>
      <c r="BM112" s="8">
        <f t="shared" si="46"/>
        <v>13</v>
      </c>
      <c r="BN112" s="8" cm="1">
        <f t="array" ref="BN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O112" s="8">
        <f>IF(W112="No","No",IF(_xlfn.XLOOKUP(E112,Groups!A:A,Groups!BD:BD)=1,(AM112*5%),EXP(0.7354*LN(C112)^0.4078)*2/IF(_xlfn.XLOOKUP(E112,Groups!A:A,Groups!BL:BL)=1,1000,100)))</f>
        <v>8.6516845033286174E-2</v>
      </c>
      <c r="BP112" s="8" t="str">
        <f>IF(BH112="No","No",IF(_xlfn.XLOOKUP(E112,Groups!A:A,Groups!BF:BF)=1,(0.0315*C112+2.1825)*2,(0.7354*C112^0.4078)*2)/IF(_xlfn.XLOOKUP(E112,Groups!A:A,Groups!BM:BM)=1,1000,100))</f>
        <v>No</v>
      </c>
      <c r="BQ112" s="8">
        <f t="shared" si="59"/>
        <v>0.14400848466911442</v>
      </c>
      <c r="BR112" s="8">
        <f t="shared" si="47"/>
        <v>7.5403124737211149</v>
      </c>
      <c r="BS112" s="8">
        <f t="shared" si="60"/>
        <v>4507.8104642917096</v>
      </c>
      <c r="BT112" s="8" t="str">
        <f t="shared" si="48"/>
        <v>No</v>
      </c>
      <c r="BU112" s="4">
        <v>0</v>
      </c>
      <c r="BV112" s="4">
        <v>1</v>
      </c>
    </row>
    <row r="113" spans="1:74" x14ac:dyDescent="0.25">
      <c r="A113" s="26" t="s">
        <v>468</v>
      </c>
      <c r="B113" s="6" t="s">
        <v>255</v>
      </c>
      <c r="C113" s="7">
        <f>EXP(3.189*LN((((450*10-84.981)/1.799)/10)*10)-11.893)/1000</f>
        <v>441.90746147008002</v>
      </c>
      <c r="D113" s="7" t="s">
        <v>1312</v>
      </c>
      <c r="E113" s="7" t="s">
        <v>195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880</v>
      </c>
      <c r="L113" s="7">
        <v>12</v>
      </c>
      <c r="M113" s="7" t="s">
        <v>538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945</v>
      </c>
      <c r="Y113" s="4" t="s">
        <v>56</v>
      </c>
      <c r="Z113" s="4">
        <v>0</v>
      </c>
      <c r="AA113" s="4">
        <v>0</v>
      </c>
      <c r="AB113" s="4">
        <v>0</v>
      </c>
      <c r="AC113" s="4" t="s">
        <v>45</v>
      </c>
      <c r="AD113" s="4" t="s">
        <v>45</v>
      </c>
      <c r="AE113" s="28" t="s">
        <v>395</v>
      </c>
      <c r="AF113" s="4" t="s">
        <v>45</v>
      </c>
      <c r="AG113" s="4">
        <v>0</v>
      </c>
      <c r="AH113" s="4">
        <v>1</v>
      </c>
      <c r="AI113" s="4">
        <v>0</v>
      </c>
      <c r="AJ113" s="4">
        <v>0</v>
      </c>
      <c r="AK113" s="4">
        <v>0</v>
      </c>
      <c r="AL113" s="44">
        <v>15</v>
      </c>
      <c r="AM113" s="8">
        <f t="shared" si="51"/>
        <v>58181.959842982193</v>
      </c>
      <c r="AN113" s="8">
        <f>IFERROR(C113*_xlfn.XLOOKUP(E113,Groups!A:A,Groups!K:K),0.106*C113^0.94)</f>
        <v>88.381492294016013</v>
      </c>
      <c r="AO113" s="8">
        <f>AN113*10000/(_xlfn.XLOOKUP(E113,Groups!A:A,Groups!J:J)*AM113)</f>
        <v>8.1669526893051607</v>
      </c>
      <c r="AP113" s="8">
        <f t="shared" si="52"/>
        <v>9331.5143440749944</v>
      </c>
      <c r="AQ113" s="8">
        <f>IF(_xlfn.XLOOKUP(E113,Groups!A:A,Groups!M:M)=1,EXP(0.7444*LN('Base stats'!C113)+6.5696),EXP(0.7927*LN('Base stats'!C113)+4.28))</f>
        <v>9030.9727417374725</v>
      </c>
      <c r="AR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"No")))))))))))))))</f>
        <v>14137.575419285498</v>
      </c>
      <c r="AS113" s="8">
        <f>IF(_xlfn.XLOOKUP(E113,Groups!A:A,Groups!U:U)=3,AQ113,IF(_xlfn.XLOOKUP(E113,Groups!A:A,Groups!U:U)=2,AP113,AR113))</f>
        <v>14137.575419285498</v>
      </c>
      <c r="AT113" s="46">
        <f>IFERROR(AVERAGE(_xlfn.XLOOKUP(B113,Animals!B:B,Animals!N:N),_xlfn.XLOOKUP(B113,Animals!B:B,Animals!O:O)),0)</f>
        <v>0.30000000000000004</v>
      </c>
      <c r="AU113" s="8">
        <f>MROUND(40*Animals!AO113*_xlfn.XLOOKUP(Animals!BB113,Leathers!$A$2:$A$100,Leathers!$B$2:$B$100,0)+(140*_xlfn.XLOOKUP(B113,Animals!B:B,Animals!AO:AO)*2),5)</f>
        <v>1255</v>
      </c>
      <c r="AV113" s="8">
        <f>IFERROR(ROUND(SQRT(V113-1)*IF(_xlfn.XLOOKUP(E113,Groups!A:A,Groups!BF:BF)=0,2,1)*IF(_xlfn.XLOOKUP('Base stats'!E113,Groups!A:A,Groups!O:O)=0,1,0.1),1),0)</f>
        <v>2.2000000000000002</v>
      </c>
      <c r="AW113" s="8">
        <f t="shared" si="53"/>
        <v>0</v>
      </c>
      <c r="AX113" s="8">
        <f t="shared" si="54"/>
        <v>0</v>
      </c>
      <c r="AY113" s="8">
        <f t="shared" si="55"/>
        <v>7.1</v>
      </c>
      <c r="AZ113" s="8">
        <f>IF(_xlfn.XLOOKUP(E113,Groups!A:A,Groups!N:N)="Insect",BB113*2.5,IFERROR(AVERAGE(BB113,AR113/9.81/IF(OR(_xlfn.XLOOKUP(E113,Groups!A:A,Groups!N:N)="Pig",_xlfn.XLOOKUP(E113,Groups!A:A,Groups!N:N)="StrongBitingHerbivore"),20,25))*C113^-0.135,BB113))</f>
        <v>14.024906740700176</v>
      </c>
      <c r="BA113" s="8" t="str">
        <f>IF(W113="No","No",IF(_xlfn.XLOOKUP(E113,Groups!A:A,Groups!U:U)=1,'Base stats'!AZ113,IF(OR(_xlfn.XLOOKUP(E113,Groups!A:A,Groups!BD:BD)=1,_xlfn.XLOOKUP(E113,Groups!A:A,Groups!U:U)=2),BB113,IF(_xlfn.XLOOKUP(B113,Animals!B:B,Animals!AO:AO)&gt;4,AVERAGE(BB113,BD113),BD113))))</f>
        <v>No</v>
      </c>
      <c r="BB113" s="8">
        <f t="shared" si="56"/>
        <v>6.1880869301551282</v>
      </c>
      <c r="BC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D113" s="8">
        <f>(0.048*C113^1.01)/IF(_xlfn.XLOOKUP(E113,Groups!A:A,Groups!M:M)=1,0.25,0.8)*C113^-0.25</f>
        <v>6.1461487179599832</v>
      </c>
      <c r="BE113" s="8">
        <f>EXP(1.076*LN(AP113)-4.5397)*IF(_xlfn.XLOOKUP(E113,Groups!A:A,Groups!BC:BC)=1,1.25,IF(_xlfn.XLOOKUP(E113,Groups!A:A,Groups!BD:BD)=1,3.5,2.5))</f>
        <v>498.93255110401276</v>
      </c>
      <c r="BF113" s="8">
        <f>EXP(1.076*LN(AQ113)-4.5397)*IF(_xlfn.XLOOKUP(E113,Groups!A:A,Groups!M:M)=1,0.8,IF(_xlfn.XLOOKUP(E113,Groups!A:A,Groups!BC:BC)=1,1.3,3))</f>
        <v>577.99615723899592</v>
      </c>
      <c r="BG113" s="8" t="str">
        <f>IF(W113="No","No",IF(_xlfn.XLOOKUP(E113,Groups!A:A,Groups!U:U)=1,'Base stats'!BH113,IF(OR(_xlfn.XLOOKUP(E113,Groups!A:A,Groups!BD:BD)=1,_xlfn.XLOOKUP(E113,Groups!A:A,Groups!U:U)=2),BE113,BF113))*1.2)</f>
        <v>No</v>
      </c>
      <c r="BH113" s="8">
        <f>IFERROR(EXP(1.076*LN(AR113)-4.5397)*IF(_xlfn.XLOOKUP(E113,Groups!A:A,Groups!N:N)="Insect",1,IF(OR(_xlfn.XLOOKUP(E113,Groups!A:A,Groups!N:N)="Pig",_xlfn.XLOOKUP(E113,Groups!A:A,Groups!N:N)="StrongBitingHerbivore"),3.5,3.75)),"No")</f>
        <v>1170.2214058733036</v>
      </c>
      <c r="BI113" s="8">
        <f t="shared" si="44"/>
        <v>12</v>
      </c>
      <c r="BJ113" s="8">
        <f t="shared" si="45"/>
        <v>11</v>
      </c>
      <c r="BK113" s="8" t="str">
        <f t="shared" si="57"/>
        <v>No</v>
      </c>
      <c r="BL113" s="8">
        <f t="shared" si="58"/>
        <v>12</v>
      </c>
      <c r="BM113" s="8">
        <f t="shared" si="46"/>
        <v>13</v>
      </c>
      <c r="BN113" s="8" t="str" cm="1">
        <f t="array" ref="BN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O113" s="8" t="str">
        <f>IF(W113="No","No",IF(_xlfn.XLOOKUP(E113,Groups!A:A,Groups!BD:BD)=1,(AM113*5%),EXP(0.7354*LN(C113)^0.4078)*2/IF(_xlfn.XLOOKUP(E113,Groups!A:A,Groups!BL:BL)=1,1000,100)))</f>
        <v>No</v>
      </c>
      <c r="BP113" s="8">
        <f>IF(BH113="No","No",IF(_xlfn.XLOOKUP(E113,Groups!A:A,Groups!BF:BF)=1,(0.0315*C113+2.1825)*2,(0.7354*C113^0.4078)*2)/IF(_xlfn.XLOOKUP(E113,Groups!A:A,Groups!BM:BM)=1,1000,100))</f>
        <v>0.32205170072615041</v>
      </c>
      <c r="BQ113" s="8">
        <f t="shared" si="59"/>
        <v>0.17150764685497033</v>
      </c>
      <c r="BR113" s="8" t="str">
        <f t="shared" si="47"/>
        <v>No</v>
      </c>
      <c r="BS113" s="8" t="str">
        <f t="shared" si="60"/>
        <v>No</v>
      </c>
      <c r="BT113" s="8">
        <f t="shared" si="48"/>
        <v>3633.6445459990778</v>
      </c>
      <c r="BU113" s="4">
        <v>0</v>
      </c>
      <c r="BV113" s="4">
        <v>1</v>
      </c>
    </row>
    <row r="114" spans="1:74" x14ac:dyDescent="0.25">
      <c r="A114" s="26" t="s">
        <v>469</v>
      </c>
      <c r="B114" s="6" t="s">
        <v>236</v>
      </c>
      <c r="C114" s="7">
        <v>53.5</v>
      </c>
      <c r="D114" s="7" t="s">
        <v>597</v>
      </c>
      <c r="E114" s="7" t="s">
        <v>75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597</v>
      </c>
      <c r="L114" s="7">
        <v>110</v>
      </c>
      <c r="M114" s="7" t="s">
        <v>638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IF(AR114="No","No",IF(_xlfn.XLOOKUP(E114,Groups!A:A,Groups!AM:AM)=1,MROUND(EXP(0.3582*LN(C114)-0.2221)*T114,0.05),IF(_xlfn.XLOOKUP(E114,Groups!A:A,Groups!AM:AM)=2,MROUND(EXP(0.3582*LN(C114)-0.2221)*T114,0.05),"Need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945</v>
      </c>
      <c r="Y114" s="4" t="s">
        <v>56</v>
      </c>
      <c r="Z114" s="4">
        <v>0</v>
      </c>
      <c r="AA114" s="4">
        <v>0</v>
      </c>
      <c r="AB114" s="4">
        <v>0</v>
      </c>
      <c r="AC114" s="4" t="s">
        <v>45</v>
      </c>
      <c r="AD114" s="4" t="s">
        <v>45</v>
      </c>
      <c r="AE114" s="28" t="s">
        <v>398</v>
      </c>
      <c r="AF114" s="4" t="s">
        <v>45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4" t="s">
        <v>40</v>
      </c>
      <c r="AM114" s="8">
        <f t="shared" si="51"/>
        <v>14748.67267145231</v>
      </c>
      <c r="AN114" s="8">
        <f>IFERROR(C114*_xlfn.XLOOKUP(E114,Groups!A:A,Groups!K:K),0.106*C114^0.94)</f>
        <v>6.6741250000000001</v>
      </c>
      <c r="AO114" s="8">
        <f>AN114*10000/(_xlfn.XLOOKUP(E114,Groups!A:A,Groups!J:J)*AM114)</f>
        <v>4.1515942452010872</v>
      </c>
      <c r="AP114" s="8">
        <f t="shared" si="52"/>
        <v>1568.1268440067847</v>
      </c>
      <c r="AQ114" s="8">
        <f>IF(_xlfn.XLOOKUP(E114,Groups!A:A,Groups!M:M)=1,EXP(0.7444*LN('Base stats'!C114)+6.5696),EXP(0.7927*LN('Base stats'!C114)+4.28))</f>
        <v>1693.7387576363094</v>
      </c>
      <c r="AR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"No")))))))))))))))</f>
        <v>1750.8148382761276</v>
      </c>
      <c r="AS114" s="8">
        <f>IF(_xlfn.XLOOKUP(E114,Groups!A:A,Groups!U:U)=3,AQ114,IF(_xlfn.XLOOKUP(E114,Groups!A:A,Groups!U:U)=2,AP114,AR114))</f>
        <v>1750.8148382761276</v>
      </c>
      <c r="AT114" s="46">
        <f>IFERROR(AVERAGE(_xlfn.XLOOKUP(B114,Animals!B:B,Animals!N:N),_xlfn.XLOOKUP(B114,Animals!B:B,Animals!O:O)),0)</f>
        <v>0</v>
      </c>
      <c r="AU114" s="8">
        <f>MROUND(40*Animals!AO114*_xlfn.XLOOKUP(Animals!BB114,Leathers!$A$2:$A$100,Leathers!$B$2:$B$100,0)+(140*_xlfn.XLOOKUP(B114,Animals!B:B,Animals!AO:AO)*2),5)</f>
        <v>405</v>
      </c>
      <c r="AV114" s="8">
        <f>IFERROR(ROUND(SQRT(V114-1)*IF(_xlfn.XLOOKUP(E114,Groups!A:A,Groups!BF:BF)=0,2,1)*IF(_xlfn.XLOOKUP('Base stats'!E114,Groups!A:A,Groups!O:O)=0,1,0.1),1),0)</f>
        <v>3.4</v>
      </c>
      <c r="AW114" s="8">
        <f t="shared" si="53"/>
        <v>1.2</v>
      </c>
      <c r="AX114" s="8">
        <f t="shared" si="54"/>
        <v>0</v>
      </c>
      <c r="AY114" s="8">
        <f t="shared" si="55"/>
        <v>3.3</v>
      </c>
      <c r="AZ114" s="8">
        <f>IF(_xlfn.XLOOKUP(E114,Groups!A:A,Groups!N:N)="Insect",BB114*2.5,IFERROR(AVERAGE(BB114,AR114/9.81/IF(OR(_xlfn.XLOOKUP(E114,Groups!A:A,Groups!N:N)="Pig",_xlfn.XLOOKUP(E114,Groups!A:A,Groups!N:N)="StrongBitingHerbivore"),20,25))*C114^-0.135,BB114))</f>
        <v>2.3985487101109748</v>
      </c>
      <c r="BA114" s="8" t="str">
        <f>IF(W114="No","No",IF(_xlfn.XLOOKUP(E114,Groups!A:A,Groups!U:U)=1,'Base stats'!AZ114,IF(OR(_xlfn.XLOOKUP(E114,Groups!A:A,Groups!BD:BD)=1,_xlfn.XLOOKUP(E114,Groups!A:A,Groups!U:U)=2),BB114,IF(_xlfn.XLOOKUP(B114,Animals!B:B,Animals!AO:AO)&gt;4,AVERAGE(BB114,BD114),BD114))))</f>
        <v>No</v>
      </c>
      <c r="BB114" s="8">
        <f t="shared" si="56"/>
        <v>1.0704048294576518</v>
      </c>
      <c r="BC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D114" s="8">
        <f>(0.048*C114^1.01)/IF(_xlfn.XLOOKUP(E114,Groups!A:A,Groups!M:M)=1,0.25,0.8)*C114^-0.25</f>
        <v>1.2350943207066056</v>
      </c>
      <c r="BE114" s="8">
        <f>EXP(1.076*LN(AP114)-4.5397)*IF(_xlfn.XLOOKUP(E114,Groups!A:A,Groups!BC:BC)=1,1.25,IF(_xlfn.XLOOKUP(E114,Groups!A:A,Groups!BD:BD)=1,3.5,2.5))</f>
        <v>73.215580303642668</v>
      </c>
      <c r="BF114" s="8">
        <f>EXP(1.076*LN(AQ114)-4.5397)*IF(_xlfn.XLOOKUP(E114,Groups!A:A,Groups!M:M)=1,0.8,IF(_xlfn.XLOOKUP(E114,Groups!A:A,Groups!BC:BC)=1,1.3,3))</f>
        <v>95.453827881386488</v>
      </c>
      <c r="BG114" s="8" t="str">
        <f>IF(W114="No","No",IF(_xlfn.XLOOKUP(E114,Groups!A:A,Groups!U:U)=1,'Base stats'!BH114,IF(OR(_xlfn.XLOOKUP(E114,Groups!A:A,Groups!BD:BD)=1,_xlfn.XLOOKUP(E114,Groups!A:A,Groups!U:U)=2),BE114,BF114))*1.2)</f>
        <v>No</v>
      </c>
      <c r="BH114" s="8">
        <f>IFERROR(EXP(1.076*LN(AR114)-4.5397)*IF(_xlfn.XLOOKUP(E114,Groups!A:A,Groups!N:N)="Insect",1,IF(OR(_xlfn.XLOOKUP(E114,Groups!A:A,Groups!N:N)="Pig",_xlfn.XLOOKUP(E114,Groups!A:A,Groups!N:N)="StrongBitingHerbivore"),3.5,3.75)),"No")</f>
        <v>123.64913526272449</v>
      </c>
      <c r="BI114" s="8">
        <f t="shared" si="44"/>
        <v>11</v>
      </c>
      <c r="BJ114" s="8">
        <f t="shared" si="45"/>
        <v>10</v>
      </c>
      <c r="BK114" s="8" t="str">
        <f t="shared" si="57"/>
        <v>No</v>
      </c>
      <c r="BL114" s="8">
        <f t="shared" si="58"/>
        <v>10</v>
      </c>
      <c r="BM114" s="8">
        <f t="shared" si="46"/>
        <v>12</v>
      </c>
      <c r="BN114" s="8" cm="1">
        <f t="array" ref="BN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O114" s="8" t="str">
        <f>IF(W114="No","No",IF(_xlfn.XLOOKUP(E114,Groups!A:A,Groups!BD:BD)=1,(AM114*5%),EXP(0.7354*LN(C114)^0.4078)*2/IF(_xlfn.XLOOKUP(E114,Groups!A:A,Groups!BL:BL)=1,1000,100)))</f>
        <v>No</v>
      </c>
      <c r="BP114" s="8">
        <f>IF(BH114="No","No",IF(_xlfn.XLOOKUP(E114,Groups!A:A,Groups!BF:BF)=1,(0.0315*C114+2.1825)*2,(0.7354*C114^0.4078)*2)/IF(_xlfn.XLOOKUP(E114,Groups!A:A,Groups!BM:BM)=1,1000,100))</f>
        <v>7.4537752492558132E-2</v>
      </c>
      <c r="BQ114" s="8">
        <f t="shared" si="59"/>
        <v>9.9284297556294032E-2</v>
      </c>
      <c r="BR114" s="8">
        <f t="shared" si="47"/>
        <v>1280.6104918566818</v>
      </c>
      <c r="BS114" s="8" t="str">
        <f t="shared" si="60"/>
        <v>No</v>
      </c>
      <c r="BT114" s="8">
        <f t="shared" si="48"/>
        <v>1658.8793078389324</v>
      </c>
      <c r="BU114" s="4">
        <v>0</v>
      </c>
      <c r="BV114" s="4">
        <v>1</v>
      </c>
    </row>
    <row r="115" spans="1:74" x14ac:dyDescent="0.25">
      <c r="A115" s="26" t="s">
        <v>470</v>
      </c>
      <c r="B115" s="6" t="s">
        <v>471</v>
      </c>
      <c r="C115" s="7">
        <f>25.5</f>
        <v>25.5</v>
      </c>
      <c r="D115" s="7" t="s">
        <v>610</v>
      </c>
      <c r="E115" s="7" t="s">
        <v>635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610</v>
      </c>
      <c r="L115" s="7">
        <f>MIN(20*C115^0.183,19.9*C115^0.142,13.7*C115^0.004)</f>
        <v>13.878634158115689</v>
      </c>
      <c r="M115" s="7" t="s">
        <v>638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945</v>
      </c>
      <c r="Y115" s="4" t="s">
        <v>42</v>
      </c>
      <c r="Z115" s="4">
        <v>0</v>
      </c>
      <c r="AA115" s="4">
        <v>0</v>
      </c>
      <c r="AB115" s="4">
        <v>0</v>
      </c>
      <c r="AC115" s="4" t="s">
        <v>45</v>
      </c>
      <c r="AD115" s="4" t="s">
        <v>45</v>
      </c>
      <c r="AE115" s="28" t="s">
        <v>394</v>
      </c>
      <c r="AF115" s="4" t="s">
        <v>45</v>
      </c>
      <c r="AG115" s="4">
        <v>0</v>
      </c>
      <c r="AH115" s="4">
        <v>0</v>
      </c>
      <c r="AI115" s="4">
        <v>1</v>
      </c>
      <c r="AJ115" s="4">
        <v>0</v>
      </c>
      <c r="AK115" s="4">
        <v>0</v>
      </c>
      <c r="AL115" s="44" t="s">
        <v>40</v>
      </c>
      <c r="AM115" s="8">
        <f t="shared" si="51"/>
        <v>9111.1688693887008</v>
      </c>
      <c r="AN115" s="8">
        <f>IFERROR(C115*_xlfn.XLOOKUP(E115,Groups!A:A,Groups!K:K),0.106*C115^0.94)</f>
        <v>2.2256334242614968</v>
      </c>
      <c r="AO115" s="8">
        <f>AN115*10000/(_xlfn.XLOOKUP(E115,Groups!A:A,Groups!J:J)*AM115)</f>
        <v>2.2410577129193365</v>
      </c>
      <c r="AP115" s="8">
        <f t="shared" si="52"/>
        <v>838.58142840785149</v>
      </c>
      <c r="AQ115" s="8">
        <f>IF(_xlfn.XLOOKUP(E115,Groups!A:A,Groups!M:M)=1,EXP(0.7444*LN('Base stats'!C115)+6.5696),EXP(0.7927*LN('Base stats'!C115)+4.28))</f>
        <v>941.33625061050907</v>
      </c>
      <c r="AR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"No")))))))))))))))</f>
        <v>455.93790606968065</v>
      </c>
      <c r="AS115" s="8">
        <f>IF(_xlfn.XLOOKUP(E115,Groups!A:A,Groups!U:U)=3,AQ115,IF(_xlfn.XLOOKUP(E115,Groups!A:A,Groups!U:U)=2,AP115,AR115))</f>
        <v>455.93790606968065</v>
      </c>
      <c r="AT115" s="46">
        <f>IFERROR(AVERAGE(_xlfn.XLOOKUP(B115,Animals!B:B,Animals!N:N),_xlfn.XLOOKUP(B115,Animals!B:B,Animals!O:O)),0)</f>
        <v>0</v>
      </c>
      <c r="AU115" s="8">
        <f>MROUND(40*Animals!AO115*_xlfn.XLOOKUP(Animals!BB115,Leathers!$A$2:$A$100,Leathers!$B$2:$B$100,0)+(140*_xlfn.XLOOKUP(B115,Animals!B:B,Animals!AO:AO)*2),5)</f>
        <v>230</v>
      </c>
      <c r="AV115" s="8">
        <f>IFERROR(ROUND(SQRT(V115-1)*IF(_xlfn.XLOOKUP(E115,Groups!A:A,Groups!BF:BF)=0,2,1)*IF(_xlfn.XLOOKUP('Base stats'!E115,Groups!A:A,Groups!O:O)=0,1,0.1),1),0)</f>
        <v>2</v>
      </c>
      <c r="AW115" s="8">
        <f t="shared" si="53"/>
        <v>1.4</v>
      </c>
      <c r="AX115" s="8">
        <f t="shared" si="54"/>
        <v>0</v>
      </c>
      <c r="AY115" s="8">
        <f t="shared" si="55"/>
        <v>2.5</v>
      </c>
      <c r="AZ115" s="8">
        <f>IF(_xlfn.XLOOKUP(E115,Groups!A:A,Groups!N:N)="Insect",BB115*2.5,IFERROR(AVERAGE(BB115,AR115/9.81/IF(OR(_xlfn.XLOOKUP(E115,Groups!A:A,Groups!N:N)="Pig",_xlfn.XLOOKUP(E115,Groups!A:A,Groups!N:N)="StrongBitingHerbivore"),20,25))*C115^-0.135,BB115))</f>
        <v>0.74583520324545427</v>
      </c>
      <c r="BA115" s="8" t="str">
        <f>IF(W115="No","No",IF(_xlfn.XLOOKUP(E115,Groups!A:A,Groups!U:U)=1,'Base stats'!AZ115,IF(OR(_xlfn.XLOOKUP(E115,Groups!A:A,Groups!BD:BD)=1,_xlfn.XLOOKUP(E115,Groups!A:A,Groups!U:U)=2),BB115,IF(_xlfn.XLOOKUP(B115,Animals!B:B,Animals!AO:AO)&gt;4,AVERAGE(BB115,BD115),BD115))))</f>
        <v>No</v>
      </c>
      <c r="BB115" s="8">
        <f t="shared" si="56"/>
        <v>0.45062715926009461</v>
      </c>
      <c r="BC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D115" s="8">
        <f>(0.048*C115^1.01)/IF(_xlfn.XLOOKUP(E115,Groups!A:A,Groups!M:M)=1,0.25,0.8)*C115^-0.25</f>
        <v>0.70326950736861127</v>
      </c>
      <c r="BE115" s="8">
        <f>EXP(1.076*LN(AP115)-4.5397)*IF(_xlfn.XLOOKUP(E115,Groups!A:A,Groups!BC:BC)=1,1.25,IF(_xlfn.XLOOKUP(E115,Groups!A:A,Groups!BD:BD)=1,3.5,2.5))</f>
        <v>37.334301254349668</v>
      </c>
      <c r="BF115" s="8">
        <f>EXP(1.076*LN(AQ115)-4.5397)*IF(_xlfn.XLOOKUP(E115,Groups!A:A,Groups!M:M)=1,0.8,IF(_xlfn.XLOOKUP(E115,Groups!A:A,Groups!BC:BC)=1,1.3,3))</f>
        <v>50.734569822503651</v>
      </c>
      <c r="BG115" s="8" t="str">
        <f>IF(W115="No","No",IF(_xlfn.XLOOKUP(E115,Groups!A:A,Groups!U:U)=1,'Base stats'!BH115,IF(OR(_xlfn.XLOOKUP(E115,Groups!A:A,Groups!BD:BD)=1,_xlfn.XLOOKUP(E115,Groups!A:A,Groups!U:U)=2),BE115,BF115))*1.2)</f>
        <v>No</v>
      </c>
      <c r="BH115" s="8">
        <f>IFERROR(EXP(1.076*LN(AR115)-4.5397)*IF(_xlfn.XLOOKUP(E115,Groups!A:A,Groups!N:N)="Insect",1,IF(OR(_xlfn.XLOOKUP(E115,Groups!A:A,Groups!N:N)="Pig",_xlfn.XLOOKUP(E115,Groups!A:A,Groups!N:N)="StrongBitingHerbivore"),3.5,3.75)),"No")</f>
        <v>29.070141239380789</v>
      </c>
      <c r="BI115" s="8">
        <f t="shared" si="44"/>
        <v>12</v>
      </c>
      <c r="BJ115" s="8">
        <f t="shared" si="45"/>
        <v>10</v>
      </c>
      <c r="BK115" s="8" t="str">
        <f t="shared" si="57"/>
        <v>No</v>
      </c>
      <c r="BL115" s="8">
        <f t="shared" si="58"/>
        <v>8</v>
      </c>
      <c r="BM115" s="8">
        <f t="shared" si="46"/>
        <v>12</v>
      </c>
      <c r="BN115" s="8" cm="1">
        <f t="array" ref="BN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O115" s="8" t="str">
        <f>IF(W115="No","No",IF(_xlfn.XLOOKUP(E115,Groups!A:A,Groups!BD:BD)=1,(AM115*5%),EXP(0.7354*LN(C115)^0.4078)*2/IF(_xlfn.XLOOKUP(E115,Groups!A:A,Groups!BL:BL)=1,1000,100)))</f>
        <v>No</v>
      </c>
      <c r="BP115" s="8">
        <f>IF(BH115="No","No",IF(_xlfn.XLOOKUP(E115,Groups!A:A,Groups!BF:BF)=1,(0.0315*C115+2.1825)*2,(0.7354*C115^0.4078)*2)/IF(_xlfn.XLOOKUP(E115,Groups!A:A,Groups!BM:BM)=1,1000,100))</f>
        <v>5.509861811333968E-2</v>
      </c>
      <c r="BQ115" s="8">
        <f t="shared" si="59"/>
        <v>8.195282469142634E-2</v>
      </c>
      <c r="BR115" s="8">
        <f t="shared" si="47"/>
        <v>920.79568525912873</v>
      </c>
      <c r="BS115" s="8" t="str">
        <f t="shared" si="60"/>
        <v>No</v>
      </c>
      <c r="BT115" s="8">
        <f t="shared" si="48"/>
        <v>527.60200227857888</v>
      </c>
      <c r="BU115" s="4">
        <v>0</v>
      </c>
      <c r="BV115" s="4">
        <v>1</v>
      </c>
    </row>
    <row r="116" spans="1:74" x14ac:dyDescent="0.25">
      <c r="A116" s="26" t="s">
        <v>472</v>
      </c>
      <c r="B116" s="6" t="s">
        <v>611</v>
      </c>
      <c r="C116" s="7">
        <v>55</v>
      </c>
      <c r="D116" s="7" t="s">
        <v>612</v>
      </c>
      <c r="E116" s="7" t="s">
        <v>930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612</v>
      </c>
      <c r="L116" s="7">
        <v>65</v>
      </c>
      <c r="M116" s="7" t="s">
        <v>638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IF(AR116="No","No",IF(_xlfn.XLOOKUP(E116,Groups!A:A,Groups!AM:AM)=1,MROUND(EXP(0.3582*LN(C116)-0.2221)*T116,0.05),IF(_xlfn.XLOOKUP(E116,Groups!A:A,Groups!AM:AM)=2,MROUND(EXP(0.3582*LN(C116)-0.2221)*T116,0.05),"Need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945</v>
      </c>
      <c r="Y116" s="4" t="s">
        <v>42</v>
      </c>
      <c r="Z116" s="4">
        <v>0</v>
      </c>
      <c r="AA116" s="4">
        <v>0</v>
      </c>
      <c r="AB116" s="4">
        <v>0</v>
      </c>
      <c r="AC116" s="4" t="s">
        <v>45</v>
      </c>
      <c r="AD116" s="4" t="s">
        <v>407</v>
      </c>
      <c r="AE116" s="28" t="s">
        <v>401</v>
      </c>
      <c r="AF116" s="4" t="s">
        <v>45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4" t="s">
        <v>40</v>
      </c>
      <c r="AM116" s="8">
        <f t="shared" si="51"/>
        <v>15016.154461994613</v>
      </c>
      <c r="AN116" s="8">
        <f>IFERROR(C116*_xlfn.XLOOKUP(E116,Groups!A:A,Groups!K:K),0.106*C116^0.94)</f>
        <v>4.5840230568262754</v>
      </c>
      <c r="AO116" s="8">
        <f>AN116*10000/(_xlfn.XLOOKUP(E116,Groups!A:A,Groups!J:J)*AM116)</f>
        <v>2.8006676082426014</v>
      </c>
      <c r="AP116" s="8">
        <f t="shared" si="52"/>
        <v>1605.1850768028401</v>
      </c>
      <c r="AQ116" s="8">
        <f>IF(_xlfn.XLOOKUP(E116,Groups!A:A,Groups!M:M)=1,EXP(0.7444*LN('Base stats'!C116)+6.5696),EXP(0.7927*LN('Base stats'!C116)+4.28))</f>
        <v>1731.2743173050442</v>
      </c>
      <c r="AR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"No")))))))))))))))</f>
        <v>No</v>
      </c>
      <c r="AS116" s="8" t="str">
        <f>IF(_xlfn.XLOOKUP(E116,Groups!A:A,Groups!U:U)=3,AQ116,IF(_xlfn.XLOOKUP(E116,Groups!A:A,Groups!U:U)=2,AP116,AR116))</f>
        <v>No</v>
      </c>
      <c r="AT116" s="46">
        <f>IFERROR(AVERAGE(_xlfn.XLOOKUP(B116,Animals!B:B,Animals!N:N),_xlfn.XLOOKUP(B116,Animals!B:B,Animals!O:O)),0)</f>
        <v>0</v>
      </c>
      <c r="AU116" s="8">
        <f>MROUND(40*Animals!AO116*_xlfn.XLOOKUP(Animals!BB116,Leathers!$A$2:$A$100,Leathers!$B$2:$B$100,0)+(140*_xlfn.XLOOKUP(B116,Animals!B:B,Animals!AO:AO)*2),5)</f>
        <v>330</v>
      </c>
      <c r="AV116" s="8">
        <f>IFERROR(ROUND(SQRT(V116-1)*IF(_xlfn.XLOOKUP(E116,Groups!A:A,Groups!BF:BF)=0,2,1)*IF(_xlfn.XLOOKUP('Base stats'!E116,Groups!A:A,Groups!O:O)=0,1,0.1),1),0)</f>
        <v>0</v>
      </c>
      <c r="AW116" s="8">
        <f t="shared" si="53"/>
        <v>2</v>
      </c>
      <c r="AX116" s="8">
        <f t="shared" si="54"/>
        <v>0</v>
      </c>
      <c r="AY116" s="8">
        <f t="shared" si="55"/>
        <v>3.4</v>
      </c>
      <c r="AZ116" s="8">
        <f>IF(_xlfn.XLOOKUP(E116,Groups!A:A,Groups!N:N)="Insect",BB116*2.5,IFERROR(AVERAGE(BB116,AR116/9.81/IF(OR(_xlfn.XLOOKUP(E116,Groups!A:A,Groups!N:N)="Pig",_xlfn.XLOOKUP(E116,Groups!A:A,Groups!N:N)="StrongBitingHerbivore"),20,25))*C116^-0.135,BB116))</f>
        <v>0.80448793422302267</v>
      </c>
      <c r="BA116" s="8" t="str">
        <f>IF(W116="No","No",IF(_xlfn.XLOOKUP(E116,Groups!A:A,Groups!U:U)=1,'Base stats'!AZ116,IF(OR(_xlfn.XLOOKUP(E116,Groups!A:A,Groups!BD:BD)=1,_xlfn.XLOOKUP(E116,Groups!A:A,Groups!U:U)=2),BB116,IF(_xlfn.XLOOKUP(B116,Animals!B:B,Animals!AO:AO)&gt;4,AVERAGE(BB116,BD116),BD116))))</f>
        <v>No</v>
      </c>
      <c r="BB116" s="8">
        <f t="shared" si="56"/>
        <v>0.80448793422302267</v>
      </c>
      <c r="BC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D116" s="8">
        <f>(0.048*C116^1.01)/IF(_xlfn.XLOOKUP(E116,Groups!A:A,Groups!M:M)=1,0.25,0.8)*C116^-0.25</f>
        <v>1.2613246825021767</v>
      </c>
      <c r="BE116" s="8">
        <f>EXP(1.076*LN(AP116)-4.5397)*IF(_xlfn.XLOOKUP(E116,Groups!A:A,Groups!BC:BC)=1,1.25,IF(_xlfn.XLOOKUP(E116,Groups!A:A,Groups!BD:BD)=1,3.5,2.5))</f>
        <v>75.078981297499624</v>
      </c>
      <c r="BF116" s="8">
        <f>EXP(1.076*LN(AQ116)-4.5397)*IF(_xlfn.XLOOKUP(E116,Groups!A:A,Groups!M:M)=1,0.8,IF(_xlfn.XLOOKUP(E116,Groups!A:A,Groups!BC:BC)=1,1.3,3))</f>
        <v>97.731888109270812</v>
      </c>
      <c r="BG116" s="8" t="str">
        <f>IF(W116="No","No",IF(_xlfn.XLOOKUP(E116,Groups!A:A,Groups!U:U)=1,'Base stats'!BH116,IF(OR(_xlfn.XLOOKUP(E116,Groups!A:A,Groups!BD:BD)=1,_xlfn.XLOOKUP(E116,Groups!A:A,Groups!U:U)=2),BE116,BF116))*1.2)</f>
        <v>No</v>
      </c>
      <c r="BH116" s="8" t="str">
        <f>IFERROR(EXP(1.076*LN(AR116)-4.5397)*IF(_xlfn.XLOOKUP(E116,Groups!A:A,Groups!N:N)="Insect",1,IF(OR(_xlfn.XLOOKUP(E116,Groups!A:A,Groups!N:N)="Pig",_xlfn.XLOOKUP(E116,Groups!A:A,Groups!N:N)="StrongBitingHerbivore"),3.5,3.75)),"No")</f>
        <v>No</v>
      </c>
      <c r="BI116" s="8">
        <f t="shared" si="44"/>
        <v>13</v>
      </c>
      <c r="BJ116" s="8">
        <f t="shared" si="45"/>
        <v>8</v>
      </c>
      <c r="BK116" s="8" t="str">
        <f t="shared" si="57"/>
        <v>No</v>
      </c>
      <c r="BL116" s="8" t="str">
        <f t="shared" si="58"/>
        <v>No</v>
      </c>
      <c r="BM116" s="8">
        <f t="shared" si="46"/>
        <v>12</v>
      </c>
      <c r="BN116" s="8" cm="1">
        <f t="array" ref="BN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O116" s="8" t="str">
        <f>IF(W116="No","No",IF(_xlfn.XLOOKUP(E116,Groups!A:A,Groups!BD:BD)=1,(AM116*5%),EXP(0.7354*LN(C116)^0.4078)*2/IF(_xlfn.XLOOKUP(E116,Groups!A:A,Groups!BL:BL)=1,1000,100)))</f>
        <v>No</v>
      </c>
      <c r="BP116" s="8" t="str">
        <f>IF(BH116="No","No",IF(_xlfn.XLOOKUP(E116,Groups!A:A,Groups!BF:BF)=1,(0.0315*C116+2.1825)*2,(0.7354*C116^0.4078)*2)/IF(_xlfn.XLOOKUP(E116,Groups!A:A,Groups!BM:BM)=1,1000,100))</f>
        <v>No</v>
      </c>
      <c r="BQ116" s="8">
        <f t="shared" si="59"/>
        <v>9.9997614552410241E-2</v>
      </c>
      <c r="BR116" s="8">
        <f t="shared" si="47"/>
        <v>1296.4708698385011</v>
      </c>
      <c r="BS116" s="8" t="str">
        <f t="shared" si="60"/>
        <v>No</v>
      </c>
      <c r="BT116" s="8" t="str">
        <f t="shared" si="48"/>
        <v>No</v>
      </c>
      <c r="BU116" s="4">
        <v>0</v>
      </c>
      <c r="BV116" s="4">
        <v>1</v>
      </c>
    </row>
    <row r="117" spans="1:74" x14ac:dyDescent="0.25">
      <c r="A117" s="26" t="s">
        <v>474</v>
      </c>
      <c r="B117" s="6" t="s">
        <v>473</v>
      </c>
      <c r="C117" s="7">
        <v>9.3000000000000007</v>
      </c>
      <c r="D117" s="7" t="s">
        <v>600</v>
      </c>
      <c r="E117" s="7" t="s">
        <v>635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600</v>
      </c>
      <c r="L117" s="7">
        <f>MIN(20*C117^0.183,19.9*C117^0.142,13.7*C117^0.004)</f>
        <v>13.822751450214948</v>
      </c>
      <c r="M117" s="7" t="s">
        <v>638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945</v>
      </c>
      <c r="Y117" s="4" t="s">
        <v>42</v>
      </c>
      <c r="Z117" s="4">
        <v>0</v>
      </c>
      <c r="AA117" s="4">
        <v>0</v>
      </c>
      <c r="AB117" s="4">
        <v>0</v>
      </c>
      <c r="AC117" s="4" t="s">
        <v>45</v>
      </c>
      <c r="AD117" s="4" t="s">
        <v>45</v>
      </c>
      <c r="AE117" s="28" t="s">
        <v>394</v>
      </c>
      <c r="AF117" s="4" t="s">
        <v>45</v>
      </c>
      <c r="AG117" s="4">
        <v>0</v>
      </c>
      <c r="AH117" s="4">
        <v>0</v>
      </c>
      <c r="AI117" s="4">
        <v>0</v>
      </c>
      <c r="AJ117" s="4">
        <v>0</v>
      </c>
      <c r="AK117" s="4">
        <v>1</v>
      </c>
      <c r="AL117" s="44" t="s">
        <v>40</v>
      </c>
      <c r="AM117" s="8">
        <f t="shared" si="51"/>
        <v>4729.7359453007584</v>
      </c>
      <c r="AN117" s="8">
        <f>IFERROR(C117*_xlfn.XLOOKUP(E117,Groups!A:A,Groups!K:K),0.106*C117^0.94)</f>
        <v>0.86234259203511221</v>
      </c>
      <c r="AO117" s="8">
        <f>AN117*10000/(_xlfn.XLOOKUP(E117,Groups!A:A,Groups!J:J)*AM117)</f>
        <v>1.6726937863810405</v>
      </c>
      <c r="AP117" s="8">
        <f t="shared" si="52"/>
        <v>357.69946972785391</v>
      </c>
      <c r="AQ117" s="8">
        <f>IF(_xlfn.XLOOKUP(E117,Groups!A:A,Groups!M:M)=1,EXP(0.7444*LN('Base stats'!C117)+6.5696),EXP(0.7927*LN('Base stats'!C117)+4.28))</f>
        <v>423.15240726068942</v>
      </c>
      <c r="AR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"No")))))))))))))))</f>
        <v>258.52259547494447</v>
      </c>
      <c r="AS117" s="8">
        <f>IF(_xlfn.XLOOKUP(E117,Groups!A:A,Groups!U:U)=3,AQ117,IF(_xlfn.XLOOKUP(E117,Groups!A:A,Groups!U:U)=2,AP117,AR117))</f>
        <v>258.52259547494447</v>
      </c>
      <c r="AT117" s="46">
        <f>IFERROR(AVERAGE(_xlfn.XLOOKUP(B117,Animals!B:B,Animals!N:N),_xlfn.XLOOKUP(B117,Animals!B:B,Animals!O:O)),0)</f>
        <v>0</v>
      </c>
      <c r="AU117" s="8">
        <f>MROUND(40*Animals!AO117*_xlfn.XLOOKUP(Animals!BB117,Leathers!$A$2:$A$100,Leathers!$B$2:$B$100,0)+(140*_xlfn.XLOOKUP(B117,Animals!B:B,Animals!AO:AO)*2),5)</f>
        <v>140</v>
      </c>
      <c r="AV117" s="8">
        <f>IFERROR(ROUND(SQRT(V117-1)*IF(_xlfn.XLOOKUP(E117,Groups!A:A,Groups!BF:BF)=0,2,1)*IF(_xlfn.XLOOKUP('Base stats'!E117,Groups!A:A,Groups!O:O)=0,1,0.1),1),0)</f>
        <v>0</v>
      </c>
      <c r="AW117" s="8">
        <f t="shared" si="53"/>
        <v>1.2</v>
      </c>
      <c r="AX117" s="8">
        <f t="shared" si="54"/>
        <v>0</v>
      </c>
      <c r="AY117" s="8">
        <f t="shared" si="55"/>
        <v>1.5</v>
      </c>
      <c r="AZ117" s="8">
        <f>IF(_xlfn.XLOOKUP(E117,Groups!A:A,Groups!N:N)="Insect",BB117*2.5,IFERROR(AVERAGE(BB117,AR117/9.81/IF(OR(_xlfn.XLOOKUP(E117,Groups!A:A,Groups!N:N)="Pig",_xlfn.XLOOKUP(E117,Groups!A:A,Groups!N:N)="StrongBitingHerbivore"),20,25))*C117^-0.135,BB117))</f>
        <v>0.46798222308023507</v>
      </c>
      <c r="BA117" s="8" t="str">
        <f>IF(W117="No","No",IF(_xlfn.XLOOKUP(E117,Groups!A:A,Groups!U:U)=1,'Base stats'!AZ117,IF(OR(_xlfn.XLOOKUP(E117,Groups!A:A,Groups!BD:BD)=1,_xlfn.XLOOKUP(E117,Groups!A:A,Groups!U:U)=2),BB117,IF(_xlfn.XLOOKUP(B117,Animals!B:B,Animals!AO:AO)&gt;4,AVERAGE(BB117,BD117),BD117))))</f>
        <v>No</v>
      </c>
      <c r="BB117" s="8">
        <f t="shared" si="56"/>
        <v>0.21063096149006141</v>
      </c>
      <c r="BC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D117" s="8">
        <f>(0.048*C117^1.01)/IF(_xlfn.XLOOKUP(E117,Groups!A:A,Groups!M:M)=1,0.25,0.8)*C117^-0.25</f>
        <v>0.32673698052620759</v>
      </c>
      <c r="BE117" s="8">
        <f>EXP(1.076*LN(AP117)-4.5397)*IF(_xlfn.XLOOKUP(E117,Groups!A:A,Groups!BC:BC)=1,1.25,IF(_xlfn.XLOOKUP(E117,Groups!A:A,Groups!BD:BD)=1,3.5,2.5))</f>
        <v>14.926536113178264</v>
      </c>
      <c r="BF117" s="8">
        <f>EXP(1.076*LN(AQ117)-4.5397)*IF(_xlfn.XLOOKUP(E117,Groups!A:A,Groups!M:M)=1,0.8,IF(_xlfn.XLOOKUP(E117,Groups!A:A,Groups!BC:BC)=1,1.3,3))</f>
        <v>21.461751851563431</v>
      </c>
      <c r="BG117" s="8" t="str">
        <f>IF(W117="No","No",IF(_xlfn.XLOOKUP(E117,Groups!A:A,Groups!U:U)=1,'Base stats'!BH117,IF(OR(_xlfn.XLOOKUP(E117,Groups!A:A,Groups!BD:BD)=1,_xlfn.XLOOKUP(E117,Groups!A:A,Groups!U:U)=2),BE117,BF117))*1.2)</f>
        <v>No</v>
      </c>
      <c r="BH117" s="8">
        <f>IFERROR(EXP(1.076*LN(AR117)-4.5397)*IF(_xlfn.XLOOKUP(E117,Groups!A:A,Groups!N:N)="Insect",1,IF(OR(_xlfn.XLOOKUP(E117,Groups!A:A,Groups!N:N)="Pig",_xlfn.XLOOKUP(E117,Groups!A:A,Groups!N:N)="StrongBitingHerbivore"),3.5,3.75)),"No")</f>
        <v>15.787486864838188</v>
      </c>
      <c r="BI117" s="8">
        <f t="shared" si="44"/>
        <v>11</v>
      </c>
      <c r="BJ117" s="8">
        <f t="shared" si="45"/>
        <v>10</v>
      </c>
      <c r="BK117" s="8" t="str">
        <f t="shared" si="57"/>
        <v>No</v>
      </c>
      <c r="BL117" s="8">
        <f t="shared" si="58"/>
        <v>8</v>
      </c>
      <c r="BM117" s="8">
        <f t="shared" si="46"/>
        <v>11</v>
      </c>
      <c r="BN117" s="8" cm="1">
        <f t="array" ref="BN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O117" s="8" t="str">
        <f>IF(W117="No","No",IF(_xlfn.XLOOKUP(E117,Groups!A:A,Groups!BD:BD)=1,(AM117*5%),EXP(0.7354*LN(C117)^0.4078)*2/IF(_xlfn.XLOOKUP(E117,Groups!A:A,Groups!BL:BL)=1,1000,100)))</f>
        <v>No</v>
      </c>
      <c r="BP117" s="8">
        <f>IF(BH117="No","No",IF(_xlfn.XLOOKUP(E117,Groups!A:A,Groups!BF:BF)=1,(0.0315*C117+2.1825)*2,(0.7354*C117^0.4078)*2)/IF(_xlfn.XLOOKUP(E117,Groups!A:A,Groups!BM:BM)=1,1000,100))</f>
        <v>3.6517494087127893E-2</v>
      </c>
      <c r="BQ117" s="8">
        <f t="shared" si="59"/>
        <v>6.3117841189458207E-2</v>
      </c>
      <c r="BR117" s="8">
        <f t="shared" si="47"/>
        <v>587.71151712539108</v>
      </c>
      <c r="BS117" s="8" t="str">
        <f t="shared" si="60"/>
        <v>No</v>
      </c>
      <c r="BT117" s="8">
        <f t="shared" si="48"/>
        <v>432.32667682975386</v>
      </c>
      <c r="BU117" s="4">
        <v>0</v>
      </c>
      <c r="BV117" s="4">
        <v>1</v>
      </c>
    </row>
    <row r="118" spans="1:74" x14ac:dyDescent="0.25">
      <c r="A118" s="26" t="s">
        <v>475</v>
      </c>
      <c r="B118" s="6" t="s">
        <v>476</v>
      </c>
      <c r="C118" s="7">
        <v>1.25</v>
      </c>
      <c r="D118" s="7" t="s">
        <v>601</v>
      </c>
      <c r="E118" s="7" t="s">
        <v>475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601</v>
      </c>
      <c r="L118" s="7">
        <f>MIN(20*C118^0.183,19.9*C118^0.142,13.7*C118^0.004)</f>
        <v>13.712233725553745</v>
      </c>
      <c r="M118" s="7" t="s">
        <v>638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945</v>
      </c>
      <c r="Y118" s="4" t="s">
        <v>56</v>
      </c>
      <c r="Z118" s="4">
        <v>0</v>
      </c>
      <c r="AA118" s="4">
        <v>0</v>
      </c>
      <c r="AB118" s="4">
        <v>0</v>
      </c>
      <c r="AC118" s="4" t="s">
        <v>45</v>
      </c>
      <c r="AD118" s="4" t="s">
        <v>45</v>
      </c>
      <c r="AE118" s="28" t="s">
        <v>394</v>
      </c>
      <c r="AF118" s="4" t="s">
        <v>45</v>
      </c>
      <c r="AG118" s="4">
        <v>0</v>
      </c>
      <c r="AH118" s="4">
        <v>0</v>
      </c>
      <c r="AI118" s="4">
        <v>0</v>
      </c>
      <c r="AJ118" s="4">
        <v>0</v>
      </c>
      <c r="AK118" s="4">
        <v>1</v>
      </c>
      <c r="AL118" s="44">
        <f>3.6*(23.3/11)</f>
        <v>7.6254545454545459</v>
      </c>
      <c r="AM118" s="8">
        <f t="shared" si="51"/>
        <v>1283.2594976509731</v>
      </c>
      <c r="AN118" s="8">
        <f>IFERROR(C118*_xlfn.XLOOKUP(E118,Groups!A:A,Groups!K:K),0.106*C118^0.94)</f>
        <v>0.13073783158563235</v>
      </c>
      <c r="AO118" s="8">
        <f>AN118*10000/(_xlfn.XLOOKUP(E118,Groups!A:A,Groups!J:J)*AM118)</f>
        <v>0.9346742804321212</v>
      </c>
      <c r="AP118" s="8">
        <f t="shared" si="52"/>
        <v>65.659963606094692</v>
      </c>
      <c r="AQ118" s="8">
        <f>IF(_xlfn.XLOOKUP(E118,Groups!A:A,Groups!M:M)=1,EXP(0.7444*LN('Base stats'!C118)+6.5696),EXP(0.7927*LN('Base stats'!C118)+4.28))</f>
        <v>86.218596678127668</v>
      </c>
      <c r="AR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"No")))))))))))))))</f>
        <v>16.403772453800375</v>
      </c>
      <c r="AS118" s="8">
        <f>IF(_xlfn.XLOOKUP(E118,Groups!A:A,Groups!U:U)=3,AQ118,IF(_xlfn.XLOOKUP(E118,Groups!A:A,Groups!U:U)=2,AP118,AR118))</f>
        <v>16.403772453800375</v>
      </c>
      <c r="AT118" s="46">
        <f>IFERROR(AVERAGE(_xlfn.XLOOKUP(B118,Animals!B:B,Animals!N:N),_xlfn.XLOOKUP(B118,Animals!B:B,Animals!O:O)),0)</f>
        <v>0</v>
      </c>
      <c r="AU118" s="8">
        <f>MROUND(40*Animals!AO118*_xlfn.XLOOKUP(Animals!BB118,Leathers!$A$2:$A$100,Leathers!$B$2:$B$100,0)+(140*_xlfn.XLOOKUP(B118,Animals!B:B,Animals!AO:AO)*2),5)</f>
        <v>55</v>
      </c>
      <c r="AV118" s="8">
        <f>IFERROR(ROUND(SQRT(V118-1)*IF(_xlfn.XLOOKUP(E118,Groups!A:A,Groups!BF:BF)=0,2,1)*IF(_xlfn.XLOOKUP('Base stats'!E118,Groups!A:A,Groups!O:O)=0,1,0.1),1),0)</f>
        <v>0.2</v>
      </c>
      <c r="AW118" s="8">
        <f t="shared" si="53"/>
        <v>0.9</v>
      </c>
      <c r="AX118" s="8">
        <f t="shared" si="54"/>
        <v>0</v>
      </c>
      <c r="AY118" s="8">
        <f t="shared" si="55"/>
        <v>0.7</v>
      </c>
      <c r="AZ118" s="8">
        <f>IF(_xlfn.XLOOKUP(E118,Groups!A:A,Groups!N:N)="Insect",BB118*2.5,IFERROR(AVERAGE(BB118,AR118/9.81/IF(OR(_xlfn.XLOOKUP(E118,Groups!A:A,Groups!N:N)="Pig",_xlfn.XLOOKUP(E118,Groups!A:A,Groups!N:N)="StrongBitingHerbivore"),20,25))*C118^-0.135,BB118))</f>
        <v>5.534367988556204E-2</v>
      </c>
      <c r="BA118" s="8" t="str">
        <f>IF(W118="No","No",IF(_xlfn.XLOOKUP(E118,Groups!A:A,Groups!U:U)=1,'Base stats'!AZ118,IF(OR(_xlfn.XLOOKUP(E118,Groups!A:A,Groups!BD:BD)=1,_xlfn.XLOOKUP(E118,Groups!A:A,Groups!U:U)=2),BB118,IF(_xlfn.XLOOKUP(B118,Animals!B:B,Animals!AO:AO)&gt;4,AVERAGE(BB118,BD118),BD118))))</f>
        <v>No</v>
      </c>
      <c r="BB118" s="8">
        <f t="shared" si="56"/>
        <v>4.7186556775152606E-2</v>
      </c>
      <c r="BC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D118" s="8">
        <f>(0.048*C118^1.01)/IF(_xlfn.XLOOKUP(E118,Groups!A:A,Groups!M:M)=1,0.25,0.8)*C118^-0.25</f>
        <v>7.1089074505184646E-2</v>
      </c>
      <c r="BE118" s="8">
        <f>EXP(1.076*LN(AP118)-4.5397)*IF(_xlfn.XLOOKUP(E118,Groups!A:A,Groups!BC:BC)=1,1.25,IF(_xlfn.XLOOKUP(E118,Groups!A:A,Groups!BD:BD)=1,3.5,2.5))</f>
        <v>2.4087339580560458</v>
      </c>
      <c r="BF118" s="8">
        <f>EXP(1.076*LN(AQ118)-4.5397)*IF(_xlfn.XLOOKUP(E118,Groups!A:A,Groups!M:M)=1,0.8,IF(_xlfn.XLOOKUP(E118,Groups!A:A,Groups!BC:BC)=1,1.3,3))</f>
        <v>3.8749064077407116</v>
      </c>
      <c r="BG118" s="8" t="str">
        <f>IF(W118="No","No",IF(_xlfn.XLOOKUP(E118,Groups!A:A,Groups!U:U)=1,'Base stats'!BH118,IF(OR(_xlfn.XLOOKUP(E118,Groups!A:A,Groups!BD:BD)=1,_xlfn.XLOOKUP(E118,Groups!A:A,Groups!U:U)=2),BE118,BF118))*1.2)</f>
        <v>No</v>
      </c>
      <c r="BH118" s="8">
        <f>IFERROR(EXP(1.076*LN(AR118)-4.5397)*IF(_xlfn.XLOOKUP(E118,Groups!A:A,Groups!N:N)="Insect",1,IF(OR(_xlfn.XLOOKUP(E118,Groups!A:A,Groups!N:N)="Pig",_xlfn.XLOOKUP(E118,Groups!A:A,Groups!N:N)="StrongBitingHerbivore"),3.5,3.75)),"No")</f>
        <v>0.81235165295276968</v>
      </c>
      <c r="BI118" s="8">
        <f t="shared" si="44"/>
        <v>10</v>
      </c>
      <c r="BJ118" s="8">
        <f t="shared" si="45"/>
        <v>9</v>
      </c>
      <c r="BK118" s="8" t="str">
        <f t="shared" si="57"/>
        <v>No</v>
      </c>
      <c r="BL118" s="8">
        <f t="shared" si="58"/>
        <v>5</v>
      </c>
      <c r="BM118" s="8">
        <f t="shared" si="46"/>
        <v>10</v>
      </c>
      <c r="BN118" s="8" cm="1">
        <f t="array" ref="BN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O118" s="8" t="str">
        <f>IF(W118="No","No",IF(_xlfn.XLOOKUP(E118,Groups!A:A,Groups!BD:BD)=1,(AM118*5%),EXP(0.7354*LN(C118)^0.4078)*2/IF(_xlfn.XLOOKUP(E118,Groups!A:A,Groups!BL:BL)=1,1000,100)))</f>
        <v>No</v>
      </c>
      <c r="BP118" s="8">
        <f>IF(BH118="No","No",IF(_xlfn.XLOOKUP(E118,Groups!A:A,Groups!BF:BF)=1,(0.0315*C118+2.1825)*2,(0.7354*C118^0.4078)*2)/IF(_xlfn.XLOOKUP(E118,Groups!A:A,Groups!BM:BM)=1,1000,100))</f>
        <v>1.6109183348029264E-2</v>
      </c>
      <c r="BQ118" s="8">
        <f t="shared" si="59"/>
        <v>3.7540870922292358E-2</v>
      </c>
      <c r="BR118" s="8">
        <f t="shared" si="47"/>
        <v>240.54021386594701</v>
      </c>
      <c r="BS118" s="8" t="str">
        <f t="shared" si="60"/>
        <v>No</v>
      </c>
      <c r="BT118" s="8">
        <f t="shared" si="48"/>
        <v>50.427860643360901</v>
      </c>
      <c r="BU118" s="4">
        <v>0</v>
      </c>
      <c r="BV118" s="4">
        <v>1</v>
      </c>
    </row>
    <row r="119" spans="1:74" s="16" customFormat="1" x14ac:dyDescent="0.25">
      <c r="A119" s="26" t="s">
        <v>1024</v>
      </c>
      <c r="B119" s="6" t="s">
        <v>925</v>
      </c>
      <c r="C119" s="7">
        <v>13.25</v>
      </c>
      <c r="D119" s="7" t="s">
        <v>593</v>
      </c>
      <c r="E119" s="7" t="s">
        <v>55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593</v>
      </c>
      <c r="L119" s="7">
        <v>65</v>
      </c>
      <c r="M119" s="7" t="s">
        <v>638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IF(AR119="No","No",IF(_xlfn.XLOOKUP(E119,Groups!A:A,Groups!AM:AM)=1,MROUND(EXP(0.3582*LN(C119)-0.2221)*T119,0.05),IF(_xlfn.XLOOKUP(E119,Groups!A:A,Groups!AM:AM)=2,MROUND(EXP(0.3582*LN(C119)-0.2221)*T119,0.05),"Need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945</v>
      </c>
      <c r="Y119" s="4" t="s">
        <v>56</v>
      </c>
      <c r="Z119" s="4">
        <v>0</v>
      </c>
      <c r="AA119" s="4">
        <v>0</v>
      </c>
      <c r="AB119" s="4">
        <v>0</v>
      </c>
      <c r="AC119" s="4" t="s">
        <v>45</v>
      </c>
      <c r="AD119" s="4" t="s">
        <v>320</v>
      </c>
      <c r="AE119" s="28" t="s">
        <v>405</v>
      </c>
      <c r="AF119" s="4" t="str">
        <f>Animals!C56</f>
        <v>&lt;li&gt;Wolf_Timber&lt;/li&gt;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4" t="s">
        <v>40</v>
      </c>
      <c r="AM119" s="8">
        <f t="shared" si="51"/>
        <v>5953.3758261455168</v>
      </c>
      <c r="AN119" s="8">
        <f>IFERROR(C119*_xlfn.XLOOKUP(E119,Groups!A:A,Groups!K:K),0.106*C119^0.94)</f>
        <v>1.6529374999999999</v>
      </c>
      <c r="AO119" s="8">
        <f>AN119*10000/(_xlfn.XLOOKUP(E119,Groups!A:A,Groups!J:J)*AM119)</f>
        <v>2.5472210495405099</v>
      </c>
      <c r="AP119" s="8">
        <f t="shared" si="52"/>
        <v>482.36579284271642</v>
      </c>
      <c r="AQ119" s="8">
        <f>IF(_xlfn.XLOOKUP(E119,Groups!A:A,Groups!M:M)=1,EXP(0.7444*LN('Base stats'!C119)+6.5696),EXP(0.7927*LN('Base stats'!C119)+4.28))</f>
        <v>560.22296698291473</v>
      </c>
      <c r="AR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"No")))))))))))))))</f>
        <v>814.17434778069526</v>
      </c>
      <c r="AS119" s="8">
        <f>IF(_xlfn.XLOOKUP(E119,Groups!A:A,Groups!U:U)=3,AQ119,IF(_xlfn.XLOOKUP(E119,Groups!A:A,Groups!U:U)=2,AP119,AR119))</f>
        <v>814.17434778069526</v>
      </c>
      <c r="AT119" s="46">
        <f>IFERROR(AVERAGE(_xlfn.XLOOKUP(B119,Animals!B:B,Animals!N:N),_xlfn.XLOOKUP(B119,Animals!B:B,Animals!O:O)),0)</f>
        <v>0</v>
      </c>
      <c r="AU119" s="8">
        <f>MROUND(40*Animals!AO119*_xlfn.XLOOKUP(Animals!BB119,Leathers!$A$2:$A$100,Leathers!$B$2:$B$100,0)+(140*_xlfn.XLOOKUP(B119,Animals!B:B,Animals!AO:AO)*2),5)</f>
        <v>200</v>
      </c>
      <c r="AV119" s="8">
        <f>IFERROR(ROUND(SQRT(V119-1)*IF(_xlfn.XLOOKUP(E119,Groups!A:A,Groups!BF:BF)=0,2,1)*IF(_xlfn.XLOOKUP('Base stats'!E119,Groups!A:A,Groups!O:O)=0,1,0.1),1),0)</f>
        <v>2.2999999999999998</v>
      </c>
      <c r="AW119" s="8">
        <f t="shared" si="53"/>
        <v>0</v>
      </c>
      <c r="AX119" s="8">
        <f t="shared" si="54"/>
        <v>0</v>
      </c>
      <c r="AY119" s="8">
        <f t="shared" si="55"/>
        <v>1.9</v>
      </c>
      <c r="AZ119" s="8">
        <f>IF(_xlfn.XLOOKUP(E119,Groups!A:A,Groups!N:N)="Insect",BB119*2.5,IFERROR(AVERAGE(BB119,AR119/9.81/IF(OR(_xlfn.XLOOKUP(E119,Groups!A:A,Groups!N:N)="Pig",_xlfn.XLOOKUP(E119,Groups!A:A,Groups!N:N)="StrongBitingHerbivore"),20,25))*C119^-0.135,BB119))</f>
        <v>1.2894512039154595</v>
      </c>
      <c r="BA119" s="8" t="str">
        <f>IF(W119="No","No",IF(_xlfn.XLOOKUP(E119,Groups!A:A,Groups!U:U)=1,'Base stats'!AZ119,IF(OR(_xlfn.XLOOKUP(E119,Groups!A:A,Groups!BD:BD)=1,_xlfn.XLOOKUP(E119,Groups!A:A,Groups!U:U)=2),BB119,IF(_xlfn.XLOOKUP(B119,Animals!B:B,Animals!AO:AO)&gt;4,AVERAGE(BB119,BD119),BD119))))</f>
        <v>No</v>
      </c>
      <c r="BB119" s="8">
        <f t="shared" si="56"/>
        <v>0.33561971314389133</v>
      </c>
      <c r="BC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D119" s="8">
        <f>(0.048*C119^1.01)/IF(_xlfn.XLOOKUP(E119,Groups!A:A,Groups!M:M)=1,0.25,0.8)*C119^-0.25</f>
        <v>0.42759765800687999</v>
      </c>
      <c r="BE119" s="8">
        <f>EXP(1.076*LN(AP119)-4.5397)*IF(_xlfn.XLOOKUP(E119,Groups!A:A,Groups!BC:BC)=1,1.25,IF(_xlfn.XLOOKUP(E119,Groups!A:A,Groups!BD:BD)=1,3.5,2.5))</f>
        <v>20.591427987572672</v>
      </c>
      <c r="BF119" s="8">
        <f>EXP(1.076*LN(AQ119)-4.5397)*IF(_xlfn.XLOOKUP(E119,Groups!A:A,Groups!M:M)=1,0.8,IF(_xlfn.XLOOKUP(E119,Groups!A:A,Groups!BC:BC)=1,1.3,3))</f>
        <v>29.026250140724073</v>
      </c>
      <c r="BG119" s="8" t="str">
        <f>IF(W119="No","No",IF(_xlfn.XLOOKUP(E119,Groups!A:A,Groups!U:U)=1,'Base stats'!BH119,IF(OR(_xlfn.XLOOKUP(E119,Groups!A:A,Groups!BD:BD)=1,_xlfn.XLOOKUP(E119,Groups!A:A,Groups!U:U)=2),BE119,BF119))*1.2)</f>
        <v>No</v>
      </c>
      <c r="BH119" s="8">
        <f>IFERROR(EXP(1.076*LN(AR119)-4.5397)*IF(_xlfn.XLOOKUP(E119,Groups!A:A,Groups!N:N)="Insect",1,IF(OR(_xlfn.XLOOKUP(E119,Groups!A:A,Groups!N:N)="Pig",_xlfn.XLOOKUP(E119,Groups!A:A,Groups!N:N)="StrongBitingHerbivore"),3.5,3.75)),"No")</f>
        <v>54.249600793987327</v>
      </c>
      <c r="BI119" s="8">
        <f t="shared" si="44"/>
        <v>11</v>
      </c>
      <c r="BJ119" s="8">
        <f t="shared" si="45"/>
        <v>10</v>
      </c>
      <c r="BK119" s="8" t="str">
        <f t="shared" si="57"/>
        <v>No</v>
      </c>
      <c r="BL119" s="8">
        <f t="shared" si="58"/>
        <v>9</v>
      </c>
      <c r="BM119" s="8">
        <f t="shared" si="46"/>
        <v>11</v>
      </c>
      <c r="BN119" s="8" t="str" cm="1">
        <f t="array" ref="BN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O119" s="8" t="str">
        <f>IF(W119="No","No",IF(_xlfn.XLOOKUP(E119,Groups!A:A,Groups!BD:BD)=1,(AM119*5%),EXP(0.7354*LN(C119)^0.4078)*2/IF(_xlfn.XLOOKUP(E119,Groups!A:A,Groups!BL:BL)=1,1000,100)))</f>
        <v>No</v>
      </c>
      <c r="BP119" s="8">
        <f>IF(BH119="No","No",IF(_xlfn.XLOOKUP(E119,Groups!A:A,Groups!BF:BF)=1,(0.0315*C119+2.1825)*2,(0.7354*C119^0.4078)*2)/IF(_xlfn.XLOOKUP(E119,Groups!A:A,Groups!BM:BM)=1,1000,100))</f>
        <v>4.2188419557802559E-2</v>
      </c>
      <c r="BQ119" s="8">
        <f t="shared" si="59"/>
        <v>6.9175636105958685E-2</v>
      </c>
      <c r="BR119" s="8" t="str">
        <f t="shared" si="47"/>
        <v>No</v>
      </c>
      <c r="BS119" s="8" t="str">
        <f t="shared" si="60"/>
        <v>No</v>
      </c>
      <c r="BT119" s="8">
        <f t="shared" si="48"/>
        <v>1285.8884348502243</v>
      </c>
      <c r="BU119" s="4">
        <v>0</v>
      </c>
      <c r="BV119" s="4">
        <v>1</v>
      </c>
    </row>
    <row r="120" spans="1:74" x14ac:dyDescent="0.25">
      <c r="A120" s="26" t="s">
        <v>477</v>
      </c>
      <c r="B120" s="6" t="s">
        <v>237</v>
      </c>
      <c r="C120" s="7">
        <f>154.25</f>
        <v>154.25</v>
      </c>
      <c r="D120" s="7" t="s">
        <v>602</v>
      </c>
      <c r="E120" s="7" t="s">
        <v>181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602</v>
      </c>
      <c r="L120" s="7">
        <v>48</v>
      </c>
      <c r="M120" s="7" t="s">
        <v>638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IF(AR120="No","No",IF(_xlfn.XLOOKUP(E120,Groups!A:A,Groups!AM:AM)=1,MROUND(EXP(0.3582*LN(C120)-0.2221)*T120,0.05),IF(_xlfn.XLOOKUP(E120,Groups!A:A,Groups!AM:AM)=2,MROUND(EXP(0.3582*LN(C120)-0.2221)*T120,0.05),"Need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945</v>
      </c>
      <c r="Y120" s="4" t="s">
        <v>53</v>
      </c>
      <c r="Z120" s="4">
        <v>0</v>
      </c>
      <c r="AA120" s="4">
        <v>0</v>
      </c>
      <c r="AB120" s="4">
        <v>0</v>
      </c>
      <c r="AC120" s="4" t="s">
        <v>45</v>
      </c>
      <c r="AD120" s="4" t="s">
        <v>45</v>
      </c>
      <c r="AE120" s="28" t="s">
        <v>383</v>
      </c>
      <c r="AF120" s="4" t="str">
        <f>Animals!C3</f>
        <v>&lt;li&gt;Bear_Grizzly&lt;/li&gt;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4" t="s">
        <v>40</v>
      </c>
      <c r="AM120" s="8">
        <f t="shared" si="51"/>
        <v>29354.138637678661</v>
      </c>
      <c r="AN120" s="8">
        <f>IFERROR(C120*_xlfn.XLOOKUP(E120,Groups!A:A,Groups!K:K),0.106*C120^0.94)</f>
        <v>19.242687499999999</v>
      </c>
      <c r="AO120" s="8">
        <f>AN120*10000/(_xlfn.XLOOKUP(E120,Groups!A:A,Groups!J:J)*AM120)</f>
        <v>6.0140895159699834</v>
      </c>
      <c r="AP120" s="8">
        <f t="shared" si="52"/>
        <v>3835.6109789427369</v>
      </c>
      <c r="AQ120" s="8">
        <f>IF(_xlfn.XLOOKUP(E120,Groups!A:A,Groups!M:M)=1,EXP(0.7444*LN('Base stats'!C120)+6.5696),EXP(0.7927*LN('Base stats'!C120)+4.28))</f>
        <v>3920.9064182087723</v>
      </c>
      <c r="AR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"No")))))))))))))))</f>
        <v>3193.342862592418</v>
      </c>
      <c r="AS120" s="8">
        <f>IF(_xlfn.XLOOKUP(E120,Groups!A:A,Groups!U:U)=3,AQ120,IF(_xlfn.XLOOKUP(E120,Groups!A:A,Groups!U:U)=2,AP120,AR120))</f>
        <v>3193.342862592418</v>
      </c>
      <c r="AT120" s="46">
        <f>IFERROR(AVERAGE(_xlfn.XLOOKUP(B120,Animals!B:B,Animals!N:N),_xlfn.XLOOKUP(B120,Animals!B:B,Animals!O:O)),0)</f>
        <v>0</v>
      </c>
      <c r="AU120" s="8">
        <f>MROUND(40*Animals!AO120*_xlfn.XLOOKUP(Animals!BB120,Leathers!$A$2:$A$100,Leathers!$B$2:$B$100,0)+(140*_xlfn.XLOOKUP(B120,Animals!B:B,Animals!AO:AO)*2),5)</f>
        <v>705</v>
      </c>
      <c r="AV120" s="8">
        <f>IFERROR(ROUND(SQRT(V120-1)*IF(_xlfn.XLOOKUP(E120,Groups!A:A,Groups!BF:BF)=0,2,1)*IF(_xlfn.XLOOKUP('Base stats'!E120,Groups!A:A,Groups!O:O)=0,1,0.1),1),0)</f>
        <v>2.9</v>
      </c>
      <c r="AW120" s="8">
        <f t="shared" si="53"/>
        <v>1.9</v>
      </c>
      <c r="AX120" s="8">
        <f t="shared" si="54"/>
        <v>0</v>
      </c>
      <c r="AY120" s="8">
        <f t="shared" si="55"/>
        <v>4.9000000000000004</v>
      </c>
      <c r="AZ120" s="8">
        <f>IF(_xlfn.XLOOKUP(E120,Groups!A:A,Groups!N:N)="Insect",BB120*2.5,IFERROR(AVERAGE(BB120,AR120/9.81/IF(OR(_xlfn.XLOOKUP(E120,Groups!A:A,Groups!N:N)="Pig",_xlfn.XLOOKUP(E120,Groups!A:A,Groups!N:N)="StrongBitingHerbivore"),20,25))*C120^-0.135,BB120))</f>
        <v>3.951108945397857</v>
      </c>
      <c r="BA120" s="8" t="str">
        <f>IF(W120="No","No",IF(_xlfn.XLOOKUP(E120,Groups!A:A,Groups!U:U)=1,'Base stats'!AZ120,IF(OR(_xlfn.XLOOKUP(E120,Groups!A:A,Groups!BD:BD)=1,_xlfn.XLOOKUP(E120,Groups!A:A,Groups!U:U)=2),BB120,IF(_xlfn.XLOOKUP(B120,Animals!B:B,Animals!AO:AO)&gt;4,AVERAGE(BB120,BD120),BD120))))</f>
        <v>No</v>
      </c>
      <c r="BB120" s="8">
        <f t="shared" si="56"/>
        <v>2.5804840886405951</v>
      </c>
      <c r="BC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D120" s="8">
        <f>(0.048*C120^1.01)/IF(_xlfn.XLOOKUP(E120,Groups!A:A,Groups!M:M)=1,0.25,0.8)*C120^-0.25</f>
        <v>2.7618645879002224</v>
      </c>
      <c r="BE120" s="8">
        <f>EXP(1.076*LN(AP120)-4.5397)*IF(_xlfn.XLOOKUP(E120,Groups!A:A,Groups!BC:BC)=1,1.25,IF(_xlfn.XLOOKUP(E120,Groups!A:A,Groups!BD:BD)=1,3.5,2.5))</f>
        <v>191.68111557006529</v>
      </c>
      <c r="BF120" s="8">
        <f>EXP(1.076*LN(AQ120)-4.5397)*IF(_xlfn.XLOOKUP(E120,Groups!A:A,Groups!M:M)=1,0.8,IF(_xlfn.XLOOKUP(E120,Groups!A:A,Groups!BC:BC)=1,1.3,3))</f>
        <v>235.52577657381272</v>
      </c>
      <c r="BG120" s="8" t="str">
        <f>IF(W120="No","No",IF(_xlfn.XLOOKUP(E120,Groups!A:A,Groups!U:U)=1,'Base stats'!BH120,IF(OR(_xlfn.XLOOKUP(E120,Groups!A:A,Groups!BD:BD)=1,_xlfn.XLOOKUP(E120,Groups!A:A,Groups!U:U)=2),BE120,BF120))*1.2)</f>
        <v>No</v>
      </c>
      <c r="BH120" s="8">
        <f>IFERROR(EXP(1.076*LN(AR120)-4.5397)*IF(_xlfn.XLOOKUP(E120,Groups!A:A,Groups!N:N)="Insect",1,IF(OR(_xlfn.XLOOKUP(E120,Groups!A:A,Groups!N:N)="Pig",_xlfn.XLOOKUP(E120,Groups!A:A,Groups!N:N)="StrongBitingHerbivore"),3.5,3.75)),"No")</f>
        <v>236.06566254080752</v>
      </c>
      <c r="BI120" s="8">
        <f t="shared" si="44"/>
        <v>12</v>
      </c>
      <c r="BJ120" s="8">
        <f t="shared" si="45"/>
        <v>11</v>
      </c>
      <c r="BK120" s="8" t="str">
        <f t="shared" si="57"/>
        <v>No</v>
      </c>
      <c r="BL120" s="8">
        <f t="shared" si="58"/>
        <v>10</v>
      </c>
      <c r="BM120" s="8">
        <f t="shared" si="46"/>
        <v>13</v>
      </c>
      <c r="BN120" s="8" cm="1">
        <f t="array" ref="BN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O120" s="8" t="str">
        <f>IF(W120="No","No",IF(_xlfn.XLOOKUP(E120,Groups!A:A,Groups!BD:BD)=1,(AM120*5%),EXP(0.7354*LN(C120)^0.4078)*2/IF(_xlfn.XLOOKUP(E120,Groups!A:A,Groups!BL:BL)=1,1000,100)))</f>
        <v>No</v>
      </c>
      <c r="BP120" s="8">
        <f>IF(BH120="No","No",IF(_xlfn.XLOOKUP(E120,Groups!A:A,Groups!BF:BF)=1,(0.0315*C120+2.1825)*2,(0.7354*C120^0.4078)*2)/IF(_xlfn.XLOOKUP(E120,Groups!A:A,Groups!BM:BM)=1,1000,100))</f>
        <v>0.11479205921855015</v>
      </c>
      <c r="BQ120" s="8">
        <f t="shared" si="59"/>
        <v>0.13059903949899959</v>
      </c>
      <c r="BR120" s="8">
        <f t="shared" si="47"/>
        <v>2051.760184259786</v>
      </c>
      <c r="BS120" s="8" t="str">
        <f t="shared" si="60"/>
        <v>No</v>
      </c>
      <c r="BT120" s="8">
        <f t="shared" si="48"/>
        <v>2056.4633490141259</v>
      </c>
      <c r="BU120" s="4">
        <v>0</v>
      </c>
      <c r="BV120" s="4">
        <v>1</v>
      </c>
    </row>
    <row r="121" spans="1:74" x14ac:dyDescent="0.25">
      <c r="A121" s="26" t="s">
        <v>57</v>
      </c>
      <c r="B121" s="6" t="s">
        <v>58</v>
      </c>
      <c r="C121" s="7">
        <v>62.999899999999997</v>
      </c>
      <c r="D121" s="7" t="s">
        <v>603</v>
      </c>
      <c r="E121" s="7" t="str">
        <f>Groups!A10</f>
        <v>Hyenid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603</v>
      </c>
      <c r="L121" s="7">
        <v>65</v>
      </c>
      <c r="M121" s="7" t="s">
        <v>638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IF(AR121="No","No",IF(_xlfn.XLOOKUP(E121,Groups!A:A,Groups!AM:AM)=1,MROUND(EXP(0.3582*LN(C121)-0.2221)*T121,0.05),IF(_xlfn.XLOOKUP(E121,Groups!A:A,Groups!AM:AM)=2,MROUND(EXP(0.3582*LN(C121)-0.2221)*T121,0.05),"Need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945</v>
      </c>
      <c r="Y121" s="4" t="s">
        <v>56</v>
      </c>
      <c r="Z121" s="4">
        <v>0</v>
      </c>
      <c r="AA121" s="4">
        <v>0</v>
      </c>
      <c r="AB121" s="4">
        <v>0</v>
      </c>
      <c r="AC121" s="4" t="s">
        <v>45</v>
      </c>
      <c r="AD121" s="4" t="s">
        <v>320</v>
      </c>
      <c r="AE121" s="28" t="s">
        <v>388</v>
      </c>
      <c r="AF121" s="4" t="s">
        <v>45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4" t="s">
        <v>40</v>
      </c>
      <c r="AM121" s="8">
        <f t="shared" si="51"/>
        <v>16401.889731654668</v>
      </c>
      <c r="AN121" s="8">
        <f>IFERROR(C121*_xlfn.XLOOKUP(E121,Groups!A:A,Groups!K:K),0.106*C121^0.94)</f>
        <v>7.8592375249999993</v>
      </c>
      <c r="AO121" s="8">
        <f>AN121*10000/(_xlfn.XLOOKUP(E121,Groups!A:A,Groups!J:J)*AM121)</f>
        <v>4.3960237350259925</v>
      </c>
      <c r="AP121" s="8">
        <f t="shared" si="52"/>
        <v>1800.2927374687702</v>
      </c>
      <c r="AQ121" s="8">
        <f>IF(_xlfn.XLOOKUP(E121,Groups!A:A,Groups!M:M)=1,EXP(0.7444*LN('Base stats'!C121)+6.5696),EXP(0.7927*LN('Base stats'!C121)+4.28))</f>
        <v>1928.0446610661597</v>
      </c>
      <c r="AR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"No")))))))))))))))</f>
        <v>5500</v>
      </c>
      <c r="AS121" s="8">
        <f>IF(_xlfn.XLOOKUP(E121,Groups!A:A,Groups!U:U)=3,AQ121,IF(_xlfn.XLOOKUP(E121,Groups!A:A,Groups!U:U)=2,AP121,AR121))</f>
        <v>5500</v>
      </c>
      <c r="AT121" s="46">
        <f>IFERROR(AVERAGE(_xlfn.XLOOKUP(B121,Animals!B:B,Animals!N:N),_xlfn.XLOOKUP(B121,Animals!B:B,Animals!O:O)),0)</f>
        <v>0</v>
      </c>
      <c r="AU121" s="8">
        <f>MROUND(40*Animals!AO121*_xlfn.XLOOKUP(Animals!BB121,Leathers!$A$2:$A$100,Leathers!$B$2:$B$100,0)+(140*_xlfn.XLOOKUP(B121,Animals!B:B,Animals!AO:AO)*2),5)</f>
        <v>340</v>
      </c>
      <c r="AV121" s="8">
        <f>IFERROR(ROUND(SQRT(V121-1)*IF(_xlfn.XLOOKUP(E121,Groups!A:A,Groups!BF:BF)=0,2,1)*IF(_xlfn.XLOOKUP('Base stats'!E121,Groups!A:A,Groups!O:O)=0,1,0.1),1),0)</f>
        <v>2.8</v>
      </c>
      <c r="AW121" s="8">
        <f t="shared" si="53"/>
        <v>0</v>
      </c>
      <c r="AX121" s="8">
        <f t="shared" si="54"/>
        <v>0</v>
      </c>
      <c r="AY121" s="8">
        <f t="shared" si="55"/>
        <v>3.5</v>
      </c>
      <c r="AZ121" s="8">
        <f>IF(_xlfn.XLOOKUP(E121,Groups!A:A,Groups!N:N)="Insect",BB121*2.5,IFERROR(AVERAGE(BB121,AR121/9.81/IF(OR(_xlfn.XLOOKUP(E121,Groups!A:A,Groups!N:N)="Pig",_xlfn.XLOOKUP(E121,Groups!A:A,Groups!N:N)="StrongBitingHerbivore"),20,25))*C121^-0.135,BB121))</f>
        <v>6.7597586534006018</v>
      </c>
      <c r="BA121" s="8" t="str">
        <f>IF(W121="No","No",IF(_xlfn.XLOOKUP(E121,Groups!A:A,Groups!U:U)=1,'Base stats'!AZ121,IF(OR(_xlfn.XLOOKUP(E121,Groups!A:A,Groups!BD:BD)=1,_xlfn.XLOOKUP(E121,Groups!A:A,Groups!U:U)=2),BB121,IF(_xlfn.XLOOKUP(B121,Animals!B:B,Animals!AO:AO)&gt;4,AVERAGE(BB121,BD121),BD121))))</f>
        <v>No</v>
      </c>
      <c r="BB121" s="8">
        <f t="shared" si="56"/>
        <v>1.2261327448364443</v>
      </c>
      <c r="BC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D121" s="8">
        <f>(0.048*C121^1.01)/IF(_xlfn.XLOOKUP(E121,Groups!A:A,Groups!M:M)=1,0.25,0.8)*C121^-0.25</f>
        <v>1.3984583746690362</v>
      </c>
      <c r="BE121" s="8">
        <f>EXP(1.076*LN(AP121)-4.5397)*IF(_xlfn.XLOOKUP(E121,Groups!A:A,Groups!BC:BC)=1,1.25,IF(_xlfn.XLOOKUP(E121,Groups!A:A,Groups!BD:BD)=1,3.5,2.5))</f>
        <v>84.942014489293456</v>
      </c>
      <c r="BF121" s="8">
        <f>EXP(1.076*LN(AQ121)-4.5397)*IF(_xlfn.XLOOKUP(E121,Groups!A:A,Groups!M:M)=1,0.8,IF(_xlfn.XLOOKUP(E121,Groups!A:A,Groups!BC:BC)=1,1.3,3))</f>
        <v>109.73384167197534</v>
      </c>
      <c r="BG121" s="8" t="str">
        <f>IF(W121="No","No",IF(_xlfn.XLOOKUP(E121,Groups!A:A,Groups!U:U)=1,'Base stats'!BH121,IF(OR(_xlfn.XLOOKUP(E121,Groups!A:A,Groups!BD:BD)=1,_xlfn.XLOOKUP(E121,Groups!A:A,Groups!U:U)=2),BE121,BF121))*1.2)</f>
        <v>No</v>
      </c>
      <c r="BH121" s="8">
        <f>IFERROR(EXP(1.076*LN(AR121)-4.5397)*IF(_xlfn.XLOOKUP(E121,Groups!A:A,Groups!N:N)="Insect",1,IF(OR(_xlfn.XLOOKUP(E121,Groups!A:A,Groups!N:N)="Pig",_xlfn.XLOOKUP(E121,Groups!A:A,Groups!N:N)="StrongBitingHerbivore"),3.5,3.75)),"No")</f>
        <v>423.73551169320569</v>
      </c>
      <c r="BI121" s="8">
        <f t="shared" si="44"/>
        <v>11</v>
      </c>
      <c r="BJ121" s="8">
        <f t="shared" si="45"/>
        <v>11</v>
      </c>
      <c r="BK121" s="8" t="str">
        <f t="shared" si="57"/>
        <v>No</v>
      </c>
      <c r="BL121" s="8">
        <f t="shared" si="58"/>
        <v>11</v>
      </c>
      <c r="BM121" s="8">
        <f t="shared" si="46"/>
        <v>12</v>
      </c>
      <c r="BN121" s="8" t="str" cm="1">
        <f t="array" ref="BN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O121" s="8" t="str">
        <f>IF(W121="No","No",IF(_xlfn.XLOOKUP(E121,Groups!A:A,Groups!BD:BD)=1,(AM121*5%),EXP(0.7354*LN(C121)^0.4078)*2/IF(_xlfn.XLOOKUP(E121,Groups!A:A,Groups!BL:BL)=1,1000,100)))</f>
        <v>No</v>
      </c>
      <c r="BP121" s="8">
        <f>IF(BH121="No","No",IF(_xlfn.XLOOKUP(E121,Groups!A:A,Groups!BF:BF)=1,(0.0315*C121+2.1825)*2,(0.7354*C121^0.4078)*2)/IF(_xlfn.XLOOKUP(E121,Groups!A:A,Groups!BM:BM)=1,1000,100))</f>
        <v>7.967543002753158E-2</v>
      </c>
      <c r="BQ121" s="8">
        <f t="shared" si="59"/>
        <v>0.10357588775317814</v>
      </c>
      <c r="BR121" s="8" t="str">
        <f t="shared" si="47"/>
        <v>No</v>
      </c>
      <c r="BS121" s="8" t="str">
        <f t="shared" si="60"/>
        <v>No</v>
      </c>
      <c r="BT121" s="8">
        <f t="shared" si="48"/>
        <v>5318.2707836880863</v>
      </c>
      <c r="BU121" s="4">
        <v>0</v>
      </c>
      <c r="BV121" s="4">
        <v>1</v>
      </c>
    </row>
    <row r="122" spans="1:74" x14ac:dyDescent="0.25">
      <c r="A122" s="26" t="s">
        <v>480</v>
      </c>
      <c r="B122" s="6" t="s">
        <v>478</v>
      </c>
      <c r="C122" s="7">
        <v>43</v>
      </c>
      <c r="D122" s="7" t="s">
        <v>604</v>
      </c>
      <c r="E122" s="7" t="s">
        <v>177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604</v>
      </c>
      <c r="L122" s="7">
        <f>0.28*3.6*5</f>
        <v>5.0400000000000009</v>
      </c>
      <c r="M122" s="7" t="s">
        <v>645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945</v>
      </c>
      <c r="Y122" s="4" t="s">
        <v>42</v>
      </c>
      <c r="Z122" s="4">
        <v>0</v>
      </c>
      <c r="AA122" s="4">
        <v>0</v>
      </c>
      <c r="AB122" s="4">
        <v>0</v>
      </c>
      <c r="AC122" s="4" t="s">
        <v>45</v>
      </c>
      <c r="AD122" s="4" t="s">
        <v>45</v>
      </c>
      <c r="AE122" s="28" t="s">
        <v>395</v>
      </c>
      <c r="AF122" s="4" t="str">
        <f>Animals!C34</f>
        <v>&lt;li&gt;Tortoise&lt;/li&gt;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4" t="s">
        <v>40</v>
      </c>
      <c r="AM122" s="8">
        <f t="shared" si="51"/>
        <v>12796.095566486785</v>
      </c>
      <c r="AN122" s="8">
        <f>IFERROR(C122*_xlfn.XLOOKUP(E122,Groups!A:A,Groups!K:K),0.106*C122^0.94)</f>
        <v>13.76</v>
      </c>
      <c r="AO122" s="8">
        <f>AN122*10000/(_xlfn.XLOOKUP(E122,Groups!A:A,Groups!J:J)*AM122)</f>
        <v>8.0851730185183595</v>
      </c>
      <c r="AP122" s="8">
        <f t="shared" si="52"/>
        <v>1303.8617771189106</v>
      </c>
      <c r="AQ122" s="8">
        <f>IF(_xlfn.XLOOKUP(E122,Groups!A:A,Groups!M:M)=1,EXP(0.7444*LN('Base stats'!C122)+6.5696),EXP(0.7927*LN('Base stats'!C122)+4.28))</f>
        <v>1424.3962685137005</v>
      </c>
      <c r="AR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"No")))))))))))))))</f>
        <v>729.45253649785354</v>
      </c>
      <c r="AS122" s="8">
        <f>IF(_xlfn.XLOOKUP(E122,Groups!A:A,Groups!U:U)=3,AQ122,IF(_xlfn.XLOOKUP(E122,Groups!A:A,Groups!U:U)=2,AP122,AR122))</f>
        <v>729.45253649785354</v>
      </c>
      <c r="AT122" s="46">
        <f>IFERROR(AVERAGE(_xlfn.XLOOKUP(B122,Animals!B:B,Animals!N:N),_xlfn.XLOOKUP(B122,Animals!B:B,Animals!O:O)),0)</f>
        <v>0.97500000000000009</v>
      </c>
      <c r="AU122" s="8">
        <f>MROUND(40*Animals!AO122*_xlfn.XLOOKUP(Animals!BB122,Leathers!$A$2:$A$100,Leathers!$B$2:$B$100,0)+(140*_xlfn.XLOOKUP(B122,Animals!B:B,Animals!AO:AO)*2),5)</f>
        <v>365</v>
      </c>
      <c r="AV122" s="8">
        <f>IFERROR(ROUND(SQRT(V122-1)*IF(_xlfn.XLOOKUP(E122,Groups!A:A,Groups!BF:BF)=0,2,1)*IF(_xlfn.XLOOKUP('Base stats'!E122,Groups!A:A,Groups!O:O)=0,1,0.1),1),0)</f>
        <v>0.2</v>
      </c>
      <c r="AW122" s="8">
        <f t="shared" si="53"/>
        <v>0</v>
      </c>
      <c r="AX122" s="8">
        <f t="shared" si="54"/>
        <v>0</v>
      </c>
      <c r="AY122" s="8">
        <f t="shared" si="55"/>
        <v>3.1</v>
      </c>
      <c r="AZ122" s="8">
        <f>IF(_xlfn.XLOOKUP(E122,Groups!A:A,Groups!N:N)="Insect",BB122*2.5,IFERROR(AVERAGE(BB122,AR122/9.81/IF(OR(_xlfn.XLOOKUP(E122,Groups!A:A,Groups!N:N)="Pig",_xlfn.XLOOKUP(E122,Groups!A:A,Groups!N:N)="StrongBitingHerbivore"),20,25))*C122^-0.135,BB122))</f>
        <v>1.0961164499854326</v>
      </c>
      <c r="BA122" s="8" t="str">
        <f>IF(W122="No","No",IF(_xlfn.XLOOKUP(E122,Groups!A:A,Groups!U:U)=1,'Base stats'!AZ122,IF(OR(_xlfn.XLOOKUP(E122,Groups!A:A,Groups!BD:BD)=1,_xlfn.XLOOKUP(E122,Groups!A:A,Groups!U:U)=2),BB122,IF(_xlfn.XLOOKUP(B122,Animals!B:B,Animals!AO:AO)&gt;4,AVERAGE(BB122,BD122),BD122))))</f>
        <v>No</v>
      </c>
      <c r="BB122" s="8">
        <f t="shared" si="56"/>
        <v>0.66822278875269436</v>
      </c>
      <c r="BC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D122" s="8">
        <f>(0.048*C122^1.01)/IF(_xlfn.XLOOKUP(E122,Groups!A:A,Groups!M:M)=1,0.25,0.8)*C122^-0.25</f>
        <v>1.0461339023483969</v>
      </c>
      <c r="BE122" s="8">
        <f>EXP(1.076*LN(AP122)-4.5397)*IF(_xlfn.XLOOKUP(E122,Groups!A:A,Groups!BC:BC)=1,1.25,IF(_xlfn.XLOOKUP(E122,Groups!A:A,Groups!BD:BD)=1,3.5,2.5))</f>
        <v>30.014596253060365</v>
      </c>
      <c r="BF122" s="8">
        <f>EXP(1.076*LN(AQ122)-4.5397)*IF(_xlfn.XLOOKUP(E122,Groups!A:A,Groups!M:M)=1,0.8,IF(_xlfn.XLOOKUP(E122,Groups!A:A,Groups!BC:BC)=1,1.3,3))</f>
        <v>34.330763573542072</v>
      </c>
      <c r="BG122" s="8" t="str">
        <f>IF(W122="No","No",IF(_xlfn.XLOOKUP(E122,Groups!A:A,Groups!U:U)=1,'Base stats'!BH122,IF(OR(_xlfn.XLOOKUP(E122,Groups!A:A,Groups!BD:BD)=1,_xlfn.XLOOKUP(E122,Groups!A:A,Groups!U:U)=2),BE122,BF122))*1.2)</f>
        <v>No</v>
      </c>
      <c r="BH122" s="8">
        <f>IFERROR(EXP(1.076*LN(AR122)-4.5397)*IF(_xlfn.XLOOKUP(E122,Groups!A:A,Groups!N:N)="Insect",1,IF(OR(_xlfn.XLOOKUP(E122,Groups!A:A,Groups!N:N)="Pig",_xlfn.XLOOKUP(E122,Groups!A:A,Groups!N:N)="StrongBitingHerbivore"),3.5,3.75)),"No")</f>
        <v>48.20026455721522</v>
      </c>
      <c r="BI122" s="8">
        <f t="shared" si="44"/>
        <v>9</v>
      </c>
      <c r="BJ122" s="8">
        <f t="shared" si="45"/>
        <v>9</v>
      </c>
      <c r="BK122" s="8" t="str">
        <f t="shared" si="57"/>
        <v>No</v>
      </c>
      <c r="BL122" s="8">
        <f t="shared" si="58"/>
        <v>9</v>
      </c>
      <c r="BM122" s="8">
        <f t="shared" si="46"/>
        <v>8</v>
      </c>
      <c r="BN122" s="8" t="str" cm="1">
        <f t="array" ref="BN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O122" s="8" t="str">
        <f>IF(W122="No","No",IF(_xlfn.XLOOKUP(E122,Groups!A:A,Groups!BD:BD)=1,(AM122*5%),EXP(0.7354*LN(C122)^0.4078)*2/IF(_xlfn.XLOOKUP(E122,Groups!A:A,Groups!BL:BL)=1,1000,100)))</f>
        <v>No</v>
      </c>
      <c r="BP122" s="8">
        <f>IF(BH122="No","No",IF(_xlfn.XLOOKUP(E122,Groups!A:A,Groups!BF:BF)=1,(0.0315*C122+2.1825)*2,(0.7354*C122^0.4078)*2)/IF(_xlfn.XLOOKUP(E122,Groups!A:A,Groups!BM:BM)=1,1000,100))</f>
        <v>7.0739999999999997E-2</v>
      </c>
      <c r="BQ122" s="8">
        <f t="shared" si="59"/>
        <v>4.6912116429747769E-2</v>
      </c>
      <c r="BR122" s="8" t="str">
        <f t="shared" si="47"/>
        <v>No</v>
      </c>
      <c r="BS122" s="8" t="str">
        <f t="shared" si="60"/>
        <v>No</v>
      </c>
      <c r="BT122" s="8">
        <f t="shared" si="48"/>
        <v>681.37213114525332</v>
      </c>
      <c r="BU122" s="4">
        <v>0</v>
      </c>
      <c r="BV122" s="4">
        <v>1</v>
      </c>
    </row>
    <row r="123" spans="1:74" x14ac:dyDescent="0.25">
      <c r="A123" s="26" t="s">
        <v>76</v>
      </c>
      <c r="B123" s="6" t="s">
        <v>77</v>
      </c>
      <c r="C123" s="7">
        <f>AVERAGE(199,143)</f>
        <v>171</v>
      </c>
      <c r="D123" s="7" t="s">
        <v>1210</v>
      </c>
      <c r="E123" s="7" t="s">
        <v>75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555</v>
      </c>
      <c r="L123" s="7">
        <v>59</v>
      </c>
      <c r="M123" s="7" t="s">
        <v>638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IF(AR123="No","No",IF(_xlfn.XLOOKUP(E123,Groups!A:A,Groups!AM:AM)=1,MROUND(EXP(0.3582*LN(C123)-0.2221)*T123,0.05),IF(_xlfn.XLOOKUP(E123,Groups!A:A,Groups!AM:AM)=2,MROUND(EXP(0.3582*LN(C123)-0.2221)*T123,0.05),"Need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945</v>
      </c>
      <c r="Y123" s="4" t="s">
        <v>56</v>
      </c>
      <c r="Z123" s="4">
        <v>0</v>
      </c>
      <c r="AA123" s="4">
        <v>0</v>
      </c>
      <c r="AB123" s="4">
        <v>0</v>
      </c>
      <c r="AC123" s="4" t="s">
        <v>45</v>
      </c>
      <c r="AD123" s="4" t="s">
        <v>320</v>
      </c>
      <c r="AE123" s="28" t="s">
        <v>398</v>
      </c>
      <c r="AF123" s="4" t="s">
        <v>45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4" t="s">
        <v>40</v>
      </c>
      <c r="AM123" s="8">
        <f t="shared" si="51"/>
        <v>31388.491941254008</v>
      </c>
      <c r="AN123" s="8">
        <f>IFERROR(C123*_xlfn.XLOOKUP(E123,Groups!A:A,Groups!K:K),0.106*C123^0.94)</f>
        <v>21.332249999999998</v>
      </c>
      <c r="AO123" s="8">
        <f>AN123*10000/(_xlfn.XLOOKUP(E123,Groups!A:A,Groups!J:J)*AM123)</f>
        <v>6.2350467796482301</v>
      </c>
      <c r="AP123" s="8">
        <f t="shared" si="52"/>
        <v>4184.5866397344453</v>
      </c>
      <c r="AQ123" s="8">
        <f>IF(_xlfn.XLOOKUP(E123,Groups!A:A,Groups!M:M)=1,EXP(0.7444*LN('Base stats'!C123)+6.5696),EXP(0.7927*LN('Base stats'!C123)+4.28))</f>
        <v>4254.7730453408494</v>
      </c>
      <c r="AR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"No")))))))))))))))</f>
        <v>6560.2502040372219</v>
      </c>
      <c r="AS123" s="8">
        <f>IF(_xlfn.XLOOKUP(E123,Groups!A:A,Groups!U:U)=3,AQ123,IF(_xlfn.XLOOKUP(E123,Groups!A:A,Groups!U:U)=2,AP123,AR123))</f>
        <v>6560.2502040372219</v>
      </c>
      <c r="AT123" s="46">
        <f>IFERROR(AVERAGE(_xlfn.XLOOKUP(B123,Animals!B:B,Animals!N:N),_xlfn.XLOOKUP(B123,Animals!B:B,Animals!O:O)),0)</f>
        <v>0</v>
      </c>
      <c r="AU123" s="8">
        <f>MROUND(40*Animals!AO123*_xlfn.XLOOKUP(Animals!BB123,Leathers!$A$2:$A$100,Leathers!$B$2:$B$100,0)+(140*_xlfn.XLOOKUP(B123,Animals!B:B,Animals!AO:AO)*2),5)</f>
        <v>760</v>
      </c>
      <c r="AV123" s="8">
        <f>IFERROR(ROUND(SQRT(V123-1)*IF(_xlfn.XLOOKUP(E123,Groups!A:A,Groups!BF:BF)=0,2,1)*IF(_xlfn.XLOOKUP('Base stats'!E123,Groups!A:A,Groups!O:O)=0,1,0.1),1),0)</f>
        <v>4.3</v>
      </c>
      <c r="AW123" s="8">
        <f t="shared" si="53"/>
        <v>2.4</v>
      </c>
      <c r="AX123" s="8">
        <f t="shared" si="54"/>
        <v>0</v>
      </c>
      <c r="AY123" s="8">
        <f t="shared" si="55"/>
        <v>5.0999999999999996</v>
      </c>
      <c r="AZ123" s="8">
        <f>IF(_xlfn.XLOOKUP(E123,Groups!A:A,Groups!N:N)="Insect",BB123*2.5,IFERROR(AVERAGE(BB123,AR123/9.81/IF(OR(_xlfn.XLOOKUP(E123,Groups!A:A,Groups!N:N)="Pig",_xlfn.XLOOKUP(E123,Groups!A:A,Groups!N:N)="StrongBitingHerbivore"),20,25))*C123^-0.135,BB123))</f>
        <v>7.3829122961559701</v>
      </c>
      <c r="BA123" s="8" t="str">
        <f>IF(W123="No","No",IF(_xlfn.XLOOKUP(E123,Groups!A:A,Groups!U:U)=1,'Base stats'!AZ123,IF(OR(_xlfn.XLOOKUP(E123,Groups!A:A,Groups!BD:BD)=1,_xlfn.XLOOKUP(E123,Groups!A:A,Groups!U:U)=2),BB123,IF(_xlfn.XLOOKUP(B123,Animals!B:B,Animals!AO:AO)&gt;4,AVERAGE(BB123,BD123),BD123))))</f>
        <v>No</v>
      </c>
      <c r="BB123" s="8">
        <f t="shared" si="56"/>
        <v>2.8112912103500221</v>
      </c>
      <c r="BC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D123" s="8">
        <f>(0.048*C123^1.01)/IF(_xlfn.XLOOKUP(E123,Groups!A:A,Groups!M:M)=1,0.25,0.8)*C123^-0.25</f>
        <v>2.986952348613809</v>
      </c>
      <c r="BE123" s="8">
        <f>EXP(1.076*LN(AP123)-4.5397)*IF(_xlfn.XLOOKUP(E123,Groups!A:A,Groups!BC:BC)=1,1.25,IF(_xlfn.XLOOKUP(E123,Groups!A:A,Groups!BD:BD)=1,3.5,2.5))</f>
        <v>210.50940716029061</v>
      </c>
      <c r="BF123" s="8">
        <f>EXP(1.076*LN(AQ123)-4.5397)*IF(_xlfn.XLOOKUP(E123,Groups!A:A,Groups!M:M)=1,0.8,IF(_xlfn.XLOOKUP(E123,Groups!A:A,Groups!BC:BC)=1,1.3,3))</f>
        <v>257.17313604990335</v>
      </c>
      <c r="BG123" s="8" t="str">
        <f>IF(W123="No","No",IF(_xlfn.XLOOKUP(E123,Groups!A:A,Groups!U:U)=1,'Base stats'!BH123,IF(OR(_xlfn.XLOOKUP(E123,Groups!A:A,Groups!BD:BD)=1,_xlfn.XLOOKUP(E123,Groups!A:A,Groups!U:U)=2),BE123,BF123))*1.2)</f>
        <v>No</v>
      </c>
      <c r="BH123" s="8">
        <f>IFERROR(EXP(1.076*LN(AR123)-4.5397)*IF(_xlfn.XLOOKUP(E123,Groups!A:A,Groups!N:N)="Insect",1,IF(OR(_xlfn.XLOOKUP(E123,Groups!A:A,Groups!N:N)="Pig",_xlfn.XLOOKUP(E123,Groups!A:A,Groups!N:N)="StrongBitingHerbivore"),3.5,3.75)),"No")</f>
        <v>512.23702006231645</v>
      </c>
      <c r="BI123" s="8">
        <f t="shared" si="44"/>
        <v>12</v>
      </c>
      <c r="BJ123" s="8">
        <f t="shared" si="45"/>
        <v>11</v>
      </c>
      <c r="BK123" s="8" t="str">
        <f t="shared" si="57"/>
        <v>No</v>
      </c>
      <c r="BL123" s="8">
        <f t="shared" si="58"/>
        <v>11</v>
      </c>
      <c r="BM123" s="8">
        <f t="shared" si="46"/>
        <v>13</v>
      </c>
      <c r="BN123" s="8" cm="1">
        <f t="array" ref="BN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O123" s="8" t="str">
        <f>IF(W123="No","No",IF(_xlfn.XLOOKUP(E123,Groups!A:A,Groups!BD:BD)=1,(AM123*5%),EXP(0.7354*LN(C123)^0.4078)*2/IF(_xlfn.XLOOKUP(E123,Groups!A:A,Groups!BL:BL)=1,1000,100)))</f>
        <v>No</v>
      </c>
      <c r="BP123" s="8">
        <f>IF(BH123="No","No",IF(_xlfn.XLOOKUP(E123,Groups!A:A,Groups!BF:BF)=1,(0.0315*C123+2.1825)*2,(0.7354*C123^0.4078)*2)/IF(_xlfn.XLOOKUP(E123,Groups!A:A,Groups!BM:BM)=1,1000,100))</f>
        <v>0.11972075169985437</v>
      </c>
      <c r="BQ123" s="8">
        <f t="shared" si="59"/>
        <v>0.13413158399216837</v>
      </c>
      <c r="BR123" s="8">
        <f t="shared" si="47"/>
        <v>2148.1082635920015</v>
      </c>
      <c r="BS123" s="8" t="str">
        <f t="shared" si="60"/>
        <v>No</v>
      </c>
      <c r="BT123" s="8">
        <f t="shared" si="48"/>
        <v>4278.5984283369608</v>
      </c>
      <c r="BU123" s="4">
        <v>0</v>
      </c>
      <c r="BV123" s="4">
        <v>1</v>
      </c>
    </row>
    <row r="124" spans="1:74" x14ac:dyDescent="0.25">
      <c r="A124" s="26" t="s">
        <v>481</v>
      </c>
      <c r="B124" s="6" t="s">
        <v>614</v>
      </c>
      <c r="C124" s="7">
        <f>1.244</f>
        <v>1.244</v>
      </c>
      <c r="D124" s="7" t="s">
        <v>1313</v>
      </c>
      <c r="E124" s="7" t="str">
        <f>Groups!A28</f>
        <v>Lizardlike (monitor lizard)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615</v>
      </c>
      <c r="L124" s="7">
        <v>12</v>
      </c>
      <c r="M124" s="7" t="s">
        <v>538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945</v>
      </c>
      <c r="Y124" s="4" t="s">
        <v>56</v>
      </c>
      <c r="Z124" s="4">
        <v>0</v>
      </c>
      <c r="AA124" s="4">
        <v>0</v>
      </c>
      <c r="AB124" s="4">
        <v>0</v>
      </c>
      <c r="AC124" s="4" t="s">
        <v>45</v>
      </c>
      <c r="AD124" s="4" t="s">
        <v>45</v>
      </c>
      <c r="AE124" s="28" t="s">
        <v>395</v>
      </c>
      <c r="AF124" s="4" t="str">
        <f>Animals!C32</f>
        <v>&lt;li&gt;Iguana&lt;/li&gt;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4" t="s">
        <v>40</v>
      </c>
      <c r="AM124" s="8">
        <f t="shared" si="51"/>
        <v>1279.2523575668195</v>
      </c>
      <c r="AN124" s="8">
        <f>IFERROR(C124*_xlfn.XLOOKUP(E124,Groups!A:A,Groups!K:K),0.106*C124^0.94)</f>
        <v>0.13014785740106588</v>
      </c>
      <c r="AO124" s="8">
        <f>AN124*10000/(_xlfn.XLOOKUP(E124,Groups!A:A,Groups!J:J)*AM124)</f>
        <v>0.93337099073071961</v>
      </c>
      <c r="AP124" s="8">
        <f t="shared" si="52"/>
        <v>65.39364193380068</v>
      </c>
      <c r="AQ124" s="8">
        <f>IF(_xlfn.XLOOKUP(E124,Groups!A:A,Groups!M:M)=1,EXP(0.7444*LN('Base stats'!C124)+6.5696),EXP(0.7927*LN('Base stats'!C124)+4.28))</f>
        <v>85.89037483482214</v>
      </c>
      <c r="AR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"No")))))))))))))))</f>
        <v>298.60933023129661</v>
      </c>
      <c r="AS124" s="8">
        <f>IF(_xlfn.XLOOKUP(E124,Groups!A:A,Groups!U:U)=3,AQ124,IF(_xlfn.XLOOKUP(E124,Groups!A:A,Groups!U:U)=2,AP124,AR124))</f>
        <v>298.60933023129661</v>
      </c>
      <c r="AT124" s="46">
        <f>IFERROR(AVERAGE(_xlfn.XLOOKUP(B124,Animals!B:B,Animals!N:N),_xlfn.XLOOKUP(B124,Animals!B:B,Animals!O:O)),0)</f>
        <v>0</v>
      </c>
      <c r="AU124" s="8">
        <f>MROUND(40*Animals!AO124*_xlfn.XLOOKUP(Animals!BB124,Leathers!$A$2:$A$100,Leathers!$B$2:$B$100,0)+(140*_xlfn.XLOOKUP(B124,Animals!B:B,Animals!AO:AO)*2),5)</f>
        <v>70</v>
      </c>
      <c r="AV124" s="8">
        <f>IFERROR(ROUND(SQRT(V124-1)*IF(_xlfn.XLOOKUP(E124,Groups!A:A,Groups!BF:BF)=0,2,1)*IF(_xlfn.XLOOKUP('Base stats'!E124,Groups!A:A,Groups!O:O)=0,1,0.1),1),0)</f>
        <v>0</v>
      </c>
      <c r="AW124" s="8">
        <f t="shared" si="53"/>
        <v>0</v>
      </c>
      <c r="AX124" s="8">
        <f t="shared" si="54"/>
        <v>0</v>
      </c>
      <c r="AY124" s="8">
        <f t="shared" si="55"/>
        <v>0.6</v>
      </c>
      <c r="AZ124" s="8">
        <f>IF(_xlfn.XLOOKUP(E124,Groups!A:A,Groups!N:N)="Insect",BB124*2.5,IFERROR(AVERAGE(BB124,AR124/9.81/IF(OR(_xlfn.XLOOKUP(E124,Groups!A:A,Groups!N:N)="Pig",_xlfn.XLOOKUP(E124,Groups!A:A,Groups!N:N)="StrongBitingHerbivore"),20,25))*C124^-0.135,BB124))</f>
        <v>0.61392021484233994</v>
      </c>
      <c r="BA124" s="8" t="str">
        <f>IF(W124="No","No",IF(_xlfn.XLOOKUP(E124,Groups!A:A,Groups!U:U)=1,'Base stats'!AZ124,IF(OR(_xlfn.XLOOKUP(E124,Groups!A:A,Groups!BD:BD)=1,_xlfn.XLOOKUP(E124,Groups!A:A,Groups!U:U)=2),BB124,IF(_xlfn.XLOOKUP(B124,Animals!B:B,Animals!AO:AO)&gt;4,AVERAGE(BB124,BD124),BD124))))</f>
        <v>No</v>
      </c>
      <c r="BB124" s="8">
        <f t="shared" si="56"/>
        <v>4.6998262553212274E-2</v>
      </c>
      <c r="BC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D124" s="8">
        <f>(0.048*C124^1.01)/IF(_xlfn.XLOOKUP(E124,Groups!A:A,Groups!M:M)=1,0.25,0.8)*C124^-0.25</f>
        <v>7.0829591888453447E-2</v>
      </c>
      <c r="BE124" s="8">
        <f>EXP(1.076*LN(AP124)-4.5397)*IF(_xlfn.XLOOKUP(E124,Groups!A:A,Groups!BC:BC)=1,1.25,IF(_xlfn.XLOOKUP(E124,Groups!A:A,Groups!BD:BD)=1,3.5,2.5))</f>
        <v>2.398223056923853</v>
      </c>
      <c r="BF124" s="8">
        <f>EXP(1.076*LN(AQ124)-4.5397)*IF(_xlfn.XLOOKUP(E124,Groups!A:A,Groups!M:M)=1,0.8,IF(_xlfn.XLOOKUP(E124,Groups!A:A,Groups!BC:BC)=1,1.3,3))</f>
        <v>3.8590364008518856</v>
      </c>
      <c r="BG124" s="8" t="str">
        <f>IF(W124="No","No",IF(_xlfn.XLOOKUP(E124,Groups!A:A,Groups!U:U)=1,'Base stats'!BH124,IF(OR(_xlfn.XLOOKUP(E124,Groups!A:A,Groups!BD:BD)=1,_xlfn.XLOOKUP(E124,Groups!A:A,Groups!U:U)=2),BE124,BF124))*1.2)</f>
        <v>No</v>
      </c>
      <c r="BH124" s="8">
        <f>IFERROR(EXP(1.076*LN(AR124)-4.5397)*IF(_xlfn.XLOOKUP(E124,Groups!A:A,Groups!N:N)="Insect",1,IF(OR(_xlfn.XLOOKUP(E124,Groups!A:A,Groups!N:N)="Pig",_xlfn.XLOOKUP(E124,Groups!A:A,Groups!N:N)="StrongBitingHerbivore"),3.5,3.75)),"No")</f>
        <v>18.436387939942605</v>
      </c>
      <c r="BI124" s="8">
        <f t="shared" si="44"/>
        <v>10</v>
      </c>
      <c r="BJ124" s="8">
        <f t="shared" si="45"/>
        <v>9</v>
      </c>
      <c r="BK124" s="8" t="str">
        <f t="shared" si="57"/>
        <v>No</v>
      </c>
      <c r="BL124" s="8">
        <f t="shared" si="58"/>
        <v>7</v>
      </c>
      <c r="BM124" s="8">
        <f t="shared" si="46"/>
        <v>10</v>
      </c>
      <c r="BN124" s="8" cm="1">
        <f t="array" ref="BN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O124" s="8" t="str">
        <f>IF(W124="No","No",IF(_xlfn.XLOOKUP(E124,Groups!A:A,Groups!BD:BD)=1,(AM124*5%),EXP(0.7354*LN(C124)^0.4078)*2/IF(_xlfn.XLOOKUP(E124,Groups!A:A,Groups!BL:BL)=1,1000,100)))</f>
        <v>No</v>
      </c>
      <c r="BP124" s="8">
        <f>IF(BH124="No","No",IF(_xlfn.XLOOKUP(E124,Groups!A:A,Groups!BF:BF)=1,(0.0315*C124+2.1825)*2,(0.7354*C124^0.4078)*2)/IF(_xlfn.XLOOKUP(E124,Groups!A:A,Groups!BM:BM)=1,1000,100))</f>
        <v>1.6077605656767299E-2</v>
      </c>
      <c r="BQ124" s="8">
        <f t="shared" si="59"/>
        <v>3.7494135425872543E-2</v>
      </c>
      <c r="BR124" s="8">
        <f t="shared" si="47"/>
        <v>240.0255661966408</v>
      </c>
      <c r="BS124" s="8" t="str">
        <f t="shared" si="60"/>
        <v>No</v>
      </c>
      <c r="BT124" s="8">
        <f t="shared" si="48"/>
        <v>1146.7122862403619</v>
      </c>
      <c r="BU124" s="4">
        <v>0</v>
      </c>
      <c r="BV124" s="4">
        <v>1</v>
      </c>
    </row>
    <row r="125" spans="1:74" x14ac:dyDescent="0.25">
      <c r="A125" s="26" t="s">
        <v>87</v>
      </c>
      <c r="B125" s="6" t="s">
        <v>88</v>
      </c>
      <c r="C125" s="7">
        <v>690</v>
      </c>
      <c r="D125" s="7" t="s">
        <v>941</v>
      </c>
      <c r="E125" s="7" t="str">
        <f>Groups!A24</f>
        <v>Camelid (humped)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527</v>
      </c>
      <c r="L125" s="7">
        <v>40</v>
      </c>
      <c r="M125" s="7" t="s">
        <v>641</v>
      </c>
      <c r="N125" s="4">
        <v>0</v>
      </c>
      <c r="O125" s="4">
        <v>1</v>
      </c>
      <c r="P125" s="4">
        <v>0</v>
      </c>
      <c r="Q125" s="4">
        <v>0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945</v>
      </c>
      <c r="Y125" s="4" t="s">
        <v>42</v>
      </c>
      <c r="Z125" s="4">
        <v>0</v>
      </c>
      <c r="AA125" s="4">
        <v>0</v>
      </c>
      <c r="AB125" s="4">
        <v>0</v>
      </c>
      <c r="AC125" s="4" t="s">
        <v>45</v>
      </c>
      <c r="AD125" s="4" t="s">
        <v>407</v>
      </c>
      <c r="AE125" s="28" t="s">
        <v>386</v>
      </c>
      <c r="AF125" s="4" t="str">
        <f>Animals!C12</f>
        <v>&lt;li&gt;Dromedary&lt;/li&gt;</v>
      </c>
      <c r="AG125" s="4">
        <v>1</v>
      </c>
      <c r="AH125" s="4">
        <v>0</v>
      </c>
      <c r="AI125" s="4">
        <v>0</v>
      </c>
      <c r="AJ125" s="4">
        <v>0</v>
      </c>
      <c r="AK125" s="4">
        <v>0</v>
      </c>
      <c r="AL125" s="44" t="s">
        <v>40</v>
      </c>
      <c r="AM125" s="8">
        <f t="shared" si="51"/>
        <v>77727.533706371993</v>
      </c>
      <c r="AN125" s="8">
        <f>IFERROR(C125*_xlfn.XLOOKUP(E125,Groups!A:A,Groups!K:K),0.106*C125^0.94)</f>
        <v>49.411041771822433</v>
      </c>
      <c r="AO125" s="8">
        <f>AN125*10000/(_xlfn.XLOOKUP(E125,Groups!A:A,Groups!J:J)*AM125)</f>
        <v>5.8320686147806002</v>
      </c>
      <c r="AP125" s="8">
        <f t="shared" si="52"/>
        <v>13596.169701835819</v>
      </c>
      <c r="AQ125" s="8">
        <f>IF(_xlfn.XLOOKUP(E125,Groups!A:A,Groups!M:M)=1,EXP(0.7444*LN('Base stats'!C125)+6.5696),EXP(0.7927*LN('Base stats'!C125)+4.28))</f>
        <v>12856.893805814812</v>
      </c>
      <c r="AR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"No")))))))))))))))</f>
        <v>6802.222676907063</v>
      </c>
      <c r="AS125" s="8">
        <f>IF(_xlfn.XLOOKUP(E125,Groups!A:A,Groups!U:U)=3,AQ125,IF(_xlfn.XLOOKUP(E125,Groups!A:A,Groups!U:U)=2,AP125,AR125))</f>
        <v>6802.222676907063</v>
      </c>
      <c r="AT125" s="46">
        <f>IFERROR(AVERAGE(_xlfn.XLOOKUP(B125,Animals!B:B,Animals!N:N),_xlfn.XLOOKUP(B125,Animals!B:B,Animals!O:O)),0)</f>
        <v>0</v>
      </c>
      <c r="AU125" s="8">
        <f>MROUND(40*Animals!AO125*_xlfn.XLOOKUP(Animals!BB125,Leathers!$A$2:$A$100,Leathers!$B$2:$B$100,0)+(140*_xlfn.XLOOKUP(B125,Animals!B:B,Animals!AO:AO)*2),5)</f>
        <v>1115</v>
      </c>
      <c r="AV125" s="8">
        <f>IFERROR(ROUND(SQRT(V125-1)*IF(_xlfn.XLOOKUP(E125,Groups!A:A,Groups!BF:BF)=0,2,1)*IF(_xlfn.XLOOKUP('Base stats'!E125,Groups!A:A,Groups!O:O)=0,1,0.1),1),0)</f>
        <v>1.9</v>
      </c>
      <c r="AW125" s="8">
        <f t="shared" si="53"/>
        <v>0</v>
      </c>
      <c r="AX125" s="8">
        <f t="shared" si="54"/>
        <v>0</v>
      </c>
      <c r="AY125" s="8">
        <f t="shared" si="55"/>
        <v>8.3000000000000007</v>
      </c>
      <c r="AZ125" s="8">
        <f>IF(_xlfn.XLOOKUP(E125,Groups!A:A,Groups!N:N)="Insect",BB125*2.5,IFERROR(AVERAGE(BB125,AR125/9.81/IF(OR(_xlfn.XLOOKUP(E125,Groups!A:A,Groups!N:N)="Pig",_xlfn.XLOOKUP(E125,Groups!A:A,Groups!N:N)="StrongBitingHerbivore"),20,25))*C125^-0.135,BB125))</f>
        <v>8.2933468925767713</v>
      </c>
      <c r="BA125" s="8" t="str">
        <f>IF(W125="No","No",IF(_xlfn.XLOOKUP(E125,Groups!A:A,Groups!U:U)=1,'Base stats'!AZ125,IF(OR(_xlfn.XLOOKUP(E125,Groups!A:A,Groups!BD:BD)=1,_xlfn.XLOOKUP(E125,Groups!A:A,Groups!U:U)=2),BB125,IF(_xlfn.XLOOKUP(B125,Animals!B:B,Animals!AO:AO)&gt;4,AVERAGE(BB125,BD125),BD125))))</f>
        <v>No</v>
      </c>
      <c r="BB125" s="8">
        <f t="shared" si="56"/>
        <v>5.4172425555182926</v>
      </c>
      <c r="BC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D125" s="8">
        <f>(0.048*C125^1.01)/IF(_xlfn.XLOOKUP(E125,Groups!A:A,Groups!M:M)=1,0.25,0.8)*C125^-0.25</f>
        <v>8.6233608407716602</v>
      </c>
      <c r="BE125" s="8">
        <f>EXP(1.076*LN(AP125)-4.5397)*IF(_xlfn.XLOOKUP(E125,Groups!A:A,Groups!BC:BC)=1,1.25,IF(_xlfn.XLOOKUP(E125,Groups!A:A,Groups!BD:BD)=1,3.5,2.5))</f>
        <v>748.04820582530556</v>
      </c>
      <c r="BF125" s="8">
        <f>EXP(1.076*LN(AQ125)-4.5397)*IF(_xlfn.XLOOKUP(E125,Groups!A:A,Groups!M:M)=1,0.8,IF(_xlfn.XLOOKUP(E125,Groups!A:A,Groups!BC:BC)=1,1.3,3))</f>
        <v>845.24963580378835</v>
      </c>
      <c r="BG125" s="8" t="str">
        <f>IF(W125="No","No",IF(_xlfn.XLOOKUP(E125,Groups!A:A,Groups!U:U)=1,'Base stats'!BH125,IF(OR(_xlfn.XLOOKUP(E125,Groups!A:A,Groups!BD:BD)=1,_xlfn.XLOOKUP(E125,Groups!A:A,Groups!U:U)=2),BE125,BF125))*1.2)</f>
        <v>No</v>
      </c>
      <c r="BH125" s="8">
        <f>IFERROR(EXP(1.076*LN(AR125)-4.5397)*IF(_xlfn.XLOOKUP(E125,Groups!A:A,Groups!N:N)="Insect",1,IF(OR(_xlfn.XLOOKUP(E125,Groups!A:A,Groups!N:N)="Pig",_xlfn.XLOOKUP(E125,Groups!A:A,Groups!N:N)="StrongBitingHerbivore"),3.5,3.75)),"No")</f>
        <v>497.08847474782669</v>
      </c>
      <c r="BI125" s="8">
        <f t="shared" si="44"/>
        <v>16</v>
      </c>
      <c r="BJ125" s="8">
        <f t="shared" si="45"/>
        <v>12</v>
      </c>
      <c r="BK125" s="8" t="str">
        <f t="shared" si="57"/>
        <v>No</v>
      </c>
      <c r="BL125" s="8">
        <f t="shared" si="58"/>
        <v>10</v>
      </c>
      <c r="BM125" s="8">
        <f t="shared" si="46"/>
        <v>14</v>
      </c>
      <c r="BN125" s="8" cm="1">
        <f t="array" ref="BN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O125" s="8" t="str">
        <f>IF(W125="No","No",IF(_xlfn.XLOOKUP(E125,Groups!A:A,Groups!BD:BD)=1,(AM125*5%),EXP(0.7354*LN(C125)^0.4078)*2/IF(_xlfn.XLOOKUP(E125,Groups!A:A,Groups!BL:BL)=1,1000,100)))</f>
        <v>No</v>
      </c>
      <c r="BP125" s="8">
        <f>IF(BH125="No","No",IF(_xlfn.XLOOKUP(E125,Groups!A:A,Groups!BF:BF)=1,(0.0315*C125+2.1825)*2,(0.7354*C125^0.4078)*2)/IF(_xlfn.XLOOKUP(E125,Groups!A:A,Groups!BM:BM)=1,1000,100))</f>
        <v>0.47835</v>
      </c>
      <c r="BQ125" s="8">
        <f t="shared" si="59"/>
        <v>0.19247959382094265</v>
      </c>
      <c r="BR125" s="8">
        <f t="shared" si="47"/>
        <v>7.1115628063962646</v>
      </c>
      <c r="BS125" s="8" t="str">
        <f t="shared" si="60"/>
        <v>No</v>
      </c>
      <c r="BT125" s="8">
        <f t="shared" si="48"/>
        <v>1039.1731467499251</v>
      </c>
      <c r="BU125" s="4">
        <v>0</v>
      </c>
      <c r="BV125" s="4">
        <v>1</v>
      </c>
    </row>
    <row r="126" spans="1:74" x14ac:dyDescent="0.25">
      <c r="A126" s="26" t="s">
        <v>483</v>
      </c>
      <c r="B126" s="6" t="s">
        <v>482</v>
      </c>
      <c r="C126" s="7">
        <v>5.6749999999999998</v>
      </c>
      <c r="D126" s="7" t="s">
        <v>616</v>
      </c>
      <c r="E126" s="7" t="str">
        <f>Groups!A60</f>
        <v>Snake (venomous)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616</v>
      </c>
      <c r="L126" s="7">
        <v>15</v>
      </c>
      <c r="M126" s="7" t="s">
        <v>538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945</v>
      </c>
      <c r="Y126" s="4" t="s">
        <v>56</v>
      </c>
      <c r="Z126" s="4">
        <v>0</v>
      </c>
      <c r="AA126" s="4">
        <v>0</v>
      </c>
      <c r="AB126" s="4">
        <v>0</v>
      </c>
      <c r="AC126" s="4" t="s">
        <v>45</v>
      </c>
      <c r="AD126" s="4" t="s">
        <v>45</v>
      </c>
      <c r="AE126" s="28" t="s">
        <v>395</v>
      </c>
      <c r="AF126" s="4" t="str">
        <f>Animals!C33</f>
        <v>&lt;li&gt;Cobra&lt;/li&gt;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4" t="s">
        <v>40</v>
      </c>
      <c r="AM126" s="8">
        <f t="shared" si="51"/>
        <v>3430.8425812232035</v>
      </c>
      <c r="AN126" s="8">
        <f>IFERROR(C126*_xlfn.XLOOKUP(E126,Groups!A:A,Groups!K:K),0.106*C126^0.94)</f>
        <v>0.54204304856239272</v>
      </c>
      <c r="AO126" s="8">
        <f>AN126*10000/(_xlfn.XLOOKUP(E126,Groups!A:A,Groups!J:J)*AM126)</f>
        <v>1.4494608503391548</v>
      </c>
      <c r="AP126" s="8">
        <f t="shared" si="52"/>
        <v>235.67619430830914</v>
      </c>
      <c r="AQ126" s="8">
        <f>IF(_xlfn.XLOOKUP(E126,Groups!A:A,Groups!M:M)=1,EXP(0.7444*LN('Base stats'!C126)+6.5696),EXP(0.7927*LN('Base stats'!C126)+4.28))</f>
        <v>286.05472411667233</v>
      </c>
      <c r="AR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"No")))))))))))))))</f>
        <v>159.07938924007357</v>
      </c>
      <c r="AS126" s="8">
        <f>IF(_xlfn.XLOOKUP(E126,Groups!A:A,Groups!U:U)=3,AQ126,IF(_xlfn.XLOOKUP(E126,Groups!A:A,Groups!U:U)=2,AP126,AR126))</f>
        <v>159.07938924007357</v>
      </c>
      <c r="AT126" s="46">
        <f>IFERROR(AVERAGE(_xlfn.XLOOKUP(B126,Animals!B:B,Animals!N:N),_xlfn.XLOOKUP(B126,Animals!B:B,Animals!O:O)),0)</f>
        <v>0</v>
      </c>
      <c r="AU126" s="8">
        <f>MROUND(40*Animals!AO126*_xlfn.XLOOKUP(Animals!BB126,Leathers!$A$2:$A$100,Leathers!$B$2:$B$100,0)+(140*_xlfn.XLOOKUP(B126,Animals!B:B,Animals!AO:AO)*2),5)</f>
        <v>160</v>
      </c>
      <c r="AV126" s="8">
        <f>IFERROR(ROUND(SQRT(V126-1)*IF(_xlfn.XLOOKUP(E126,Groups!A:A,Groups!BF:BF)=0,2,1)*IF(_xlfn.XLOOKUP('Base stats'!E126,Groups!A:A,Groups!O:O)=0,1,0.1),1),0)</f>
        <v>2.4</v>
      </c>
      <c r="AW126" s="8">
        <f t="shared" si="53"/>
        <v>0</v>
      </c>
      <c r="AX126" s="8">
        <f t="shared" si="54"/>
        <v>0</v>
      </c>
      <c r="AY126" s="8">
        <f t="shared" si="55"/>
        <v>1.2</v>
      </c>
      <c r="AZ126" s="8">
        <f>IF(_xlfn.XLOOKUP(E126,Groups!A:A,Groups!N:N)="Insect",BB126*2.5,IFERROR(AVERAGE(BB126,AR126/9.81/IF(OR(_xlfn.XLOOKUP(E126,Groups!A:A,Groups!N:N)="Pig",_xlfn.XLOOKUP(E126,Groups!A:A,Groups!N:N)="StrongBitingHerbivore"),20,25))*C126^-0.135,BB126))</f>
        <v>0.32217732485608386</v>
      </c>
      <c r="BA126" s="8" t="str">
        <f>IF(W126="No","No",IF(_xlfn.XLOOKUP(E126,Groups!A:A,Groups!U:U)=1,'Base stats'!AZ126,IF(OR(_xlfn.XLOOKUP(E126,Groups!A:A,Groups!BD:BD)=1,_xlfn.XLOOKUP(E126,Groups!A:A,Groups!U:U)=2),BB126,IF(_xlfn.XLOOKUP(B126,Animals!B:B,Animals!AO:AO)&gt;4,AVERAGE(BB126,BD126),BD126))))</f>
        <v>No</v>
      </c>
      <c r="BB126" s="8">
        <f t="shared" si="56"/>
        <v>0.16589439064394862</v>
      </c>
      <c r="BC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D126" s="8">
        <f>(0.048*C126^1.01)/IF(_xlfn.XLOOKUP(E126,Groups!A:A,Groups!M:M)=1,0.25,0.8)*C126^-0.25</f>
        <v>0.22447361902832436</v>
      </c>
      <c r="BE126" s="8">
        <f>EXP(1.076*LN(AP126)-4.5397)*IF(_xlfn.XLOOKUP(E126,Groups!A:A,Groups!BC:BC)=1,1.25,IF(_xlfn.XLOOKUP(E126,Groups!A:A,Groups!BD:BD)=1,3.5,2.5))</f>
        <v>9.5276338828511484</v>
      </c>
      <c r="BF126" s="8">
        <f>EXP(1.076*LN(AQ126)-4.5397)*IF(_xlfn.XLOOKUP(E126,Groups!A:A,Groups!M:M)=1,0.8,IF(_xlfn.XLOOKUP(E126,Groups!A:A,Groups!BC:BC)=1,1.3,3))</f>
        <v>14.082956995340533</v>
      </c>
      <c r="BG126" s="8" t="str">
        <f>IF(W126="No","No",IF(_xlfn.XLOOKUP(E126,Groups!A:A,Groups!U:U)=1,'Base stats'!BH126,IF(OR(_xlfn.XLOOKUP(E126,Groups!A:A,Groups!BD:BD)=1,_xlfn.XLOOKUP(E126,Groups!A:A,Groups!U:U)=2),BE126,BF126))*1.2)</f>
        <v>No</v>
      </c>
      <c r="BH126" s="8">
        <f>IFERROR(EXP(1.076*LN(AR126)-4.5397)*IF(_xlfn.XLOOKUP(E126,Groups!A:A,Groups!N:N)="Insect",1,IF(OR(_xlfn.XLOOKUP(E126,Groups!A:A,Groups!N:N)="Pig",_xlfn.XLOOKUP(E126,Groups!A:A,Groups!N:N)="StrongBitingHerbivore"),3.5,3.75)),"No")</f>
        <v>9.3627015683865995</v>
      </c>
      <c r="BI126" s="8">
        <f t="shared" si="44"/>
        <v>10</v>
      </c>
      <c r="BJ126" s="8">
        <f t="shared" si="45"/>
        <v>10</v>
      </c>
      <c r="BK126" s="8" t="str">
        <f t="shared" si="57"/>
        <v>No</v>
      </c>
      <c r="BL126" s="8">
        <f t="shared" si="58"/>
        <v>7</v>
      </c>
      <c r="BM126" s="8">
        <f t="shared" si="46"/>
        <v>11</v>
      </c>
      <c r="BN126" s="8" t="str" cm="1">
        <f t="array" ref="BN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O126" s="8" t="str">
        <f>IF(W126="No","No",IF(_xlfn.XLOOKUP(E126,Groups!A:A,Groups!BD:BD)=1,(AM126*5%),EXP(0.7354*LN(C126)^0.4078)*2/IF(_xlfn.XLOOKUP(E126,Groups!A:A,Groups!BL:BL)=1,1000,100)))</f>
        <v>No</v>
      </c>
      <c r="BP126" s="8">
        <f>IF(BH126="No","No",IF(_xlfn.XLOOKUP(E126,Groups!A:A,Groups!BF:BF)=1,(0.0315*C126+2.1825)*2,(0.7354*C126^0.4078)*2)/IF(_xlfn.XLOOKUP(E126,Groups!A:A,Groups!BM:BM)=1,1000,100))</f>
        <v>2.9855262999266791E-2</v>
      </c>
      <c r="BQ126" s="8">
        <f t="shared" si="59"/>
        <v>5.5541072825639505E-2</v>
      </c>
      <c r="BR126" s="8" t="str">
        <f t="shared" si="47"/>
        <v>No</v>
      </c>
      <c r="BS126" s="8" t="str">
        <f t="shared" si="60"/>
        <v>No</v>
      </c>
      <c r="BT126" s="8">
        <f t="shared" si="48"/>
        <v>313.60305111418836</v>
      </c>
      <c r="BU126" s="4">
        <v>0</v>
      </c>
      <c r="BV126" s="4">
        <v>1</v>
      </c>
    </row>
    <row r="127" spans="1:74" x14ac:dyDescent="0.25">
      <c r="A127" s="26" t="s">
        <v>484</v>
      </c>
      <c r="B127" s="6" t="s">
        <v>495</v>
      </c>
      <c r="C127" s="7">
        <v>27.5</v>
      </c>
      <c r="D127" s="7" t="s">
        <v>538</v>
      </c>
      <c r="E127" s="7" t="str">
        <f>Groups!A12</f>
        <v>BeetleLike (Scorpion)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538</v>
      </c>
      <c r="L127" s="7">
        <v>25</v>
      </c>
      <c r="M127" s="7" t="s">
        <v>538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6</v>
      </c>
      <c r="V127" s="7">
        <v>2</v>
      </c>
      <c r="W127" s="7">
        <v>3</v>
      </c>
      <c r="X127" s="7" t="s">
        <v>945</v>
      </c>
      <c r="Y127" s="4" t="s">
        <v>53</v>
      </c>
      <c r="Z127" s="4">
        <v>0</v>
      </c>
      <c r="AA127" s="4">
        <v>0</v>
      </c>
      <c r="AB127" s="4">
        <v>0</v>
      </c>
      <c r="AC127" s="4" t="s">
        <v>1084</v>
      </c>
      <c r="AD127" s="4" t="s">
        <v>45</v>
      </c>
      <c r="AE127" s="28" t="s">
        <v>45</v>
      </c>
      <c r="AF127" s="4" t="str">
        <f>Animals!C105</f>
        <v>&lt;li&gt;Megaspider&lt;/li&gt;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4" t="s">
        <v>40</v>
      </c>
      <c r="AM127" s="8">
        <f t="shared" si="51"/>
        <v>9569.4996255013957</v>
      </c>
      <c r="AN127" s="8">
        <f>IFERROR(C127*_xlfn.XLOOKUP(E127,Groups!A:A,Groups!K:K),0.106*C127^0.94)</f>
        <v>8.8000000000000007</v>
      </c>
      <c r="AO127" s="8">
        <f>AN127*10000/(_xlfn.XLOOKUP(E127,Groups!A:A,Groups!J:J)*AM127)</f>
        <v>7.6632359269768004</v>
      </c>
      <c r="AP127" s="8">
        <f t="shared" si="52"/>
        <v>893.80972606948114</v>
      </c>
      <c r="AQ127" s="8">
        <f>IF(_xlfn.XLOOKUP(E127,Groups!A:A,Groups!M:M)=1,EXP(0.7444*LN('Base stats'!C127)+6.5696),EXP(0.7927*LN('Base stats'!C127)+4.28))</f>
        <v>8405.8238651538268</v>
      </c>
      <c r="AR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"No")))))))))))))))</f>
        <v>8405.8238651538268</v>
      </c>
      <c r="AS127" s="8">
        <f>IF(_xlfn.XLOOKUP(E127,Groups!A:A,Groups!U:U)=3,AQ127,IF(_xlfn.XLOOKUP(E127,Groups!A:A,Groups!U:U)=2,AP127,AR127))</f>
        <v>8405.8238651538268</v>
      </c>
      <c r="AT127" s="46">
        <f>IFERROR(AVERAGE(_xlfn.XLOOKUP(B127,Animals!B:B,Animals!N:N),_xlfn.XLOOKUP(B127,Animals!B:B,Animals!O:O)),0)</f>
        <v>0.25</v>
      </c>
      <c r="AU127" s="8">
        <f>MROUND(40*Animals!AO127*_xlfn.XLOOKUP(Animals!BB127,Leathers!$A$2:$A$100,Leathers!$B$2:$B$100,0)+(140*_xlfn.XLOOKUP(B127,Animals!B:B,Animals!AO:AO)*2),5)</f>
        <v>180</v>
      </c>
      <c r="AV127" s="8">
        <f>IFERROR(ROUND(SQRT(V127-1)*IF(_xlfn.XLOOKUP(E127,Groups!A:A,Groups!BF:BF)=0,2,1)*IF(_xlfn.XLOOKUP('Base stats'!E127,Groups!A:A,Groups!O:O)=0,1,0.1),1),0)</f>
        <v>2</v>
      </c>
      <c r="AW127" s="8">
        <f t="shared" si="53"/>
        <v>2.2000000000000002</v>
      </c>
      <c r="AX127" s="8">
        <f t="shared" si="54"/>
        <v>1.7</v>
      </c>
      <c r="AY127" s="8">
        <f t="shared" si="55"/>
        <v>2.6</v>
      </c>
      <c r="AZ127" s="8">
        <f>IF(_xlfn.XLOOKUP(E127,Groups!A:A,Groups!N:N)="Insect",BB127*2.5,IFERROR(AVERAGE(BB127,AR127/9.81/IF(OR(_xlfn.XLOOKUP(E127,Groups!A:A,Groups!N:N)="Pig",_xlfn.XLOOKUP(E127,Groups!A:A,Groups!N:N)="StrongBitingHerbivore"),20,25))*C127^-0.135,BB127))</f>
        <v>1.5392584424432474</v>
      </c>
      <c r="BA127" s="8">
        <f>IF(W127="No","No",IF(_xlfn.XLOOKUP(E127,Groups!A:A,Groups!U:U)=1,'Base stats'!AZ127,IF(OR(_xlfn.XLOOKUP(E127,Groups!A:A,Groups!BD:BD)=1,_xlfn.XLOOKUP(E127,Groups!A:A,Groups!U:U)=2),BB127,IF(_xlfn.XLOOKUP(B127,Animals!B:B,Animals!AO:AO)&gt;4,AVERAGE(BB127,BD127),BD127))))</f>
        <v>2.383384309944006</v>
      </c>
      <c r="BB127" s="8">
        <f t="shared" si="56"/>
        <v>0.61570337697729893</v>
      </c>
      <c r="BC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1.1079468426222656</v>
      </c>
      <c r="BD127" s="8">
        <f>(0.048*C127^1.01)/IF(_xlfn.XLOOKUP(E127,Groups!A:A,Groups!M:M)=1,0.25,0.8)*C127^-0.25</f>
        <v>2.383384309944006</v>
      </c>
      <c r="BE127" s="8">
        <f>EXP(1.076*LN(AP127)-4.5397)*IF(_xlfn.XLOOKUP(E127,Groups!A:A,Groups!BC:BC)=1,1.25,IF(_xlfn.XLOOKUP(E127,Groups!A:A,Groups!BD:BD)=1,3.5,2.5))</f>
        <v>19.99323429835141</v>
      </c>
      <c r="BF127" s="8">
        <f>EXP(1.076*LN(AQ127)-4.5397)*IF(_xlfn.XLOOKUP(E127,Groups!A:A,Groups!M:M)=1,0.8,IF(_xlfn.XLOOKUP(E127,Groups!A:A,Groups!BC:BC)=1,1.3,3))</f>
        <v>142.68283005391714</v>
      </c>
      <c r="BG127" s="8">
        <f>IF(W127="No","No",IF(_xlfn.XLOOKUP(E127,Groups!A:A,Groups!U:U)=1,'Base stats'!BH127,IF(OR(_xlfn.XLOOKUP(E127,Groups!A:A,Groups!BD:BD)=1,_xlfn.XLOOKUP(E127,Groups!A:A,Groups!U:U)=2),BE127,BF127))*1.2)</f>
        <v>171.21939606470056</v>
      </c>
      <c r="BH127" s="8">
        <f>IFERROR(EXP(1.076*LN(AR127)-4.5397)*IF(_xlfn.XLOOKUP(E127,Groups!A:A,Groups!N:N)="Insect",1,IF(OR(_xlfn.XLOOKUP(E127,Groups!A:A,Groups!N:N)="Pig",_xlfn.XLOOKUP(E127,Groups!A:A,Groups!N:N)="StrongBitingHerbivore"),3.5,3.75)),"No")</f>
        <v>178.35353756739642</v>
      </c>
      <c r="BI127" s="8">
        <f t="shared" si="44"/>
        <v>8</v>
      </c>
      <c r="BJ127" s="8">
        <f t="shared" si="45"/>
        <v>16</v>
      </c>
      <c r="BK127" s="8">
        <f t="shared" si="57"/>
        <v>11</v>
      </c>
      <c r="BL127" s="8">
        <f t="shared" si="58"/>
        <v>15</v>
      </c>
      <c r="BM127" s="8">
        <f t="shared" si="46"/>
        <v>10</v>
      </c>
      <c r="BN127" s="8" cm="1">
        <f t="array" ref="BN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5.6821604603458416E-3</v>
      </c>
      <c r="BO127" s="8">
        <f>IF(W127="No","No",IF(_xlfn.XLOOKUP(E127,Groups!A:A,Groups!BD:BD)=1,(AM127*5%),EXP(0.7354*LN(C127)^0.4078)*2/IF(_xlfn.XLOOKUP(E127,Groups!A:A,Groups!BL:BL)=1,1000,100)))</f>
        <v>6.632024714287639E-2</v>
      </c>
      <c r="BP127" s="8">
        <f>IF(BH127="No","No",IF(_xlfn.XLOOKUP(E127,Groups!A:A,Groups!BF:BF)=1,(0.0315*C127+2.1825)*2,(0.7354*C127^0.4078)*2)/IF(_xlfn.XLOOKUP(E127,Groups!A:A,Groups!BM:BM)=1,1000,100))</f>
        <v>5.682160460345842E-2</v>
      </c>
      <c r="BQ127" s="8">
        <f t="shared" si="59"/>
        <v>4.178532855588854E-2</v>
      </c>
      <c r="BR127" s="8">
        <f t="shared" si="47"/>
        <v>25110.665397371202</v>
      </c>
      <c r="BS127" s="8">
        <f t="shared" si="60"/>
        <v>2581.7062426778311</v>
      </c>
      <c r="BT127" s="8">
        <f t="shared" si="48"/>
        <v>3138.8331746713998</v>
      </c>
      <c r="BU127" s="4">
        <v>0</v>
      </c>
      <c r="BV127" s="4">
        <v>1</v>
      </c>
    </row>
    <row r="128" spans="1:74" x14ac:dyDescent="0.25">
      <c r="A128" s="26" t="s">
        <v>485</v>
      </c>
      <c r="B128" s="6" t="s">
        <v>253</v>
      </c>
      <c r="C128" s="7">
        <v>4.3250000000000002</v>
      </c>
      <c r="D128" s="7" t="s">
        <v>605</v>
      </c>
      <c r="E128" s="7" t="s">
        <v>104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605</v>
      </c>
      <c r="L128" s="7">
        <f>MIN(20*C128^0.183,19.9*C128^0.142)</f>
        <v>24.499831884376434</v>
      </c>
      <c r="M128" s="7" t="s">
        <v>638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945</v>
      </c>
      <c r="Y128" s="4" t="s">
        <v>42</v>
      </c>
      <c r="Z128" s="4">
        <v>0</v>
      </c>
      <c r="AA128" s="4">
        <v>0</v>
      </c>
      <c r="AB128" s="4">
        <v>0</v>
      </c>
      <c r="AC128" s="4" t="s">
        <v>45</v>
      </c>
      <c r="AD128" s="4" t="s">
        <v>45</v>
      </c>
      <c r="AE128" s="28" t="s">
        <v>394</v>
      </c>
      <c r="AF128" s="4" t="s">
        <v>45</v>
      </c>
      <c r="AG128" s="4">
        <v>0</v>
      </c>
      <c r="AH128" s="4">
        <v>0</v>
      </c>
      <c r="AI128" s="4">
        <v>0</v>
      </c>
      <c r="AJ128" s="4">
        <v>0</v>
      </c>
      <c r="AK128" s="4">
        <v>1</v>
      </c>
      <c r="AL128" s="44" t="s">
        <v>40</v>
      </c>
      <c r="AM128" s="8">
        <f t="shared" si="51"/>
        <v>2875.5038370757079</v>
      </c>
      <c r="AN128" s="8">
        <f>IFERROR(C128*_xlfn.XLOOKUP(E128,Groups!A:A,Groups!K:K),0.106*C128^0.94)</f>
        <v>0.53954374999999999</v>
      </c>
      <c r="AO128" s="8">
        <f>AN128*10000/(_xlfn.XLOOKUP(E128,Groups!A:A,Groups!J:J)*AM128)</f>
        <v>1.721417511855726</v>
      </c>
      <c r="AP128" s="8">
        <f t="shared" si="52"/>
        <v>187.35195027541494</v>
      </c>
      <c r="AQ128" s="8">
        <f>IF(_xlfn.XLOOKUP(E128,Groups!A:A,Groups!M:M)=1,EXP(0.7444*LN('Base stats'!C128)+6.5696),EXP(0.7927*LN('Base stats'!C128)+4.28))</f>
        <v>230.63572174889438</v>
      </c>
      <c r="AR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"No")))))))))))))))</f>
        <v>299.48972415292968</v>
      </c>
      <c r="AS128" s="8">
        <f>IF(_xlfn.XLOOKUP(E128,Groups!A:A,Groups!U:U)=3,AQ128,IF(_xlfn.XLOOKUP(E128,Groups!A:A,Groups!U:U)=2,AP128,AR128))</f>
        <v>299.48972415292968</v>
      </c>
      <c r="AT128" s="46">
        <f>IFERROR(AVERAGE(_xlfn.XLOOKUP(B128,Animals!B:B,Animals!N:N),_xlfn.XLOOKUP(B128,Animals!B:B,Animals!O:O)),0)</f>
        <v>0</v>
      </c>
      <c r="AU128" s="8">
        <f>MROUND(40*Animals!AO128*_xlfn.XLOOKUP(Animals!BB128,Leathers!$A$2:$A$100,Leathers!$B$2:$B$100,0)+(140*_xlfn.XLOOKUP(B128,Animals!B:B,Animals!AO:AO)*2),5)</f>
        <v>105</v>
      </c>
      <c r="AV128" s="8">
        <f>IFERROR(ROUND(SQRT(V128-1)*IF(_xlfn.XLOOKUP(E128,Groups!A:A,Groups!BF:BF)=0,2,1)*IF(_xlfn.XLOOKUP('Base stats'!E128,Groups!A:A,Groups!O:O)=0,1,0.1),1),0)</f>
        <v>0.6</v>
      </c>
      <c r="AW128" s="8">
        <f t="shared" si="53"/>
        <v>0</v>
      </c>
      <c r="AX128" s="8">
        <f t="shared" si="54"/>
        <v>0</v>
      </c>
      <c r="AY128" s="8">
        <f t="shared" si="55"/>
        <v>1</v>
      </c>
      <c r="AZ128" s="8">
        <f>IF(_xlfn.XLOOKUP(E128,Groups!A:A,Groups!N:N)="Insect",BB128*2.5,IFERROR(AVERAGE(BB128,AR128/9.81/IF(OR(_xlfn.XLOOKUP(E128,Groups!A:A,Groups!N:N)="Pig",_xlfn.XLOOKUP(E128,Groups!A:A,Groups!N:N)="StrongBitingHerbivore"),20,25))*C128^-0.135,BB128))</f>
        <v>0.54957548822267965</v>
      </c>
      <c r="BA128" s="8" t="str">
        <f>IF(W128="No","No",IF(_xlfn.XLOOKUP(E128,Groups!A:A,Groups!U:U)=1,'Base stats'!AZ128,IF(OR(_xlfn.XLOOKUP(E128,Groups!A:A,Groups!BD:BD)=1,_xlfn.XLOOKUP(E128,Groups!A:A,Groups!U:U)=2),BB128,IF(_xlfn.XLOOKUP(B128,Animals!B:B,Animals!AO:AO)&gt;4,AVERAGE(BB128,BD128),BD128))))</f>
        <v>No</v>
      </c>
      <c r="BB128" s="8">
        <f t="shared" si="56"/>
        <v>0.11825502257128764</v>
      </c>
      <c r="BC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D128" s="8">
        <f>(0.048*C128^1.01)/IF(_xlfn.XLOOKUP(E128,Groups!A:A,Groups!M:M)=1,0.25,0.8)*C128^-0.25</f>
        <v>0.18259996726949212</v>
      </c>
      <c r="BE128" s="8">
        <f>EXP(1.076*LN(AP128)-4.5397)*IF(_xlfn.XLOOKUP(E128,Groups!A:A,Groups!BC:BC)=1,1.25,IF(_xlfn.XLOOKUP(E128,Groups!A:A,Groups!BD:BD)=1,3.5,2.5))</f>
        <v>7.443095513187691</v>
      </c>
      <c r="BF128" s="8">
        <f>EXP(1.076*LN(AQ128)-4.5397)*IF(_xlfn.XLOOKUP(E128,Groups!A:A,Groups!M:M)=1,0.8,IF(_xlfn.XLOOKUP(E128,Groups!A:A,Groups!BC:BC)=1,1.3,3))</f>
        <v>11.170267877115775</v>
      </c>
      <c r="BG128" s="8" t="str">
        <f>IF(W128="No","No",IF(_xlfn.XLOOKUP(E128,Groups!A:A,Groups!U:U)=1,'Base stats'!BH128,IF(OR(_xlfn.XLOOKUP(E128,Groups!A:A,Groups!BD:BD)=1,_xlfn.XLOOKUP(E128,Groups!A:A,Groups!U:U)=2),BE128,BF128))*1.2)</f>
        <v>No</v>
      </c>
      <c r="BH128" s="8">
        <f>IFERROR(EXP(1.076*LN(AR128)-4.5397)*IF(_xlfn.XLOOKUP(E128,Groups!A:A,Groups!N:N)="Insect",1,IF(OR(_xlfn.XLOOKUP(E128,Groups!A:A,Groups!N:N)="Pig",_xlfn.XLOOKUP(E128,Groups!A:A,Groups!N:N)="StrongBitingHerbivore"),3.5,3.75)),"No")</f>
        <v>18.494881813385437</v>
      </c>
      <c r="BI128" s="8">
        <f t="shared" si="44"/>
        <v>11</v>
      </c>
      <c r="BJ128" s="8">
        <f t="shared" si="45"/>
        <v>10</v>
      </c>
      <c r="BK128" s="8" t="str">
        <f t="shared" si="57"/>
        <v>No</v>
      </c>
      <c r="BL128" s="8">
        <f t="shared" si="58"/>
        <v>8</v>
      </c>
      <c r="BM128" s="8">
        <f t="shared" si="46"/>
        <v>11</v>
      </c>
      <c r="BN128" s="8" cm="1">
        <f t="array" ref="BN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O128" s="8" t="str">
        <f>IF(W128="No","No",IF(_xlfn.XLOOKUP(E128,Groups!A:A,Groups!BD:BD)=1,(AM128*5%),EXP(0.7354*LN(C128)^0.4078)*2/IF(_xlfn.XLOOKUP(E128,Groups!A:A,Groups!BL:BL)=1,1000,100)))</f>
        <v>No</v>
      </c>
      <c r="BP128" s="8">
        <f>IF(BH128="No","No",IF(_xlfn.XLOOKUP(E128,Groups!A:A,Groups!BF:BF)=1,(0.0315*C128+2.1825)*2,(0.7354*C128^0.4078)*2)/IF(_xlfn.XLOOKUP(E128,Groups!A:A,Groups!BM:BM)=1,1000,100))</f>
        <v>2.6724448866068496E-2</v>
      </c>
      <c r="BQ128" s="8">
        <f t="shared" si="59"/>
        <v>5.1768983349763653E-2</v>
      </c>
      <c r="BR128" s="8">
        <f t="shared" si="47"/>
        <v>417.97935415231115</v>
      </c>
      <c r="BS128" s="8" t="str">
        <f t="shared" si="60"/>
        <v>No</v>
      </c>
      <c r="BT128" s="8">
        <f t="shared" si="48"/>
        <v>692.05849318254877</v>
      </c>
      <c r="BU128" s="4">
        <v>0</v>
      </c>
      <c r="BV128" s="4">
        <v>1</v>
      </c>
    </row>
    <row r="129" spans="1:74" x14ac:dyDescent="0.25">
      <c r="A129" s="26" t="s">
        <v>650</v>
      </c>
      <c r="B129" s="6" t="s">
        <v>490</v>
      </c>
      <c r="C129" s="7">
        <v>3.2</v>
      </c>
      <c r="D129" s="7" t="s">
        <v>606</v>
      </c>
      <c r="E129" s="7" t="str">
        <f>Groups!A6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606</v>
      </c>
      <c r="L129" s="7">
        <f>8.2*1.60934</f>
        <v>13.196587999999998</v>
      </c>
      <c r="M129" s="7" t="s">
        <v>640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945</v>
      </c>
      <c r="Y129" s="4" t="s">
        <v>42</v>
      </c>
      <c r="Z129" s="4">
        <v>0</v>
      </c>
      <c r="AA129" s="4">
        <v>0</v>
      </c>
      <c r="AB129" s="4">
        <v>0</v>
      </c>
      <c r="AC129" s="4" t="s">
        <v>45</v>
      </c>
      <c r="AD129" s="4" t="s">
        <v>408</v>
      </c>
      <c r="AE129" s="28" t="s">
        <v>45</v>
      </c>
      <c r="AF129" s="4" t="str">
        <f>Animals!C9</f>
        <v>&lt;li&gt;Goose&lt;/li&gt;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4" t="s">
        <v>40</v>
      </c>
      <c r="AM129" s="8">
        <f t="shared" si="51"/>
        <v>2364.1251585653067</v>
      </c>
      <c r="AN129" s="8">
        <f>IFERROR(C129*_xlfn.XLOOKUP(E129,Groups!A:A,Groups!K:K),0.106*C129^0.94)</f>
        <v>0.31633470792726048</v>
      </c>
      <c r="AO129" s="8">
        <f>AN129*10000/(_xlfn.XLOOKUP(E129,Groups!A:A,Groups!J:J)*AM129)</f>
        <v>1.2275802206248401</v>
      </c>
      <c r="AP129" s="8">
        <f t="shared" si="52"/>
        <v>145.25829304013558</v>
      </c>
      <c r="AQ129" s="8">
        <f>IF(_xlfn.XLOOKUP(E129,Groups!A:A,Groups!M:M)=1,EXP(0.7444*LN('Base stats'!C129)+6.5696),EXP(0.7927*LN('Base stats'!C129)+4.28))</f>
        <v>181.64053415011705</v>
      </c>
      <c r="AR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"No")))))))))))))))</f>
        <v>31.437340017004843</v>
      </c>
      <c r="AS129" s="8">
        <f>IF(_xlfn.XLOOKUP(E129,Groups!A:A,Groups!U:U)=3,AQ129,IF(_xlfn.XLOOKUP(E129,Groups!A:A,Groups!U:U)=2,AP129,AR129))</f>
        <v>31.437340017004843</v>
      </c>
      <c r="AT129" s="46">
        <f>IFERROR(AVERAGE(_xlfn.XLOOKUP(B129,Animals!B:B,Animals!N:N),_xlfn.XLOOKUP(B129,Animals!B:B,Animals!O:O)),0)</f>
        <v>0</v>
      </c>
      <c r="AU129" s="8">
        <f>MROUND(40*Animals!AO129*_xlfn.XLOOKUP(Animals!BB129,Leathers!$A$2:$A$100,Leathers!$B$2:$B$100,0)+(140*_xlfn.XLOOKUP(B129,Animals!B:B,Animals!AO:AO)*2),5)</f>
        <v>70</v>
      </c>
      <c r="AV129" s="8">
        <f>IFERROR(ROUND(SQRT(V129-1)*IF(_xlfn.XLOOKUP(E129,Groups!A:A,Groups!BF:BF)=0,2,1)*IF(_xlfn.XLOOKUP('Base stats'!E129,Groups!A:A,Groups!O:O)=0,1,0.1),1),0)</f>
        <v>0.2</v>
      </c>
      <c r="AW129" s="8">
        <f t="shared" si="53"/>
        <v>0</v>
      </c>
      <c r="AX129" s="8">
        <f t="shared" si="54"/>
        <v>0</v>
      </c>
      <c r="AY129" s="8">
        <f t="shared" si="55"/>
        <v>0.9</v>
      </c>
      <c r="AZ129" s="8">
        <f>IF(_xlfn.XLOOKUP(E129,Groups!A:A,Groups!N:N)="Insect",BB129*2.5,IFERROR(AVERAGE(BB129,AR129/9.81/IF(OR(_xlfn.XLOOKUP(E129,Groups!A:A,Groups!N:N)="Pig",_xlfn.XLOOKUP(E129,Groups!A:A,Groups!N:N)="StrongBitingHerbivore"),20,25))*C129^-0.135,BB129))</f>
        <v>9.504517870410395E-2</v>
      </c>
      <c r="BA129" s="8" t="str">
        <f>IF(W129="No","No",IF(_xlfn.XLOOKUP(E129,Groups!A:A,Groups!U:U)=1,'Base stats'!AZ129,IF(OR(_xlfn.XLOOKUP(E129,Groups!A:A,Groups!BD:BD)=1,_xlfn.XLOOKUP(E129,Groups!A:A,Groups!U:U)=2),BB129,IF(_xlfn.XLOOKUP(B129,Animals!B:B,Animals!AO:AO)&gt;4,AVERAGE(BB129,BD129),BD129))))</f>
        <v>No</v>
      </c>
      <c r="BB129" s="8">
        <f t="shared" si="56"/>
        <v>9.4225651873108052E-2</v>
      </c>
      <c r="BC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D129" s="8">
        <f>(0.048*C129^1.01)/IF(_xlfn.XLOOKUP(E129,Groups!A:A,Groups!M:M)=1,0.25,0.8)*C129^-0.25</f>
        <v>0.14523297507496707</v>
      </c>
      <c r="BE129" s="8">
        <f>EXP(1.076*LN(AP129)-4.5397)*IF(_xlfn.XLOOKUP(E129,Groups!A:A,Groups!BC:BC)=1,1.25,IF(_xlfn.XLOOKUP(E129,Groups!A:A,Groups!BD:BD)=1,3.5,2.5))</f>
        <v>5.6602680292456213</v>
      </c>
      <c r="BF129" s="8">
        <f>EXP(1.076*LN(AQ129)-4.5397)*IF(_xlfn.XLOOKUP(E129,Groups!A:A,Groups!M:M)=1,0.8,IF(_xlfn.XLOOKUP(E129,Groups!A:A,Groups!BC:BC)=1,1.3,3))</f>
        <v>8.6390808043247489</v>
      </c>
      <c r="BG129" s="8" t="str">
        <f>IF(W129="No","No",IF(_xlfn.XLOOKUP(E129,Groups!A:A,Groups!U:U)=1,'Base stats'!BH129,IF(OR(_xlfn.XLOOKUP(E129,Groups!A:A,Groups!BD:BD)=1,_xlfn.XLOOKUP(E129,Groups!A:A,Groups!U:U)=2),BE129,BF129))*1.2)</f>
        <v>No</v>
      </c>
      <c r="BH129" s="8">
        <f>IFERROR(EXP(1.076*LN(AR129)-4.5397)*IF(_xlfn.XLOOKUP(E129,Groups!A:A,Groups!N:N)="Insect",1,IF(OR(_xlfn.XLOOKUP(E129,Groups!A:A,Groups!N:N)="Pig",_xlfn.XLOOKUP(E129,Groups!A:A,Groups!N:N)="StrongBitingHerbivore"),3.5,3.75)),"No")</f>
        <v>1.6357475585101351</v>
      </c>
      <c r="BI129" s="8">
        <f t="shared" si="44"/>
        <v>10</v>
      </c>
      <c r="BJ129" s="8">
        <f t="shared" si="45"/>
        <v>7</v>
      </c>
      <c r="BK129" s="8" t="str">
        <f t="shared" si="57"/>
        <v>No</v>
      </c>
      <c r="BL129" s="8">
        <f t="shared" si="58"/>
        <v>5</v>
      </c>
      <c r="BM129" s="8">
        <f t="shared" si="46"/>
        <v>10</v>
      </c>
      <c r="BN129" s="8" t="str" cm="1">
        <f t="array" ref="BN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O129" s="8" t="str">
        <f>IF(W129="No","No",IF(_xlfn.XLOOKUP(E129,Groups!A:A,Groups!BD:BD)=1,(AM129*5%),EXP(0.7354*LN(C129)^0.4078)*2/IF(_xlfn.XLOOKUP(E129,Groups!A:A,Groups!BL:BL)=1,1000,100)))</f>
        <v>No</v>
      </c>
      <c r="BP129" s="8">
        <f>IF(BH129="No","No",IF(_xlfn.XLOOKUP(E129,Groups!A:A,Groups!BF:BF)=1,(0.0315*C129+2.1825)*2,(0.7354*C129^0.4078)*2)/IF(_xlfn.XLOOKUP(E129,Groups!A:A,Groups!BM:BM)=1,1000,100))</f>
        <v>2.3634900719797604E-2</v>
      </c>
      <c r="BQ129" s="8">
        <f t="shared" si="59"/>
        <v>4.7884673184397833E-2</v>
      </c>
      <c r="BR129" s="8" t="str">
        <f t="shared" si="47"/>
        <v>No</v>
      </c>
      <c r="BS129" s="8" t="str">
        <f t="shared" si="60"/>
        <v>No</v>
      </c>
      <c r="BT129" s="8">
        <f t="shared" si="48"/>
        <v>69.208987924369112</v>
      </c>
      <c r="BU129" s="4">
        <v>0</v>
      </c>
      <c r="BV129" s="4">
        <v>1</v>
      </c>
    </row>
    <row r="130" spans="1:74" x14ac:dyDescent="0.25">
      <c r="A130" s="26" t="s">
        <v>486</v>
      </c>
      <c r="B130" s="6" t="s">
        <v>491</v>
      </c>
      <c r="C130" s="7">
        <v>25</v>
      </c>
      <c r="D130" s="7" t="s">
        <v>558</v>
      </c>
      <c r="E130" s="7" t="s">
        <v>123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558</v>
      </c>
      <c r="L130" s="7">
        <f>MIN(20*C130^0.183,19.9*C130^0.142,13.7*C130^0.004)</f>
        <v>13.877534867975477</v>
      </c>
      <c r="M130" s="7" t="s">
        <v>638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945</v>
      </c>
      <c r="Y130" s="4" t="s">
        <v>42</v>
      </c>
      <c r="Z130" s="4">
        <v>0</v>
      </c>
      <c r="AA130" s="4">
        <v>0</v>
      </c>
      <c r="AB130" s="4">
        <v>0</v>
      </c>
      <c r="AC130" s="4" t="s">
        <v>45</v>
      </c>
      <c r="AD130" s="4" t="s">
        <v>408</v>
      </c>
      <c r="AE130" s="28" t="s">
        <v>394</v>
      </c>
      <c r="AF130" s="4" t="str">
        <f>Animals!C40</f>
        <v>&lt;li&gt;Alphabeaver&lt;/li&gt;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4">
        <v>10</v>
      </c>
      <c r="AM130" s="8">
        <f t="shared" ref="AM130:AM166" si="67">(0.111*C130^0.65)*10000</f>
        <v>8994.6441116448314</v>
      </c>
      <c r="AN130" s="8">
        <f>IFERROR(C130*_xlfn.XLOOKUP(E130,Groups!A:A,Groups!K:K),0.106*C130^0.94)</f>
        <v>2.1845876462939295</v>
      </c>
      <c r="AO130" s="8">
        <f>AN130*10000/(_xlfn.XLOOKUP(E130,Groups!A:A,Groups!J:J)*AM130)</f>
        <v>2.2282247356693241</v>
      </c>
      <c r="AP130" s="8">
        <f t="shared" ref="AP130:AP166" si="68">EXP(0.8447*LN(C130)+3.996)</f>
        <v>824.67090957260996</v>
      </c>
      <c r="AQ130" s="8">
        <f>IF(_xlfn.XLOOKUP(E130,Groups!A:A,Groups!M:M)=1,EXP(0.7444*LN('Base stats'!C130)+6.5696),EXP(0.7927*LN('Base stats'!C130)+4.28))</f>
        <v>926.67495884741118</v>
      </c>
      <c r="AR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"No")))))))))))))))</f>
        <v>714</v>
      </c>
      <c r="AS130" s="8">
        <f>IF(_xlfn.XLOOKUP(E130,Groups!A:A,Groups!U:U)=3,AQ130,IF(_xlfn.XLOOKUP(E130,Groups!A:A,Groups!U:U)=2,AP130,AR130))</f>
        <v>714</v>
      </c>
      <c r="AT130" s="46">
        <f>IFERROR(AVERAGE(_xlfn.XLOOKUP(B130,Animals!B:B,Animals!N:N),_xlfn.XLOOKUP(B130,Animals!B:B,Animals!O:O)),0)</f>
        <v>0</v>
      </c>
      <c r="AU130" s="8">
        <f>MROUND(40*Animals!AO130*_xlfn.XLOOKUP(Animals!BB130,Leathers!$A$2:$A$100,Leathers!$B$2:$B$100,0)+(140*_xlfn.XLOOKUP(B130,Animals!B:B,Animals!AO:AO)*2),5)</f>
        <v>230</v>
      </c>
      <c r="AV130" s="8">
        <f>IFERROR(ROUND(SQRT(V130-1)*IF(_xlfn.XLOOKUP(E130,Groups!A:A,Groups!BF:BF)=0,2,1)*IF(_xlfn.XLOOKUP('Base stats'!E130,Groups!A:A,Groups!O:O)=0,1,0.1),1),0)</f>
        <v>2.2000000000000002</v>
      </c>
      <c r="AW130" s="8">
        <f t="shared" ref="AW130:AW166" si="69">IFERROR(ROUND(SQRT(U130-1),1),0)</f>
        <v>0</v>
      </c>
      <c r="AX130" s="8">
        <f t="shared" ref="AX130:AX166" si="70">IFERROR(ROUND(SQRT(W130),1),0)</f>
        <v>0</v>
      </c>
      <c r="AY130" s="8">
        <f t="shared" ref="AY130:AY166" si="71">ROUND(
  EXP(0.3582*LN(C130)-0.2221) *
  (0.75 + 0.25*(C130^4/(C130^4+10^4))),
1)</f>
        <v>2.5</v>
      </c>
      <c r="AZ130" s="8">
        <f>IF(_xlfn.XLOOKUP(E130,Groups!A:A,Groups!N:N)="Insect",BB130*2.5,IFERROR(AVERAGE(BB130,AR130/9.81/IF(OR(_xlfn.XLOOKUP(E130,Groups!A:A,Groups!N:N)="Pig",_xlfn.XLOOKUP(E130,Groups!A:A,Groups!N:N)="StrongBitingHerbivore"),20,25))*C130^-0.135,BB130))</f>
        <v>1.086362499034718</v>
      </c>
      <c r="BA130" s="8" t="str">
        <f>IF(W130="No","No",IF(_xlfn.XLOOKUP(E130,Groups!A:A,Groups!U:U)=1,'Base stats'!AZ130,IF(OR(_xlfn.XLOOKUP(E130,Groups!A:A,Groups!BD:BD)=1,_xlfn.XLOOKUP(E130,Groups!A:A,Groups!U:U)=2),BB130,IF(_xlfn.XLOOKUP(B130,Animals!B:B,Animals!AO:AO)&gt;4,AVERAGE(BB130,BD130),BD130))))</f>
        <v>No</v>
      </c>
      <c r="BB130" s="8">
        <f t="shared" ref="BB130:BB166" si="72">(0.0392*C130^IF(OR(Y130="Herbivore",Y130="Dendrovore",Y130="OmnivoreRough"),0.889,0.966))*C130^-0.135</f>
        <v>0.44394874596231243</v>
      </c>
      <c r="BC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D130" s="8">
        <f>(0.048*C130^1.01)/IF(_xlfn.XLOOKUP(E130,Groups!A:A,Groups!M:M)=1,0.25,0.8)*C130^-0.25</f>
        <v>0.69276455162902584</v>
      </c>
      <c r="BE130" s="8">
        <f>EXP(1.076*LN(AP130)-4.5397)*IF(_xlfn.XLOOKUP(E130,Groups!A:A,Groups!BC:BC)=1,1.25,IF(_xlfn.XLOOKUP(E130,Groups!A:A,Groups!BD:BD)=1,3.5,2.5))</f>
        <v>36.668348939666025</v>
      </c>
      <c r="BF130" s="8">
        <f>EXP(1.076*LN(AQ130)-4.5397)*IF(_xlfn.XLOOKUP(E130,Groups!A:A,Groups!M:M)=1,0.8,IF(_xlfn.XLOOKUP(E130,Groups!A:A,Groups!BC:BC)=1,1.3,3))</f>
        <v>49.884831215386384</v>
      </c>
      <c r="BG130" s="8" t="str">
        <f>IF(W130="No","No",IF(_xlfn.XLOOKUP(E130,Groups!A:A,Groups!U:U)=1,'Base stats'!BH130,IF(OR(_xlfn.XLOOKUP(E130,Groups!A:A,Groups!BD:BD)=1,_xlfn.XLOOKUP(E130,Groups!A:A,Groups!U:U)=2),BE130,BF130))*1.2)</f>
        <v>No</v>
      </c>
      <c r="BH130" s="8">
        <f>IFERROR(EXP(1.076*LN(AR130)-4.5397)*IF(_xlfn.XLOOKUP(E130,Groups!A:A,Groups!N:N)="Insect",1,IF(OR(_xlfn.XLOOKUP(E130,Groups!A:A,Groups!N:N)="Pig",_xlfn.XLOOKUP(E130,Groups!A:A,Groups!N:N)="StrongBitingHerbivore"),3.5,3.75)),"No")</f>
        <v>47.10249195911851</v>
      </c>
      <c r="BI130" s="8">
        <f t="shared" si="44"/>
        <v>12</v>
      </c>
      <c r="BJ130" s="8">
        <f t="shared" si="45"/>
        <v>10</v>
      </c>
      <c r="BK130" s="8" t="str">
        <f t="shared" ref="BK130:BK166" si="73">IF(W130="No","No",ROUNDDOWN(SQRT((2*BG130)/BA130),0))</f>
        <v>No</v>
      </c>
      <c r="BL130" s="8">
        <f t="shared" ref="BL130:BL166" si="74">IF(V130="No","No",ROUNDDOWN(SQRT((2*BH130)/AZ130),0))</f>
        <v>9</v>
      </c>
      <c r="BM130" s="8">
        <f t="shared" si="46"/>
        <v>12</v>
      </c>
      <c r="BN130" s="8" t="str" cm="1">
        <f t="array" ref="BN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O130" s="8" t="str">
        <f>IF(W130="No","No",IF(_xlfn.XLOOKUP(E130,Groups!A:A,Groups!BD:BD)=1,(AM130*5%),EXP(0.7354*LN(C130)^0.4078)*2/IF(_xlfn.XLOOKUP(E130,Groups!A:A,Groups!BL:BL)=1,1000,100)))</f>
        <v>No</v>
      </c>
      <c r="BP130" s="8">
        <f>IF(BH130="No","No",IF(_xlfn.XLOOKUP(E130,Groups!A:A,Groups!BF:BF)=1,(0.0315*C130+2.1825)*2,(0.7354*C130^0.4078)*2)/IF(_xlfn.XLOOKUP(E130,Groups!A:A,Groups!BM:BM)=1,1000,100))</f>
        <v>5.4655460365074494E-2</v>
      </c>
      <c r="BQ130" s="8">
        <f t="shared" ref="BQ130:BQ166" si="75">BE130/(AM130*5%)</f>
        <v>8.1533740489395656E-2</v>
      </c>
      <c r="BR130" s="8" t="str">
        <f t="shared" si="47"/>
        <v>No</v>
      </c>
      <c r="BS130" s="8" t="str">
        <f t="shared" ref="BS130:BS166" si="76">IF(W130="No","No",BG130/BO130)</f>
        <v>No</v>
      </c>
      <c r="BT130" s="8">
        <f t="shared" si="48"/>
        <v>861.80761527749519</v>
      </c>
      <c r="BU130" s="4">
        <v>0</v>
      </c>
      <c r="BV130" s="4">
        <v>1</v>
      </c>
    </row>
    <row r="131" spans="1:74" x14ac:dyDescent="0.25">
      <c r="A131" s="26" t="s">
        <v>487</v>
      </c>
      <c r="B131" s="6" t="s">
        <v>492</v>
      </c>
      <c r="C131" s="7">
        <v>1.2135</v>
      </c>
      <c r="D131" s="7" t="s">
        <v>608</v>
      </c>
      <c r="E131" s="7" t="s">
        <v>636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608</v>
      </c>
      <c r="L131" s="7">
        <f>MIN(20*C131^0.183,19.9*C131^0.142,13.7*C131^0.004)</f>
        <v>13.710608384391588</v>
      </c>
      <c r="M131" s="7" t="s">
        <v>638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945</v>
      </c>
      <c r="Y131" s="4" t="s">
        <v>56</v>
      </c>
      <c r="Z131" s="4">
        <v>0</v>
      </c>
      <c r="AA131" s="4">
        <v>0</v>
      </c>
      <c r="AB131" s="4">
        <v>0</v>
      </c>
      <c r="AC131" s="4" t="s">
        <v>45</v>
      </c>
      <c r="AD131" s="4" t="s">
        <v>45</v>
      </c>
      <c r="AE131" s="28" t="s">
        <v>394</v>
      </c>
      <c r="AF131" s="4" t="s">
        <v>45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4" t="s">
        <v>40</v>
      </c>
      <c r="AM131" s="8">
        <f t="shared" si="67"/>
        <v>1258.7771078426365</v>
      </c>
      <c r="AN131" s="8">
        <f>IFERROR(C131*_xlfn.XLOOKUP(E131,Groups!A:A,Groups!K:K),0.106*C131^0.94)</f>
        <v>0.12714616313592822</v>
      </c>
      <c r="AO131" s="8">
        <f>AN131*10000/(_xlfn.XLOOKUP(E131,Groups!A:A,Groups!J:J)*AM131)</f>
        <v>0.92667602041099417</v>
      </c>
      <c r="AP131" s="8">
        <f t="shared" si="68"/>
        <v>64.03673082694479</v>
      </c>
      <c r="AQ131" s="8">
        <f>IF(_xlfn.XLOOKUP(E131,Groups!A:A,Groups!M:M)=1,EXP(0.7444*LN('Base stats'!C131)+6.5696),EXP(0.7927*LN('Base stats'!C131)+4.28))</f>
        <v>84.216796363015334</v>
      </c>
      <c r="AR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"No")))))))))))))))</f>
        <v>78.693506885939101</v>
      </c>
      <c r="AS131" s="8">
        <f>IF(_xlfn.XLOOKUP(E131,Groups!A:A,Groups!U:U)=3,AQ131,IF(_xlfn.XLOOKUP(E131,Groups!A:A,Groups!U:U)=2,AP131,AR131))</f>
        <v>78.693506885939101</v>
      </c>
      <c r="AT131" s="46">
        <f>IFERROR(AVERAGE(_xlfn.XLOOKUP(B131,Animals!B:B,Animals!N:N),_xlfn.XLOOKUP(B131,Animals!B:B,Animals!O:O)),0)</f>
        <v>0</v>
      </c>
      <c r="AU131" s="8">
        <f>MROUND(40*Animals!AO131*_xlfn.XLOOKUP(Animals!BB131,Leathers!$A$2:$A$100,Leathers!$B$2:$B$100,0)+(140*_xlfn.XLOOKUP(B131,Animals!B:B,Animals!AO:AO)*2),5)</f>
        <v>55</v>
      </c>
      <c r="AV131" s="8">
        <f>IFERROR(ROUND(SQRT(V131-1)*IF(_xlfn.XLOOKUP(E131,Groups!A:A,Groups!BF:BF)=0,2,1)*IF(_xlfn.XLOOKUP('Base stats'!E131,Groups!A:A,Groups!O:O)=0,1,0.1),1),0)</f>
        <v>0</v>
      </c>
      <c r="AW131" s="8">
        <f t="shared" si="69"/>
        <v>0</v>
      </c>
      <c r="AX131" s="8">
        <f t="shared" si="70"/>
        <v>0</v>
      </c>
      <c r="AY131" s="8">
        <f t="shared" si="71"/>
        <v>0.6</v>
      </c>
      <c r="AZ131" s="8">
        <f>IF(_xlfn.XLOOKUP(E131,Groups!A:A,Groups!N:N)="Insect",BB131*2.5,IFERROR(AVERAGE(BB131,AR131/9.81/IF(OR(_xlfn.XLOOKUP(E131,Groups!A:A,Groups!N:N)="Pig",_xlfn.XLOOKUP(E131,Groups!A:A,Groups!N:N)="StrongBitingHerbivore"),20,25))*C131^-0.135,BB131))</f>
        <v>0.17872418508078849</v>
      </c>
      <c r="BA131" s="8" t="str">
        <f>IF(W131="No","No",IF(_xlfn.XLOOKUP(E131,Groups!A:A,Groups!U:U)=1,'Base stats'!AZ131,IF(OR(_xlfn.XLOOKUP(E131,Groups!A:A,Groups!BD:BD)=1,_xlfn.XLOOKUP(E131,Groups!A:A,Groups!U:U)=2),BB131,IF(_xlfn.XLOOKUP(B131,Animals!B:B,Animals!AO:AO)&gt;4,AVERAGE(BB131,BD131),BD131))))</f>
        <v>No</v>
      </c>
      <c r="BB131" s="8">
        <f t="shared" si="72"/>
        <v>4.6038707722392644E-2</v>
      </c>
      <c r="BC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D131" s="8">
        <f>(0.048*C131^1.01)/IF(_xlfn.XLOOKUP(E131,Groups!A:A,Groups!M:M)=1,0.25,0.8)*C131^-0.25</f>
        <v>6.9505869992112154E-2</v>
      </c>
      <c r="BE131" s="8">
        <f>EXP(1.076*LN(AP131)-4.5397)*IF(_xlfn.XLOOKUP(E131,Groups!A:A,Groups!BC:BC)=1,1.25,IF(_xlfn.XLOOKUP(E131,Groups!A:A,Groups!BD:BD)=1,3.5,2.5))</f>
        <v>2.3447206979592634</v>
      </c>
      <c r="BF131" s="8">
        <f>EXP(1.076*LN(AQ131)-4.5397)*IF(_xlfn.XLOOKUP(E131,Groups!A:A,Groups!M:M)=1,0.8,IF(_xlfn.XLOOKUP(E131,Groups!A:A,Groups!BC:BC)=1,1.3,3))</f>
        <v>3.778188435490045</v>
      </c>
      <c r="BG131" s="8" t="str">
        <f>IF(W131="No","No",IF(_xlfn.XLOOKUP(E131,Groups!A:A,Groups!U:U)=1,'Base stats'!BH131,IF(OR(_xlfn.XLOOKUP(E131,Groups!A:A,Groups!BD:BD)=1,_xlfn.XLOOKUP(E131,Groups!A:A,Groups!U:U)=2),BE131,BF131))*1.2)</f>
        <v>No</v>
      </c>
      <c r="BH131" s="8">
        <f>IFERROR(EXP(1.076*LN(AR131)-4.5397)*IF(_xlfn.XLOOKUP(E131,Groups!A:A,Groups!N:N)="Insect",1,IF(OR(_xlfn.XLOOKUP(E131,Groups!A:A,Groups!N:N)="Pig",_xlfn.XLOOKUP(E131,Groups!A:A,Groups!N:N)="StrongBitingHerbivore"),3.5,3.75)),"No")</f>
        <v>4.3903067377807092</v>
      </c>
      <c r="BI131" s="8">
        <f t="shared" ref="BI131:BI166" si="77">ROUNDDOWN(SQRT((2*BE131)/BB131),0)</f>
        <v>10</v>
      </c>
      <c r="BJ131" s="8">
        <f t="shared" ref="BJ131:BJ166" si="78">ROUNDDOWN(SQRT((2*BF131)/BC131),0)</f>
        <v>9</v>
      </c>
      <c r="BK131" s="8" t="str">
        <f t="shared" si="73"/>
        <v>No</v>
      </c>
      <c r="BL131" s="8">
        <f t="shared" si="74"/>
        <v>7</v>
      </c>
      <c r="BM131" s="8">
        <f t="shared" ref="BM131:BM166" si="79">ROUNDDOWN(SQRT((2*BF131)/BD131),0)</f>
        <v>10</v>
      </c>
      <c r="BN131" s="8" t="str" cm="1">
        <f t="array" ref="BN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O131" s="8" t="str">
        <f>IF(W131="No","No",IF(_xlfn.XLOOKUP(E131,Groups!A:A,Groups!BD:BD)=1,(AM131*5%),EXP(0.7354*LN(C131)^0.4078)*2/IF(_xlfn.XLOOKUP(E131,Groups!A:A,Groups!BL:BL)=1,1000,100)))</f>
        <v>No</v>
      </c>
      <c r="BP131" s="8">
        <f>IF(BH131="No","No",IF(_xlfn.XLOOKUP(E131,Groups!A:A,Groups!BF:BF)=1,(0.0315*C131+2.1825)*2,(0.7354*C131^0.4078)*2)/IF(_xlfn.XLOOKUP(E131,Groups!A:A,Groups!BM:BM)=1,1000,100))</f>
        <v>1.5915674323270582E-2</v>
      </c>
      <c r="BQ131" s="8">
        <f t="shared" si="75"/>
        <v>3.725394564853151E-2</v>
      </c>
      <c r="BR131" s="8" t="str">
        <f t="shared" ref="BR131:BR166" si="80">IF(BN131="No","No",BF131/BN131)</f>
        <v>No</v>
      </c>
      <c r="BS131" s="8" t="str">
        <f t="shared" si="76"/>
        <v>No</v>
      </c>
      <c r="BT131" s="8">
        <f t="shared" ref="BT131:BT166" si="81">IF(BH131="No","No",BH131/BP131)</f>
        <v>275.84798787705563</v>
      </c>
      <c r="BU131" s="4">
        <v>0</v>
      </c>
      <c r="BV131" s="4">
        <v>1</v>
      </c>
    </row>
    <row r="132" spans="1:74" x14ac:dyDescent="0.25">
      <c r="A132" s="26" t="s">
        <v>78</v>
      </c>
      <c r="B132" s="6" t="s">
        <v>79</v>
      </c>
      <c r="C132" s="7">
        <f>AVERAGE(104.5,76.7)</f>
        <v>90.6</v>
      </c>
      <c r="D132" s="7" t="s">
        <v>1209</v>
      </c>
      <c r="E132" s="7" t="str">
        <f>Groups!A20</f>
        <v>Felid (can fish)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556</v>
      </c>
      <c r="L132" s="7">
        <f>MIN(37.5*C132^0.089,79.3*C132^-0.072)</f>
        <v>56.003565476844742</v>
      </c>
      <c r="M132" s="7" t="s">
        <v>638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IF(AR132="No","No",IF(_xlfn.XLOOKUP(E132,Groups!A:A,Groups!AM:AM)=1,MROUND(EXP(0.3582*LN(C132)-0.2221)*T132,0.05),IF(_xlfn.XLOOKUP(E132,Groups!A:A,Groups!AM:AM)=2,MROUND(EXP(0.3582*LN(C132)-0.2221)*T132,0.05),"Need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945</v>
      </c>
      <c r="Y132" s="4" t="s">
        <v>56</v>
      </c>
      <c r="Z132" s="4">
        <v>0</v>
      </c>
      <c r="AA132" s="4">
        <v>0</v>
      </c>
      <c r="AB132" s="4">
        <v>0</v>
      </c>
      <c r="AC132" s="4" t="s">
        <v>45</v>
      </c>
      <c r="AD132" s="4" t="s">
        <v>45</v>
      </c>
      <c r="AE132" s="28" t="s">
        <v>398</v>
      </c>
      <c r="AF132" s="4" t="s">
        <v>45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4" t="s">
        <v>40</v>
      </c>
      <c r="AM132" s="8">
        <f t="shared" si="67"/>
        <v>20770.947464227022</v>
      </c>
      <c r="AN132" s="8">
        <f>IFERROR(C132*_xlfn.XLOOKUP(E132,Groups!A:A,Groups!K:K),0.106*C132^0.94)</f>
        <v>11.302349999999999</v>
      </c>
      <c r="AO132" s="8">
        <f>AN132*10000/(_xlfn.XLOOKUP(E132,Groups!A:A,Groups!J:J)*AM132)</f>
        <v>4.9921306951574111</v>
      </c>
      <c r="AP132" s="8">
        <f t="shared" si="68"/>
        <v>2446.9603841731432</v>
      </c>
      <c r="AQ132" s="8">
        <f>IF(_xlfn.XLOOKUP(E132,Groups!A:A,Groups!M:M)=1,EXP(0.7444*LN('Base stats'!C132)+6.5696),EXP(0.7927*LN('Base stats'!C132)+4.28))</f>
        <v>2571.5555179186249</v>
      </c>
      <c r="AR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"No")))))))))))))))</f>
        <v>6532.0747536068466</v>
      </c>
      <c r="AS132" s="8">
        <f>IF(_xlfn.XLOOKUP(E132,Groups!A:A,Groups!U:U)=3,AQ132,IF(_xlfn.XLOOKUP(E132,Groups!A:A,Groups!U:U)=2,AP132,AR132))</f>
        <v>6532.0747536068466</v>
      </c>
      <c r="AT132" s="46">
        <f>IFERROR(AVERAGE(_xlfn.XLOOKUP(B132,Animals!B:B,Animals!N:N),_xlfn.XLOOKUP(B132,Animals!B:B,Animals!O:O)),0)</f>
        <v>0</v>
      </c>
      <c r="AU132" s="8">
        <f>MROUND(40*Animals!AO132*_xlfn.XLOOKUP(Animals!BB132,Leathers!$A$2:$A$100,Leathers!$B$2:$B$100,0)+(140*_xlfn.XLOOKUP(B132,Animals!B:B,Animals!AO:AO)*2),5)</f>
        <v>515</v>
      </c>
      <c r="AV132" s="8">
        <f>IFERROR(ROUND(SQRT(V132-1)*IF(_xlfn.XLOOKUP(E132,Groups!A:A,Groups!BF:BF)=0,2,1)*IF(_xlfn.XLOOKUP('Base stats'!E132,Groups!A:A,Groups!O:O)=0,1,0.1),1),0)</f>
        <v>3.8</v>
      </c>
      <c r="AW132" s="8">
        <f t="shared" si="69"/>
        <v>2.1</v>
      </c>
      <c r="AX132" s="8">
        <f t="shared" si="70"/>
        <v>0</v>
      </c>
      <c r="AY132" s="8">
        <f t="shared" si="71"/>
        <v>4</v>
      </c>
      <c r="AZ132" s="8">
        <f>IF(_xlfn.XLOOKUP(E132,Groups!A:A,Groups!N:N)="Insect",BB132*2.5,IFERROR(AVERAGE(BB132,AR132/9.81/IF(OR(_xlfn.XLOOKUP(E132,Groups!A:A,Groups!N:N)="Pig",_xlfn.XLOOKUP(E132,Groups!A:A,Groups!N:N)="StrongBitingHerbivore"),20,25))*C132^-0.135,BB132))</f>
        <v>7.6989437312914362</v>
      </c>
      <c r="BA132" s="8" t="str">
        <f>IF(W132="No","No",IF(_xlfn.XLOOKUP(E132,Groups!A:A,Groups!U:U)=1,'Base stats'!AZ132,IF(OR(_xlfn.XLOOKUP(E132,Groups!A:A,Groups!BD:BD)=1,_xlfn.XLOOKUP(E132,Groups!A:A,Groups!U:U)=2),BB132,IF(_xlfn.XLOOKUP(B132,Animals!B:B,Animals!AO:AO)&gt;4,AVERAGE(BB132,BD132),BD132))))</f>
        <v>No</v>
      </c>
      <c r="BB132" s="8">
        <f t="shared" si="72"/>
        <v>1.6582866302091877</v>
      </c>
      <c r="BC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D132" s="8">
        <f>(0.048*C132^1.01)/IF(_xlfn.XLOOKUP(E132,Groups!A:A,Groups!M:M)=1,0.25,0.8)*C132^-0.25</f>
        <v>1.8431839525028992</v>
      </c>
      <c r="BE132" s="8">
        <f>EXP(1.076*LN(AP132)-4.5397)*IF(_xlfn.XLOOKUP(E132,Groups!A:A,Groups!BC:BC)=1,1.25,IF(_xlfn.XLOOKUP(E132,Groups!A:A,Groups!BD:BD)=1,3.5,2.5))</f>
        <v>118.17780921423952</v>
      </c>
      <c r="BF132" s="8">
        <f>EXP(1.076*LN(AQ132)-4.5397)*IF(_xlfn.XLOOKUP(E132,Groups!A:A,Groups!M:M)=1,0.8,IF(_xlfn.XLOOKUP(E132,Groups!A:A,Groups!BC:BC)=1,1.3,3))</f>
        <v>149.59786270514047</v>
      </c>
      <c r="BG132" s="8" t="str">
        <f>IF(W132="No","No",IF(_xlfn.XLOOKUP(E132,Groups!A:A,Groups!U:U)=1,'Base stats'!BH132,IF(OR(_xlfn.XLOOKUP(E132,Groups!A:A,Groups!BD:BD)=1,_xlfn.XLOOKUP(E132,Groups!A:A,Groups!U:U)=2),BE132,BF132))*1.2)</f>
        <v>No</v>
      </c>
      <c r="BH132" s="8">
        <f>IFERROR(EXP(1.076*LN(AR132)-4.5397)*IF(_xlfn.XLOOKUP(E132,Groups!A:A,Groups!N:N)="Insect",1,IF(OR(_xlfn.XLOOKUP(E132,Groups!A:A,Groups!N:N)="Pig",_xlfn.XLOOKUP(E132,Groups!A:A,Groups!N:N)="StrongBitingHerbivore"),3.5,3.75)),"No")</f>
        <v>509.87021374925024</v>
      </c>
      <c r="BI132" s="8">
        <f t="shared" si="77"/>
        <v>11</v>
      </c>
      <c r="BJ132" s="8">
        <f t="shared" si="78"/>
        <v>11</v>
      </c>
      <c r="BK132" s="8" t="str">
        <f t="shared" si="73"/>
        <v>No</v>
      </c>
      <c r="BL132" s="8">
        <f t="shared" si="74"/>
        <v>11</v>
      </c>
      <c r="BM132" s="8">
        <f t="shared" si="79"/>
        <v>12</v>
      </c>
      <c r="BN132" s="8" cm="1">
        <f t="array" ref="BN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O132" s="8" t="str">
        <f>IF(W132="No","No",IF(_xlfn.XLOOKUP(E132,Groups!A:A,Groups!BD:BD)=1,(AM132*5%),EXP(0.7354*LN(C132)^0.4078)*2/IF(_xlfn.XLOOKUP(E132,Groups!A:A,Groups!BL:BL)=1,1000,100)))</f>
        <v>No</v>
      </c>
      <c r="BP132" s="8">
        <f>IF(BH132="No","No",IF(_xlfn.XLOOKUP(E132,Groups!A:A,Groups!BF:BF)=1,(0.0315*C132+2.1825)*2,(0.7354*C132^0.4078)*2)/IF(_xlfn.XLOOKUP(E132,Groups!A:A,Groups!BM:BM)=1,1000,100))</f>
        <v>9.2399687029971422E-2</v>
      </c>
      <c r="BQ132" s="8">
        <f t="shared" si="75"/>
        <v>0.11379144780734962</v>
      </c>
      <c r="BR132" s="8">
        <f t="shared" si="80"/>
        <v>1619.0299720021328</v>
      </c>
      <c r="BS132" s="8" t="str">
        <f t="shared" si="76"/>
        <v>No</v>
      </c>
      <c r="BT132" s="8">
        <f t="shared" si="81"/>
        <v>5518.094596834133</v>
      </c>
      <c r="BU132" s="4">
        <v>0</v>
      </c>
      <c r="BV132" s="4">
        <v>1</v>
      </c>
    </row>
    <row r="133" spans="1:74" x14ac:dyDescent="0.25">
      <c r="A133" s="26" t="s">
        <v>245</v>
      </c>
      <c r="B133" s="6" t="s">
        <v>256</v>
      </c>
      <c r="C133" s="7">
        <v>2.5550000000000002</v>
      </c>
      <c r="D133" s="7" t="s">
        <v>609</v>
      </c>
      <c r="E133" s="7" t="s">
        <v>113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609</v>
      </c>
      <c r="L133" s="7">
        <f>MIN(23.6*C133^0.165,23.3*C133^0.225)</f>
        <v>27.550627963558679</v>
      </c>
      <c r="M133" s="7" t="s">
        <v>638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IF(AR133="No","No",IF(_xlfn.XLOOKUP(E133,Groups!A:A,Groups!AM:AM)=1,MROUND(EXP(0.3582*LN(C133)-0.2221)*T133,0.05),IF(_xlfn.XLOOKUP(E133,Groups!A:A,Groups!AM:AM)=2,MROUND(EXP(0.3582*LN(C133)-0.2221)*T133,0.05),"Need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945</v>
      </c>
      <c r="Y133" s="4" t="s">
        <v>1023</v>
      </c>
      <c r="Z133" s="4">
        <v>0</v>
      </c>
      <c r="AA133" s="4">
        <v>0</v>
      </c>
      <c r="AB133" s="4">
        <v>0</v>
      </c>
      <c r="AC133" s="4" t="s">
        <v>45</v>
      </c>
      <c r="AD133" s="4" t="s">
        <v>407</v>
      </c>
      <c r="AE133" s="28" t="s">
        <v>394</v>
      </c>
      <c r="AF133" s="4" t="str">
        <f>Animals!C31</f>
        <v>&lt;li&gt;Monkey&lt;/li&gt;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4" t="s">
        <v>40</v>
      </c>
      <c r="AM133" s="8">
        <f t="shared" si="67"/>
        <v>2042.3354075792172</v>
      </c>
      <c r="AN133" s="8">
        <f>IFERROR(C133*_xlfn.XLOOKUP(E133,Groups!A:A,Groups!K:K),0.106*C133^0.94)</f>
        <v>0.25600786952737459</v>
      </c>
      <c r="AO133" s="8">
        <f>AN133*10000/(_xlfn.XLOOKUP(E133,Groups!A:A,Groups!J:J)*AM133)</f>
        <v>1.1500050589113424</v>
      </c>
      <c r="AP133" s="8">
        <f t="shared" si="68"/>
        <v>120.10576304501073</v>
      </c>
      <c r="AQ133" s="8">
        <f>IF(_xlfn.XLOOKUP(E133,Groups!A:A,Groups!M:M)=1,EXP(0.7444*LN('Base stats'!C133)+6.5696),EXP(0.7927*LN('Base stats'!C133)+4.28))</f>
        <v>151.95645471919045</v>
      </c>
      <c r="AR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"No")))))))))))))))</f>
        <v>63.322832467971779</v>
      </c>
      <c r="AS133" s="8">
        <f>IF(_xlfn.XLOOKUP(E133,Groups!A:A,Groups!U:U)=3,AQ133,IF(_xlfn.XLOOKUP(E133,Groups!A:A,Groups!U:U)=2,AP133,AR133))</f>
        <v>63.322832467971779</v>
      </c>
      <c r="AT133" s="46">
        <f>IFERROR(AVERAGE(_xlfn.XLOOKUP(B133,Animals!B:B,Animals!N:N),_xlfn.XLOOKUP(B133,Animals!B:B,Animals!O:O)),0)</f>
        <v>0</v>
      </c>
      <c r="AU133" s="8">
        <f>MROUND(40*Animals!AO133*_xlfn.XLOOKUP(Animals!BB133,Leathers!$A$2:$A$100,Leathers!$B$2:$B$100,0)+(140*_xlfn.XLOOKUP(B133,Animals!B:B,Animals!AO:AO)*2),5)</f>
        <v>90</v>
      </c>
      <c r="AV133" s="8">
        <f>IFERROR(ROUND(SQRT(V133-1)*IF(_xlfn.XLOOKUP(E133,Groups!A:A,Groups!BF:BF)=0,2,1)*IF(_xlfn.XLOOKUP('Base stats'!E133,Groups!A:A,Groups!O:O)=0,1,0.1),1),0)</f>
        <v>0.4</v>
      </c>
      <c r="AW133" s="8">
        <f t="shared" si="69"/>
        <v>0</v>
      </c>
      <c r="AX133" s="8">
        <f t="shared" si="70"/>
        <v>0</v>
      </c>
      <c r="AY133" s="8">
        <f t="shared" si="71"/>
        <v>0.8</v>
      </c>
      <c r="AZ133" s="8">
        <f>IF(_xlfn.XLOOKUP(E133,Groups!A:A,Groups!N:N)="Insect",BB133*2.5,IFERROR(AVERAGE(BB133,AR133/9.81/IF(OR(_xlfn.XLOOKUP(E133,Groups!A:A,Groups!N:N)="Pig",_xlfn.XLOOKUP(E133,Groups!A:A,Groups!N:N)="StrongBitingHerbivore"),20,25))*C133^-0.135,BB133))</f>
        <v>0.14877197046602339</v>
      </c>
      <c r="BA133" s="8" t="str">
        <f>IF(W133="No","No",IF(_xlfn.XLOOKUP(E133,Groups!A:A,Groups!U:U)=1,'Base stats'!AZ133,IF(OR(_xlfn.XLOOKUP(E133,Groups!A:A,Groups!BD:BD)=1,_xlfn.XLOOKUP(E133,Groups!A:A,Groups!U:U)=2),BB133,IF(_xlfn.XLOOKUP(B133,Animals!B:B,Animals!AO:AO)&gt;4,AVERAGE(BB133,BD133),BD133))))</f>
        <v>No</v>
      </c>
      <c r="BB133" s="8">
        <f t="shared" si="72"/>
        <v>7.9516784362456086E-2</v>
      </c>
      <c r="BC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D133" s="8">
        <f>(0.048*C133^1.01)/IF(_xlfn.XLOOKUP(E133,Groups!A:A,Groups!M:M)=1,0.25,0.8)*C133^-0.25</f>
        <v>0.1223963136272683</v>
      </c>
      <c r="BE133" s="8">
        <f>EXP(1.076*LN(AP133)-4.5397)*IF(_xlfn.XLOOKUP(E133,Groups!A:A,Groups!BC:BC)=1,1.25,IF(_xlfn.XLOOKUP(E133,Groups!A:A,Groups!BD:BD)=1,3.5,2.5))</f>
        <v>4.6130063052043973</v>
      </c>
      <c r="BF133" s="8">
        <f>EXP(1.076*LN(AQ133)-4.5397)*IF(_xlfn.XLOOKUP(E133,Groups!A:A,Groups!M:M)=1,0.8,IF(_xlfn.XLOOKUP(E133,Groups!A:A,Groups!BC:BC)=1,1.3,3))</f>
        <v>7.1299158362536685</v>
      </c>
      <c r="BG133" s="8" t="str">
        <f>IF(W133="No","No",IF(_xlfn.XLOOKUP(E133,Groups!A:A,Groups!U:U)=1,'Base stats'!BH133,IF(OR(_xlfn.XLOOKUP(E133,Groups!A:A,Groups!BD:BD)=1,_xlfn.XLOOKUP(E133,Groups!A:A,Groups!U:U)=2),BE133,BF133))*1.2)</f>
        <v>No</v>
      </c>
      <c r="BH133" s="8">
        <f>IFERROR(EXP(1.076*LN(AR133)-4.5397)*IF(_xlfn.XLOOKUP(E133,Groups!A:A,Groups!N:N)="Insect",1,IF(OR(_xlfn.XLOOKUP(E133,Groups!A:A,Groups!N:N)="Pig",_xlfn.XLOOKUP(E133,Groups!A:A,Groups!N:N)="StrongBitingHerbivore"),3.5,3.75)),"No")</f>
        <v>3.4749097242728064</v>
      </c>
      <c r="BI133" s="8">
        <f t="shared" si="77"/>
        <v>10</v>
      </c>
      <c r="BJ133" s="8">
        <f t="shared" si="78"/>
        <v>9</v>
      </c>
      <c r="BK133" s="8" t="str">
        <f t="shared" si="73"/>
        <v>No</v>
      </c>
      <c r="BL133" s="8">
        <f t="shared" si="74"/>
        <v>6</v>
      </c>
      <c r="BM133" s="8">
        <f t="shared" si="79"/>
        <v>10</v>
      </c>
      <c r="BN133" s="8" cm="1">
        <f t="array" ref="BN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O133" s="8" t="str">
        <f>IF(W133="No","No",IF(_xlfn.XLOOKUP(E133,Groups!A:A,Groups!BD:BD)=1,(AM133*5%),EXP(0.7354*LN(C133)^0.4078)*2/IF(_xlfn.XLOOKUP(E133,Groups!A:A,Groups!BL:BL)=1,1000,100)))</f>
        <v>No</v>
      </c>
      <c r="BP133" s="8">
        <f>IF(BH133="No","No",IF(_xlfn.XLOOKUP(E133,Groups!A:A,Groups!BF:BF)=1,(0.0315*C133+2.1825)*2,(0.7354*C133^0.4078)*2)/IF(_xlfn.XLOOKUP(E133,Groups!A:A,Groups!BM:BM)=1,1000,100))</f>
        <v>2.1561930012640517E-2</v>
      </c>
      <c r="BQ133" s="8">
        <f t="shared" si="75"/>
        <v>4.5173836658614262E-2</v>
      </c>
      <c r="BR133" s="8">
        <f t="shared" si="80"/>
        <v>35.531898811628487</v>
      </c>
      <c r="BS133" s="8" t="str">
        <f t="shared" si="76"/>
        <v>No</v>
      </c>
      <c r="BT133" s="8">
        <f t="shared" si="81"/>
        <v>161.15949371116903</v>
      </c>
      <c r="BU133" s="4">
        <v>0</v>
      </c>
      <c r="BV133" s="4">
        <v>1</v>
      </c>
    </row>
    <row r="134" spans="1:74" x14ac:dyDescent="0.25">
      <c r="A134" s="26" t="s">
        <v>114</v>
      </c>
      <c r="B134" s="6" t="s">
        <v>115</v>
      </c>
      <c r="C134" s="7">
        <v>18.2499</v>
      </c>
      <c r="D134" s="7" t="s">
        <v>941</v>
      </c>
      <c r="E134" s="7" t="s">
        <v>113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613</v>
      </c>
      <c r="L134" s="7">
        <f>MIN(23.6*C134^0.165,23.3*C134^0.225)</f>
        <v>38.108335819833258</v>
      </c>
      <c r="M134" s="7" t="s">
        <v>638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IF(AR134="No","No",IF(_xlfn.XLOOKUP(E134,Groups!A:A,Groups!AM:AM)=1,MROUND(EXP(0.3582*LN(C134)-0.2221)*T134,0.05),IF(_xlfn.XLOOKUP(E134,Groups!A:A,Groups!AM:AM)=2,MROUND(EXP(0.3582*LN(C134)-0.2221)*T134,0.05),"Need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945</v>
      </c>
      <c r="Y134" s="4" t="s">
        <v>1023</v>
      </c>
      <c r="Z134" s="4">
        <v>0</v>
      </c>
      <c r="AA134" s="4">
        <v>0</v>
      </c>
      <c r="AB134" s="4">
        <v>0</v>
      </c>
      <c r="AC134" s="4" t="s">
        <v>1084</v>
      </c>
      <c r="AD134" s="4" t="s">
        <v>407</v>
      </c>
      <c r="AE134" s="28" t="s">
        <v>394</v>
      </c>
      <c r="AF134" s="4" t="str">
        <f>Animals!C31</f>
        <v>&lt;li&gt;Monkey&lt;/li&gt;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4" t="s">
        <v>40</v>
      </c>
      <c r="AM134" s="8">
        <f t="shared" si="67"/>
        <v>7330.6468262026883</v>
      </c>
      <c r="AN134" s="8">
        <f>IFERROR(C134*_xlfn.XLOOKUP(E134,Groups!A:A,Groups!K:K),0.106*C134^0.94)</f>
        <v>1.6251397948112214</v>
      </c>
      <c r="AO134" s="8">
        <f>AN134*10000/(_xlfn.XLOOKUP(E134,Groups!A:A,Groups!J:J)*AM134)</f>
        <v>2.0338640989557843</v>
      </c>
      <c r="AP134" s="8">
        <f t="shared" si="68"/>
        <v>632.16068774693792</v>
      </c>
      <c r="AQ134" s="8">
        <f>IF(_xlfn.XLOOKUP(E134,Groups!A:A,Groups!M:M)=1,EXP(0.7444*LN('Base stats'!C134)+6.5696),EXP(0.7927*LN('Base stats'!C134)+4.28))</f>
        <v>722.07377518192425</v>
      </c>
      <c r="AR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"No")))))))))))))))</f>
        <v>321.17753492958173</v>
      </c>
      <c r="AS134" s="8">
        <f>IF(_xlfn.XLOOKUP(E134,Groups!A:A,Groups!U:U)=3,AQ134,IF(_xlfn.XLOOKUP(E134,Groups!A:A,Groups!U:U)=2,AP134,AR134))</f>
        <v>321.17753492958173</v>
      </c>
      <c r="AT134" s="46">
        <f>IFERROR(AVERAGE(_xlfn.XLOOKUP(B134,Animals!B:B,Animals!N:N),_xlfn.XLOOKUP(B134,Animals!B:B,Animals!O:O)),0)</f>
        <v>0</v>
      </c>
      <c r="AU134" s="8">
        <f>MROUND(40*Animals!AO134*_xlfn.XLOOKUP(Animals!BB134,Leathers!$A$2:$A$100,Leathers!$B$2:$B$100,0)+(140*_xlfn.XLOOKUP(B134,Animals!B:B,Animals!AO:AO)*2),5)</f>
        <v>195</v>
      </c>
      <c r="AV134" s="8">
        <f>IFERROR(ROUND(SQRT(V134-1)*IF(_xlfn.XLOOKUP(E134,Groups!A:A,Groups!BF:BF)=0,2,1)*IF(_xlfn.XLOOKUP('Base stats'!E134,Groups!A:A,Groups!O:O)=0,1,0.1),1),0)</f>
        <v>3.8</v>
      </c>
      <c r="AW134" s="8">
        <f t="shared" si="69"/>
        <v>0</v>
      </c>
      <c r="AX134" s="8">
        <f t="shared" si="70"/>
        <v>0</v>
      </c>
      <c r="AY134" s="8">
        <f t="shared" si="71"/>
        <v>2.2000000000000002</v>
      </c>
      <c r="AZ134" s="8">
        <f>IF(_xlfn.XLOOKUP(E134,Groups!A:A,Groups!N:N)="Insect",BB134*2.5,IFERROR(AVERAGE(BB134,AR134/9.81/IF(OR(_xlfn.XLOOKUP(E134,Groups!A:A,Groups!N:N)="Pig",_xlfn.XLOOKUP(E134,Groups!A:A,Groups!N:N)="StrongBitingHerbivore"),20,25))*C134^-0.135,BB134))</f>
        <v>0.56071895798608451</v>
      </c>
      <c r="BA134" s="8" t="str">
        <f>IF(W134="No","No",IF(_xlfn.XLOOKUP(E134,Groups!A:A,Groups!U:U)=1,'Base stats'!AZ134,IF(OR(_xlfn.XLOOKUP(E134,Groups!A:A,Groups!BD:BD)=1,_xlfn.XLOOKUP(E134,Groups!A:A,Groups!U:U)=2),BB134,IF(_xlfn.XLOOKUP(B134,Animals!B:B,Animals!AO:AO)&gt;4,AVERAGE(BB134,BD134),BD134))))</f>
        <v>No</v>
      </c>
      <c r="BB134" s="8">
        <f t="shared" si="72"/>
        <v>0.35016801621257826</v>
      </c>
      <c r="BC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D134" s="8">
        <f>(0.048*C134^1.01)/IF(_xlfn.XLOOKUP(E134,Groups!A:A,Groups!M:M)=1,0.25,0.8)*C134^-0.25</f>
        <v>0.54539257619515014</v>
      </c>
      <c r="BE134" s="8">
        <f>EXP(1.076*LN(AP134)-4.5397)*IF(_xlfn.XLOOKUP(E134,Groups!A:A,Groups!BC:BC)=1,1.25,IF(_xlfn.XLOOKUP(E134,Groups!A:A,Groups!BD:BD)=1,3.5,2.5))</f>
        <v>27.54632853435314</v>
      </c>
      <c r="BF134" s="8">
        <f>EXP(1.076*LN(AQ134)-4.5397)*IF(_xlfn.XLOOKUP(E134,Groups!A:A,Groups!M:M)=1,0.8,IF(_xlfn.XLOOKUP(E134,Groups!A:A,Groups!BC:BC)=1,1.3,3))</f>
        <v>38.140674314624789</v>
      </c>
      <c r="BG134" s="8" t="str">
        <f>IF(W134="No","No",IF(_xlfn.XLOOKUP(E134,Groups!A:A,Groups!U:U)=1,'Base stats'!BH134,IF(OR(_xlfn.XLOOKUP(E134,Groups!A:A,Groups!BD:BD)=1,_xlfn.XLOOKUP(E134,Groups!A:A,Groups!U:U)=2),BE134,BF134))*1.2)</f>
        <v>No</v>
      </c>
      <c r="BH134" s="8">
        <f>IFERROR(EXP(1.076*LN(AR134)-4.5397)*IF(_xlfn.XLOOKUP(E134,Groups!A:A,Groups!N:N)="Insect",1,IF(OR(_xlfn.XLOOKUP(E134,Groups!A:A,Groups!N:N)="Pig",_xlfn.XLOOKUP(E134,Groups!A:A,Groups!N:N)="StrongBitingHerbivore"),3.5,3.75)),"No")</f>
        <v>19.939873599539972</v>
      </c>
      <c r="BI134" s="8">
        <f t="shared" si="77"/>
        <v>12</v>
      </c>
      <c r="BJ134" s="8">
        <f t="shared" si="78"/>
        <v>10</v>
      </c>
      <c r="BK134" s="8" t="str">
        <f t="shared" si="73"/>
        <v>No</v>
      </c>
      <c r="BL134" s="8">
        <f t="shared" si="74"/>
        <v>8</v>
      </c>
      <c r="BM134" s="8">
        <f t="shared" si="79"/>
        <v>11</v>
      </c>
      <c r="BN134" s="8" cm="1">
        <f t="array" ref="BN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O134" s="8" t="str">
        <f>IF(W134="No","No",IF(_xlfn.XLOOKUP(E134,Groups!A:A,Groups!BD:BD)=1,(AM134*5%),EXP(0.7354*LN(C134)^0.4078)*2/IF(_xlfn.XLOOKUP(E134,Groups!A:A,Groups!BL:BL)=1,1000,100)))</f>
        <v>No</v>
      </c>
      <c r="BP134" s="8">
        <f>IF(BH134="No","No",IF(_xlfn.XLOOKUP(E134,Groups!A:A,Groups!BF:BF)=1,(0.0315*C134+2.1825)*2,(0.7354*C134^0.4078)*2)/IF(_xlfn.XLOOKUP(E134,Groups!A:A,Groups!BM:BM)=1,1000,100))</f>
        <v>4.807238272753759E-2</v>
      </c>
      <c r="BQ134" s="8">
        <f t="shared" si="75"/>
        <v>7.5153882562972341E-2</v>
      </c>
      <c r="BR134" s="8">
        <f t="shared" si="80"/>
        <v>38.792252557430928</v>
      </c>
      <c r="BS134" s="8" t="str">
        <f t="shared" si="76"/>
        <v>No</v>
      </c>
      <c r="BT134" s="8">
        <f t="shared" si="81"/>
        <v>414.78854319650139</v>
      </c>
      <c r="BU134" s="4">
        <v>0</v>
      </c>
      <c r="BV134" s="4">
        <v>1</v>
      </c>
    </row>
    <row r="135" spans="1:74" x14ac:dyDescent="0.25">
      <c r="A135" s="26" t="s">
        <v>96</v>
      </c>
      <c r="B135" s="6" t="s">
        <v>97</v>
      </c>
      <c r="C135" s="7">
        <f>299.9991</f>
        <v>299.9991</v>
      </c>
      <c r="D135" s="7" t="s">
        <v>941</v>
      </c>
      <c r="E135" s="7" t="str">
        <f>Groups!A25</f>
        <v>Horselike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618</v>
      </c>
      <c r="L135" s="7">
        <v>40</v>
      </c>
      <c r="M135" s="7" t="s">
        <v>638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945</v>
      </c>
      <c r="Y135" s="4" t="s">
        <v>42</v>
      </c>
      <c r="Z135" s="4">
        <v>0</v>
      </c>
      <c r="AA135" s="4">
        <v>0</v>
      </c>
      <c r="AB135" s="4">
        <v>0</v>
      </c>
      <c r="AC135" s="4" t="s">
        <v>45</v>
      </c>
      <c r="AD135" s="4" t="s">
        <v>45</v>
      </c>
      <c r="AE135" s="28" t="s">
        <v>401</v>
      </c>
      <c r="AF135" s="4" t="str">
        <f>Animals!C30</f>
        <v>&lt;li&gt;Pig&lt;/li&gt;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4" t="s">
        <v>40</v>
      </c>
      <c r="AM135" s="8">
        <f t="shared" si="67"/>
        <v>45232.537038047747</v>
      </c>
      <c r="AN135" s="8">
        <f>IFERROR(C135*_xlfn.XLOOKUP(E135,Groups!A:A,Groups!K:K),0.106*C135^0.94)</f>
        <v>22.583883248956447</v>
      </c>
      <c r="AO135" s="8">
        <f>AN135*10000/(_xlfn.XLOOKUP(E135,Groups!A:A,Groups!J:J)*AM135)</f>
        <v>4.5805874047190045</v>
      </c>
      <c r="AP135" s="8">
        <f t="shared" si="68"/>
        <v>6727.6590375392534</v>
      </c>
      <c r="AQ135" s="8">
        <f>IF(_xlfn.XLOOKUP(E135,Groups!A:A,Groups!M:M)=1,EXP(0.7444*LN('Base stats'!C135)+6.5696),EXP(0.7927*LN('Base stats'!C135)+4.28))</f>
        <v>6643.4453742121968</v>
      </c>
      <c r="AR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"No")))))))))))))))</f>
        <v>3903.8946162505104</v>
      </c>
      <c r="AS135" s="8">
        <f>IF(_xlfn.XLOOKUP(E135,Groups!A:A,Groups!U:U)=3,AQ135,IF(_xlfn.XLOOKUP(E135,Groups!A:A,Groups!U:U)=2,AP135,AR135))</f>
        <v>3903.8946162505104</v>
      </c>
      <c r="AT135" s="46">
        <f>IFERROR(AVERAGE(_xlfn.XLOOKUP(B135,Animals!B:B,Animals!N:N),_xlfn.XLOOKUP(B135,Animals!B:B,Animals!O:O)),0)</f>
        <v>0</v>
      </c>
      <c r="AU135" s="8">
        <f>MROUND(40*Animals!AO135*_xlfn.XLOOKUP(Animals!BB135,Leathers!$A$2:$A$100,Leathers!$B$2:$B$100,0)+(140*_xlfn.XLOOKUP(B135,Animals!B:B,Animals!AO:AO)*2),5)</f>
        <v>820</v>
      </c>
      <c r="AV135" s="8">
        <f>IFERROR(ROUND(SQRT(V135-1)*IF(_xlfn.XLOOKUP(E135,Groups!A:A,Groups!BF:BF)=0,2,1)*IF(_xlfn.XLOOKUP('Base stats'!E135,Groups!A:A,Groups!O:O)=0,1,0.1),1),0)</f>
        <v>0.7</v>
      </c>
      <c r="AW135" s="8">
        <f t="shared" si="69"/>
        <v>0</v>
      </c>
      <c r="AX135" s="8">
        <f t="shared" si="70"/>
        <v>0</v>
      </c>
      <c r="AY135" s="8">
        <f t="shared" si="71"/>
        <v>6.2</v>
      </c>
      <c r="AZ135" s="8">
        <f>IF(_xlfn.XLOOKUP(E135,Groups!A:A,Groups!N:N)="Insect",BB135*2.5,IFERROR(AVERAGE(BB135,AR135/9.81/IF(OR(_xlfn.XLOOKUP(E135,Groups!A:A,Groups!N:N)="Pig",_xlfn.XLOOKUP(E135,Groups!A:A,Groups!N:N)="StrongBitingHerbivore"),20,25))*C135^-0.135,BB135))</f>
        <v>5.2756177964333748</v>
      </c>
      <c r="BA135" s="8" t="str">
        <f>IF(W135="No","No",IF(_xlfn.XLOOKUP(E135,Groups!A:A,Groups!U:U)=1,'Base stats'!AZ135,IF(OR(_xlfn.XLOOKUP(E135,Groups!A:A,Groups!BD:BD)=1,_xlfn.XLOOKUP(E135,Groups!A:A,Groups!U:U)=2),BB135,IF(_xlfn.XLOOKUP(B135,Animals!B:B,Animals!AO:AO)&gt;4,AVERAGE(BB135,BD135),BD135))))</f>
        <v>No</v>
      </c>
      <c r="BB135" s="8">
        <f t="shared" si="72"/>
        <v>2.8909095959911428</v>
      </c>
      <c r="BC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D135" s="8">
        <f>(0.048*C135^1.01)/IF(_xlfn.XLOOKUP(E135,Groups!A:A,Groups!M:M)=1,0.25,0.8)*C135^-0.25</f>
        <v>4.5789132301471973</v>
      </c>
      <c r="BE135" s="8">
        <f>EXP(1.076*LN(AP135)-4.5397)*IF(_xlfn.XLOOKUP(E135,Groups!A:A,Groups!BC:BC)=1,1.25,IF(_xlfn.XLOOKUP(E135,Groups!A:A,Groups!BD:BD)=1,3.5,2.5))</f>
        <v>350.87706705299746</v>
      </c>
      <c r="BF135" s="8">
        <f>EXP(1.076*LN(AQ135)-4.5397)*IF(_xlfn.XLOOKUP(E135,Groups!A:A,Groups!M:M)=1,0.8,IF(_xlfn.XLOOKUP(E135,Groups!A:A,Groups!BC:BC)=1,1.3,3))</f>
        <v>415.38409131078117</v>
      </c>
      <c r="BG135" s="8" t="str">
        <f>IF(W135="No","No",IF(_xlfn.XLOOKUP(E135,Groups!A:A,Groups!U:U)=1,'Base stats'!BH135,IF(OR(_xlfn.XLOOKUP(E135,Groups!A:A,Groups!BD:BD)=1,_xlfn.XLOOKUP(E135,Groups!A:A,Groups!U:U)=2),BE135,BF135))*1.2)</f>
        <v>No</v>
      </c>
      <c r="BH135" s="8">
        <f>IFERROR(EXP(1.076*LN(AR135)-4.5397)*IF(_xlfn.XLOOKUP(E135,Groups!A:A,Groups!N:N)="Insect",1,IF(OR(_xlfn.XLOOKUP(E135,Groups!A:A,Groups!N:N)="Pig",_xlfn.XLOOKUP(E135,Groups!A:A,Groups!N:N)="StrongBitingHerbivore"),3.5,3.75)),"No")</f>
        <v>273.49747737634067</v>
      </c>
      <c r="BI135" s="8">
        <f t="shared" si="77"/>
        <v>15</v>
      </c>
      <c r="BJ135" s="8">
        <f t="shared" si="78"/>
        <v>11</v>
      </c>
      <c r="BK135" s="8" t="str">
        <f t="shared" si="73"/>
        <v>No</v>
      </c>
      <c r="BL135" s="8">
        <f t="shared" si="74"/>
        <v>10</v>
      </c>
      <c r="BM135" s="8">
        <f t="shared" si="79"/>
        <v>13</v>
      </c>
      <c r="BN135" s="8" cm="1">
        <f t="array" ref="BN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O135" s="8" t="str">
        <f>IF(W135="No","No",IF(_xlfn.XLOOKUP(E135,Groups!A:A,Groups!BD:BD)=1,(AM135*5%),EXP(0.7354*LN(C135)^0.4078)*2/IF(_xlfn.XLOOKUP(E135,Groups!A:A,Groups!BL:BL)=1,1000,100)))</f>
        <v>No</v>
      </c>
      <c r="BP135" s="8">
        <f>IF(BH135="No","No",IF(_xlfn.XLOOKUP(E135,Groups!A:A,Groups!BF:BF)=1,(0.0315*C135+2.1825)*2,(0.7354*C135^0.4078)*2)/IF(_xlfn.XLOOKUP(E135,Groups!A:A,Groups!BM:BM)=1,1000,100))</f>
        <v>0.23264943299999999</v>
      </c>
      <c r="BQ135" s="8">
        <f t="shared" si="75"/>
        <v>0.15514365986495698</v>
      </c>
      <c r="BR135" s="8">
        <f t="shared" si="80"/>
        <v>7.4458213146749763</v>
      </c>
      <c r="BS135" s="8" t="str">
        <f t="shared" si="76"/>
        <v>No</v>
      </c>
      <c r="BT135" s="8">
        <f t="shared" si="81"/>
        <v>1175.5776657162139</v>
      </c>
      <c r="BU135" s="4">
        <v>0</v>
      </c>
      <c r="BV135" s="4">
        <v>1</v>
      </c>
    </row>
    <row r="136" spans="1:74" x14ac:dyDescent="0.25">
      <c r="A136" s="26" t="s">
        <v>488</v>
      </c>
      <c r="B136" s="6" t="s">
        <v>493</v>
      </c>
      <c r="C136" s="7">
        <f>97.5</f>
        <v>97.5</v>
      </c>
      <c r="D136" s="7" t="s">
        <v>617</v>
      </c>
      <c r="E136" s="7" t="s">
        <v>174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617</v>
      </c>
      <c r="L136" s="7">
        <v>10</v>
      </c>
      <c r="M136" s="7" t="s">
        <v>538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945</v>
      </c>
      <c r="Y136" s="4" t="s">
        <v>56</v>
      </c>
      <c r="Z136" s="4">
        <v>0</v>
      </c>
      <c r="AA136" s="4">
        <v>0</v>
      </c>
      <c r="AB136" s="4">
        <v>0</v>
      </c>
      <c r="AC136" s="4" t="s">
        <v>45</v>
      </c>
      <c r="AD136" s="4" t="s">
        <v>45</v>
      </c>
      <c r="AE136" s="28" t="s">
        <v>395</v>
      </c>
      <c r="AF136" s="4" t="str">
        <f>Animals!C33</f>
        <v>&lt;li&gt;Cobra&lt;/li&gt;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4">
        <v>15</v>
      </c>
      <c r="AM136" s="8">
        <f t="shared" si="67"/>
        <v>21785.923735331184</v>
      </c>
      <c r="AN136" s="8">
        <f>IFERROR(C136*_xlfn.XLOOKUP(E136,Groups!A:A,Groups!K:K),0.106*C136^0.94)</f>
        <v>7.8518176318743418</v>
      </c>
      <c r="AO136" s="8">
        <f>AN136*10000/(_xlfn.XLOOKUP(E136,Groups!A:A,Groups!J:J)*AM136)</f>
        <v>3.3064939095886858</v>
      </c>
      <c r="AP136" s="8">
        <f t="shared" si="68"/>
        <v>2603.4722236588386</v>
      </c>
      <c r="AQ136" s="8">
        <f>IF(_xlfn.XLOOKUP(E136,Groups!A:A,Groups!M:M)=1,EXP(0.7444*LN('Base stats'!C136)+6.5696),EXP(0.7927*LN('Base stats'!C136)+4.28))</f>
        <v>2725.6139379277884</v>
      </c>
      <c r="AR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"No")))))))))))))))</f>
        <v>1059.1880723255072</v>
      </c>
      <c r="AS136" s="8">
        <f>IF(_xlfn.XLOOKUP(E136,Groups!A:A,Groups!U:U)=3,AQ136,IF(_xlfn.XLOOKUP(E136,Groups!A:A,Groups!U:U)=2,AP136,AR136))</f>
        <v>1059.1880723255072</v>
      </c>
      <c r="AT136" s="46">
        <f>IFERROR(AVERAGE(_xlfn.XLOOKUP(B136,Animals!B:B,Animals!N:N),_xlfn.XLOOKUP(B136,Animals!B:B,Animals!O:O)),0)</f>
        <v>0</v>
      </c>
      <c r="AU136" s="8">
        <f>MROUND(40*Animals!AO136*_xlfn.XLOOKUP(Animals!BB136,Leathers!$A$2:$A$100,Leathers!$B$2:$B$100,0)+(140*_xlfn.XLOOKUP(B136,Animals!B:B,Animals!AO:AO)*2),5)</f>
        <v>545</v>
      </c>
      <c r="AV136" s="8">
        <f>IFERROR(ROUND(SQRT(V136-1)*IF(_xlfn.XLOOKUP(E136,Groups!A:A,Groups!BF:BF)=0,2,1)*IF(_xlfn.XLOOKUP('Base stats'!E136,Groups!A:A,Groups!O:O)=0,1,0.1),1),0)</f>
        <v>2.4</v>
      </c>
      <c r="AW136" s="8">
        <f t="shared" si="69"/>
        <v>0</v>
      </c>
      <c r="AX136" s="8">
        <f t="shared" si="70"/>
        <v>0</v>
      </c>
      <c r="AY136" s="8">
        <f t="shared" si="71"/>
        <v>4.0999999999999996</v>
      </c>
      <c r="AZ136" s="8">
        <f>IF(_xlfn.XLOOKUP(E136,Groups!A:A,Groups!N:N)="Insect",BB136*2.5,IFERROR(AVERAGE(BB136,AR136/9.81/IF(OR(_xlfn.XLOOKUP(E136,Groups!A:A,Groups!N:N)="Pig",_xlfn.XLOOKUP(E136,Groups!A:A,Groups!N:N)="StrongBitingHerbivore"),20,25))*C136^-0.135,BB136))</f>
        <v>1.6385406959415951</v>
      </c>
      <c r="BA136" s="8" t="str">
        <f>IF(W136="No","No",IF(_xlfn.XLOOKUP(E136,Groups!A:A,Groups!U:U)=1,'Base stats'!AZ136,IF(OR(_xlfn.XLOOKUP(E136,Groups!A:A,Groups!BD:BD)=1,_xlfn.XLOOKUP(E136,Groups!A:A,Groups!U:U)=2),BB136,IF(_xlfn.XLOOKUP(B136,Animals!B:B,Animals!AO:AO)&gt;4,AVERAGE(BB136,BD136),BD136))))</f>
        <v>No</v>
      </c>
      <c r="BB136" s="8">
        <f t="shared" si="72"/>
        <v>1.762580262959909</v>
      </c>
      <c r="BC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D136" s="8">
        <f>(0.048*C136^1.01)/IF(_xlfn.XLOOKUP(E136,Groups!A:A,Groups!M:M)=1,0.25,0.8)*C136^-0.25</f>
        <v>1.9489233473323746</v>
      </c>
      <c r="BE136" s="8">
        <f>EXP(1.076*LN(AP136)-4.5397)*IF(_xlfn.XLOOKUP(E136,Groups!A:A,Groups!BC:BC)=1,1.25,IF(_xlfn.XLOOKUP(E136,Groups!A:A,Groups!BD:BD)=1,3.5,2.5))</f>
        <v>126.33053106883851</v>
      </c>
      <c r="BF136" s="8">
        <f>EXP(1.076*LN(AQ136)-4.5397)*IF(_xlfn.XLOOKUP(E136,Groups!A:A,Groups!M:M)=1,0.8,IF(_xlfn.XLOOKUP(E136,Groups!A:A,Groups!BC:BC)=1,1.3,3))</f>
        <v>159.26275591713232</v>
      </c>
      <c r="BG136" s="8" t="str">
        <f>IF(W136="No","No",IF(_xlfn.XLOOKUP(E136,Groups!A:A,Groups!U:U)=1,'Base stats'!BH136,IF(OR(_xlfn.XLOOKUP(E136,Groups!A:A,Groups!BD:BD)=1,_xlfn.XLOOKUP(E136,Groups!A:A,Groups!U:U)=2),BE136,BF136))*1.2)</f>
        <v>No</v>
      </c>
      <c r="BH136" s="8">
        <f>IFERROR(EXP(1.076*LN(AR136)-4.5397)*IF(_xlfn.XLOOKUP(E136,Groups!A:A,Groups!N:N)="Insect",1,IF(OR(_xlfn.XLOOKUP(E136,Groups!A:A,Groups!N:N)="Pig",_xlfn.XLOOKUP(E136,Groups!A:A,Groups!N:N)="StrongBitingHerbivore"),3.5,3.75)),"No")</f>
        <v>72.000521807131562</v>
      </c>
      <c r="BI136" s="8">
        <f t="shared" si="77"/>
        <v>11</v>
      </c>
      <c r="BJ136" s="8">
        <f t="shared" si="78"/>
        <v>11</v>
      </c>
      <c r="BK136" s="8" t="str">
        <f t="shared" si="73"/>
        <v>No</v>
      </c>
      <c r="BL136" s="8">
        <f t="shared" si="74"/>
        <v>9</v>
      </c>
      <c r="BM136" s="8">
        <f t="shared" si="79"/>
        <v>12</v>
      </c>
      <c r="BN136" s="8" t="str" cm="1">
        <f t="array" ref="BN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O136" s="8" t="str">
        <f>IF(W136="No","No",IF(_xlfn.XLOOKUP(E136,Groups!A:A,Groups!BD:BD)=1,(AM136*5%),EXP(0.7354*LN(C136)^0.4078)*2/IF(_xlfn.XLOOKUP(E136,Groups!A:A,Groups!BL:BL)=1,1000,100)))</f>
        <v>No</v>
      </c>
      <c r="BP136" s="8">
        <f>IF(BH136="No","No",IF(_xlfn.XLOOKUP(E136,Groups!A:A,Groups!BF:BF)=1,(0.0315*C136+2.1825)*2,(0.7354*C136^0.4078)*2)/IF(_xlfn.XLOOKUP(E136,Groups!A:A,Groups!BM:BM)=1,1000,100))</f>
        <v>9.5207180387259671E-2</v>
      </c>
      <c r="BQ136" s="8">
        <f t="shared" si="75"/>
        <v>0.11597445451804531</v>
      </c>
      <c r="BR136" s="8" t="str">
        <f t="shared" si="80"/>
        <v>No</v>
      </c>
      <c r="BS136" s="8" t="str">
        <f t="shared" si="76"/>
        <v>No</v>
      </c>
      <c r="BT136" s="8">
        <f t="shared" si="81"/>
        <v>756.25096252473884</v>
      </c>
      <c r="BU136" s="4">
        <v>0</v>
      </c>
      <c r="BV136" s="4">
        <v>1</v>
      </c>
    </row>
    <row r="137" spans="1:74" x14ac:dyDescent="0.25">
      <c r="A137" s="26" t="s">
        <v>467</v>
      </c>
      <c r="B137" s="6" t="s">
        <v>239</v>
      </c>
      <c r="C137" s="7">
        <f>AVERAGE(4000,2700)</f>
        <v>3350</v>
      </c>
      <c r="D137" s="7" t="s">
        <v>1185</v>
      </c>
      <c r="E137" s="7" t="s">
        <v>72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591</v>
      </c>
      <c r="L137" s="7">
        <v>26</v>
      </c>
      <c r="M137" s="7" t="s">
        <v>638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IF(AR137="No","No",IF(_xlfn.XLOOKUP(E137,Groups!A:A,Groups!AM:AM)=1,MROUND(EXP(0.3582*LN(C137)-0.2221)*T137,0.05),IF(_xlfn.XLOOKUP(E137,Groups!A:A,Groups!AM:AM)=2,MROUND(EXP(0.3582*LN(C137)-0.2221)*T137,0.05),"Need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977</v>
      </c>
      <c r="Y137" s="4" t="s">
        <v>42</v>
      </c>
      <c r="Z137" s="4">
        <v>0</v>
      </c>
      <c r="AA137" s="4">
        <v>0</v>
      </c>
      <c r="AB137" s="4">
        <v>0</v>
      </c>
      <c r="AC137" s="4" t="s">
        <v>45</v>
      </c>
      <c r="AD137" s="4" t="s">
        <v>407</v>
      </c>
      <c r="AE137" s="28" t="s">
        <v>389</v>
      </c>
      <c r="AF137" s="4" t="str">
        <f>Animals!C26</f>
        <v>&lt;li&gt;Elephant&lt;/li&gt;</v>
      </c>
      <c r="AG137" s="4">
        <v>1</v>
      </c>
      <c r="AH137" s="4">
        <v>0</v>
      </c>
      <c r="AI137" s="4">
        <v>0</v>
      </c>
      <c r="AJ137" s="4">
        <v>0</v>
      </c>
      <c r="AK137" s="4">
        <v>0</v>
      </c>
      <c r="AL137" s="44" t="s">
        <v>40</v>
      </c>
      <c r="AM137" s="8">
        <f t="shared" si="67"/>
        <v>217071.14814899839</v>
      </c>
      <c r="AN137" s="8">
        <f>IFERROR(C137*_xlfn.XLOOKUP(E137,Groups!A:A,Groups!K:K),0.106*C137^0.94)</f>
        <v>268</v>
      </c>
      <c r="AO137" s="8">
        <f>AN137*10000/(_xlfn.XLOOKUP(E137,Groups!A:A,Groups!J:J)*AM137)</f>
        <v>11.326772891266987</v>
      </c>
      <c r="AP137" s="8">
        <f t="shared" si="68"/>
        <v>51647.118719880513</v>
      </c>
      <c r="AQ137" s="8">
        <f>IF(_xlfn.XLOOKUP(E137,Groups!A:A,Groups!M:M)=1,EXP(0.7444*LN('Base stats'!C137)+6.5696),EXP(0.7927*LN('Base stats'!C137)+4.28))</f>
        <v>44986.623805297131</v>
      </c>
      <c r="AR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"No")))))))))))))))</f>
        <v>No</v>
      </c>
      <c r="AS137" s="8">
        <f>IF(_xlfn.XLOOKUP(E137,Groups!A:A,Groups!U:U)=3,AQ137,IF(_xlfn.XLOOKUP(E137,Groups!A:A,Groups!U:U)=2,AP137,AR137))</f>
        <v>44986.623805297131</v>
      </c>
      <c r="AT137" s="46">
        <f>IFERROR(AVERAGE(_xlfn.XLOOKUP(B137,Animals!B:B,Animals!N:N),_xlfn.XLOOKUP(B137,Animals!B:B,Animals!O:O)),0)</f>
        <v>0</v>
      </c>
      <c r="AU137" s="8">
        <f>MROUND(40*Animals!AO137*_xlfn.XLOOKUP(Animals!BB137,Leathers!$A$2:$A$100,Leathers!$B$2:$B$100,0)+(140*_xlfn.XLOOKUP(B137,Animals!B:B,Animals!AO:AO)*2),5)</f>
        <v>1800</v>
      </c>
      <c r="AV137" s="8">
        <f>IFERROR(ROUND(SQRT(V137-1)*IF(_xlfn.XLOOKUP(E137,Groups!A:A,Groups!BF:BF)=0,2,1)*IF(_xlfn.XLOOKUP('Base stats'!E137,Groups!A:A,Groups!O:O)=0,1,0.1),1),0)</f>
        <v>0</v>
      </c>
      <c r="AW137" s="8">
        <f t="shared" si="69"/>
        <v>0</v>
      </c>
      <c r="AX137" s="8">
        <f t="shared" si="70"/>
        <v>11.7</v>
      </c>
      <c r="AY137" s="8">
        <f t="shared" si="71"/>
        <v>14.7</v>
      </c>
      <c r="AZ137" s="8">
        <f>IF(_xlfn.XLOOKUP(E137,Groups!A:A,Groups!N:N)="Insect",BB137*2.5,IFERROR(AVERAGE(BB137,AR137/9.81/IF(OR(_xlfn.XLOOKUP(E137,Groups!A:A,Groups!N:N)="Pig",_xlfn.XLOOKUP(E137,Groups!A:A,Groups!N:N)="StrongBitingHerbivore"),20,25))*C137^-0.135,BB137))</f>
        <v>17.830759878243917</v>
      </c>
      <c r="BA137" s="8">
        <f>IF(W137="No","No",IF(_xlfn.XLOOKUP(E137,Groups!A:A,Groups!U:U)=1,'Base stats'!AZ137,IF(OR(_xlfn.XLOOKUP(E137,Groups!A:A,Groups!BD:BD)=1,_xlfn.XLOOKUP(E137,Groups!A:A,Groups!U:U)=2),BB137,IF(_xlfn.XLOOKUP(B137,Animals!B:B,Animals!AO:AO)&gt;4,AVERAGE(BB137,BD137),BD137))))</f>
        <v>23.2423814954828</v>
      </c>
      <c r="BB137" s="8">
        <f t="shared" si="72"/>
        <v>17.830759878243917</v>
      </c>
      <c r="BC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D137" s="8">
        <f>(0.048*C137^1.01)/IF(_xlfn.XLOOKUP(E137,Groups!A:A,Groups!M:M)=1,0.25,0.8)*C137^-0.25</f>
        <v>28.654003112721682</v>
      </c>
      <c r="BE137" s="8">
        <f>EXP(1.076*LN(AP137)-4.5397)*IF(_xlfn.XLOOKUP(E137,Groups!A:A,Groups!BC:BC)=1,1.25,IF(_xlfn.XLOOKUP(E137,Groups!A:A,Groups!BD:BD)=1,3.5,2.5))</f>
        <v>1572.4648822747822</v>
      </c>
      <c r="BF137" s="8">
        <f>EXP(1.076*LN(AQ137)-4.5397)*IF(_xlfn.XLOOKUP(E137,Groups!A:A,Groups!M:M)=1,0.8,IF(_xlfn.XLOOKUP(E137,Groups!A:A,Groups!BC:BC)=1,1.3,3))</f>
        <v>1409.5952654999082</v>
      </c>
      <c r="BG137" s="8">
        <f>IF(W137="No","No",IF(_xlfn.XLOOKUP(E137,Groups!A:A,Groups!U:U)=1,'Base stats'!BH137,IF(OR(_xlfn.XLOOKUP(E137,Groups!A:A,Groups!BD:BD)=1,_xlfn.XLOOKUP(E137,Groups!A:A,Groups!U:U)=2),BE137,BF137))*1.2)</f>
        <v>1691.5143185998897</v>
      </c>
      <c r="BH137" s="8" t="str">
        <f>IFERROR(EXP(1.076*LN(AR137)-4.5397)*IF(_xlfn.XLOOKUP(E137,Groups!A:A,Groups!N:N)="Insect",1,IF(OR(_xlfn.XLOOKUP(E137,Groups!A:A,Groups!N:N)="Pig",_xlfn.XLOOKUP(E137,Groups!A:A,Groups!N:N)="StrongBitingHerbivore"),3.5,3.75)),"No")</f>
        <v>No</v>
      </c>
      <c r="BI137" s="8">
        <f t="shared" si="77"/>
        <v>13</v>
      </c>
      <c r="BJ137" s="8">
        <f t="shared" si="78"/>
        <v>10</v>
      </c>
      <c r="BK137" s="8">
        <f t="shared" si="73"/>
        <v>12</v>
      </c>
      <c r="BL137" s="8" t="str">
        <f t="shared" si="74"/>
        <v>No</v>
      </c>
      <c r="BM137" s="8">
        <f t="shared" si="79"/>
        <v>9</v>
      </c>
      <c r="BN137" s="8" cm="1">
        <f t="array" ref="BN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O137" s="8">
        <f>IF(W137="No","No",IF(_xlfn.XLOOKUP(E137,Groups!A:A,Groups!BD:BD)=1,(AM137*5%),EXP(0.7354*LN(C137)^0.4078)*2/IF(_xlfn.XLOOKUP(E137,Groups!A:A,Groups!BL:BL)=1,1000,100)))</f>
        <v>0.11250940885033911</v>
      </c>
      <c r="BP137" s="8" t="str">
        <f>IF(BH137="No","No",IF(_xlfn.XLOOKUP(E137,Groups!A:A,Groups!BF:BF)=1,(0.0315*C137+2.1825)*2,(0.7354*C137^0.4078)*2)/IF(_xlfn.XLOOKUP(E137,Groups!A:A,Groups!BM:BM)=1,1000,100))</f>
        <v>No</v>
      </c>
      <c r="BQ137" s="8">
        <f t="shared" si="75"/>
        <v>0.14488013682918716</v>
      </c>
      <c r="BR137" s="8">
        <f t="shared" si="80"/>
        <v>2.7323154609498306</v>
      </c>
      <c r="BS137" s="8">
        <f t="shared" si="76"/>
        <v>15034.425439475513</v>
      </c>
      <c r="BT137" s="8" t="str">
        <f t="shared" si="81"/>
        <v>No</v>
      </c>
      <c r="BU137" s="4">
        <v>0</v>
      </c>
      <c r="BV137" s="4">
        <v>1</v>
      </c>
    </row>
    <row r="138" spans="1:74" x14ac:dyDescent="0.25">
      <c r="A138" s="26" t="s">
        <v>489</v>
      </c>
      <c r="B138" s="6" t="s">
        <v>494</v>
      </c>
      <c r="C138" s="7">
        <v>500</v>
      </c>
      <c r="D138" s="7" t="s">
        <v>538</v>
      </c>
      <c r="E138" s="7" t="str">
        <f>Groups!A36</f>
        <v>Mustelid (scavenger)</v>
      </c>
      <c r="F138" s="7">
        <v>78</v>
      </c>
      <c r="G138" s="7">
        <v>5</v>
      </c>
      <c r="H138" s="7">
        <v>30</v>
      </c>
      <c r="I138" s="4">
        <v>0</v>
      </c>
      <c r="J138" s="7">
        <v>3</v>
      </c>
      <c r="K138" s="7" t="s">
        <v>538</v>
      </c>
      <c r="L138" s="7">
        <f>MIN(20*C138^0.183,19.9*C138^0.142)</f>
        <v>48.095762797645982</v>
      </c>
      <c r="M138" s="7" t="s">
        <v>638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IF(AR138="No","No",IF(_xlfn.XLOOKUP(E138,Groups!A:A,Groups!AM:AM)=1,MROUND(EXP(0.3582*LN(C138)-0.2221)*T138,0.05),IF(_xlfn.XLOOKUP(E138,Groups!A:A,Groups!AM:AM)=2,MROUND(EXP(0.3582*LN(C138)-0.2221)*T138,0.05),"Need a formula")))</f>
        <v>8.9</v>
      </c>
      <c r="W138" s="7" t="s">
        <v>45</v>
      </c>
      <c r="X138" s="7" t="s">
        <v>945</v>
      </c>
      <c r="Y138" s="4" t="s">
        <v>56</v>
      </c>
      <c r="Z138" s="4">
        <v>1</v>
      </c>
      <c r="AA138" s="4">
        <v>0</v>
      </c>
      <c r="AB138" s="4">
        <v>0</v>
      </c>
      <c r="AC138" s="4" t="s">
        <v>45</v>
      </c>
      <c r="AD138" s="4" t="s">
        <v>45</v>
      </c>
      <c r="AE138" s="28" t="s">
        <v>391</v>
      </c>
      <c r="AF138" s="4" t="s">
        <v>45</v>
      </c>
      <c r="AG138" s="4">
        <v>0</v>
      </c>
      <c r="AH138" s="4">
        <v>0</v>
      </c>
      <c r="AI138" s="4">
        <v>0</v>
      </c>
      <c r="AJ138" s="4">
        <v>0</v>
      </c>
      <c r="AK138" s="4">
        <v>1</v>
      </c>
      <c r="AL138" s="44" t="s">
        <v>40</v>
      </c>
      <c r="AM138" s="8">
        <f t="shared" si="67"/>
        <v>63045.411191767809</v>
      </c>
      <c r="AN138" s="8">
        <f>IFERROR(C138*_xlfn.XLOOKUP(E138,Groups!A:A,Groups!K:K),0.106*C138^0.94)</f>
        <v>62.375</v>
      </c>
      <c r="AO138" s="8">
        <f>AN138*10000/(_xlfn.XLOOKUP(E138,Groups!A:A,Groups!J:J)*AM138)</f>
        <v>9.0767542887679653</v>
      </c>
      <c r="AP138" s="8">
        <f t="shared" si="68"/>
        <v>10357.637618796818</v>
      </c>
      <c r="AQ138" s="8">
        <f>IF(_xlfn.XLOOKUP(E138,Groups!A:A,Groups!M:M)=1,EXP(0.7444*LN('Base stats'!C138)+6.5696),EXP(0.7927*LN('Base stats'!C138)+4.28))</f>
        <v>9959.8753916241294</v>
      </c>
      <c r="AR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"No")))))))))))))))</f>
        <v>15678.866100276233</v>
      </c>
      <c r="AS138" s="8">
        <f>IF(_xlfn.XLOOKUP(E138,Groups!A:A,Groups!U:U)=3,AQ138,IF(_xlfn.XLOOKUP(E138,Groups!A:A,Groups!U:U)=2,AP138,AR138))</f>
        <v>15678.866100276233</v>
      </c>
      <c r="AT138" s="46">
        <f>IFERROR(AVERAGE(_xlfn.XLOOKUP(B138,Animals!B:B,Animals!N:N),_xlfn.XLOOKUP(B138,Animals!B:B,Animals!O:O)),0)</f>
        <v>0</v>
      </c>
      <c r="AU138" s="8">
        <f>MROUND(40*Animals!AO138*_xlfn.XLOOKUP(Animals!BB138,Leathers!$A$2:$A$100,Leathers!$B$2:$B$100,0)+(140*_xlfn.XLOOKUP(B138,Animals!B:B,Animals!AO:AO)*2),5)</f>
        <v>1135</v>
      </c>
      <c r="AV138" s="8">
        <f>IFERROR(ROUND(SQRT(V138-1)*IF(_xlfn.XLOOKUP(E138,Groups!A:A,Groups!BF:BF)=0,2,1)*IF(_xlfn.XLOOKUP('Base stats'!E138,Groups!A:A,Groups!O:O)=0,1,0.1),1),0)</f>
        <v>5.6</v>
      </c>
      <c r="AW138" s="8">
        <f t="shared" si="69"/>
        <v>3</v>
      </c>
      <c r="AX138" s="8">
        <f t="shared" si="70"/>
        <v>0</v>
      </c>
      <c r="AY138" s="8">
        <f t="shared" si="71"/>
        <v>7.4</v>
      </c>
      <c r="AZ138" s="8">
        <f>IF(_xlfn.XLOOKUP(E138,Groups!A:A,Groups!N:N)="Insect",BB138*2.5,IFERROR(AVERAGE(BB138,AR138/9.81/IF(OR(_xlfn.XLOOKUP(E138,Groups!A:A,Groups!N:N)="Pig",_xlfn.XLOOKUP(E138,Groups!A:A,Groups!N:N)="StrongBitingHerbivore"),20,25))*C138^-0.135,BB138))</f>
        <v>15.295476566855196</v>
      </c>
      <c r="BA138" s="8" t="str">
        <f>IF(W138="No","No",IF(_xlfn.XLOOKUP(E138,Groups!A:A,Groups!U:U)=1,'Base stats'!AZ138,IF(OR(_xlfn.XLOOKUP(E138,Groups!A:A,Groups!BD:BD)=1,_xlfn.XLOOKUP(E138,Groups!A:A,Groups!U:U)=2),BB138,IF(_xlfn.XLOOKUP(B138,Animals!B:B,Animals!AO:AO)&gt;4,AVERAGE(BB138,BD138),BD138))))</f>
        <v>No</v>
      </c>
      <c r="BB138" s="8">
        <f t="shared" si="72"/>
        <v>6.8569367053883514</v>
      </c>
      <c r="BC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9.0459660212328927</v>
      </c>
      <c r="BD138" s="8">
        <f>(0.048*C138^1.01)/IF(_xlfn.XLOOKUP(E138,Groups!A:A,Groups!M:M)=1,0.25,0.8)*C138^-0.25</f>
        <v>6.7510053736705169</v>
      </c>
      <c r="BE138" s="8">
        <f>EXP(1.076*LN(AP138)-4.5397)*IF(_xlfn.XLOOKUP(E138,Groups!A:A,Groups!BC:BC)=1,1.25,IF(_xlfn.XLOOKUP(E138,Groups!A:A,Groups!BD:BD)=1,3.5,2.5))</f>
        <v>558.20519715935461</v>
      </c>
      <c r="BF138" s="8">
        <f>EXP(1.076*LN(AQ138)-4.5397)*IF(_xlfn.XLOOKUP(E138,Groups!A:A,Groups!M:M)=1,0.8,IF(_xlfn.XLOOKUP(E138,Groups!A:A,Groups!BC:BC)=1,1.3,3))</f>
        <v>642.20812673473438</v>
      </c>
      <c r="BG138" s="8" t="str">
        <f>IF(W138="No","No",IF(_xlfn.XLOOKUP(E138,Groups!A:A,Groups!U:U)=1,'Base stats'!BH138,IF(OR(_xlfn.XLOOKUP(E138,Groups!A:A,Groups!BD:BD)=1,_xlfn.XLOOKUP(E138,Groups!A:A,Groups!U:U)=2),BE138,BF138))*1.2)</f>
        <v>No</v>
      </c>
      <c r="BH138" s="8">
        <f>IFERROR(EXP(1.076*LN(AR138)-4.5397)*IF(_xlfn.XLOOKUP(E138,Groups!A:A,Groups!N:N)="Insect",1,IF(OR(_xlfn.XLOOKUP(E138,Groups!A:A,Groups!N:N)="Pig",_xlfn.XLOOKUP(E138,Groups!A:A,Groups!N:N)="StrongBitingHerbivore"),3.5,3.75)),"No")</f>
        <v>1308.0464693785887</v>
      </c>
      <c r="BI138" s="8">
        <f t="shared" si="77"/>
        <v>12</v>
      </c>
      <c r="BJ138" s="8">
        <f t="shared" si="78"/>
        <v>11</v>
      </c>
      <c r="BK138" s="8" t="str">
        <f t="shared" si="73"/>
        <v>No</v>
      </c>
      <c r="BL138" s="8">
        <f t="shared" si="74"/>
        <v>13</v>
      </c>
      <c r="BM138" s="8">
        <f t="shared" si="79"/>
        <v>13</v>
      </c>
      <c r="BN138" s="8" cm="1">
        <f t="array" ref="BN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0.18543580286977573</v>
      </c>
      <c r="BO138" s="8" t="str">
        <f>IF(W138="No","No",IF(_xlfn.XLOOKUP(E138,Groups!A:A,Groups!BD:BD)=1,(AM138*5%),EXP(0.7354*LN(C138)^0.4078)*2/IF(_xlfn.XLOOKUP(E138,Groups!A:A,Groups!BL:BL)=1,1000,100)))</f>
        <v>No</v>
      </c>
      <c r="BP138" s="8">
        <f>IF(BH138="No","No",IF(_xlfn.XLOOKUP(E138,Groups!A:A,Groups!BF:BF)=1,(0.0315*C138+2.1825)*2,(0.7354*C138^0.4078)*2)/IF(_xlfn.XLOOKUP(E138,Groups!A:A,Groups!BM:BM)=1,1000,100))</f>
        <v>0.18543580286977573</v>
      </c>
      <c r="BQ138" s="8">
        <f t="shared" si="75"/>
        <v>0.17708035735112868</v>
      </c>
      <c r="BR138" s="8">
        <f t="shared" si="80"/>
        <v>3463.2369628519464</v>
      </c>
      <c r="BS138" s="8" t="str">
        <f t="shared" si="76"/>
        <v>No</v>
      </c>
      <c r="BT138" s="8">
        <f t="shared" si="81"/>
        <v>7053.904635110719</v>
      </c>
      <c r="BU138" s="4">
        <v>0</v>
      </c>
      <c r="BV138" s="4">
        <v>1</v>
      </c>
    </row>
    <row r="139" spans="1:74" s="16" customFormat="1" x14ac:dyDescent="0.25">
      <c r="A139" s="26" t="s">
        <v>498</v>
      </c>
      <c r="B139" s="6" t="s">
        <v>904</v>
      </c>
      <c r="C139" s="7">
        <f>AVERAGE(10,11.3,9.1,10.4)</f>
        <v>10.199999999999999</v>
      </c>
      <c r="D139" s="7" t="s">
        <v>1314</v>
      </c>
      <c r="E139" s="7" t="s">
        <v>55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517</v>
      </c>
      <c r="L139" s="7">
        <f t="shared" ref="L139:L160" si="82">MIN(37.5*C139^0.089,79.3*C139^-0.072)</f>
        <v>46.110165713347499</v>
      </c>
      <c r="M139" s="7" t="s">
        <v>638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IF(AR139="No","No",IF(_xlfn.XLOOKUP(E139,Groups!A:A,Groups!AM:AM)=1,MROUND(EXP(0.3582*LN(C139)-0.2221)*T139,0.05),IF(_xlfn.XLOOKUP(E139,Groups!A:A,Groups!AM:AM)=2,MROUND(EXP(0.3582*LN(C139)-0.2221)*T139,0.05),"Need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945</v>
      </c>
      <c r="Y139" s="4" t="s">
        <v>53</v>
      </c>
      <c r="Z139" s="4">
        <v>0</v>
      </c>
      <c r="AA139" s="4">
        <v>0</v>
      </c>
      <c r="AB139" s="4">
        <v>0</v>
      </c>
      <c r="AC139" s="4" t="s">
        <v>45</v>
      </c>
      <c r="AD139" s="4" t="s">
        <v>506</v>
      </c>
      <c r="AE139" s="28" t="s">
        <v>388</v>
      </c>
      <c r="AF139" s="4" t="str">
        <f>Animals!C14</f>
        <v>&lt;li&gt;YorkshireTerrier&lt;/li&gt;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4" t="s">
        <v>40</v>
      </c>
      <c r="AM139" s="8">
        <f t="shared" si="67"/>
        <v>5022.4207245109683</v>
      </c>
      <c r="AN139" s="8">
        <f>IFERROR(C139*_xlfn.XLOOKUP(E139,Groups!A:A,Groups!K:K),0.106*C139^0.94)</f>
        <v>1.2724499999999999</v>
      </c>
      <c r="AO139" s="8">
        <f>AN139*10000/(_xlfn.XLOOKUP(E139,Groups!A:A,Groups!J:J)*AM139)</f>
        <v>2.3243479292838121</v>
      </c>
      <c r="AP139" s="8">
        <f t="shared" si="68"/>
        <v>386.72773075469576</v>
      </c>
      <c r="AQ139" s="8">
        <f>IF(_xlfn.XLOOKUP(E139,Groups!A:A,Groups!M:M)=1,EXP(0.7444*LN('Base stats'!C139)+6.5696),EXP(0.7927*LN('Base stats'!C139)+4.28))</f>
        <v>455.30009266873242</v>
      </c>
      <c r="AR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"No")))))))))))))))</f>
        <v>653.80842808330351</v>
      </c>
      <c r="AS139" s="8">
        <f>IF(_xlfn.XLOOKUP(E139,Groups!A:A,Groups!U:U)=3,AQ139,IF(_xlfn.XLOOKUP(E139,Groups!A:A,Groups!U:U)=2,AP139,AR139))</f>
        <v>653.80842808330351</v>
      </c>
      <c r="AT139" s="46">
        <f>IFERROR(AVERAGE(_xlfn.XLOOKUP(B139,Animals!B:B,Animals!N:N),_xlfn.XLOOKUP(B139,Animals!B:B,Animals!O:O)),0)</f>
        <v>0</v>
      </c>
      <c r="AU139" s="8">
        <f>MROUND(40*Animals!AO139*_xlfn.XLOOKUP(Animals!BB139,Leathers!$A$2:$A$100,Leathers!$B$2:$B$100,0)+(140*_xlfn.XLOOKUP(B139,Animals!B:B,Animals!AO:AO)*2),5)</f>
        <v>145</v>
      </c>
      <c r="AV139" s="8">
        <f>IFERROR(ROUND(SQRT(V139-1)*IF(_xlfn.XLOOKUP(E139,Groups!A:A,Groups!BF:BF)=0,2,1)*IF(_xlfn.XLOOKUP('Base stats'!E139,Groups!A:A,Groups!O:O)=0,1,0.1),1),0)</f>
        <v>1.7</v>
      </c>
      <c r="AW139" s="8">
        <f t="shared" si="69"/>
        <v>0</v>
      </c>
      <c r="AX139" s="8">
        <f t="shared" si="70"/>
        <v>0</v>
      </c>
      <c r="AY139" s="8">
        <f t="shared" si="71"/>
        <v>1.6</v>
      </c>
      <c r="AZ139" s="8">
        <f>IF(_xlfn.XLOOKUP(E139,Groups!A:A,Groups!N:N)="Insect",BB139*2.5,IFERROR(AVERAGE(BB139,AR139/9.81/IF(OR(_xlfn.XLOOKUP(E139,Groups!A:A,Groups!N:N)="Pig",_xlfn.XLOOKUP(E139,Groups!A:A,Groups!N:N)="StrongBitingHerbivore"),20,25))*C139^-0.135,BB139))</f>
        <v>1.0728881560144221</v>
      </c>
      <c r="BA139" s="8" t="str">
        <f>IF(W139="No","No",IF(_xlfn.XLOOKUP(E139,Groups!A:A,Groups!U:U)=1,'Base stats'!AZ139,IF(OR(_xlfn.XLOOKUP(E139,Groups!A:A,Groups!BD:BD)=1,_xlfn.XLOOKUP(E139,Groups!A:A,Groups!U:U)=2),BB139,IF(_xlfn.XLOOKUP(B139,Animals!B:B,Animals!AO:AO)&gt;4,AVERAGE(BB139,BD139),BD139))))</f>
        <v>No</v>
      </c>
      <c r="BB139" s="8">
        <f t="shared" si="72"/>
        <v>0.27004292891939063</v>
      </c>
      <c r="BC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D139" s="8">
        <f>(0.048*C139^1.01)/IF(_xlfn.XLOOKUP(E139,Groups!A:A,Groups!M:M)=1,0.25,0.8)*C139^-0.25</f>
        <v>0.35049948237077561</v>
      </c>
      <c r="BE139" s="8">
        <f>EXP(1.076*LN(AP139)-4.5397)*IF(_xlfn.XLOOKUP(E139,Groups!A:A,Groups!BC:BC)=1,1.25,IF(_xlfn.XLOOKUP(E139,Groups!A:A,Groups!BD:BD)=1,3.5,2.5))</f>
        <v>16.233847722893834</v>
      </c>
      <c r="BF139" s="8">
        <f>EXP(1.076*LN(AQ139)-4.5397)*IF(_xlfn.XLOOKUP(E139,Groups!A:A,Groups!M:M)=1,0.8,IF(_xlfn.XLOOKUP(E139,Groups!A:A,Groups!BC:BC)=1,1.3,3))</f>
        <v>23.221109268159807</v>
      </c>
      <c r="BG139" s="8" t="str">
        <f>IF(W139="No","No",IF(_xlfn.XLOOKUP(E139,Groups!A:A,Groups!U:U)=1,'Base stats'!BH139,IF(OR(_xlfn.XLOOKUP(E139,Groups!A:A,Groups!BD:BD)=1,_xlfn.XLOOKUP(E139,Groups!A:A,Groups!U:U)=2),BE139,BF139))*1.2)</f>
        <v>No</v>
      </c>
      <c r="BH139" s="8">
        <f>IFERROR(EXP(1.076*LN(AR139)-4.5397)*IF(_xlfn.XLOOKUP(E139,Groups!A:A,Groups!N:N)="Insect",1,IF(OR(_xlfn.XLOOKUP(E139,Groups!A:A,Groups!N:N)="Pig",_xlfn.XLOOKUP(E139,Groups!A:A,Groups!N:N)="StrongBitingHerbivore"),3.5,3.75)),"No")</f>
        <v>42.843936011518259</v>
      </c>
      <c r="BI139" s="8">
        <f t="shared" si="77"/>
        <v>10</v>
      </c>
      <c r="BJ139" s="8">
        <f t="shared" si="78"/>
        <v>10</v>
      </c>
      <c r="BK139" s="8" t="str">
        <f t="shared" si="73"/>
        <v>No</v>
      </c>
      <c r="BL139" s="8">
        <f t="shared" si="74"/>
        <v>8</v>
      </c>
      <c r="BM139" s="8">
        <f t="shared" si="79"/>
        <v>11</v>
      </c>
      <c r="BN139" s="8" t="str" cm="1">
        <f t="array" ref="BN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O139" s="8" t="str">
        <f>IF(W139="No","No",IF(_xlfn.XLOOKUP(E139,Groups!A:A,Groups!BD:BD)=1,(AM139*5%),EXP(0.7354*LN(C139)^0.4078)*2/IF(_xlfn.XLOOKUP(E139,Groups!A:A,Groups!BL:BL)=1,1000,100)))</f>
        <v>No</v>
      </c>
      <c r="BP139" s="8">
        <f>IF(BH139="No","No",IF(_xlfn.XLOOKUP(E139,Groups!A:A,Groups!BF:BF)=1,(0.0315*C139+2.1825)*2,(0.7354*C139^0.4078)*2)/IF(_xlfn.XLOOKUP(E139,Groups!A:A,Groups!BM:BM)=1,1000,100))</f>
        <v>3.7919340136559655E-2</v>
      </c>
      <c r="BQ139" s="8">
        <f t="shared" si="75"/>
        <v>6.4645511052738497E-2</v>
      </c>
      <c r="BR139" s="8" t="str">
        <f t="shared" si="80"/>
        <v>No</v>
      </c>
      <c r="BS139" s="8" t="str">
        <f t="shared" si="76"/>
        <v>No</v>
      </c>
      <c r="BT139" s="8">
        <f t="shared" si="81"/>
        <v>1129.8702946101794</v>
      </c>
      <c r="BU139" s="4">
        <v>0</v>
      </c>
      <c r="BV139" s="4">
        <v>1</v>
      </c>
    </row>
    <row r="140" spans="1:74" x14ac:dyDescent="0.25">
      <c r="A140" s="26" t="s">
        <v>499</v>
      </c>
      <c r="B140" s="6" t="s">
        <v>905</v>
      </c>
      <c r="C140" s="7">
        <v>2</v>
      </c>
      <c r="D140" s="7" t="s">
        <v>1318</v>
      </c>
      <c r="E140" s="7" t="s">
        <v>55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517</v>
      </c>
      <c r="L140" s="7">
        <f t="shared" si="82"/>
        <v>39.886225233494422</v>
      </c>
      <c r="M140" s="7" t="s">
        <v>638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IF(AR140="No","No",IF(_xlfn.XLOOKUP(E140,Groups!A:A,Groups!AM:AM)=1,MROUND(EXP(0.3582*LN(C140)-0.2221)*T140,0.05),IF(_xlfn.XLOOKUP(E140,Groups!A:A,Groups!AM:AM)=2,MROUND(EXP(0.3582*LN(C140)-0.2221)*T140,0.05),"Need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945</v>
      </c>
      <c r="Y140" s="4" t="s">
        <v>53</v>
      </c>
      <c r="Z140" s="4">
        <v>0</v>
      </c>
      <c r="AA140" s="4">
        <v>0</v>
      </c>
      <c r="AB140" s="4">
        <v>0</v>
      </c>
      <c r="AC140" s="4" t="s">
        <v>45</v>
      </c>
      <c r="AD140" s="4" t="s">
        <v>506</v>
      </c>
      <c r="AE140" s="28" t="s">
        <v>388</v>
      </c>
      <c r="AF140" s="4" t="str">
        <f>Animals!C14</f>
        <v>&lt;li&gt;YorkshireTerrier&lt;/li&gt;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4" t="s">
        <v>40</v>
      </c>
      <c r="AM140" s="8">
        <f t="shared" si="67"/>
        <v>1741.7766973307866</v>
      </c>
      <c r="AN140" s="8">
        <f>IFERROR(C140*_xlfn.XLOOKUP(E140,Groups!A:A,Groups!K:K),0.106*C140^0.94)</f>
        <v>0.2495</v>
      </c>
      <c r="AO140" s="8">
        <f>AN140*10000/(_xlfn.XLOOKUP(E140,Groups!A:A,Groups!J:J)*AM140)</f>
        <v>1.3141700823049669</v>
      </c>
      <c r="AP140" s="8">
        <f t="shared" si="68"/>
        <v>97.660914569231494</v>
      </c>
      <c r="AQ140" s="8">
        <f>IF(_xlfn.XLOOKUP(E140,Groups!A:A,Groups!M:M)=1,EXP(0.7444*LN('Base stats'!C140)+6.5696),EXP(0.7927*LN('Base stats'!C140)+4.28))</f>
        <v>125.14308592282921</v>
      </c>
      <c r="AR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"No")))))))))))))))</f>
        <v>167.27327053022097</v>
      </c>
      <c r="AS140" s="8">
        <f>IF(_xlfn.XLOOKUP(E140,Groups!A:A,Groups!U:U)=3,AQ140,IF(_xlfn.XLOOKUP(E140,Groups!A:A,Groups!U:U)=2,AP140,AR140))</f>
        <v>167.27327053022097</v>
      </c>
      <c r="AT140" s="46">
        <f>IFERROR(AVERAGE(_xlfn.XLOOKUP(B140,Animals!B:B,Animals!N:N),_xlfn.XLOOKUP(B140,Animals!B:B,Animals!O:O)),0)</f>
        <v>0</v>
      </c>
      <c r="AU140" s="8">
        <f>MROUND(40*Animals!AO140*_xlfn.XLOOKUP(Animals!BB140,Leathers!$A$2:$A$100,Leathers!$B$2:$B$100,0)+(140*_xlfn.XLOOKUP(B140,Animals!B:B,Animals!AO:AO)*2),5)</f>
        <v>70</v>
      </c>
      <c r="AV140" s="8">
        <f>IFERROR(ROUND(SQRT(V140-1)*IF(_xlfn.XLOOKUP(E140,Groups!A:A,Groups!BF:BF)=0,2,1)*IF(_xlfn.XLOOKUP('Base stats'!E140,Groups!A:A,Groups!O:O)=0,1,0.1),1),0)</f>
        <v>0</v>
      </c>
      <c r="AW140" s="8">
        <f t="shared" si="69"/>
        <v>0</v>
      </c>
      <c r="AX140" s="8">
        <f t="shared" si="70"/>
        <v>0</v>
      </c>
      <c r="AY140" s="8">
        <f t="shared" si="71"/>
        <v>0.8</v>
      </c>
      <c r="AZ140" s="8">
        <f>IF(_xlfn.XLOOKUP(E140,Groups!A:A,Groups!N:N)="Insect",BB140*2.5,IFERROR(AVERAGE(BB140,AR140/9.81/IF(OR(_xlfn.XLOOKUP(E140,Groups!A:A,Groups!N:N)="Pig",_xlfn.XLOOKUP(E140,Groups!A:A,Groups!N:N)="StrongBitingHerbivore"),20,25))*C140^-0.135,BB140))</f>
        <v>0.34231425938379167</v>
      </c>
      <c r="BA140" s="8" t="str">
        <f>IF(W140="No","No",IF(_xlfn.XLOOKUP(E140,Groups!A:A,Groups!U:U)=1,'Base stats'!AZ140,IF(OR(_xlfn.XLOOKUP(E140,Groups!A:A,Groups!BD:BD)=1,_xlfn.XLOOKUP(E140,Groups!A:A,Groups!U:U)=2),BB140,IF(_xlfn.XLOOKUP(B140,Animals!B:B,Animals!AO:AO)&gt;4,AVERAGE(BB140,BD140),BD140))))</f>
        <v>No</v>
      </c>
      <c r="BB140" s="8">
        <f t="shared" si="72"/>
        <v>6.9733585093371159E-2</v>
      </c>
      <c r="BC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D140" s="8">
        <f>(0.048*C140^1.01)/IF(_xlfn.XLOOKUP(E140,Groups!A:A,Groups!M:M)=1,0.25,0.8)*C140^-0.25</f>
        <v>0.10160943748350326</v>
      </c>
      <c r="BE140" s="8">
        <f>EXP(1.076*LN(AP140)-4.5397)*IF(_xlfn.XLOOKUP(E140,Groups!A:A,Groups!BC:BC)=1,1.25,IF(_xlfn.XLOOKUP(E140,Groups!A:A,Groups!BD:BD)=1,3.5,2.5))</f>
        <v>3.6924354853866963</v>
      </c>
      <c r="BF140" s="8">
        <f>EXP(1.076*LN(AQ140)-4.5397)*IF(_xlfn.XLOOKUP(E140,Groups!A:A,Groups!M:M)=1,0.8,IF(_xlfn.XLOOKUP(E140,Groups!A:A,Groups!BC:BC)=1,1.3,3))</f>
        <v>5.7858127834961763</v>
      </c>
      <c r="BG140" s="8" t="str">
        <f>IF(W140="No","No",IF(_xlfn.XLOOKUP(E140,Groups!A:A,Groups!U:U)=1,'Base stats'!BH140,IF(OR(_xlfn.XLOOKUP(E140,Groups!A:A,Groups!BD:BD)=1,_xlfn.XLOOKUP(E140,Groups!A:A,Groups!U:U)=2),BE140,BF140))*1.2)</f>
        <v>No</v>
      </c>
      <c r="BH140" s="8">
        <f>IFERROR(EXP(1.076*LN(AR140)-4.5397)*IF(_xlfn.XLOOKUP(E140,Groups!A:A,Groups!N:N)="Insect",1,IF(OR(_xlfn.XLOOKUP(E140,Groups!A:A,Groups!N:N)="Pig",_xlfn.XLOOKUP(E140,Groups!A:A,Groups!N:N)="StrongBitingHerbivore"),3.5,3.75)),"No")</f>
        <v>9.8826081158196732</v>
      </c>
      <c r="BI140" s="8">
        <f t="shared" si="77"/>
        <v>10</v>
      </c>
      <c r="BJ140" s="8">
        <f t="shared" si="78"/>
        <v>9</v>
      </c>
      <c r="BK140" s="8" t="str">
        <f t="shared" si="73"/>
        <v>No</v>
      </c>
      <c r="BL140" s="8">
        <f t="shared" si="74"/>
        <v>7</v>
      </c>
      <c r="BM140" s="8">
        <f t="shared" si="79"/>
        <v>10</v>
      </c>
      <c r="BN140" s="8" t="str" cm="1">
        <f t="array" ref="BN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O140" s="8" t="str">
        <f>IF(W140="No","No",IF(_xlfn.XLOOKUP(E140,Groups!A:A,Groups!BD:BD)=1,(AM140*5%),EXP(0.7354*LN(C140)^0.4078)*2/IF(_xlfn.XLOOKUP(E140,Groups!A:A,Groups!BL:BL)=1,1000,100)))</f>
        <v>No</v>
      </c>
      <c r="BP140" s="8">
        <f>IF(BH140="No","No",IF(_xlfn.XLOOKUP(E140,Groups!A:A,Groups!BF:BF)=1,(0.0315*C140+2.1825)*2,(0.7354*C140^0.4078)*2)/IF(_xlfn.XLOOKUP(E140,Groups!A:A,Groups!BM:BM)=1,1000,100))</f>
        <v>1.9512533128932502E-2</v>
      </c>
      <c r="BQ140" s="8">
        <f t="shared" si="75"/>
        <v>4.2398494491805147E-2</v>
      </c>
      <c r="BR140" s="8" t="str">
        <f t="shared" si="80"/>
        <v>No</v>
      </c>
      <c r="BS140" s="8" t="str">
        <f t="shared" si="76"/>
        <v>No</v>
      </c>
      <c r="BT140" s="8">
        <f t="shared" si="81"/>
        <v>506.47489234322359</v>
      </c>
      <c r="BU140" s="4">
        <v>0</v>
      </c>
      <c r="BV140" s="4">
        <v>1</v>
      </c>
    </row>
    <row r="141" spans="1:74" x14ac:dyDescent="0.25">
      <c r="A141" s="26" t="s">
        <v>500</v>
      </c>
      <c r="B141" s="6" t="s">
        <v>906</v>
      </c>
      <c r="C141" s="7">
        <f>AVERAGE(14,17)</f>
        <v>15.5</v>
      </c>
      <c r="D141" s="7" t="s">
        <v>1319</v>
      </c>
      <c r="E141" s="7" t="s">
        <v>55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517</v>
      </c>
      <c r="L141" s="7">
        <f t="shared" si="82"/>
        <v>47.85979002071614</v>
      </c>
      <c r="M141" s="7" t="s">
        <v>638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IF(AR141="No","No",IF(_xlfn.XLOOKUP(E141,Groups!A:A,Groups!AM:AM)=1,MROUND(EXP(0.3582*LN(C141)-0.2221)*T141,0.05),IF(_xlfn.XLOOKUP(E141,Groups!A:A,Groups!AM:AM)=2,MROUND(EXP(0.3582*LN(C141)-0.2221)*T141,0.05),"Need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945</v>
      </c>
      <c r="Y141" s="4" t="s">
        <v>53</v>
      </c>
      <c r="Z141" s="4">
        <v>0</v>
      </c>
      <c r="AA141" s="4">
        <v>0</v>
      </c>
      <c r="AB141" s="4">
        <v>0</v>
      </c>
      <c r="AC141" s="4" t="s">
        <v>45</v>
      </c>
      <c r="AD141" s="4" t="s">
        <v>506</v>
      </c>
      <c r="AE141" s="28" t="s">
        <v>388</v>
      </c>
      <c r="AF141" s="4" t="str">
        <f>Animals!C14</f>
        <v>&lt;li&gt;YorkshireTerrier&lt;/li&gt;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4" t="s">
        <v>40</v>
      </c>
      <c r="AM141" s="8">
        <f t="shared" si="67"/>
        <v>6592.3245866566185</v>
      </c>
      <c r="AN141" s="8">
        <f>IFERROR(C141*_xlfn.XLOOKUP(E141,Groups!A:A,Groups!K:K),0.106*C141^0.94)</f>
        <v>1.9336249999999999</v>
      </c>
      <c r="AO141" s="8">
        <f>AN141*10000/(_xlfn.XLOOKUP(E141,Groups!A:A,Groups!J:J)*AM141)</f>
        <v>2.6909595645501239</v>
      </c>
      <c r="AP141" s="8">
        <f t="shared" si="68"/>
        <v>550.69855272991003</v>
      </c>
      <c r="AQ141" s="8">
        <f>IF(_xlfn.XLOOKUP(E141,Groups!A:A,Groups!M:M)=1,EXP(0.7444*LN('Base stats'!C141)+6.5696),EXP(0.7927*LN('Base stats'!C141)+4.28))</f>
        <v>634.38998711852321</v>
      </c>
      <c r="AR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"No")))))))))))))))</f>
        <v>927.90877725080361</v>
      </c>
      <c r="AS141" s="8">
        <f>IF(_xlfn.XLOOKUP(E141,Groups!A:A,Groups!U:U)=3,AQ141,IF(_xlfn.XLOOKUP(E141,Groups!A:A,Groups!U:U)=2,AP141,AR141))</f>
        <v>927.90877725080361</v>
      </c>
      <c r="AT141" s="46">
        <f>IFERROR(AVERAGE(_xlfn.XLOOKUP(B141,Animals!B:B,Animals!N:N),_xlfn.XLOOKUP(B141,Animals!B:B,Animals!O:O)),0)</f>
        <v>0</v>
      </c>
      <c r="AU141" s="8">
        <f>MROUND(40*Animals!AO141*_xlfn.XLOOKUP(Animals!BB141,Leathers!$A$2:$A$100,Leathers!$B$2:$B$100,0)+(140*_xlfn.XLOOKUP(B141,Animals!B:B,Animals!AO:AO)*2),5)</f>
        <v>180</v>
      </c>
      <c r="AV141" s="8">
        <f>IFERROR(ROUND(SQRT(V141-1)*IF(_xlfn.XLOOKUP(E141,Groups!A:A,Groups!BF:BF)=0,2,1)*IF(_xlfn.XLOOKUP('Base stats'!E141,Groups!A:A,Groups!O:O)=0,1,0.1),1),0)</f>
        <v>2</v>
      </c>
      <c r="AW141" s="8">
        <f t="shared" si="69"/>
        <v>0</v>
      </c>
      <c r="AX141" s="8">
        <f t="shared" si="70"/>
        <v>0</v>
      </c>
      <c r="AY141" s="8">
        <f t="shared" si="71"/>
        <v>2.1</v>
      </c>
      <c r="AZ141" s="8">
        <f>IF(_xlfn.XLOOKUP(E141,Groups!A:A,Groups!N:N)="Insect",BB141*2.5,IFERROR(AVERAGE(BB141,AR141/9.81/IF(OR(_xlfn.XLOOKUP(E141,Groups!A:A,Groups!N:N)="Pig",_xlfn.XLOOKUP(E141,Groups!A:A,Groups!N:N)="StrongBitingHerbivore"),20,25))*C141^-0.135,BB141))</f>
        <v>1.4387332754594828</v>
      </c>
      <c r="BA141" s="8" t="str">
        <f>IF(W141="No","No",IF(_xlfn.XLOOKUP(E141,Groups!A:A,Groups!U:U)=1,'Base stats'!AZ141,IF(OR(_xlfn.XLOOKUP(E141,Groups!A:A,Groups!BD:BD)=1,_xlfn.XLOOKUP(E141,Groups!A:A,Groups!U:U)=2),BB141,IF(_xlfn.XLOOKUP(B141,Animals!B:B,Animals!AO:AO)&gt;4,AVERAGE(BB141,BD141),BD141))))</f>
        <v>No</v>
      </c>
      <c r="BB141" s="8">
        <f t="shared" si="72"/>
        <v>0.38234173643064095</v>
      </c>
      <c r="BC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D141" s="8">
        <f>(0.048*C141^1.01)/IF(_xlfn.XLOOKUP(E141,Groups!A:A,Groups!M:M)=1,0.25,0.8)*C141^-0.25</f>
        <v>0.48172960945265425</v>
      </c>
      <c r="BE141" s="8">
        <f>EXP(1.076*LN(AP141)-4.5397)*IF(_xlfn.XLOOKUP(E141,Groups!A:A,Groups!BC:BC)=1,1.25,IF(_xlfn.XLOOKUP(E141,Groups!A:A,Groups!BD:BD)=1,3.5,2.5))</f>
        <v>23.746343370214902</v>
      </c>
      <c r="BF141" s="8">
        <f>EXP(1.076*LN(AQ141)-4.5397)*IF(_xlfn.XLOOKUP(E141,Groups!A:A,Groups!M:M)=1,0.8,IF(_xlfn.XLOOKUP(E141,Groups!A:A,Groups!BC:BC)=1,1.3,3))</f>
        <v>33.181040085894857</v>
      </c>
      <c r="BG141" s="8" t="str">
        <f>IF(W141="No","No",IF(_xlfn.XLOOKUP(E141,Groups!A:A,Groups!U:U)=1,'Base stats'!BH141,IF(OR(_xlfn.XLOOKUP(E141,Groups!A:A,Groups!BD:BD)=1,_xlfn.XLOOKUP(E141,Groups!A:A,Groups!U:U)=2),BE141,BF141))*1.2)</f>
        <v>No</v>
      </c>
      <c r="BH141" s="8">
        <f>IFERROR(EXP(1.076*LN(AR141)-4.5397)*IF(_xlfn.XLOOKUP(E141,Groups!A:A,Groups!N:N)="Insect",1,IF(OR(_xlfn.XLOOKUP(E141,Groups!A:A,Groups!N:N)="Pig",_xlfn.XLOOKUP(E141,Groups!A:A,Groups!N:N)="StrongBitingHerbivore"),3.5,3.75)),"No")</f>
        <v>62.445377090340372</v>
      </c>
      <c r="BI141" s="8">
        <f t="shared" si="77"/>
        <v>11</v>
      </c>
      <c r="BJ141" s="8">
        <f t="shared" si="78"/>
        <v>10</v>
      </c>
      <c r="BK141" s="8" t="str">
        <f t="shared" si="73"/>
        <v>No</v>
      </c>
      <c r="BL141" s="8">
        <f t="shared" si="74"/>
        <v>9</v>
      </c>
      <c r="BM141" s="8">
        <f t="shared" si="79"/>
        <v>11</v>
      </c>
      <c r="BN141" s="8" t="str" cm="1">
        <f t="array" ref="BN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O141" s="8" t="str">
        <f>IF(W141="No","No",IF(_xlfn.XLOOKUP(E141,Groups!A:A,Groups!BD:BD)=1,(AM141*5%),EXP(0.7354*LN(C141)^0.4078)*2/IF(_xlfn.XLOOKUP(E141,Groups!A:A,Groups!BL:BL)=1,1000,100)))</f>
        <v>No</v>
      </c>
      <c r="BP141" s="8">
        <f>IF(BH141="No","No",IF(_xlfn.XLOOKUP(E141,Groups!A:A,Groups!BF:BF)=1,(0.0315*C141+2.1825)*2,(0.7354*C141^0.4078)*2)/IF(_xlfn.XLOOKUP(E141,Groups!A:A,Groups!BM:BM)=1,1000,100))</f>
        <v>4.4974970557536319E-2</v>
      </c>
      <c r="BQ141" s="8">
        <f t="shared" si="75"/>
        <v>7.2042397360953261E-2</v>
      </c>
      <c r="BR141" s="8" t="str">
        <f t="shared" si="80"/>
        <v>No</v>
      </c>
      <c r="BS141" s="8" t="str">
        <f t="shared" si="76"/>
        <v>No</v>
      </c>
      <c r="BT141" s="8">
        <f t="shared" si="81"/>
        <v>1388.447314500278</v>
      </c>
      <c r="BU141" s="4">
        <v>0</v>
      </c>
      <c r="BV141" s="4">
        <v>1</v>
      </c>
    </row>
    <row r="142" spans="1:74" x14ac:dyDescent="0.25">
      <c r="A142" s="26" t="s">
        <v>505</v>
      </c>
      <c r="B142" s="6" t="s">
        <v>907</v>
      </c>
      <c r="C142" s="7">
        <f>AVERAGE(9,14,8,13)</f>
        <v>11</v>
      </c>
      <c r="D142" s="7" t="s">
        <v>1320</v>
      </c>
      <c r="E142" s="7" t="s">
        <v>55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517</v>
      </c>
      <c r="L142" s="7">
        <f t="shared" si="82"/>
        <v>46.421077486116715</v>
      </c>
      <c r="M142" s="7" t="s">
        <v>638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IF(AR142="No","No",IF(_xlfn.XLOOKUP(E142,Groups!A:A,Groups!AM:AM)=1,MROUND(EXP(0.3582*LN(C142)-0.2221)*T142,0.05),IF(_xlfn.XLOOKUP(E142,Groups!A:A,Groups!AM:AM)=2,MROUND(EXP(0.3582*LN(C142)-0.2221)*T142,0.05),"Need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945</v>
      </c>
      <c r="Y142" s="4" t="s">
        <v>53</v>
      </c>
      <c r="Z142" s="4">
        <v>0</v>
      </c>
      <c r="AA142" s="4">
        <v>0</v>
      </c>
      <c r="AB142" s="4">
        <v>0</v>
      </c>
      <c r="AC142" s="4" t="s">
        <v>45</v>
      </c>
      <c r="AD142" s="4" t="s">
        <v>506</v>
      </c>
      <c r="AE142" s="28" t="s">
        <v>388</v>
      </c>
      <c r="AF142" s="4" t="str">
        <f>Animals!C14</f>
        <v>&lt;li&gt;YorkshireTerrier&lt;/li&gt;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4" t="s">
        <v>40</v>
      </c>
      <c r="AM142" s="8">
        <f t="shared" si="67"/>
        <v>5275.0699642715344</v>
      </c>
      <c r="AN142" s="8">
        <f>IFERROR(C142*_xlfn.XLOOKUP(E142,Groups!A:A,Groups!K:K),0.106*C142^0.94)</f>
        <v>1.37225</v>
      </c>
      <c r="AO142" s="8">
        <f>AN142*10000/(_xlfn.XLOOKUP(E142,Groups!A:A,Groups!J:J)*AM142)</f>
        <v>2.3865938511818303</v>
      </c>
      <c r="AP142" s="8">
        <f t="shared" si="68"/>
        <v>412.19730771477458</v>
      </c>
      <c r="AQ142" s="8">
        <f>IF(_xlfn.XLOOKUP(E142,Groups!A:A,Groups!M:M)=1,EXP(0.7444*LN('Base stats'!C142)+6.5696),EXP(0.7927*LN('Base stats'!C142)+4.28))</f>
        <v>483.38410339999547</v>
      </c>
      <c r="AR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"No")))))))))))))))</f>
        <v>696.44690162359393</v>
      </c>
      <c r="AS142" s="8">
        <f>IF(_xlfn.XLOOKUP(E142,Groups!A:A,Groups!U:U)=3,AQ142,IF(_xlfn.XLOOKUP(E142,Groups!A:A,Groups!U:U)=2,AP142,AR142))</f>
        <v>696.44690162359393</v>
      </c>
      <c r="AT142" s="46">
        <f>IFERROR(AVERAGE(_xlfn.XLOOKUP(B142,Animals!B:B,Animals!N:N),_xlfn.XLOOKUP(B142,Animals!B:B,Animals!O:O)),0)</f>
        <v>0</v>
      </c>
      <c r="AU142" s="8">
        <f>MROUND(40*Animals!AO142*_xlfn.XLOOKUP(Animals!BB142,Leathers!$A$2:$A$100,Leathers!$B$2:$B$100,0)+(140*_xlfn.XLOOKUP(B142,Animals!B:B,Animals!AO:AO)*2),5)</f>
        <v>160</v>
      </c>
      <c r="AV142" s="8">
        <f>IFERROR(ROUND(SQRT(V142-1)*IF(_xlfn.XLOOKUP(E142,Groups!A:A,Groups!BF:BF)=0,2,1)*IF(_xlfn.XLOOKUP('Base stats'!E142,Groups!A:A,Groups!O:O)=0,1,0.1),1),0)</f>
        <v>1.8</v>
      </c>
      <c r="AW142" s="8">
        <f t="shared" si="69"/>
        <v>0</v>
      </c>
      <c r="AX142" s="8">
        <f t="shared" si="70"/>
        <v>0</v>
      </c>
      <c r="AY142" s="8">
        <f t="shared" si="71"/>
        <v>1.7</v>
      </c>
      <c r="AZ142" s="8">
        <f>IF(_xlfn.XLOOKUP(E142,Groups!A:A,Groups!N:N)="Insect",BB142*2.5,IFERROR(AVERAGE(BB142,AR142/9.81/IF(OR(_xlfn.XLOOKUP(E142,Groups!A:A,Groups!N:N)="Pig",_xlfn.XLOOKUP(E142,Groups!A:A,Groups!N:N)="StrongBitingHerbivore"),20,25))*C142^-0.135,BB142))</f>
        <v>1.1312218069669866</v>
      </c>
      <c r="BA142" s="8" t="str">
        <f>IF(W142="No","No",IF(_xlfn.XLOOKUP(E142,Groups!A:A,Groups!U:U)=1,'Base stats'!AZ142,IF(OR(_xlfn.XLOOKUP(E142,Groups!A:A,Groups!BD:BD)=1,_xlfn.XLOOKUP(E142,Groups!A:A,Groups!U:U)=2),BB142,IF(_xlfn.XLOOKUP(B142,Animals!B:B,Animals!AO:AO)&gt;4,AVERAGE(BB142,BD142),BD142))))</f>
        <v>No</v>
      </c>
      <c r="BB142" s="8">
        <f t="shared" si="72"/>
        <v>0.28753014832877943</v>
      </c>
      <c r="BC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D142" s="8">
        <f>(0.048*C142^1.01)/IF(_xlfn.XLOOKUP(E142,Groups!A:A,Groups!M:M)=1,0.25,0.8)*C142^-0.25</f>
        <v>0.37120147316090957</v>
      </c>
      <c r="BE142" s="8">
        <f>EXP(1.076*LN(AP142)-4.5397)*IF(_xlfn.XLOOKUP(E142,Groups!A:A,Groups!BC:BC)=1,1.25,IF(_xlfn.XLOOKUP(E142,Groups!A:A,Groups!BD:BD)=1,3.5,2.5))</f>
        <v>17.387073558783207</v>
      </c>
      <c r="BF142" s="8">
        <f>EXP(1.076*LN(AQ142)-4.5397)*IF(_xlfn.XLOOKUP(E142,Groups!A:A,Groups!M:M)=1,0.8,IF(_xlfn.XLOOKUP(E142,Groups!A:A,Groups!BC:BC)=1,1.3,3))</f>
        <v>24.765846622439327</v>
      </c>
      <c r="BG142" s="8" t="str">
        <f>IF(W142="No","No",IF(_xlfn.XLOOKUP(E142,Groups!A:A,Groups!U:U)=1,'Base stats'!BH142,IF(OR(_xlfn.XLOOKUP(E142,Groups!A:A,Groups!BD:BD)=1,_xlfn.XLOOKUP(E142,Groups!A:A,Groups!U:U)=2),BE142,BF142))*1.2)</f>
        <v>No</v>
      </c>
      <c r="BH142" s="8">
        <f>IFERROR(EXP(1.076*LN(AR142)-4.5397)*IF(_xlfn.XLOOKUP(E142,Groups!A:A,Groups!N:N)="Insect",1,IF(OR(_xlfn.XLOOKUP(E142,Groups!A:A,Groups!N:N)="Pig",_xlfn.XLOOKUP(E142,Groups!A:A,Groups!N:N)="StrongBitingHerbivore"),3.5,3.75)),"No")</f>
        <v>45.85768298159568</v>
      </c>
      <c r="BI142" s="8">
        <f t="shared" si="77"/>
        <v>10</v>
      </c>
      <c r="BJ142" s="8">
        <f t="shared" si="78"/>
        <v>10</v>
      </c>
      <c r="BK142" s="8" t="str">
        <f t="shared" si="73"/>
        <v>No</v>
      </c>
      <c r="BL142" s="8">
        <f t="shared" si="74"/>
        <v>9</v>
      </c>
      <c r="BM142" s="8">
        <f t="shared" si="79"/>
        <v>11</v>
      </c>
      <c r="BN142" s="8" t="str" cm="1">
        <f t="array" ref="BN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O142" s="8" t="str">
        <f>IF(W142="No","No",IF(_xlfn.XLOOKUP(E142,Groups!A:A,Groups!BD:BD)=1,(AM142*5%),EXP(0.7354*LN(C142)^0.4078)*2/IF(_xlfn.XLOOKUP(E142,Groups!A:A,Groups!BL:BL)=1,1000,100)))</f>
        <v>No</v>
      </c>
      <c r="BP142" s="8">
        <f>IF(BH142="No","No",IF(_xlfn.XLOOKUP(E142,Groups!A:A,Groups!BF:BF)=1,(0.0315*C142+2.1825)*2,(0.7354*C142^0.4078)*2)/IF(_xlfn.XLOOKUP(E142,Groups!A:A,Groups!BM:BM)=1,1000,100))</f>
        <v>3.9105114172400528E-2</v>
      </c>
      <c r="BQ142" s="8">
        <f t="shared" si="75"/>
        <v>6.592167943381691E-2</v>
      </c>
      <c r="BR142" s="8" t="str">
        <f t="shared" si="80"/>
        <v>No</v>
      </c>
      <c r="BS142" s="8" t="str">
        <f t="shared" si="76"/>
        <v>No</v>
      </c>
      <c r="BT142" s="8">
        <f t="shared" si="81"/>
        <v>1172.6773838180213</v>
      </c>
      <c r="BU142" s="4">
        <v>0</v>
      </c>
      <c r="BV142" s="4">
        <v>1</v>
      </c>
    </row>
    <row r="143" spans="1:74" x14ac:dyDescent="0.25">
      <c r="A143" s="26" t="s">
        <v>61</v>
      </c>
      <c r="B143" s="6" t="s">
        <v>908</v>
      </c>
      <c r="C143" s="7">
        <f>AVERAGE(AVERAGE(AVERAGE(30,40),AVERAGE(22,32)),AVERAGE(AVERAGE(35,60),AVERAGE(30,50)))</f>
        <v>37.375</v>
      </c>
      <c r="D143" s="7" t="s">
        <v>1321</v>
      </c>
      <c r="E143" s="7" t="s">
        <v>55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517</v>
      </c>
      <c r="L143" s="7">
        <f t="shared" si="82"/>
        <v>51.759609917715728</v>
      </c>
      <c r="M143" s="7" t="s">
        <v>638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IF(AR143="No","No",IF(_xlfn.XLOOKUP(E143,Groups!A:A,Groups!AM:AM)=1,MROUND(EXP(0.3582*LN(C143)-0.2221)*T143,0.05),IF(_xlfn.XLOOKUP(E143,Groups!A:A,Groups!AM:AM)=2,MROUND(EXP(0.3582*LN(C143)-0.2221)*T143,0.05),"Need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945</v>
      </c>
      <c r="Y143" s="4" t="s">
        <v>53</v>
      </c>
      <c r="Z143" s="4">
        <v>0</v>
      </c>
      <c r="AA143" s="4">
        <v>0</v>
      </c>
      <c r="AB143" s="4">
        <v>0</v>
      </c>
      <c r="AC143" s="4" t="s">
        <v>45</v>
      </c>
      <c r="AD143" s="4" t="s">
        <v>506</v>
      </c>
      <c r="AE143" s="28" t="s">
        <v>388</v>
      </c>
      <c r="AF143" s="4" t="str">
        <f>Animals!C14</f>
        <v>&lt;li&gt;YorkshireTerrier&lt;/li&gt;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4" t="s">
        <v>40</v>
      </c>
      <c r="AM143" s="8">
        <f t="shared" si="67"/>
        <v>11681.557731569081</v>
      </c>
      <c r="AN143" s="8">
        <f>IFERROR(C143*_xlfn.XLOOKUP(E143,Groups!A:A,Groups!K:K),0.106*C143^0.94)</f>
        <v>4.6625312499999998</v>
      </c>
      <c r="AO143" s="8">
        <f>AN143*10000/(_xlfn.XLOOKUP(E143,Groups!A:A,Groups!J:J)*AM143)</f>
        <v>3.6617989687664894</v>
      </c>
      <c r="AP143" s="8">
        <f t="shared" si="68"/>
        <v>1158.2440835460063</v>
      </c>
      <c r="AQ143" s="8">
        <f>IF(_xlfn.XLOOKUP(E143,Groups!A:A,Groups!M:M)=1,EXP(0.7444*LN('Base stats'!C143)+6.5696),EXP(0.7927*LN('Base stats'!C143)+4.28))</f>
        <v>1274.5753082507779</v>
      </c>
      <c r="AR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"No")))))))))))))))</f>
        <v>1937.9092786102117</v>
      </c>
      <c r="AS143" s="8">
        <f>IF(_xlfn.XLOOKUP(E143,Groups!A:A,Groups!U:U)=3,AQ143,IF(_xlfn.XLOOKUP(E143,Groups!A:A,Groups!U:U)=2,AP143,AR143))</f>
        <v>1937.9092786102117</v>
      </c>
      <c r="AT143" s="46">
        <f>IFERROR(AVERAGE(_xlfn.XLOOKUP(B143,Animals!B:B,Animals!N:N),_xlfn.XLOOKUP(B143,Animals!B:B,Animals!O:O)),0)</f>
        <v>0</v>
      </c>
      <c r="AU143" s="8">
        <f>MROUND(40*Animals!AO143*_xlfn.XLOOKUP(Animals!BB143,Leathers!$A$2:$A$100,Leathers!$B$2:$B$100,0)+(140*_xlfn.XLOOKUP(B143,Animals!B:B,Animals!AO:AO)*2),5)</f>
        <v>270</v>
      </c>
      <c r="AV143" s="8">
        <f>IFERROR(ROUND(SQRT(V143-1)*IF(_xlfn.XLOOKUP(E143,Groups!A:A,Groups!BF:BF)=0,2,1)*IF(_xlfn.XLOOKUP('Base stats'!E143,Groups!A:A,Groups!O:O)=0,1,0.1),1),0)</f>
        <v>2.7</v>
      </c>
      <c r="AW143" s="8">
        <f t="shared" si="69"/>
        <v>0</v>
      </c>
      <c r="AX143" s="8">
        <f t="shared" si="70"/>
        <v>0</v>
      </c>
      <c r="AY143" s="8">
        <f t="shared" si="71"/>
        <v>2.9</v>
      </c>
      <c r="AZ143" s="8">
        <f>IF(_xlfn.XLOOKUP(E143,Groups!A:A,Groups!N:N)="Insect",BB143*2.5,IFERROR(AVERAGE(BB143,AR143/9.81/IF(OR(_xlfn.XLOOKUP(E143,Groups!A:A,Groups!N:N)="Pig",_xlfn.XLOOKUP(E143,Groups!A:A,Groups!N:N)="StrongBitingHerbivore"),20,25))*C143^-0.135,BB143))</f>
        <v>2.6668908903033577</v>
      </c>
      <c r="BA143" s="8" t="str">
        <f>IF(W143="No","No",IF(_xlfn.XLOOKUP(E143,Groups!A:A,Groups!U:U)=1,'Base stats'!AZ143,IF(OR(_xlfn.XLOOKUP(E143,Groups!A:A,Groups!BD:BD)=1,_xlfn.XLOOKUP(E143,Groups!A:A,Groups!U:U)=2),BB143,IF(_xlfn.XLOOKUP(B143,Animals!B:B,Animals!AO:AO)&gt;4,AVERAGE(BB143,BD143),BD143))))</f>
        <v>No</v>
      </c>
      <c r="BB143" s="8">
        <f t="shared" si="72"/>
        <v>0.79451306897413454</v>
      </c>
      <c r="BC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D143" s="8">
        <f>(0.048*C143^1.01)/IF(_xlfn.XLOOKUP(E143,Groups!A:A,Groups!M:M)=1,0.25,0.8)*C143^-0.25</f>
        <v>0.94040074259320261</v>
      </c>
      <c r="BE143" s="8">
        <f>EXP(1.076*LN(AP143)-4.5397)*IF(_xlfn.XLOOKUP(E143,Groups!A:A,Groups!BC:BC)=1,1.25,IF(_xlfn.XLOOKUP(E143,Groups!A:A,Groups!BD:BD)=1,3.5,2.5))</f>
        <v>52.847232179206785</v>
      </c>
      <c r="BF143" s="8">
        <f>EXP(1.076*LN(AQ143)-4.5397)*IF(_xlfn.XLOOKUP(E143,Groups!A:A,Groups!M:M)=1,0.8,IF(_xlfn.XLOOKUP(E143,Groups!A:A,Groups!BC:BC)=1,1.3,3))</f>
        <v>70.29555661729259</v>
      </c>
      <c r="BG143" s="8" t="str">
        <f>IF(W143="No","No",IF(_xlfn.XLOOKUP(E143,Groups!A:A,Groups!U:U)=1,'Base stats'!BH143,IF(OR(_xlfn.XLOOKUP(E143,Groups!A:A,Groups!BD:BD)=1,_xlfn.XLOOKUP(E143,Groups!A:A,Groups!U:U)=2),BE143,BF143))*1.2)</f>
        <v>No</v>
      </c>
      <c r="BH143" s="8">
        <f>IFERROR(EXP(1.076*LN(AR143)-4.5397)*IF(_xlfn.XLOOKUP(E143,Groups!A:A,Groups!N:N)="Insect",1,IF(OR(_xlfn.XLOOKUP(E143,Groups!A:A,Groups!N:N)="Pig",_xlfn.XLOOKUP(E143,Groups!A:A,Groups!N:N)="StrongBitingHerbivore"),3.5,3.75)),"No")</f>
        <v>137.92258616226633</v>
      </c>
      <c r="BI143" s="8">
        <f t="shared" si="77"/>
        <v>11</v>
      </c>
      <c r="BJ143" s="8">
        <f t="shared" si="78"/>
        <v>10</v>
      </c>
      <c r="BK143" s="8" t="str">
        <f t="shared" si="73"/>
        <v>No</v>
      </c>
      <c r="BL143" s="8">
        <f t="shared" si="74"/>
        <v>10</v>
      </c>
      <c r="BM143" s="8">
        <f t="shared" si="79"/>
        <v>12</v>
      </c>
      <c r="BN143" s="8" t="str" cm="1">
        <f t="array" ref="BN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O143" s="8" t="str">
        <f>IF(W143="No","No",IF(_xlfn.XLOOKUP(E143,Groups!A:A,Groups!BD:BD)=1,(AM143*5%),EXP(0.7354*LN(C143)^0.4078)*2/IF(_xlfn.XLOOKUP(E143,Groups!A:A,Groups!BL:BL)=1,1000,100)))</f>
        <v>No</v>
      </c>
      <c r="BP143" s="8">
        <f>IF(BH143="No","No",IF(_xlfn.XLOOKUP(E143,Groups!A:A,Groups!BF:BF)=1,(0.0315*C143+2.1825)*2,(0.7354*C143^0.4078)*2)/IF(_xlfn.XLOOKUP(E143,Groups!A:A,Groups!BM:BM)=1,1000,100))</f>
        <v>6.4395012983712543E-2</v>
      </c>
      <c r="BQ143" s="8">
        <f t="shared" si="75"/>
        <v>9.0479768869161398E-2</v>
      </c>
      <c r="BR143" s="8" t="str">
        <f t="shared" si="80"/>
        <v>No</v>
      </c>
      <c r="BS143" s="8" t="str">
        <f t="shared" si="76"/>
        <v>No</v>
      </c>
      <c r="BT143" s="8">
        <f t="shared" si="81"/>
        <v>2141.8209232623517</v>
      </c>
      <c r="BU143" s="4">
        <v>0</v>
      </c>
      <c r="BV143" s="4">
        <v>1</v>
      </c>
    </row>
    <row r="144" spans="1:74" x14ac:dyDescent="0.25">
      <c r="A144" s="26" t="s">
        <v>504</v>
      </c>
      <c r="B144" s="6" t="s">
        <v>909</v>
      </c>
      <c r="C144" s="7">
        <f>AVERAGE(63,79,50,63)</f>
        <v>63.75</v>
      </c>
      <c r="D144" s="7" t="s">
        <v>1322</v>
      </c>
      <c r="E144" s="7" t="s">
        <v>55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517</v>
      </c>
      <c r="L144" s="7">
        <f t="shared" si="82"/>
        <v>54.278770864438485</v>
      </c>
      <c r="M144" s="7" t="s">
        <v>638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IF(AR144="No","No",IF(_xlfn.XLOOKUP(E144,Groups!A:A,Groups!AM:AM)=1,MROUND(EXP(0.3582*LN(C144)-0.2221)*T144,0.05),IF(_xlfn.XLOOKUP(E144,Groups!A:A,Groups!AM:AM)=2,MROUND(EXP(0.3582*LN(C144)-0.2221)*T144,0.05),"Need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945</v>
      </c>
      <c r="Y144" s="4" t="s">
        <v>53</v>
      </c>
      <c r="Z144" s="4">
        <v>0</v>
      </c>
      <c r="AA144" s="4">
        <v>0</v>
      </c>
      <c r="AB144" s="4">
        <v>0</v>
      </c>
      <c r="AC144" s="4" t="s">
        <v>45</v>
      </c>
      <c r="AD144" s="4" t="s">
        <v>506</v>
      </c>
      <c r="AE144" s="28" t="s">
        <v>388</v>
      </c>
      <c r="AF144" s="4" t="str">
        <f>Animals!C14</f>
        <v>&lt;li&gt;YorkshireTerrier&lt;/li&gt;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4" t="s">
        <v>40</v>
      </c>
      <c r="AM144" s="8">
        <f t="shared" si="67"/>
        <v>16528.563161064278</v>
      </c>
      <c r="AN144" s="8">
        <f>IFERROR(C144*_xlfn.XLOOKUP(E144,Groups!A:A,Groups!K:K),0.106*C144^0.94)</f>
        <v>7.9528125000000003</v>
      </c>
      <c r="AO144" s="8">
        <f>AN144*10000/(_xlfn.XLOOKUP(E144,Groups!A:A,Groups!J:J)*AM144)</f>
        <v>4.4142725449166829</v>
      </c>
      <c r="AP144" s="8">
        <f t="shared" si="68"/>
        <v>1818.3821747104298</v>
      </c>
      <c r="AQ144" s="8">
        <f>IF(_xlfn.XLOOKUP(E144,Groups!A:A,Groups!M:M)=1,EXP(0.7444*LN('Base stats'!C144)+6.5696),EXP(0.7927*LN('Base stats'!C144)+4.28))</f>
        <v>1946.2195395557933</v>
      </c>
      <c r="AR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"No")))))))))))))))</f>
        <v>3029.4467644574979</v>
      </c>
      <c r="AS144" s="8">
        <f>IF(_xlfn.XLOOKUP(E144,Groups!A:A,Groups!U:U)=3,AQ144,IF(_xlfn.XLOOKUP(E144,Groups!A:A,Groups!U:U)=2,AP144,AR144))</f>
        <v>3029.4467644574979</v>
      </c>
      <c r="AT144" s="46">
        <f>IFERROR(AVERAGE(_xlfn.XLOOKUP(B144,Animals!B:B,Animals!N:N),_xlfn.XLOOKUP(B144,Animals!B:B,Animals!O:O)),0)</f>
        <v>0</v>
      </c>
      <c r="AU144" s="8">
        <f>MROUND(40*Animals!AO144*_xlfn.XLOOKUP(Animals!BB144,Leathers!$A$2:$A$100,Leathers!$B$2:$B$100,0)+(140*_xlfn.XLOOKUP(B144,Animals!B:B,Animals!AO:AO)*2),5)</f>
        <v>340</v>
      </c>
      <c r="AV144" s="8">
        <f>IFERROR(ROUND(SQRT(V144-1)*IF(_xlfn.XLOOKUP(E144,Groups!A:A,Groups!BF:BF)=0,2,1)*IF(_xlfn.XLOOKUP('Base stats'!E144,Groups!A:A,Groups!O:O)=0,1,0.1),1),0)</f>
        <v>3.1</v>
      </c>
      <c r="AW144" s="8">
        <f t="shared" si="69"/>
        <v>0</v>
      </c>
      <c r="AX144" s="8">
        <f t="shared" si="70"/>
        <v>0</v>
      </c>
      <c r="AY144" s="8">
        <f t="shared" si="71"/>
        <v>3.5</v>
      </c>
      <c r="AZ144" s="8">
        <f>IF(_xlfn.XLOOKUP(E144,Groups!A:A,Groups!N:N)="Insect",BB144*2.5,IFERROR(AVERAGE(BB144,AR144/9.81/IF(OR(_xlfn.XLOOKUP(E144,Groups!A:A,Groups!N:N)="Pig",_xlfn.XLOOKUP(E144,Groups!A:A,Groups!N:N)="StrongBitingHerbivore"),20,25))*C144^-0.135,BB144))</f>
        <v>3.8780032568791114</v>
      </c>
      <c r="BA144" s="8" t="str">
        <f>IF(W144="No","No",IF(_xlfn.XLOOKUP(E144,Groups!A:A,Groups!U:U)=1,'Base stats'!AZ144,IF(OR(_xlfn.XLOOKUP(E144,Groups!A:A,Groups!BD:BD)=1,_xlfn.XLOOKUP(E144,Groups!A:A,Groups!U:U)=2),BB144,IF(_xlfn.XLOOKUP(B144,Animals!B:B,Animals!AO:AO)&gt;4,AVERAGE(BB144,BD144),BD144))))</f>
        <v>No</v>
      </c>
      <c r="BB144" s="8">
        <f t="shared" si="72"/>
        <v>1.2382521883166966</v>
      </c>
      <c r="BC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D144" s="8">
        <f>(0.048*C144^1.01)/IF(_xlfn.XLOOKUP(E144,Groups!A:A,Groups!M:M)=1,0.25,0.8)*C144^-0.25</f>
        <v>1.4110948086116992</v>
      </c>
      <c r="BE144" s="8">
        <f>EXP(1.076*LN(AP144)-4.5397)*IF(_xlfn.XLOOKUP(E144,Groups!A:A,Groups!BC:BC)=1,1.25,IF(_xlfn.XLOOKUP(E144,Groups!A:A,Groups!BD:BD)=1,3.5,2.5))</f>
        <v>85.860732091557921</v>
      </c>
      <c r="BF144" s="8">
        <f>EXP(1.076*LN(AQ144)-4.5397)*IF(_xlfn.XLOOKUP(E144,Groups!A:A,Groups!M:M)=1,0.8,IF(_xlfn.XLOOKUP(E144,Groups!A:A,Groups!BC:BC)=1,1.3,3))</f>
        <v>110.84727027247962</v>
      </c>
      <c r="BG144" s="8" t="str">
        <f>IF(W144="No","No",IF(_xlfn.XLOOKUP(E144,Groups!A:A,Groups!U:U)=1,'Base stats'!BH144,IF(OR(_xlfn.XLOOKUP(E144,Groups!A:A,Groups!BD:BD)=1,_xlfn.XLOOKUP(E144,Groups!A:A,Groups!U:U)=2),BE144,BF144))*1.2)</f>
        <v>No</v>
      </c>
      <c r="BH144" s="8">
        <f>IFERROR(EXP(1.076*LN(AR144)-4.5397)*IF(_xlfn.XLOOKUP(E144,Groups!A:A,Groups!N:N)="Insect",1,IF(OR(_xlfn.XLOOKUP(E144,Groups!A:A,Groups!N:N)="Pig",_xlfn.XLOOKUP(E144,Groups!A:A,Groups!N:N)="StrongBitingHerbivore"),3.5,3.75)),"No")</f>
        <v>223.05478597657822</v>
      </c>
      <c r="BI144" s="8">
        <f t="shared" si="77"/>
        <v>11</v>
      </c>
      <c r="BJ144" s="8">
        <f t="shared" si="78"/>
        <v>11</v>
      </c>
      <c r="BK144" s="8" t="str">
        <f t="shared" si="73"/>
        <v>No</v>
      </c>
      <c r="BL144" s="8">
        <f t="shared" si="74"/>
        <v>10</v>
      </c>
      <c r="BM144" s="8">
        <f t="shared" si="79"/>
        <v>12</v>
      </c>
      <c r="BN144" s="8" t="str" cm="1">
        <f t="array" ref="BN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O144" s="8" t="str">
        <f>IF(W144="No","No",IF(_xlfn.XLOOKUP(E144,Groups!A:A,Groups!BD:BD)=1,(AM144*5%),EXP(0.7354*LN(C144)^0.4078)*2/IF(_xlfn.XLOOKUP(E144,Groups!A:A,Groups!BL:BL)=1,1000,100)))</f>
        <v>No</v>
      </c>
      <c r="BP144" s="8">
        <f>IF(BH144="No","No",IF(_xlfn.XLOOKUP(E144,Groups!A:A,Groups!BF:BF)=1,(0.0315*C144+2.1825)*2,(0.7354*C144^0.4078)*2)/IF(_xlfn.XLOOKUP(E144,Groups!A:A,Groups!BM:BM)=1,1000,100))</f>
        <v>8.0060932154055159E-2</v>
      </c>
      <c r="BQ144" s="8">
        <f t="shared" si="75"/>
        <v>0.10389376409174737</v>
      </c>
      <c r="BR144" s="8" t="str">
        <f t="shared" si="80"/>
        <v>No</v>
      </c>
      <c r="BS144" s="8" t="str">
        <f t="shared" si="76"/>
        <v>No</v>
      </c>
      <c r="BT144" s="8">
        <f t="shared" si="81"/>
        <v>2786.062814599396</v>
      </c>
      <c r="BU144" s="4">
        <v>0</v>
      </c>
      <c r="BV144" s="4">
        <v>1</v>
      </c>
    </row>
    <row r="145" spans="1:74" x14ac:dyDescent="0.25">
      <c r="A145" s="26" t="s">
        <v>501</v>
      </c>
      <c r="B145" s="6" t="s">
        <v>910</v>
      </c>
      <c r="C145" s="7">
        <f>AVERAGE(20,32)</f>
        <v>26</v>
      </c>
      <c r="D145" s="7" t="s">
        <v>1315</v>
      </c>
      <c r="E145" s="7" t="s">
        <v>55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517</v>
      </c>
      <c r="L145" s="7">
        <f t="shared" si="82"/>
        <v>50.114557004574422</v>
      </c>
      <c r="M145" s="7" t="s">
        <v>638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IF(AR145="No","No",IF(_xlfn.XLOOKUP(E145,Groups!A:A,Groups!AM:AM)=1,MROUND(EXP(0.3582*LN(C145)-0.2221)*T145,0.05),IF(_xlfn.XLOOKUP(E145,Groups!A:A,Groups!AM:AM)=2,MROUND(EXP(0.3582*LN(C145)-0.2221)*T145,0.05),"Need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945</v>
      </c>
      <c r="Y145" s="4" t="s">
        <v>53</v>
      </c>
      <c r="Z145" s="4">
        <v>0</v>
      </c>
      <c r="AA145" s="4">
        <v>0</v>
      </c>
      <c r="AB145" s="4">
        <v>0</v>
      </c>
      <c r="AC145" s="4" t="s">
        <v>45</v>
      </c>
      <c r="AD145" s="4" t="s">
        <v>506</v>
      </c>
      <c r="AE145" s="28" t="s">
        <v>388</v>
      </c>
      <c r="AF145" s="4" t="str">
        <f>Animals!C14</f>
        <v>&lt;li&gt;YorkshireTerrier&lt;/li&gt;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4" t="s">
        <v>40</v>
      </c>
      <c r="AM145" s="8">
        <f t="shared" si="67"/>
        <v>9226.8966253474555</v>
      </c>
      <c r="AN145" s="8">
        <f>IFERROR(C145*_xlfn.XLOOKUP(E145,Groups!A:A,Groups!K:K),0.106*C145^0.94)</f>
        <v>3.2435</v>
      </c>
      <c r="AO145" s="8">
        <f>AN145*10000/(_xlfn.XLOOKUP(E145,Groups!A:A,Groups!J:J)*AM145)</f>
        <v>3.2250150773553727</v>
      </c>
      <c r="AP145" s="8">
        <f t="shared" si="68"/>
        <v>852.44964986092737</v>
      </c>
      <c r="AQ145" s="8">
        <f>IF(_xlfn.XLOOKUP(E145,Groups!A:A,Groups!M:M)=1,EXP(0.7444*LN('Base stats'!C145)+6.5696),EXP(0.7927*LN('Base stats'!C145)+4.28))</f>
        <v>955.93806528846119</v>
      </c>
      <c r="AR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"No")))))))))))))))</f>
        <v>1430.4179494916264</v>
      </c>
      <c r="AS145" s="8">
        <f>IF(_xlfn.XLOOKUP(E145,Groups!A:A,Groups!U:U)=3,AQ145,IF(_xlfn.XLOOKUP(E145,Groups!A:A,Groups!U:U)=2,AP145,AR145))</f>
        <v>1430.4179494916264</v>
      </c>
      <c r="AT145" s="46">
        <f>IFERROR(AVERAGE(_xlfn.XLOOKUP(B145,Animals!B:B,Animals!N:N),_xlfn.XLOOKUP(B145,Animals!B:B,Animals!O:O)),0)</f>
        <v>0</v>
      </c>
      <c r="AU145" s="8">
        <f>MROUND(40*Animals!AO145*_xlfn.XLOOKUP(Animals!BB145,Leathers!$A$2:$A$100,Leathers!$B$2:$B$100,0)+(140*_xlfn.XLOOKUP(B145,Animals!B:B,Animals!AO:AO)*2),5)</f>
        <v>235</v>
      </c>
      <c r="AV145" s="8">
        <f>IFERROR(ROUND(SQRT(V145-1)*IF(_xlfn.XLOOKUP(E145,Groups!A:A,Groups!BF:BF)=0,2,1)*IF(_xlfn.XLOOKUP('Base stats'!E145,Groups!A:A,Groups!O:O)=0,1,0.1),1),0)</f>
        <v>2.4</v>
      </c>
      <c r="AW145" s="8">
        <f t="shared" si="69"/>
        <v>0</v>
      </c>
      <c r="AX145" s="8">
        <f t="shared" si="70"/>
        <v>0</v>
      </c>
      <c r="AY145" s="8">
        <f t="shared" si="71"/>
        <v>2.6</v>
      </c>
      <c r="AZ145" s="8">
        <f>IF(_xlfn.XLOOKUP(E145,Groups!A:A,Groups!N:N)="Insect",BB145*2.5,IFERROR(AVERAGE(BB145,AR145/9.81/IF(OR(_xlfn.XLOOKUP(E145,Groups!A:A,Groups!N:N)="Pig",_xlfn.XLOOKUP(E145,Groups!A:A,Groups!N:N)="StrongBitingHerbivore"),20,25))*C145^-0.135,BB145))</f>
        <v>2.0677306773689037</v>
      </c>
      <c r="BA145" s="8" t="str">
        <f>IF(W145="No","No",IF(_xlfn.XLOOKUP(E145,Groups!A:A,Groups!U:U)=1,'Base stats'!AZ145,IF(OR(_xlfn.XLOOKUP(E145,Groups!A:A,Groups!BD:BD)=1,_xlfn.XLOOKUP(E145,Groups!A:A,Groups!U:U)=2),BB145,IF(_xlfn.XLOOKUP(B145,Animals!B:B,Animals!AO:AO)&gt;4,AVERAGE(BB145,BD145),BD145))))</f>
        <v>No</v>
      </c>
      <c r="BB145" s="8">
        <f t="shared" si="72"/>
        <v>0.58766377309862416</v>
      </c>
      <c r="BC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D145" s="8">
        <f>(0.048*C145^1.01)/IF(_xlfn.XLOOKUP(E145,Groups!A:A,Groups!M:M)=1,0.25,0.8)*C145^-0.25</f>
        <v>0.71372514062620962</v>
      </c>
      <c r="BE145" s="8">
        <f>EXP(1.076*LN(AP145)-4.5397)*IF(_xlfn.XLOOKUP(E145,Groups!A:A,Groups!BC:BC)=1,1.25,IF(_xlfn.XLOOKUP(E145,Groups!A:A,Groups!BD:BD)=1,3.5,2.5))</f>
        <v>37.999064941141754</v>
      </c>
      <c r="BF145" s="8">
        <f>EXP(1.076*LN(AQ145)-4.5397)*IF(_xlfn.XLOOKUP(E145,Groups!A:A,Groups!M:M)=1,0.8,IF(_xlfn.XLOOKUP(E145,Groups!A:A,Groups!BC:BC)=1,1.3,3))</f>
        <v>51.581861630943912</v>
      </c>
      <c r="BG145" s="8" t="str">
        <f>IF(W145="No","No",IF(_xlfn.XLOOKUP(E145,Groups!A:A,Groups!U:U)=1,'Base stats'!BH145,IF(OR(_xlfn.XLOOKUP(E145,Groups!A:A,Groups!BD:BD)=1,_xlfn.XLOOKUP(E145,Groups!A:A,Groups!U:U)=2),BE145,BF145))*1.2)</f>
        <v>No</v>
      </c>
      <c r="BH145" s="8">
        <f>IFERROR(EXP(1.076*LN(AR145)-4.5397)*IF(_xlfn.XLOOKUP(E145,Groups!A:A,Groups!N:N)="Insect",1,IF(OR(_xlfn.XLOOKUP(E145,Groups!A:A,Groups!N:N)="Pig",_xlfn.XLOOKUP(E145,Groups!A:A,Groups!N:N)="StrongBitingHerbivore"),3.5,3.75)),"No")</f>
        <v>99.481595909926881</v>
      </c>
      <c r="BI145" s="8">
        <f t="shared" si="77"/>
        <v>11</v>
      </c>
      <c r="BJ145" s="8">
        <f t="shared" si="78"/>
        <v>10</v>
      </c>
      <c r="BK145" s="8" t="str">
        <f t="shared" si="73"/>
        <v>No</v>
      </c>
      <c r="BL145" s="8">
        <f t="shared" si="74"/>
        <v>9</v>
      </c>
      <c r="BM145" s="8">
        <f t="shared" si="79"/>
        <v>12</v>
      </c>
      <c r="BN145" s="8" t="str" cm="1">
        <f t="array" ref="BN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O145" s="8" t="str">
        <f>IF(W145="No","No",IF(_xlfn.XLOOKUP(E145,Groups!A:A,Groups!BD:BD)=1,(AM145*5%),EXP(0.7354*LN(C145)^0.4078)*2/IF(_xlfn.XLOOKUP(E145,Groups!A:A,Groups!BL:BL)=1,1000,100)))</f>
        <v>No</v>
      </c>
      <c r="BP145" s="8">
        <f>IF(BH145="No","No",IF(_xlfn.XLOOKUP(E145,Groups!A:A,Groups!BF:BF)=1,(0.0315*C145+2.1825)*2,(0.7354*C145^0.4078)*2)/IF(_xlfn.XLOOKUP(E145,Groups!A:A,Groups!BM:BM)=1,1000,100))</f>
        <v>5.5536659356448935E-2</v>
      </c>
      <c r="BQ145" s="8">
        <f t="shared" si="75"/>
        <v>8.2365862508426729E-2</v>
      </c>
      <c r="BR145" s="8" t="str">
        <f t="shared" si="80"/>
        <v>No</v>
      </c>
      <c r="BS145" s="8" t="str">
        <f t="shared" si="76"/>
        <v>No</v>
      </c>
      <c r="BT145" s="8">
        <f t="shared" si="81"/>
        <v>1791.2779966009073</v>
      </c>
      <c r="BU145" s="4">
        <v>0</v>
      </c>
      <c r="BV145" s="4">
        <v>1</v>
      </c>
    </row>
    <row r="146" spans="1:74" x14ac:dyDescent="0.25">
      <c r="A146" s="26" t="s">
        <v>502</v>
      </c>
      <c r="B146" s="6" t="s">
        <v>911</v>
      </c>
      <c r="C146" s="7">
        <f>AVERAGE(6.35,8.16)</f>
        <v>7.2549999999999999</v>
      </c>
      <c r="D146" s="7" t="s">
        <v>1316</v>
      </c>
      <c r="E146" s="7" t="s">
        <v>55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517</v>
      </c>
      <c r="L146" s="7">
        <f t="shared" si="82"/>
        <v>44.73299720791843</v>
      </c>
      <c r="M146" s="7" t="s">
        <v>638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IF(AR146="No","No",IF(_xlfn.XLOOKUP(E146,Groups!A:A,Groups!AM:AM)=1,MROUND(EXP(0.3582*LN(C146)-0.2221)*T146,0.05),IF(_xlfn.XLOOKUP(E146,Groups!A:A,Groups!AM:AM)=2,MROUND(EXP(0.3582*LN(C146)-0.2221)*T146,0.05),"Need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945</v>
      </c>
      <c r="Y146" s="4" t="s">
        <v>53</v>
      </c>
      <c r="Z146" s="4">
        <v>0</v>
      </c>
      <c r="AA146" s="4">
        <v>0</v>
      </c>
      <c r="AB146" s="4">
        <v>0</v>
      </c>
      <c r="AC146" s="4" t="s">
        <v>45</v>
      </c>
      <c r="AD146" s="4" t="s">
        <v>506</v>
      </c>
      <c r="AE146" s="28" t="s">
        <v>388</v>
      </c>
      <c r="AF146" s="4" t="str">
        <f>Animals!C14</f>
        <v>&lt;li&gt;YorkshireTerrier&lt;/li&gt;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4" t="s">
        <v>40</v>
      </c>
      <c r="AM146" s="8">
        <f t="shared" si="67"/>
        <v>4024.7350855215182</v>
      </c>
      <c r="AN146" s="8">
        <f>IFERROR(C146*_xlfn.XLOOKUP(E146,Groups!A:A,Groups!K:K),0.106*C146^0.94)</f>
        <v>0.90506125000000004</v>
      </c>
      <c r="AO146" s="8">
        <f>AN146*10000/(_xlfn.XLOOKUP(E146,Groups!A:A,Groups!J:J)*AM146)</f>
        <v>2.0630709956671738</v>
      </c>
      <c r="AP146" s="8">
        <f t="shared" si="68"/>
        <v>290.01547733821099</v>
      </c>
      <c r="AQ146" s="8">
        <f>IF(_xlfn.XLOOKUP(E146,Groups!A:A,Groups!M:M)=1,EXP(0.7444*LN('Base stats'!C146)+6.5696),EXP(0.7927*LN('Base stats'!C146)+4.28))</f>
        <v>347.54229352987414</v>
      </c>
      <c r="AR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"No")))))))))))))))</f>
        <v>491.64324621650781</v>
      </c>
      <c r="AS146" s="8">
        <f>IF(_xlfn.XLOOKUP(E146,Groups!A:A,Groups!U:U)=3,AQ146,IF(_xlfn.XLOOKUP(E146,Groups!A:A,Groups!U:U)=2,AP146,AR146))</f>
        <v>491.64324621650781</v>
      </c>
      <c r="AT146" s="46">
        <f>IFERROR(AVERAGE(_xlfn.XLOOKUP(B146,Animals!B:B,Animals!N:N),_xlfn.XLOOKUP(B146,Animals!B:B,Animals!O:O)),0)</f>
        <v>0</v>
      </c>
      <c r="AU146" s="8">
        <f>MROUND(40*Animals!AO146*_xlfn.XLOOKUP(Animals!BB146,Leathers!$A$2:$A$100,Leathers!$B$2:$B$100,0)+(140*_xlfn.XLOOKUP(B146,Animals!B:B,Animals!AO:AO)*2),5)</f>
        <v>125</v>
      </c>
      <c r="AV146" s="8">
        <f>IFERROR(ROUND(SQRT(V146-1)*IF(_xlfn.XLOOKUP(E146,Groups!A:A,Groups!BF:BF)=0,2,1)*IF(_xlfn.XLOOKUP('Base stats'!E146,Groups!A:A,Groups!O:O)=0,1,0.1),1),0)</f>
        <v>1.5</v>
      </c>
      <c r="AW146" s="8">
        <f t="shared" si="69"/>
        <v>0</v>
      </c>
      <c r="AX146" s="8">
        <f t="shared" si="70"/>
        <v>0</v>
      </c>
      <c r="AY146" s="8">
        <f t="shared" si="71"/>
        <v>1.3</v>
      </c>
      <c r="AZ146" s="8">
        <f>IF(_xlfn.XLOOKUP(E146,Groups!A:A,Groups!N:N)="Insect",BB146*2.5,IFERROR(AVERAGE(BB146,AR146/9.81/IF(OR(_xlfn.XLOOKUP(E146,Groups!A:A,Groups!N:N)="Pig",_xlfn.XLOOKUP(E146,Groups!A:A,Groups!N:N)="StrongBitingHerbivore"),20,25))*C146^-0.135,BB146))</f>
        <v>0.84490256382363227</v>
      </c>
      <c r="BA146" s="8" t="str">
        <f>IF(W146="No","No",IF(_xlfn.XLOOKUP(E146,Groups!A:A,Groups!U:U)=1,'Base stats'!AZ146,IF(OR(_xlfn.XLOOKUP(E146,Groups!A:A,Groups!BD:BD)=1,_xlfn.XLOOKUP(E146,Groups!A:A,Groups!U:U)=2),BB146,IF(_xlfn.XLOOKUP(B146,Animals!B:B,Animals!AO:AO)&gt;4,AVERAGE(BB146,BD146),BD146))))</f>
        <v>No</v>
      </c>
      <c r="BB146" s="8">
        <f t="shared" si="72"/>
        <v>0.20345846347103066</v>
      </c>
      <c r="BC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D146" s="8">
        <f>(0.048*C146^1.01)/IF(_xlfn.XLOOKUP(E146,Groups!A:A,Groups!M:M)=1,0.25,0.8)*C146^-0.25</f>
        <v>0.27054261726437773</v>
      </c>
      <c r="BE146" s="8">
        <f>EXP(1.076*LN(AP146)-4.5397)*IF(_xlfn.XLOOKUP(E146,Groups!A:A,Groups!BC:BC)=1,1.25,IF(_xlfn.XLOOKUP(E146,Groups!A:A,Groups!BD:BD)=1,3.5,2.5))</f>
        <v>11.910734230819106</v>
      </c>
      <c r="BF146" s="8">
        <f>EXP(1.076*LN(AQ146)-4.5397)*IF(_xlfn.XLOOKUP(E146,Groups!A:A,Groups!M:M)=1,0.8,IF(_xlfn.XLOOKUP(E146,Groups!A:A,Groups!BC:BC)=1,1.3,3))</f>
        <v>17.365162048439693</v>
      </c>
      <c r="BG146" s="8" t="str">
        <f>IF(W146="No","No",IF(_xlfn.XLOOKUP(E146,Groups!A:A,Groups!U:U)=1,'Base stats'!BH146,IF(OR(_xlfn.XLOOKUP(E146,Groups!A:A,Groups!BD:BD)=1,_xlfn.XLOOKUP(E146,Groups!A:A,Groups!U:U)=2),BE146,BF146))*1.2)</f>
        <v>No</v>
      </c>
      <c r="BH146" s="8">
        <f>IFERROR(EXP(1.076*LN(AR146)-4.5397)*IF(_xlfn.XLOOKUP(E146,Groups!A:A,Groups!N:N)="Insect",1,IF(OR(_xlfn.XLOOKUP(E146,Groups!A:A,Groups!N:N)="Pig",_xlfn.XLOOKUP(E146,Groups!A:A,Groups!N:N)="StrongBitingHerbivore"),3.5,3.75)),"No")</f>
        <v>31.52681451913573</v>
      </c>
      <c r="BI146" s="8">
        <f t="shared" si="77"/>
        <v>10</v>
      </c>
      <c r="BJ146" s="8">
        <f t="shared" si="78"/>
        <v>10</v>
      </c>
      <c r="BK146" s="8" t="str">
        <f t="shared" si="73"/>
        <v>No</v>
      </c>
      <c r="BL146" s="8">
        <f t="shared" si="74"/>
        <v>8</v>
      </c>
      <c r="BM146" s="8">
        <f t="shared" si="79"/>
        <v>11</v>
      </c>
      <c r="BN146" s="8" t="str" cm="1">
        <f t="array" ref="BN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O146" s="8" t="str">
        <f>IF(W146="No","No",IF(_xlfn.XLOOKUP(E146,Groups!A:A,Groups!BD:BD)=1,(AM146*5%),EXP(0.7354*LN(C146)^0.4078)*2/IF(_xlfn.XLOOKUP(E146,Groups!A:A,Groups!BL:BL)=1,1000,100)))</f>
        <v>No</v>
      </c>
      <c r="BP146" s="8">
        <f>IF(BH146="No","No",IF(_xlfn.XLOOKUP(E146,Groups!A:A,Groups!BF:BF)=1,(0.0315*C146+2.1825)*2,(0.7354*C146^0.4078)*2)/IF(_xlfn.XLOOKUP(E146,Groups!A:A,Groups!BM:BM)=1,1000,100))</f>
        <v>3.3000579003953534E-2</v>
      </c>
      <c r="BQ146" s="8">
        <f t="shared" si="75"/>
        <v>5.9187668145744471E-2</v>
      </c>
      <c r="BR146" s="8" t="str">
        <f t="shared" si="80"/>
        <v>No</v>
      </c>
      <c r="BS146" s="8" t="str">
        <f t="shared" si="76"/>
        <v>No</v>
      </c>
      <c r="BT146" s="8">
        <f t="shared" si="81"/>
        <v>955.34125372038943</v>
      </c>
      <c r="BU146" s="4">
        <v>0</v>
      </c>
      <c r="BV146" s="4">
        <v>1</v>
      </c>
    </row>
    <row r="147" spans="1:74" x14ac:dyDescent="0.25">
      <c r="A147" s="26" t="s">
        <v>60</v>
      </c>
      <c r="B147" s="6" t="s">
        <v>912</v>
      </c>
      <c r="C147" s="7">
        <f>AVERAGE(AVERAGE(50,60),AVERAGE(35,48))</f>
        <v>48.25</v>
      </c>
      <c r="D147" s="7" t="s">
        <v>1317</v>
      </c>
      <c r="E147" s="7" t="s">
        <v>55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517</v>
      </c>
      <c r="L147" s="7">
        <f t="shared" si="82"/>
        <v>52.949581146072717</v>
      </c>
      <c r="M147" s="7" t="s">
        <v>638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IF(AR147="No","No",IF(_xlfn.XLOOKUP(E147,Groups!A:A,Groups!AM:AM)=1,MROUND(EXP(0.3582*LN(C147)-0.2221)*T147,0.05),IF(_xlfn.XLOOKUP(E147,Groups!A:A,Groups!AM:AM)=2,MROUND(EXP(0.3582*LN(C147)-0.2221)*T147,0.05),"Need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945</v>
      </c>
      <c r="Y147" s="4" t="s">
        <v>53</v>
      </c>
      <c r="Z147" s="4">
        <v>0</v>
      </c>
      <c r="AA147" s="4">
        <v>0</v>
      </c>
      <c r="AB147" s="4">
        <v>0</v>
      </c>
      <c r="AC147" s="4" t="s">
        <v>45</v>
      </c>
      <c r="AD147" s="4" t="s">
        <v>506</v>
      </c>
      <c r="AE147" s="28" t="s">
        <v>388</v>
      </c>
      <c r="AF147" s="4" t="str">
        <f>Animals!C14</f>
        <v>&lt;li&gt;YorkshireTerrier&lt;/li&gt;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4" t="s">
        <v>40</v>
      </c>
      <c r="AM147" s="8">
        <f t="shared" si="67"/>
        <v>13791.015141040867</v>
      </c>
      <c r="AN147" s="8">
        <f>IFERROR(C147*_xlfn.XLOOKUP(E147,Groups!A:A,Groups!K:K),0.106*C147^0.94)</f>
        <v>6.0191875000000001</v>
      </c>
      <c r="AO147" s="8">
        <f>AN147*10000/(_xlfn.XLOOKUP(E147,Groups!A:A,Groups!J:J)*AM147)</f>
        <v>4.0041942601737244</v>
      </c>
      <c r="AP147" s="8">
        <f t="shared" si="68"/>
        <v>1437.1130527352805</v>
      </c>
      <c r="AQ147" s="8">
        <f>IF(_xlfn.XLOOKUP(E147,Groups!A:A,Groups!M:M)=1,EXP(0.7444*LN('Base stats'!C147)+6.5696),EXP(0.7927*LN('Base stats'!C147)+4.28))</f>
        <v>1560.5895923972128</v>
      </c>
      <c r="AR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"No")))))))))))))))</f>
        <v>2399.589520702521</v>
      </c>
      <c r="AS147" s="8">
        <f>IF(_xlfn.XLOOKUP(E147,Groups!A:A,Groups!U:U)=3,AQ147,IF(_xlfn.XLOOKUP(E147,Groups!A:A,Groups!U:U)=2,AP147,AR147))</f>
        <v>2399.589520702521</v>
      </c>
      <c r="AT147" s="46">
        <f>IFERROR(AVERAGE(_xlfn.XLOOKUP(B147,Animals!B:B,Animals!N:N),_xlfn.XLOOKUP(B147,Animals!B:B,Animals!O:O)),0)</f>
        <v>0</v>
      </c>
      <c r="AU147" s="8">
        <f>MROUND(40*Animals!AO147*_xlfn.XLOOKUP(Animals!BB147,Leathers!$A$2:$A$100,Leathers!$B$2:$B$100,0)+(140*_xlfn.XLOOKUP(B147,Animals!B:B,Animals!AO:AO)*2),5)</f>
        <v>305</v>
      </c>
      <c r="AV147" s="8">
        <f>IFERROR(ROUND(SQRT(V147-1)*IF(_xlfn.XLOOKUP(E147,Groups!A:A,Groups!BF:BF)=0,2,1)*IF(_xlfn.XLOOKUP('Base stats'!E147,Groups!A:A,Groups!O:O)=0,1,0.1),1),0)</f>
        <v>2.9</v>
      </c>
      <c r="AW147" s="8">
        <f t="shared" si="69"/>
        <v>0</v>
      </c>
      <c r="AX147" s="8">
        <f t="shared" si="70"/>
        <v>0</v>
      </c>
      <c r="AY147" s="8">
        <f t="shared" si="71"/>
        <v>3.2</v>
      </c>
      <c r="AZ147" s="8">
        <f>IF(_xlfn.XLOOKUP(E147,Groups!A:A,Groups!N:N)="Insect",BB147*2.5,IFERROR(AVERAGE(BB147,AR147/9.81/IF(OR(_xlfn.XLOOKUP(E147,Groups!A:A,Groups!N:N)="Pig",_xlfn.XLOOKUP(E147,Groups!A:A,Groups!N:N)="StrongBitingHerbivore"),20,25))*C147^-0.135,BB147))</f>
        <v>3.1899021670776677</v>
      </c>
      <c r="BA147" s="8" t="str">
        <f>IF(W147="No","No",IF(_xlfn.XLOOKUP(E147,Groups!A:A,Groups!U:U)=1,'Base stats'!AZ147,IF(OR(_xlfn.XLOOKUP(E147,Groups!A:A,Groups!BD:BD)=1,_xlfn.XLOOKUP(E147,Groups!A:A,Groups!U:U)=2),BB147,IF(_xlfn.XLOOKUP(B147,Animals!B:B,Animals!AO:AO)&gt;4,AVERAGE(BB147,BD147),BD147))))</f>
        <v>No</v>
      </c>
      <c r="BB147" s="8">
        <f t="shared" si="72"/>
        <v>0.98236377200852176</v>
      </c>
      <c r="BC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D147" s="8">
        <f>(0.048*C147^1.01)/IF(_xlfn.XLOOKUP(E147,Groups!A:A,Groups!M:M)=1,0.25,0.8)*C147^-0.25</f>
        <v>1.1418504090805055</v>
      </c>
      <c r="BE147" s="8">
        <f>EXP(1.076*LN(AP147)-4.5397)*IF(_xlfn.XLOOKUP(E147,Groups!A:A,Groups!BC:BC)=1,1.25,IF(_xlfn.XLOOKUP(E147,Groups!A:A,Groups!BD:BD)=1,3.5,2.5))</f>
        <v>66.65513219525819</v>
      </c>
      <c r="BF147" s="8">
        <f>EXP(1.076*LN(AQ147)-4.5397)*IF(_xlfn.XLOOKUP(E147,Groups!A:A,Groups!M:M)=1,0.8,IF(_xlfn.XLOOKUP(E147,Groups!A:A,Groups!BC:BC)=1,1.3,3))</f>
        <v>87.404389392044067</v>
      </c>
      <c r="BG147" s="8" t="str">
        <f>IF(W147="No","No",IF(_xlfn.XLOOKUP(E147,Groups!A:A,Groups!U:U)=1,'Base stats'!BH147,IF(OR(_xlfn.XLOOKUP(E147,Groups!A:A,Groups!BD:BD)=1,_xlfn.XLOOKUP(E147,Groups!A:A,Groups!U:U)=2),BE147,BF147))*1.2)</f>
        <v>No</v>
      </c>
      <c r="BH147" s="8">
        <f>IFERROR(EXP(1.076*LN(AR147)-4.5397)*IF(_xlfn.XLOOKUP(E147,Groups!A:A,Groups!N:N)="Insect",1,IF(OR(_xlfn.XLOOKUP(E147,Groups!A:A,Groups!N:N)="Pig",_xlfn.XLOOKUP(E147,Groups!A:A,Groups!N:N)="StrongBitingHerbivore"),3.5,3.75)),"No")</f>
        <v>173.57691829716006</v>
      </c>
      <c r="BI147" s="8">
        <f t="shared" si="77"/>
        <v>11</v>
      </c>
      <c r="BJ147" s="8">
        <f t="shared" si="78"/>
        <v>10</v>
      </c>
      <c r="BK147" s="8" t="str">
        <f t="shared" si="73"/>
        <v>No</v>
      </c>
      <c r="BL147" s="8">
        <f t="shared" si="74"/>
        <v>10</v>
      </c>
      <c r="BM147" s="8">
        <f t="shared" si="79"/>
        <v>12</v>
      </c>
      <c r="BN147" s="8" t="str" cm="1">
        <f t="array" ref="BN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O147" s="8" t="str">
        <f>IF(W147="No","No",IF(_xlfn.XLOOKUP(E147,Groups!A:A,Groups!BD:BD)=1,(AM147*5%),EXP(0.7354*LN(C147)^0.4078)*2/IF(_xlfn.XLOOKUP(E147,Groups!A:A,Groups!BL:BL)=1,1000,100)))</f>
        <v>No</v>
      </c>
      <c r="BP147" s="8">
        <f>IF(BH147="No","No",IF(_xlfn.XLOOKUP(E147,Groups!A:A,Groups!BF:BF)=1,(0.0315*C147+2.1825)*2,(0.7354*C147^0.4078)*2)/IF(_xlfn.XLOOKUP(E147,Groups!A:A,Groups!BM:BM)=1,1000,100))</f>
        <v>7.1463425118040241E-2</v>
      </c>
      <c r="BQ147" s="8">
        <f t="shared" si="75"/>
        <v>9.6664576919937212E-2</v>
      </c>
      <c r="BR147" s="8" t="str">
        <f t="shared" si="80"/>
        <v>No</v>
      </c>
      <c r="BS147" s="8" t="str">
        <f t="shared" si="76"/>
        <v>No</v>
      </c>
      <c r="BT147" s="8">
        <f t="shared" si="81"/>
        <v>2428.8916744537937</v>
      </c>
      <c r="BU147" s="4">
        <v>0</v>
      </c>
      <c r="BV147" s="4">
        <v>1</v>
      </c>
    </row>
    <row r="148" spans="1:74" x14ac:dyDescent="0.25">
      <c r="A148" s="26" t="s">
        <v>503</v>
      </c>
      <c r="B148" s="6" t="s">
        <v>913</v>
      </c>
      <c r="C148" s="7">
        <f>AVERAGE(4,7.5)</f>
        <v>5.75</v>
      </c>
      <c r="D148" s="7" t="s">
        <v>1323</v>
      </c>
      <c r="E148" s="7" t="s">
        <v>55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517</v>
      </c>
      <c r="L148" s="7">
        <f t="shared" si="82"/>
        <v>43.816905798819768</v>
      </c>
      <c r="M148" s="7" t="s">
        <v>638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IF(AR148="No","No",IF(_xlfn.XLOOKUP(E148,Groups!A:A,Groups!AM:AM)=1,MROUND(EXP(0.3582*LN(C148)-0.2221)*T148,0.05),IF(_xlfn.XLOOKUP(E148,Groups!A:A,Groups!AM:AM)=2,MROUND(EXP(0.3582*LN(C148)-0.2221)*T148,0.05),"Need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945</v>
      </c>
      <c r="Y148" s="4" t="s">
        <v>53</v>
      </c>
      <c r="Z148" s="4">
        <v>0</v>
      </c>
      <c r="AA148" s="4">
        <v>0</v>
      </c>
      <c r="AB148" s="4">
        <v>0</v>
      </c>
      <c r="AC148" s="4" t="s">
        <v>45</v>
      </c>
      <c r="AD148" s="4" t="s">
        <v>506</v>
      </c>
      <c r="AE148" s="28" t="s">
        <v>388</v>
      </c>
      <c r="AF148" s="4" t="str">
        <f>Animals!C14</f>
        <v>&lt;li&gt;YorkshireTerrier&lt;/li&gt;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4" t="s">
        <v>40</v>
      </c>
      <c r="AM148" s="8">
        <f t="shared" si="67"/>
        <v>3460.2468171098335</v>
      </c>
      <c r="AN148" s="8">
        <f>IFERROR(C148*_xlfn.XLOOKUP(E148,Groups!A:A,Groups!K:K),0.106*C148^0.94)</f>
        <v>0.71731250000000002</v>
      </c>
      <c r="AO148" s="8">
        <f>AN148*10000/(_xlfn.XLOOKUP(E148,Groups!A:A,Groups!J:J)*AM148)</f>
        <v>1.9018437041291336</v>
      </c>
      <c r="AP148" s="8">
        <f t="shared" si="68"/>
        <v>238.30446417592884</v>
      </c>
      <c r="AQ148" s="8">
        <f>IF(_xlfn.XLOOKUP(E148,Groups!A:A,Groups!M:M)=1,EXP(0.7444*LN('Base stats'!C148)+6.5696),EXP(0.7927*LN('Base stats'!C148)+4.28))</f>
        <v>289.04741052214547</v>
      </c>
      <c r="AR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"No")))))))))))))))</f>
        <v>404.73320545809173</v>
      </c>
      <c r="AS148" s="8">
        <f>IF(_xlfn.XLOOKUP(E148,Groups!A:A,Groups!U:U)=3,AQ148,IF(_xlfn.XLOOKUP(E148,Groups!A:A,Groups!U:U)=2,AP148,AR148))</f>
        <v>404.73320545809173</v>
      </c>
      <c r="AT148" s="46">
        <f>IFERROR(AVERAGE(_xlfn.XLOOKUP(B148,Animals!B:B,Animals!N:N),_xlfn.XLOOKUP(B148,Animals!B:B,Animals!O:O)),0)</f>
        <v>0</v>
      </c>
      <c r="AU148" s="8">
        <f>MROUND(40*Animals!AO148*_xlfn.XLOOKUP(Animals!BB148,Leathers!$A$2:$A$100,Leathers!$B$2:$B$100,0)+(140*_xlfn.XLOOKUP(B148,Animals!B:B,Animals!AO:AO)*2),5)</f>
        <v>125</v>
      </c>
      <c r="AV148" s="8">
        <f>IFERROR(ROUND(SQRT(V148-1)*IF(_xlfn.XLOOKUP(E148,Groups!A:A,Groups!BF:BF)=0,2,1)*IF(_xlfn.XLOOKUP('Base stats'!E148,Groups!A:A,Groups!O:O)=0,1,0.1),1),0)</f>
        <v>1.3</v>
      </c>
      <c r="AW148" s="8">
        <f t="shared" si="69"/>
        <v>0</v>
      </c>
      <c r="AX148" s="8">
        <f t="shared" si="70"/>
        <v>0</v>
      </c>
      <c r="AY148" s="8">
        <f t="shared" si="71"/>
        <v>1.2</v>
      </c>
      <c r="AZ148" s="8">
        <f>IF(_xlfn.XLOOKUP(E148,Groups!A:A,Groups!N:N)="Insect",BB148*2.5,IFERROR(AVERAGE(BB148,AR148/9.81/IF(OR(_xlfn.XLOOKUP(E148,Groups!A:A,Groups!N:N)="Pig",_xlfn.XLOOKUP(E148,Groups!A:A,Groups!N:N)="StrongBitingHerbivore"),20,25))*C148^-0.135,BB148))</f>
        <v>0.71780972967466561</v>
      </c>
      <c r="BA148" s="8" t="str">
        <f>IF(W148="No","No",IF(_xlfn.XLOOKUP(E148,Groups!A:A,Groups!U:U)=1,'Base stats'!AZ148,IF(OR(_xlfn.XLOOKUP(E148,Groups!A:A,Groups!BD:BD)=1,_xlfn.XLOOKUP(E148,Groups!A:A,Groups!U:U)=2),BB148,IF(_xlfn.XLOOKUP(B148,Animals!B:B,Animals!AO:AO)&gt;4,AVERAGE(BB148,BD148),BD148))))</f>
        <v>No</v>
      </c>
      <c r="BB148" s="8">
        <f t="shared" si="72"/>
        <v>0.16771428148959355</v>
      </c>
      <c r="BC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D148" s="8">
        <f>(0.048*C148^1.01)/IF(_xlfn.XLOOKUP(E148,Groups!A:A,Groups!M:M)=1,0.25,0.8)*C148^-0.25</f>
        <v>0.22672468769639151</v>
      </c>
      <c r="BE148" s="8">
        <f>EXP(1.076*LN(AP148)-4.5397)*IF(_xlfn.XLOOKUP(E148,Groups!A:A,Groups!BC:BC)=1,1.25,IF(_xlfn.XLOOKUP(E148,Groups!A:A,Groups!BD:BD)=1,3.5,2.5))</f>
        <v>9.6420098943098669</v>
      </c>
      <c r="BF148" s="8">
        <f>EXP(1.076*LN(AQ148)-4.5397)*IF(_xlfn.XLOOKUP(E148,Groups!A:A,Groups!M:M)=1,0.8,IF(_xlfn.XLOOKUP(E148,Groups!A:A,Groups!BC:BC)=1,1.3,3))</f>
        <v>14.241552282827737</v>
      </c>
      <c r="BG148" s="8" t="str">
        <f>IF(W148="No","No",IF(_xlfn.XLOOKUP(E148,Groups!A:A,Groups!U:U)=1,'Base stats'!BH148,IF(OR(_xlfn.XLOOKUP(E148,Groups!A:A,Groups!BD:BD)=1,_xlfn.XLOOKUP(E148,Groups!A:A,Groups!U:U)=2),BE148,BF148))*1.2)</f>
        <v>No</v>
      </c>
      <c r="BH148" s="8">
        <f>IFERROR(EXP(1.076*LN(AR148)-4.5397)*IF(_xlfn.XLOOKUP(E148,Groups!A:A,Groups!N:N)="Insect",1,IF(OR(_xlfn.XLOOKUP(E148,Groups!A:A,Groups!N:N)="Pig",_xlfn.XLOOKUP(E148,Groups!A:A,Groups!N:N)="StrongBitingHerbivore"),3.5,3.75)),"No")</f>
        <v>25.572799664558062</v>
      </c>
      <c r="BI148" s="8">
        <f t="shared" si="77"/>
        <v>10</v>
      </c>
      <c r="BJ148" s="8">
        <f t="shared" si="78"/>
        <v>10</v>
      </c>
      <c r="BK148" s="8" t="str">
        <f t="shared" si="73"/>
        <v>No</v>
      </c>
      <c r="BL148" s="8">
        <f t="shared" si="74"/>
        <v>8</v>
      </c>
      <c r="BM148" s="8">
        <f t="shared" si="79"/>
        <v>11</v>
      </c>
      <c r="BN148" s="8" t="str" cm="1">
        <f t="array" ref="BN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O148" s="8" t="str">
        <f>IF(W148="No","No",IF(_xlfn.XLOOKUP(E148,Groups!A:A,Groups!BD:BD)=1,(AM148*5%),EXP(0.7354*LN(C148)^0.4078)*2/IF(_xlfn.XLOOKUP(E148,Groups!A:A,Groups!BL:BL)=1,1000,100)))</f>
        <v>No</v>
      </c>
      <c r="BP148" s="8">
        <f>IF(BH148="No","No",IF(_xlfn.XLOOKUP(E148,Groups!A:A,Groups!BF:BF)=1,(0.0315*C148+2.1825)*2,(0.7354*C148^0.4078)*2)/IF(_xlfn.XLOOKUP(E148,Groups!A:A,Groups!BM:BM)=1,1000,100))</f>
        <v>3.0015540500772476E-2</v>
      </c>
      <c r="BQ148" s="8">
        <f t="shared" si="75"/>
        <v>5.5730185758039896E-2</v>
      </c>
      <c r="BR148" s="8" t="str">
        <f t="shared" si="80"/>
        <v>No</v>
      </c>
      <c r="BS148" s="8" t="str">
        <f t="shared" si="76"/>
        <v>No</v>
      </c>
      <c r="BT148" s="8">
        <f t="shared" si="81"/>
        <v>851.98531287150809</v>
      </c>
      <c r="BU148" s="4">
        <v>0</v>
      </c>
      <c r="BV148" s="4">
        <v>1</v>
      </c>
    </row>
    <row r="149" spans="1:74" x14ac:dyDescent="0.25">
      <c r="A149" s="26" t="s">
        <v>678</v>
      </c>
      <c r="B149" s="6" t="s">
        <v>914</v>
      </c>
      <c r="C149" s="7">
        <f>AVERAGE(AVERAGE(18,20),AVERAGE(23,29))</f>
        <v>22.5</v>
      </c>
      <c r="D149" s="7" t="s">
        <v>1324</v>
      </c>
      <c r="E149" s="7" t="s">
        <v>55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517</v>
      </c>
      <c r="L149" s="7">
        <f t="shared" si="82"/>
        <v>49.473827654659033</v>
      </c>
      <c r="M149" s="7" t="s">
        <v>638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IF(AR149="No","No",IF(_xlfn.XLOOKUP(E149,Groups!A:A,Groups!AM:AM)=1,MROUND(EXP(0.3582*LN(C149)-0.2221)*T149,0.05),IF(_xlfn.XLOOKUP(E149,Groups!A:A,Groups!AM:AM)=2,MROUND(EXP(0.3582*LN(C149)-0.2221)*T149,0.05),"Need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945</v>
      </c>
      <c r="Y149" s="4" t="s">
        <v>53</v>
      </c>
      <c r="Z149" s="4">
        <v>0</v>
      </c>
      <c r="AA149" s="4">
        <v>0</v>
      </c>
      <c r="AB149" s="4">
        <v>0</v>
      </c>
      <c r="AC149" s="4" t="s">
        <v>45</v>
      </c>
      <c r="AD149" s="4" t="s">
        <v>506</v>
      </c>
      <c r="AE149" s="28" t="s">
        <v>388</v>
      </c>
      <c r="AF149" s="4" t="str">
        <f>Animals!C14</f>
        <v>&lt;li&gt;YorkshireTerrier&lt;/li&gt;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4" t="s">
        <v>40</v>
      </c>
      <c r="AM149" s="8">
        <f t="shared" si="67"/>
        <v>8399.2714194772561</v>
      </c>
      <c r="AN149" s="8">
        <f>IFERROR(C149*_xlfn.XLOOKUP(E149,Groups!A:A,Groups!K:K),0.106*C149^0.94)</f>
        <v>2.8068749999999998</v>
      </c>
      <c r="AO149" s="8">
        <f>AN149*10000/(_xlfn.XLOOKUP(E149,Groups!A:A,Groups!J:J)*AM149)</f>
        <v>3.0658786343391542</v>
      </c>
      <c r="AP149" s="8">
        <f t="shared" si="68"/>
        <v>754.44801936790702</v>
      </c>
      <c r="AQ149" s="8">
        <f>IF(_xlfn.XLOOKUP(E149,Groups!A:A,Groups!M:M)=1,EXP(0.7444*LN('Base stats'!C149)+6.5696),EXP(0.7927*LN('Base stats'!C149)+4.28))</f>
        <v>852.42359935021648</v>
      </c>
      <c r="AR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"No")))))))))))))))</f>
        <v>1267.4354900882233</v>
      </c>
      <c r="AS149" s="8">
        <f>IF(_xlfn.XLOOKUP(E149,Groups!A:A,Groups!U:U)=3,AQ149,IF(_xlfn.XLOOKUP(E149,Groups!A:A,Groups!U:U)=2,AP149,AR149))</f>
        <v>1267.4354900882233</v>
      </c>
      <c r="AT149" s="46">
        <f>IFERROR(AVERAGE(_xlfn.XLOOKUP(B149,Animals!B:B,Animals!N:N),_xlfn.XLOOKUP(B149,Animals!B:B,Animals!O:O)),0)</f>
        <v>0</v>
      </c>
      <c r="AU149" s="8">
        <f>MROUND(40*Animals!AO149*_xlfn.XLOOKUP(Animals!BB149,Leathers!$A$2:$A$100,Leathers!$B$2:$B$100,0)+(140*_xlfn.XLOOKUP(B149,Animals!B:B,Animals!AO:AO)*2),5)</f>
        <v>215</v>
      </c>
      <c r="AV149" s="8">
        <f>IFERROR(ROUND(SQRT(V149-1)*IF(_xlfn.XLOOKUP(E149,Groups!A:A,Groups!BF:BF)=0,2,1)*IF(_xlfn.XLOOKUP('Base stats'!E149,Groups!A:A,Groups!O:O)=0,1,0.1),1),0)</f>
        <v>2.2999999999999998</v>
      </c>
      <c r="AW149" s="8">
        <f t="shared" si="69"/>
        <v>0</v>
      </c>
      <c r="AX149" s="8">
        <f t="shared" si="70"/>
        <v>0</v>
      </c>
      <c r="AY149" s="8">
        <f t="shared" si="71"/>
        <v>2.4</v>
      </c>
      <c r="AZ149" s="8">
        <f>IF(_xlfn.XLOOKUP(E149,Groups!A:A,Groups!N:N)="Insect",BB149*2.5,IFERROR(AVERAGE(BB149,AR149/9.81/IF(OR(_xlfn.XLOOKUP(E149,Groups!A:A,Groups!N:N)="Pig",_xlfn.XLOOKUP(E149,Groups!A:A,Groups!N:N)="StrongBitingHerbivore"),20,25))*C149^-0.135,BB149))</f>
        <v>1.8683852017303559</v>
      </c>
      <c r="BA149" s="8" t="str">
        <f>IF(W149="No","No",IF(_xlfn.XLOOKUP(E149,Groups!A:A,Groups!U:U)=1,'Base stats'!AZ149,IF(OR(_xlfn.XLOOKUP(E149,Groups!A:A,Groups!BD:BD)=1,_xlfn.XLOOKUP(E149,Groups!A:A,Groups!U:U)=2),BB149,IF(_xlfn.XLOOKUP(B149,Animals!B:B,Animals!AO:AO)&gt;4,AVERAGE(BB149,BD149),BD149))))</f>
        <v>No</v>
      </c>
      <c r="BB149" s="8">
        <f t="shared" si="72"/>
        <v>0.5211343972969702</v>
      </c>
      <c r="BC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D149" s="8">
        <f>(0.048*C149^1.01)/IF(_xlfn.XLOOKUP(E149,Groups!A:A,Groups!M:M)=1,0.25,0.8)*C149^-0.25</f>
        <v>0.63945496556764092</v>
      </c>
      <c r="BE149" s="8">
        <f>EXP(1.076*LN(AP149)-4.5397)*IF(_xlfn.XLOOKUP(E149,Groups!A:A,Groups!BC:BC)=1,1.25,IF(_xlfn.XLOOKUP(E149,Groups!A:A,Groups!BD:BD)=1,3.5,2.5))</f>
        <v>33.319808786196916</v>
      </c>
      <c r="BF149" s="8">
        <f>EXP(1.076*LN(AQ149)-4.5397)*IF(_xlfn.XLOOKUP(E149,Groups!A:A,Groups!M:M)=1,0.8,IF(_xlfn.XLOOKUP(E149,Groups!A:A,Groups!BC:BC)=1,1.3,3))</f>
        <v>45.597378543450688</v>
      </c>
      <c r="BG149" s="8" t="str">
        <f>IF(W149="No","No",IF(_xlfn.XLOOKUP(E149,Groups!A:A,Groups!U:U)=1,'Base stats'!BH149,IF(OR(_xlfn.XLOOKUP(E149,Groups!A:A,Groups!BD:BD)=1,_xlfn.XLOOKUP(E149,Groups!A:A,Groups!U:U)=2),BE149,BF149))*1.2)</f>
        <v>No</v>
      </c>
      <c r="BH149" s="8">
        <f>IFERROR(EXP(1.076*LN(AR149)-4.5397)*IF(_xlfn.XLOOKUP(E149,Groups!A:A,Groups!N:N)="Insect",1,IF(OR(_xlfn.XLOOKUP(E149,Groups!A:A,Groups!N:N)="Pig",_xlfn.XLOOKUP(E149,Groups!A:A,Groups!N:N)="StrongBitingHerbivore"),3.5,3.75)),"No")</f>
        <v>87.339929643126638</v>
      </c>
      <c r="BI149" s="8">
        <f t="shared" si="77"/>
        <v>11</v>
      </c>
      <c r="BJ149" s="8">
        <f t="shared" si="78"/>
        <v>10</v>
      </c>
      <c r="BK149" s="8" t="str">
        <f t="shared" si="73"/>
        <v>No</v>
      </c>
      <c r="BL149" s="8">
        <f t="shared" si="74"/>
        <v>9</v>
      </c>
      <c r="BM149" s="8">
        <f t="shared" si="79"/>
        <v>11</v>
      </c>
      <c r="BN149" s="8" t="str" cm="1">
        <f t="array" ref="BN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O149" s="8" t="str">
        <f>IF(W149="No","No",IF(_xlfn.XLOOKUP(E149,Groups!A:A,Groups!BD:BD)=1,(AM149*5%),EXP(0.7354*LN(C149)^0.4078)*2/IF(_xlfn.XLOOKUP(E149,Groups!A:A,Groups!BL:BL)=1,1000,100)))</f>
        <v>No</v>
      </c>
      <c r="BP149" s="8">
        <f>IF(BH149="No","No",IF(_xlfn.XLOOKUP(E149,Groups!A:A,Groups!BF:BF)=1,(0.0315*C149+2.1825)*2,(0.7354*C149^0.4078)*2)/IF(_xlfn.XLOOKUP(E149,Groups!A:A,Groups!BM:BM)=1,1000,100))</f>
        <v>5.2356867158957016E-2</v>
      </c>
      <c r="BQ149" s="8">
        <f t="shared" si="75"/>
        <v>7.9339759658036232E-2</v>
      </c>
      <c r="BR149" s="8" t="str">
        <f t="shared" si="80"/>
        <v>No</v>
      </c>
      <c r="BS149" s="8" t="str">
        <f t="shared" si="76"/>
        <v>No</v>
      </c>
      <c r="BT149" s="8">
        <f t="shared" si="81"/>
        <v>1668.1656940618695</v>
      </c>
      <c r="BU149" s="4">
        <v>0</v>
      </c>
      <c r="BV149" s="4">
        <v>1</v>
      </c>
    </row>
    <row r="150" spans="1:74" x14ac:dyDescent="0.25">
      <c r="A150" s="26" t="s">
        <v>895</v>
      </c>
      <c r="B150" s="6" t="s">
        <v>915</v>
      </c>
      <c r="C150" s="7">
        <v>4.5</v>
      </c>
      <c r="D150" s="7" t="s">
        <v>1325</v>
      </c>
      <c r="E150" s="7" t="s">
        <v>75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520</v>
      </c>
      <c r="L150" s="7">
        <f t="shared" si="82"/>
        <v>42.871352170257147</v>
      </c>
      <c r="M150" s="7" t="s">
        <v>638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IF(AR150="No","No",IF(_xlfn.XLOOKUP(E150,Groups!A:A,Groups!AM:AM)=1,MROUND(EXP(0.3582*LN(C150)-0.2221)*T150,0.05),IF(_xlfn.XLOOKUP(E150,Groups!A:A,Groups!AM:AM)=2,MROUND(EXP(0.3582*LN(C150)-0.2221)*T150,0.05),"Need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945</v>
      </c>
      <c r="Y150" s="4" t="s">
        <v>56</v>
      </c>
      <c r="Z150" s="4">
        <v>0</v>
      </c>
      <c r="AA150" s="4">
        <v>0</v>
      </c>
      <c r="AB150" s="4">
        <v>0</v>
      </c>
      <c r="AC150" s="4" t="s">
        <v>45</v>
      </c>
      <c r="AD150" s="4" t="s">
        <v>45</v>
      </c>
      <c r="AE150" s="28" t="s">
        <v>394</v>
      </c>
      <c r="AF150" s="4" t="str">
        <f>Animals!C20</f>
        <v>&lt;li&gt;Cat&lt;/li&gt;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4" t="s">
        <v>40</v>
      </c>
      <c r="AM150" s="8">
        <f t="shared" si="67"/>
        <v>2950.6052630710305</v>
      </c>
      <c r="AN150" s="8">
        <f>IFERROR(C150*_xlfn.XLOOKUP(E150,Groups!A:A,Groups!K:K),0.106*C150^0.94)</f>
        <v>0.56137499999999996</v>
      </c>
      <c r="AO150" s="8">
        <f>AN150*10000/(_xlfn.XLOOKUP(E150,Groups!A:A,Groups!J:J)*AM150)</f>
        <v>1.7454823328138902</v>
      </c>
      <c r="AP150" s="8">
        <f t="shared" si="68"/>
        <v>193.73556787208551</v>
      </c>
      <c r="AQ150" s="8">
        <f>IF(_xlfn.XLOOKUP(E150,Groups!A:A,Groups!M:M)=1,EXP(0.7444*LN('Base stats'!C150)+6.5696),EXP(0.7927*LN('Base stats'!C150)+4.28))</f>
        <v>238.00273195891231</v>
      </c>
      <c r="AR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"No")))))))))))))))</f>
        <v>332.35981357102617</v>
      </c>
      <c r="AS150" s="8">
        <f>IF(_xlfn.XLOOKUP(E150,Groups!A:A,Groups!U:U)=3,AQ150,IF(_xlfn.XLOOKUP(E150,Groups!A:A,Groups!U:U)=2,AP150,AR150))</f>
        <v>332.35981357102617</v>
      </c>
      <c r="AT150" s="46">
        <f>IFERROR(AVERAGE(_xlfn.XLOOKUP(B150,Animals!B:B,Animals!N:N),_xlfn.XLOOKUP(B150,Animals!B:B,Animals!O:O)),0)</f>
        <v>0</v>
      </c>
      <c r="AU150" s="8">
        <f>MROUND(40*Animals!AO150*_xlfn.XLOOKUP(Animals!BB150,Leathers!$A$2:$A$100,Leathers!$B$2:$B$100,0)+(140*_xlfn.XLOOKUP(B150,Animals!B:B,Animals!AO:AO)*2),5)</f>
        <v>105</v>
      </c>
      <c r="AV150" s="8">
        <f>IFERROR(ROUND(SQRT(V150-1)*IF(_xlfn.XLOOKUP(E150,Groups!A:A,Groups!BF:BF)=0,2,1)*IF(_xlfn.XLOOKUP('Base stats'!E150,Groups!A:A,Groups!O:O)=0,1,0.1),1),0)</f>
        <v>1</v>
      </c>
      <c r="AW150" s="8">
        <f t="shared" si="69"/>
        <v>0.4</v>
      </c>
      <c r="AX150" s="8">
        <f t="shared" si="70"/>
        <v>0</v>
      </c>
      <c r="AY150" s="8">
        <f t="shared" si="71"/>
        <v>1</v>
      </c>
      <c r="AZ150" s="8">
        <f>IF(_xlfn.XLOOKUP(E150,Groups!A:A,Groups!N:N)="Insect",BB150*2.5,IFERROR(AVERAGE(BB150,AR150/9.81/IF(OR(_xlfn.XLOOKUP(E150,Groups!A:A,Groups!N:N)="Pig",_xlfn.XLOOKUP(E150,Groups!A:A,Groups!N:N)="StrongBitingHerbivore"),20,25))*C150^-0.135,BB150))</f>
        <v>0.60891039454806106</v>
      </c>
      <c r="BA150" s="8" t="str">
        <f>IF(W150="No","No",IF(_xlfn.XLOOKUP(E150,Groups!A:A,Groups!U:U)=1,'Base stats'!AZ150,IF(OR(_xlfn.XLOOKUP(E150,Groups!A:A,Groups!BD:BD)=1,_xlfn.XLOOKUP(E150,Groups!A:A,Groups!U:U)=2),BB150,IF(_xlfn.XLOOKUP(B150,Animals!B:B,Animals!AO:AO)&gt;4,AVERAGE(BB150,BD150),BD150))))</f>
        <v>No</v>
      </c>
      <c r="BB150" s="8">
        <f t="shared" si="72"/>
        <v>0.1368061641182855</v>
      </c>
      <c r="BC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D150" s="8">
        <f>(0.048*C150^1.01)/IF(_xlfn.XLOOKUP(E150,Groups!A:A,Groups!M:M)=1,0.25,0.8)*C150^-0.25</f>
        <v>0.18818836143592041</v>
      </c>
      <c r="BE150" s="8">
        <f>EXP(1.076*LN(AP150)-4.5397)*IF(_xlfn.XLOOKUP(E150,Groups!A:A,Groups!BC:BC)=1,1.25,IF(_xlfn.XLOOKUP(E150,Groups!A:A,Groups!BD:BD)=1,3.5,2.5))</f>
        <v>7.716326944216144</v>
      </c>
      <c r="BF150" s="8">
        <f>EXP(1.076*LN(AQ150)-4.5397)*IF(_xlfn.XLOOKUP(E150,Groups!A:A,Groups!M:M)=1,0.8,IF(_xlfn.XLOOKUP(E150,Groups!A:A,Groups!BC:BC)=1,1.3,3))</f>
        <v>11.55464920650892</v>
      </c>
      <c r="BG150" s="8" t="str">
        <f>IF(W150="No","No",IF(_xlfn.XLOOKUP(E150,Groups!A:A,Groups!U:U)=1,'Base stats'!BH150,IF(OR(_xlfn.XLOOKUP(E150,Groups!A:A,Groups!BD:BD)=1,_xlfn.XLOOKUP(E150,Groups!A:A,Groups!U:U)=2),BE150,BF150))*1.2)</f>
        <v>No</v>
      </c>
      <c r="BH150" s="8">
        <f>IFERROR(EXP(1.076*LN(AR150)-4.5397)*IF(_xlfn.XLOOKUP(E150,Groups!A:A,Groups!N:N)="Insect",1,IF(OR(_xlfn.XLOOKUP(E150,Groups!A:A,Groups!N:N)="Pig",_xlfn.XLOOKUP(E150,Groups!A:A,Groups!N:N)="StrongBitingHerbivore"),3.5,3.75)),"No")</f>
        <v>20.687850133006499</v>
      </c>
      <c r="BI150" s="8">
        <f t="shared" si="77"/>
        <v>10</v>
      </c>
      <c r="BJ150" s="8">
        <f t="shared" si="78"/>
        <v>10</v>
      </c>
      <c r="BK150" s="8" t="str">
        <f t="shared" si="73"/>
        <v>No</v>
      </c>
      <c r="BL150" s="8">
        <f t="shared" si="74"/>
        <v>8</v>
      </c>
      <c r="BM150" s="8">
        <f t="shared" si="79"/>
        <v>11</v>
      </c>
      <c r="BN150" s="8" cm="1">
        <f t="array" ref="BN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O150" s="8" t="str">
        <f>IF(W150="No","No",IF(_xlfn.XLOOKUP(E150,Groups!A:A,Groups!BD:BD)=1,(AM150*5%),EXP(0.7354*LN(C150)^0.4078)*2/IF(_xlfn.XLOOKUP(E150,Groups!A:A,Groups!BL:BL)=1,1000,100)))</f>
        <v>No</v>
      </c>
      <c r="BP150" s="8">
        <f>IF(BH150="No","No",IF(_xlfn.XLOOKUP(E150,Groups!A:A,Groups!BF:BF)=1,(0.0315*C150+2.1825)*2,(0.7354*C150^0.4078)*2)/IF(_xlfn.XLOOKUP(E150,Groups!A:A,Groups!BM:BM)=1,1000,100))</f>
        <v>2.7160245069965436E-2</v>
      </c>
      <c r="BQ150" s="8">
        <f t="shared" si="75"/>
        <v>5.2303349694325998E-2</v>
      </c>
      <c r="BR150" s="8">
        <f t="shared" si="80"/>
        <v>425.4250717084426</v>
      </c>
      <c r="BS150" s="8" t="str">
        <f t="shared" si="76"/>
        <v>No</v>
      </c>
      <c r="BT150" s="8">
        <f t="shared" si="81"/>
        <v>761.69600383627267</v>
      </c>
      <c r="BU150" s="4">
        <v>0</v>
      </c>
      <c r="BV150" s="4">
        <v>1</v>
      </c>
    </row>
    <row r="151" spans="1:74" x14ac:dyDescent="0.25">
      <c r="A151" s="26" t="s">
        <v>894</v>
      </c>
      <c r="B151" s="6" t="s">
        <v>916</v>
      </c>
      <c r="C151" s="7">
        <f>AVERAGE(5,6)</f>
        <v>5.5</v>
      </c>
      <c r="D151" s="7" t="s">
        <v>1326</v>
      </c>
      <c r="E151" s="7" t="s">
        <v>75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520</v>
      </c>
      <c r="L151" s="7">
        <f t="shared" si="82"/>
        <v>43.643899505124125</v>
      </c>
      <c r="M151" s="7" t="s">
        <v>638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IF(AR151="No","No",IF(_xlfn.XLOOKUP(E151,Groups!A:A,Groups!AM:AM)=1,MROUND(EXP(0.3582*LN(C151)-0.2221)*T151,0.05),IF(_xlfn.XLOOKUP(E151,Groups!A:A,Groups!AM:AM)=2,MROUND(EXP(0.3582*LN(C151)-0.2221)*T151,0.05),"Need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945</v>
      </c>
      <c r="Y151" s="4" t="s">
        <v>56</v>
      </c>
      <c r="Z151" s="4">
        <v>0</v>
      </c>
      <c r="AA151" s="4">
        <v>0</v>
      </c>
      <c r="AB151" s="4">
        <v>0</v>
      </c>
      <c r="AC151" s="4" t="s">
        <v>45</v>
      </c>
      <c r="AD151" s="4" t="s">
        <v>45</v>
      </c>
      <c r="AE151" s="28" t="s">
        <v>394</v>
      </c>
      <c r="AF151" s="4" t="str">
        <f>Animals!C20</f>
        <v>&lt;li&gt;Cat&lt;/li&gt;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4" t="s">
        <v>40</v>
      </c>
      <c r="AM151" s="8">
        <f t="shared" si="67"/>
        <v>3361.6982414074623</v>
      </c>
      <c r="AN151" s="8">
        <f>IFERROR(C151*_xlfn.XLOOKUP(E151,Groups!A:A,Groups!K:K),0.106*C151^0.94)</f>
        <v>0.68612499999999998</v>
      </c>
      <c r="AO151" s="8">
        <f>AN151*10000/(_xlfn.XLOOKUP(E151,Groups!A:A,Groups!J:J)*AM151)</f>
        <v>1.8724835837754288</v>
      </c>
      <c r="AP151" s="8">
        <f t="shared" si="68"/>
        <v>229.52241957602808</v>
      </c>
      <c r="AQ151" s="8">
        <f>IF(_xlfn.XLOOKUP(E151,Groups!A:A,Groups!M:M)=1,EXP(0.7444*LN('Base stats'!C151)+6.5696),EXP(0.7927*LN('Base stats'!C151)+4.28))</f>
        <v>279.03962943422897</v>
      </c>
      <c r="AR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"No")))))))))))))))</f>
        <v>389.00966315400001</v>
      </c>
      <c r="AS151" s="8">
        <f>IF(_xlfn.XLOOKUP(E151,Groups!A:A,Groups!U:U)=3,AQ151,IF(_xlfn.XLOOKUP(E151,Groups!A:A,Groups!U:U)=2,AP151,AR151))</f>
        <v>389.00966315400001</v>
      </c>
      <c r="AT151" s="46">
        <f>IFERROR(AVERAGE(_xlfn.XLOOKUP(B151,Animals!B:B,Animals!N:N),_xlfn.XLOOKUP(B151,Animals!B:B,Animals!O:O)),0)</f>
        <v>0</v>
      </c>
      <c r="AU151" s="8">
        <f>MROUND(40*Animals!AO151*_xlfn.XLOOKUP(Animals!BB151,Leathers!$A$2:$A$100,Leathers!$B$2:$B$100,0)+(140*_xlfn.XLOOKUP(B151,Animals!B:B,Animals!AO:AO)*2),5)</f>
        <v>105</v>
      </c>
      <c r="AV151" s="8">
        <f>IFERROR(ROUND(SQRT(V151-1)*IF(_xlfn.XLOOKUP(E151,Groups!A:A,Groups!BF:BF)=0,2,1)*IF(_xlfn.XLOOKUP('Base stats'!E151,Groups!A:A,Groups!O:O)=0,1,0.1),1),0)</f>
        <v>1.1000000000000001</v>
      </c>
      <c r="AW151" s="8">
        <f t="shared" si="69"/>
        <v>0.4</v>
      </c>
      <c r="AX151" s="8">
        <f t="shared" si="70"/>
        <v>0</v>
      </c>
      <c r="AY151" s="8">
        <f t="shared" si="71"/>
        <v>1.1000000000000001</v>
      </c>
      <c r="AZ151" s="8">
        <f>IF(_xlfn.XLOOKUP(E151,Groups!A:A,Groups!N:N)="Insect",BB151*2.5,IFERROR(AVERAGE(BB151,AR151/9.81/IF(OR(_xlfn.XLOOKUP(E151,Groups!A:A,Groups!N:N)="Pig",_xlfn.XLOOKUP(E151,Groups!A:A,Groups!N:N)="StrongBitingHerbivore"),20,25))*C151^-0.135,BB151))</f>
        <v>0.69424821835844897</v>
      </c>
      <c r="BA151" s="8" t="str">
        <f>IF(W151="No","No",IF(_xlfn.XLOOKUP(E151,Groups!A:A,Groups!U:U)=1,'Base stats'!AZ151,IF(OR(_xlfn.XLOOKUP(E151,Groups!A:A,Groups!BD:BD)=1,_xlfn.XLOOKUP(E151,Groups!A:A,Groups!U:U)=2),BB151,IF(_xlfn.XLOOKUP(B151,Animals!B:B,Animals!AO:AO)&gt;4,AVERAGE(BB151,BD151),BD151))))</f>
        <v>No</v>
      </c>
      <c r="BB151" s="8">
        <f t="shared" si="72"/>
        <v>0.16163204285849328</v>
      </c>
      <c r="BC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D151" s="8">
        <f>(0.048*C151^1.01)/IF(_xlfn.XLOOKUP(E151,Groups!A:A,Groups!M:M)=1,0.25,0.8)*C151^-0.25</f>
        <v>0.21919310785743251</v>
      </c>
      <c r="BE151" s="8">
        <f>EXP(1.076*LN(AP151)-4.5397)*IF(_xlfn.XLOOKUP(E151,Groups!A:A,Groups!BC:BC)=1,1.25,IF(_xlfn.XLOOKUP(E151,Groups!A:A,Groups!BD:BD)=1,3.5,2.5))</f>
        <v>9.260217158407297</v>
      </c>
      <c r="BF151" s="8">
        <f>EXP(1.076*LN(AQ151)-4.5397)*IF(_xlfn.XLOOKUP(E151,Groups!A:A,Groups!M:M)=1,0.8,IF(_xlfn.XLOOKUP(E151,Groups!A:A,Groups!BC:BC)=1,1.3,3))</f>
        <v>13.711693256346145</v>
      </c>
      <c r="BG151" s="8" t="str">
        <f>IF(W151="No","No",IF(_xlfn.XLOOKUP(E151,Groups!A:A,Groups!U:U)=1,'Base stats'!BH151,IF(OR(_xlfn.XLOOKUP(E151,Groups!A:A,Groups!BD:BD)=1,_xlfn.XLOOKUP(E151,Groups!A:A,Groups!U:U)=2),BE151,BF151))*1.2)</f>
        <v>No</v>
      </c>
      <c r="BH151" s="8">
        <f>IFERROR(EXP(1.076*LN(AR151)-4.5397)*IF(_xlfn.XLOOKUP(E151,Groups!A:A,Groups!N:N)="Insect",1,IF(OR(_xlfn.XLOOKUP(E151,Groups!A:A,Groups!N:N)="Pig",_xlfn.XLOOKUP(E151,Groups!A:A,Groups!N:N)="StrongBitingHerbivore"),3.5,3.75)),"No")</f>
        <v>24.505410804089706</v>
      </c>
      <c r="BI151" s="8">
        <f t="shared" si="77"/>
        <v>10</v>
      </c>
      <c r="BJ151" s="8">
        <f t="shared" si="78"/>
        <v>10</v>
      </c>
      <c r="BK151" s="8" t="str">
        <f t="shared" si="73"/>
        <v>No</v>
      </c>
      <c r="BL151" s="8">
        <f t="shared" si="74"/>
        <v>8</v>
      </c>
      <c r="BM151" s="8">
        <f t="shared" si="79"/>
        <v>11</v>
      </c>
      <c r="BN151" s="8" cm="1">
        <f t="array" ref="BN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O151" s="8" t="str">
        <f>IF(W151="No","No",IF(_xlfn.XLOOKUP(E151,Groups!A:A,Groups!BD:BD)=1,(AM151*5%),EXP(0.7354*LN(C151)^0.4078)*2/IF(_xlfn.XLOOKUP(E151,Groups!A:A,Groups!BL:BL)=1,1000,100)))</f>
        <v>No</v>
      </c>
      <c r="BP151" s="8">
        <f>IF(BH151="No","No",IF(_xlfn.XLOOKUP(E151,Groups!A:A,Groups!BF:BF)=1,(0.0315*C151+2.1825)*2,(0.7354*C151^0.4078)*2)/IF(_xlfn.XLOOKUP(E151,Groups!A:A,Groups!BM:BM)=1,1000,100))</f>
        <v>2.9476337872033787E-2</v>
      </c>
      <c r="BQ151" s="8">
        <f t="shared" si="75"/>
        <v>5.5092494884551362E-2</v>
      </c>
      <c r="BR151" s="8">
        <f t="shared" si="80"/>
        <v>465.17628193410565</v>
      </c>
      <c r="BS151" s="8" t="str">
        <f t="shared" si="76"/>
        <v>No</v>
      </c>
      <c r="BT151" s="8">
        <f t="shared" si="81"/>
        <v>831.35872951638476</v>
      </c>
      <c r="BU151" s="4">
        <v>0</v>
      </c>
      <c r="BV151" s="4">
        <v>1</v>
      </c>
    </row>
    <row r="152" spans="1:74" x14ac:dyDescent="0.25">
      <c r="A152" s="26" t="s">
        <v>896</v>
      </c>
      <c r="B152" s="6" t="s">
        <v>917</v>
      </c>
      <c r="C152" s="7">
        <f>AVERAGE(AVERAGE(4,8),AVERAGE(3,5))</f>
        <v>5</v>
      </c>
      <c r="D152" s="7" t="s">
        <v>1327</v>
      </c>
      <c r="E152" s="7" t="s">
        <v>75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520</v>
      </c>
      <c r="L152" s="7">
        <f t="shared" si="82"/>
        <v>43.275251260603888</v>
      </c>
      <c r="M152" s="7" t="s">
        <v>638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IF(AR152="No","No",IF(_xlfn.XLOOKUP(E152,Groups!A:A,Groups!AM:AM)=1,MROUND(EXP(0.3582*LN(C152)-0.2221)*T152,0.05),IF(_xlfn.XLOOKUP(E152,Groups!A:A,Groups!AM:AM)=2,MROUND(EXP(0.3582*LN(C152)-0.2221)*T152,0.05),"Need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945</v>
      </c>
      <c r="Y152" s="4" t="s">
        <v>56</v>
      </c>
      <c r="Z152" s="4">
        <v>0</v>
      </c>
      <c r="AA152" s="4">
        <v>0</v>
      </c>
      <c r="AB152" s="4">
        <v>0</v>
      </c>
      <c r="AC152" s="4" t="s">
        <v>45</v>
      </c>
      <c r="AD152" s="4" t="s">
        <v>45</v>
      </c>
      <c r="AE152" s="28" t="s">
        <v>394</v>
      </c>
      <c r="AF152" s="4" t="str">
        <f>Animals!C20</f>
        <v>&lt;li&gt;Cat&lt;/li&gt;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4" t="s">
        <v>40</v>
      </c>
      <c r="AM152" s="8">
        <f t="shared" si="67"/>
        <v>3159.7555228095994</v>
      </c>
      <c r="AN152" s="8">
        <f>IFERROR(C152*_xlfn.XLOOKUP(E152,Groups!A:A,Groups!K:K),0.106*C152^0.94)</f>
        <v>0.62375000000000003</v>
      </c>
      <c r="AO152" s="8">
        <f>AN152*10000/(_xlfn.XLOOKUP(E152,Groups!A:A,Groups!J:J)*AM152)</f>
        <v>1.8110505774610868</v>
      </c>
      <c r="AP152" s="8">
        <f t="shared" si="68"/>
        <v>211.76818398634828</v>
      </c>
      <c r="AQ152" s="8">
        <f>IF(_xlfn.XLOOKUP(E152,Groups!A:A,Groups!M:M)=1,EXP(0.7444*LN('Base stats'!C152)+6.5696),EXP(0.7927*LN('Base stats'!C152)+4.28))</f>
        <v>258.73423965704086</v>
      </c>
      <c r="AR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"No")))))))))))))))</f>
        <v>360.99077727874845</v>
      </c>
      <c r="AS152" s="8">
        <f>IF(_xlfn.XLOOKUP(E152,Groups!A:A,Groups!U:U)=3,AQ152,IF(_xlfn.XLOOKUP(E152,Groups!A:A,Groups!U:U)=2,AP152,AR152))</f>
        <v>360.99077727874845</v>
      </c>
      <c r="AT152" s="46">
        <f>IFERROR(AVERAGE(_xlfn.XLOOKUP(B152,Animals!B:B,Animals!N:N),_xlfn.XLOOKUP(B152,Animals!B:B,Animals!O:O)),0)</f>
        <v>0</v>
      </c>
      <c r="AU152" s="8">
        <f>MROUND(40*Animals!AO152*_xlfn.XLOOKUP(Animals!BB152,Leathers!$A$2:$A$100,Leathers!$B$2:$B$100,0)+(140*_xlfn.XLOOKUP(B152,Animals!B:B,Animals!AO:AO)*2),5)</f>
        <v>105</v>
      </c>
      <c r="AV152" s="8">
        <f>IFERROR(ROUND(SQRT(V152-1)*IF(_xlfn.XLOOKUP(E152,Groups!A:A,Groups!BF:BF)=0,2,1)*IF(_xlfn.XLOOKUP('Base stats'!E152,Groups!A:A,Groups!O:O)=0,1,0.1),1),0)</f>
        <v>1.1000000000000001</v>
      </c>
      <c r="AW152" s="8">
        <f t="shared" si="69"/>
        <v>0.4</v>
      </c>
      <c r="AX152" s="8">
        <f t="shared" si="70"/>
        <v>0</v>
      </c>
      <c r="AY152" s="8">
        <f t="shared" si="71"/>
        <v>1.1000000000000001</v>
      </c>
      <c r="AZ152" s="8">
        <f>IF(_xlfn.XLOOKUP(E152,Groups!A:A,Groups!N:N)="Insect",BB152*2.5,IFERROR(AVERAGE(BB152,AR152/9.81/IF(OR(_xlfn.XLOOKUP(E152,Groups!A:A,Groups!N:N)="Pig",_xlfn.XLOOKUP(E152,Groups!A:A,Groups!N:N)="StrongBitingHerbivore"),20,25))*C152^-0.135,BB152))</f>
        <v>0.65231911130315001</v>
      </c>
      <c r="BA152" s="8" t="str">
        <f>IF(W152="No","No",IF(_xlfn.XLOOKUP(E152,Groups!A:A,Groups!U:U)=1,'Base stats'!AZ152,IF(OR(_xlfn.XLOOKUP(E152,Groups!A:A,Groups!BD:BD)=1,_xlfn.XLOOKUP(E152,Groups!A:A,Groups!U:U)=2),BB152,IF(_xlfn.XLOOKUP(B152,Animals!B:B,Animals!AO:AO)&gt;4,AVERAGE(BB152,BD152),BD152))))</f>
        <v>No</v>
      </c>
      <c r="BB152" s="8">
        <f t="shared" si="72"/>
        <v>0.1493241807173129</v>
      </c>
      <c r="BC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D152" s="8">
        <f>(0.048*C152^1.01)/IF(_xlfn.XLOOKUP(E152,Groups!A:A,Groups!M:M)=1,0.25,0.8)*C152^-0.25</f>
        <v>0.20387710292659536</v>
      </c>
      <c r="BE152" s="8">
        <f>EXP(1.076*LN(AP152)-4.5397)*IF(_xlfn.XLOOKUP(E152,Groups!A:A,Groups!BC:BC)=1,1.25,IF(_xlfn.XLOOKUP(E152,Groups!A:A,Groups!BD:BD)=1,3.5,2.5))</f>
        <v>8.4917944979407451</v>
      </c>
      <c r="BF152" s="8">
        <f>EXP(1.076*LN(AQ152)-4.5397)*IF(_xlfn.XLOOKUP(E152,Groups!A:A,Groups!M:M)=1,0.8,IF(_xlfn.XLOOKUP(E152,Groups!A:A,Groups!BC:BC)=1,1.3,3))</f>
        <v>12.641115428827339</v>
      </c>
      <c r="BG152" s="8" t="str">
        <f>IF(W152="No","No",IF(_xlfn.XLOOKUP(E152,Groups!A:A,Groups!U:U)=1,'Base stats'!BH152,IF(OR(_xlfn.XLOOKUP(E152,Groups!A:A,Groups!BD:BD)=1,_xlfn.XLOOKUP(E152,Groups!A:A,Groups!U:U)=2),BE152,BF152))*1.2)</f>
        <v>No</v>
      </c>
      <c r="BH152" s="8">
        <f>IFERROR(EXP(1.076*LN(AR152)-4.5397)*IF(_xlfn.XLOOKUP(E152,Groups!A:A,Groups!N:N)="Insect",1,IF(OR(_xlfn.XLOOKUP(E152,Groups!A:A,Groups!N:N)="Pig",_xlfn.XLOOKUP(E152,Groups!A:A,Groups!N:N)="StrongBitingHerbivore"),3.5,3.75)),"No")</f>
        <v>22.611554427117202</v>
      </c>
      <c r="BI152" s="8">
        <f t="shared" si="77"/>
        <v>10</v>
      </c>
      <c r="BJ152" s="8">
        <f t="shared" si="78"/>
        <v>10</v>
      </c>
      <c r="BK152" s="8" t="str">
        <f t="shared" si="73"/>
        <v>No</v>
      </c>
      <c r="BL152" s="8">
        <f t="shared" si="74"/>
        <v>8</v>
      </c>
      <c r="BM152" s="8">
        <f t="shared" si="79"/>
        <v>11</v>
      </c>
      <c r="BN152" s="8" cm="1">
        <f t="array" ref="BN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O152" s="8" t="str">
        <f>IF(W152="No","No",IF(_xlfn.XLOOKUP(E152,Groups!A:A,Groups!BD:BD)=1,(AM152*5%),EXP(0.7354*LN(C152)^0.4078)*2/IF(_xlfn.XLOOKUP(E152,Groups!A:A,Groups!BL:BL)=1,1000,100)))</f>
        <v>No</v>
      </c>
      <c r="BP152" s="8">
        <f>IF(BH152="No","No",IF(_xlfn.XLOOKUP(E152,Groups!A:A,Groups!BF:BF)=1,(0.0315*C152+2.1825)*2,(0.7354*C152^0.4078)*2)/IF(_xlfn.XLOOKUP(E152,Groups!A:A,Groups!BM:BM)=1,1000,100))</f>
        <v>2.8352645574082073E-2</v>
      </c>
      <c r="BQ152" s="8">
        <f t="shared" si="75"/>
        <v>5.3749693206580677E-2</v>
      </c>
      <c r="BR152" s="8">
        <f t="shared" si="80"/>
        <v>445.85311786152778</v>
      </c>
      <c r="BS152" s="8" t="str">
        <f t="shared" si="76"/>
        <v>No</v>
      </c>
      <c r="BT152" s="8">
        <f t="shared" si="81"/>
        <v>797.51127167431036</v>
      </c>
      <c r="BU152" s="4">
        <v>0</v>
      </c>
      <c r="BV152" s="4">
        <v>1</v>
      </c>
    </row>
    <row r="153" spans="1:74" x14ac:dyDescent="0.25">
      <c r="A153" s="26" t="s">
        <v>898</v>
      </c>
      <c r="B153" s="6" t="s">
        <v>918</v>
      </c>
      <c r="C153" s="7">
        <f>AVERAGE(AVERAGE(8.2,10),AVERAGE(5.4,6.8))</f>
        <v>7.6</v>
      </c>
      <c r="D153" s="7" t="s">
        <v>1328</v>
      </c>
      <c r="E153" s="7" t="s">
        <v>75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520</v>
      </c>
      <c r="L153" s="7">
        <f t="shared" si="82"/>
        <v>44.918337861164062</v>
      </c>
      <c r="M153" s="7" t="s">
        <v>638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IF(AR153="No","No",IF(_xlfn.XLOOKUP(E153,Groups!A:A,Groups!AM:AM)=1,MROUND(EXP(0.3582*LN(C153)-0.2221)*T153,0.05),IF(_xlfn.XLOOKUP(E153,Groups!A:A,Groups!AM:AM)=2,MROUND(EXP(0.3582*LN(C153)-0.2221)*T153,0.05),"Need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945</v>
      </c>
      <c r="Y153" s="4" t="s">
        <v>56</v>
      </c>
      <c r="Z153" s="4">
        <v>0</v>
      </c>
      <c r="AA153" s="4">
        <v>0</v>
      </c>
      <c r="AB153" s="4">
        <v>0</v>
      </c>
      <c r="AC153" s="4" t="s">
        <v>45</v>
      </c>
      <c r="AD153" s="4" t="s">
        <v>45</v>
      </c>
      <c r="AE153" s="28" t="s">
        <v>394</v>
      </c>
      <c r="AF153" s="4" t="str">
        <f>Animals!C20</f>
        <v>&lt;li&gt;Cat&lt;/li&gt;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4" t="s">
        <v>40</v>
      </c>
      <c r="AM153" s="8">
        <f t="shared" si="67"/>
        <v>4148.1247973482359</v>
      </c>
      <c r="AN153" s="8">
        <f>IFERROR(C153*_xlfn.XLOOKUP(E153,Groups!A:A,Groups!K:K),0.106*C153^0.94)</f>
        <v>0.94809999999999994</v>
      </c>
      <c r="AO153" s="8">
        <f>AN153*10000/(_xlfn.XLOOKUP(E153,Groups!A:A,Groups!J:J)*AM153)</f>
        <v>2.0968908995156408</v>
      </c>
      <c r="AP153" s="8">
        <f t="shared" si="68"/>
        <v>301.62267766010126</v>
      </c>
      <c r="AQ153" s="8">
        <f>IF(_xlfn.XLOOKUP(E153,Groups!A:A,Groups!M:M)=1,EXP(0.7444*LN('Base stats'!C153)+6.5696),EXP(0.7927*LN('Base stats'!C153)+4.28))</f>
        <v>360.57973660164913</v>
      </c>
      <c r="AR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"No")))))))))))))))</f>
        <v>501.32115613959508</v>
      </c>
      <c r="AS153" s="8">
        <f>IF(_xlfn.XLOOKUP(E153,Groups!A:A,Groups!U:U)=3,AQ153,IF(_xlfn.XLOOKUP(E153,Groups!A:A,Groups!U:U)=2,AP153,AR153))</f>
        <v>501.32115613959508</v>
      </c>
      <c r="AT153" s="46">
        <f>IFERROR(AVERAGE(_xlfn.XLOOKUP(B153,Animals!B:B,Animals!N:N),_xlfn.XLOOKUP(B153,Animals!B:B,Animals!O:O)),0)</f>
        <v>0</v>
      </c>
      <c r="AU153" s="8">
        <f>MROUND(40*Animals!AO153*_xlfn.XLOOKUP(Animals!BB153,Leathers!$A$2:$A$100,Leathers!$B$2:$B$100,0)+(140*_xlfn.XLOOKUP(B153,Animals!B:B,Animals!AO:AO)*2),5)</f>
        <v>125</v>
      </c>
      <c r="AV153" s="8">
        <f>IFERROR(ROUND(SQRT(V153-1)*IF(_xlfn.XLOOKUP(E153,Groups!A:A,Groups!BF:BF)=0,2,1)*IF(_xlfn.XLOOKUP('Base stats'!E153,Groups!A:A,Groups!O:O)=0,1,0.1),1),0)</f>
        <v>1.4</v>
      </c>
      <c r="AW153" s="8">
        <f t="shared" si="69"/>
        <v>0.7</v>
      </c>
      <c r="AX153" s="8">
        <f t="shared" si="70"/>
        <v>0</v>
      </c>
      <c r="AY153" s="8">
        <f t="shared" si="71"/>
        <v>1.3</v>
      </c>
      <c r="AZ153" s="8">
        <f>IF(_xlfn.XLOOKUP(E153,Groups!A:A,Groups!N:N)="Insect",BB153*2.5,IFERROR(AVERAGE(BB153,AR153/9.81/IF(OR(_xlfn.XLOOKUP(E153,Groups!A:A,Groups!N:N)="Pig",_xlfn.XLOOKUP(E153,Groups!A:A,Groups!N:N)="StrongBitingHerbivore"),20,25))*C153^-0.135,BB153))</f>
        <v>0.85767012150522703</v>
      </c>
      <c r="BA153" s="8" t="str">
        <f>IF(W153="No","No",IF(_xlfn.XLOOKUP(E153,Groups!A:A,Groups!U:U)=1,'Base stats'!AZ153,IF(OR(_xlfn.XLOOKUP(E153,Groups!A:A,Groups!BD:BD)=1,_xlfn.XLOOKUP(E153,Groups!A:A,Groups!U:U)=2),BB153,IF(_xlfn.XLOOKUP(B153,Animals!B:B,Animals!AO:AO)&gt;4,AVERAGE(BB153,BD153),BD153))))</f>
        <v>No</v>
      </c>
      <c r="BB153" s="8">
        <f t="shared" si="72"/>
        <v>0.21146678480123707</v>
      </c>
      <c r="BC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D153" s="8">
        <f>(0.048*C153^1.01)/IF(_xlfn.XLOOKUP(E153,Groups!A:A,Groups!M:M)=1,0.25,0.8)*C153^-0.25</f>
        <v>0.28026546131788677</v>
      </c>
      <c r="BE153" s="8">
        <f>EXP(1.076*LN(AP153)-4.5397)*IF(_xlfn.XLOOKUP(E153,Groups!A:A,Groups!BC:BC)=1,1.25,IF(_xlfn.XLOOKUP(E153,Groups!A:A,Groups!BD:BD)=1,3.5,2.5))</f>
        <v>12.424433719180858</v>
      </c>
      <c r="BF153" s="8">
        <f>EXP(1.076*LN(AQ153)-4.5397)*IF(_xlfn.XLOOKUP(E153,Groups!A:A,Groups!M:M)=1,0.8,IF(_xlfn.XLOOKUP(E153,Groups!A:A,Groups!BC:BC)=1,1.3,3))</f>
        <v>18.067081867050479</v>
      </c>
      <c r="BG153" s="8" t="str">
        <f>IF(W153="No","No",IF(_xlfn.XLOOKUP(E153,Groups!A:A,Groups!U:U)=1,'Base stats'!BH153,IF(OR(_xlfn.XLOOKUP(E153,Groups!A:A,Groups!BD:BD)=1,_xlfn.XLOOKUP(E153,Groups!A:A,Groups!U:U)=2),BE153,BF153))*1.2)</f>
        <v>No</v>
      </c>
      <c r="BH153" s="8">
        <f>IFERROR(EXP(1.076*LN(AR153)-4.5397)*IF(_xlfn.XLOOKUP(E153,Groups!A:A,Groups!N:N)="Insect",1,IF(OR(_xlfn.XLOOKUP(E153,Groups!A:A,Groups!N:N)="Pig",_xlfn.XLOOKUP(E153,Groups!A:A,Groups!N:N)="StrongBitingHerbivore"),3.5,3.75)),"No")</f>
        <v>32.195076343916185</v>
      </c>
      <c r="BI153" s="8">
        <f t="shared" si="77"/>
        <v>10</v>
      </c>
      <c r="BJ153" s="8">
        <f t="shared" si="78"/>
        <v>10</v>
      </c>
      <c r="BK153" s="8" t="str">
        <f t="shared" si="73"/>
        <v>No</v>
      </c>
      <c r="BL153" s="8">
        <f t="shared" si="74"/>
        <v>8</v>
      </c>
      <c r="BM153" s="8">
        <f t="shared" si="79"/>
        <v>11</v>
      </c>
      <c r="BN153" s="8" cm="1">
        <f t="array" ref="BN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O153" s="8" t="str">
        <f>IF(W153="No","No",IF(_xlfn.XLOOKUP(E153,Groups!A:A,Groups!BD:BD)=1,(AM153*5%),EXP(0.7354*LN(C153)^0.4078)*2/IF(_xlfn.XLOOKUP(E153,Groups!A:A,Groups!BL:BL)=1,1000,100)))</f>
        <v>No</v>
      </c>
      <c r="BP153" s="8">
        <f>IF(BH153="No","No",IF(_xlfn.XLOOKUP(E153,Groups!A:A,Groups!BF:BF)=1,(0.0315*C153+2.1825)*2,(0.7354*C153^0.4078)*2)/IF(_xlfn.XLOOKUP(E153,Groups!A:A,Groups!BM:BM)=1,1000,100))</f>
        <v>3.3631745204606232E-2</v>
      </c>
      <c r="BQ153" s="8">
        <f t="shared" si="75"/>
        <v>5.9903856928911113E-2</v>
      </c>
      <c r="BR153" s="8">
        <f t="shared" si="80"/>
        <v>537.20322145447267</v>
      </c>
      <c r="BS153" s="8" t="str">
        <f t="shared" si="76"/>
        <v>No</v>
      </c>
      <c r="BT153" s="8">
        <f t="shared" si="81"/>
        <v>957.28235772631626</v>
      </c>
      <c r="BU153" s="4">
        <v>0</v>
      </c>
      <c r="BV153" s="4">
        <v>1</v>
      </c>
    </row>
    <row r="154" spans="1:74" x14ac:dyDescent="0.25">
      <c r="A154" s="26" t="s">
        <v>897</v>
      </c>
      <c r="B154" s="6" t="s">
        <v>919</v>
      </c>
      <c r="C154" s="7">
        <f>AVERAGE(2.7,4.1)</f>
        <v>3.4</v>
      </c>
      <c r="D154" s="7" t="s">
        <v>1329</v>
      </c>
      <c r="E154" s="7" t="s">
        <v>75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520</v>
      </c>
      <c r="L154" s="7">
        <f t="shared" si="82"/>
        <v>41.815076084855392</v>
      </c>
      <c r="M154" s="7" t="s">
        <v>638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IF(AR154="No","No",IF(_xlfn.XLOOKUP(E154,Groups!A:A,Groups!AM:AM)=1,MROUND(EXP(0.3582*LN(C154)-0.2221)*T154,0.05),IF(_xlfn.XLOOKUP(E154,Groups!A:A,Groups!AM:AM)=2,MROUND(EXP(0.3582*LN(C154)-0.2221)*T154,0.05),"Need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945</v>
      </c>
      <c r="Y154" s="4" t="s">
        <v>56</v>
      </c>
      <c r="Z154" s="4">
        <v>0</v>
      </c>
      <c r="AA154" s="4">
        <v>0</v>
      </c>
      <c r="AB154" s="4">
        <v>0</v>
      </c>
      <c r="AC154" s="4" t="s">
        <v>45</v>
      </c>
      <c r="AD154" s="4" t="s">
        <v>45</v>
      </c>
      <c r="AE154" s="28" t="s">
        <v>394</v>
      </c>
      <c r="AF154" s="4" t="str">
        <f>Animals!C20</f>
        <v>&lt;li&gt;Cat&lt;/li&gt;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4" t="s">
        <v>40</v>
      </c>
      <c r="AM154" s="8">
        <f t="shared" si="67"/>
        <v>2459.1457803440585</v>
      </c>
      <c r="AN154" s="8">
        <f>IFERROR(C154*_xlfn.XLOOKUP(E154,Groups!A:A,Groups!K:K),0.106*C154^0.94)</f>
        <v>0.42414999999999997</v>
      </c>
      <c r="AO154" s="8">
        <f>AN154*10000/(_xlfn.XLOOKUP(E154,Groups!A:A,Groups!J:J)*AM154)</f>
        <v>1.5823723972660524</v>
      </c>
      <c r="AP154" s="8">
        <f t="shared" si="68"/>
        <v>152.89067249099983</v>
      </c>
      <c r="AQ154" s="8">
        <f>IF(_xlfn.XLOOKUP(E154,Groups!A:A,Groups!M:M)=1,EXP(0.7444*LN('Base stats'!C154)+6.5696),EXP(0.7927*LN('Base stats'!C154)+4.28))</f>
        <v>190.58280740259272</v>
      </c>
      <c r="AR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"No")))))))))))))))</f>
        <v>266.76745573602432</v>
      </c>
      <c r="AS154" s="8">
        <f>IF(_xlfn.XLOOKUP(E154,Groups!A:A,Groups!U:U)=3,AQ154,IF(_xlfn.XLOOKUP(E154,Groups!A:A,Groups!U:U)=2,AP154,AR154))</f>
        <v>266.76745573602432</v>
      </c>
      <c r="AT154" s="46">
        <f>IFERROR(AVERAGE(_xlfn.XLOOKUP(B154,Animals!B:B,Animals!N:N),_xlfn.XLOOKUP(B154,Animals!B:B,Animals!O:O)),0)</f>
        <v>0</v>
      </c>
      <c r="AU154" s="8">
        <f>MROUND(40*Animals!AO154*_xlfn.XLOOKUP(Animals!BB154,Leathers!$A$2:$A$100,Leathers!$B$2:$B$100,0)+(140*_xlfn.XLOOKUP(B154,Animals!B:B,Animals!AO:AO)*2),5)</f>
        <v>90</v>
      </c>
      <c r="AV154" s="8">
        <f>IFERROR(ROUND(SQRT(V154-1)*IF(_xlfn.XLOOKUP(E154,Groups!A:A,Groups!BF:BF)=0,2,1)*IF(_xlfn.XLOOKUP('Base stats'!E154,Groups!A:A,Groups!O:O)=0,1,0.1),1),0)</f>
        <v>0.6</v>
      </c>
      <c r="AW154" s="8">
        <f t="shared" si="69"/>
        <v>0.4</v>
      </c>
      <c r="AX154" s="8">
        <f t="shared" si="70"/>
        <v>0</v>
      </c>
      <c r="AY154" s="8">
        <f t="shared" si="71"/>
        <v>0.9</v>
      </c>
      <c r="AZ154" s="8">
        <f>IF(_xlfn.XLOOKUP(E154,Groups!A:A,Groups!N:N)="Insect",BB154*2.5,IFERROR(AVERAGE(BB154,AR154/9.81/IF(OR(_xlfn.XLOOKUP(E154,Groups!A:A,Groups!N:N)="Pig",_xlfn.XLOOKUP(E154,Groups!A:A,Groups!N:N)="StrongBitingHerbivore"),20,25))*C154^-0.135,BB154))</f>
        <v>0.50698321083803377</v>
      </c>
      <c r="BA154" s="8" t="str">
        <f>IF(W154="No","No",IF(_xlfn.XLOOKUP(E154,Groups!A:A,Groups!U:U)=1,'Base stats'!AZ154,IF(OR(_xlfn.XLOOKUP(E154,Groups!A:A,Groups!BD:BD)=1,_xlfn.XLOOKUP(E154,Groups!A:A,Groups!U:U)=2),BB154,IF(_xlfn.XLOOKUP(B154,Animals!B:B,Animals!AO:AO)&gt;4,AVERAGE(BB154,BD154),BD154))))</f>
        <v>No</v>
      </c>
      <c r="BB154" s="8">
        <f t="shared" si="72"/>
        <v>0.10837897693409064</v>
      </c>
      <c r="BC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D154" s="8">
        <f>(0.048*C154^1.01)/IF(_xlfn.XLOOKUP(E154,Groups!A:A,Groups!M:M)=1,0.25,0.8)*C154^-0.25</f>
        <v>0.15208109377465895</v>
      </c>
      <c r="BE154" s="8">
        <f>EXP(1.076*LN(AP154)-4.5397)*IF(_xlfn.XLOOKUP(E154,Groups!A:A,Groups!BC:BC)=1,1.25,IF(_xlfn.XLOOKUP(E154,Groups!A:A,Groups!BD:BD)=1,3.5,2.5))</f>
        <v>5.9809103875987466</v>
      </c>
      <c r="BF154" s="8">
        <f>EXP(1.076*LN(AQ154)-4.5397)*IF(_xlfn.XLOOKUP(E154,Groups!A:A,Groups!M:M)=1,0.8,IF(_xlfn.XLOOKUP(E154,Groups!A:A,Groups!BC:BC)=1,1.3,3))</f>
        <v>9.0975547529585494</v>
      </c>
      <c r="BG154" s="8" t="str">
        <f>IF(W154="No","No",IF(_xlfn.XLOOKUP(E154,Groups!A:A,Groups!U:U)=1,'Base stats'!BH154,IF(OR(_xlfn.XLOOKUP(E154,Groups!A:A,Groups!BD:BD)=1,_xlfn.XLOOKUP(E154,Groups!A:A,Groups!U:U)=2),BE154,BF154))*1.2)</f>
        <v>No</v>
      </c>
      <c r="BH154" s="8">
        <f>IFERROR(EXP(1.076*LN(AR154)-4.5397)*IF(_xlfn.XLOOKUP(E154,Groups!A:A,Groups!N:N)="Insect",1,IF(OR(_xlfn.XLOOKUP(E154,Groups!A:A,Groups!N:N)="Pig",_xlfn.XLOOKUP(E154,Groups!A:A,Groups!N:N)="StrongBitingHerbivore"),3.5,3.75)),"No")</f>
        <v>16.329900982088557</v>
      </c>
      <c r="BI154" s="8">
        <f t="shared" si="77"/>
        <v>10</v>
      </c>
      <c r="BJ154" s="8">
        <f t="shared" si="78"/>
        <v>9</v>
      </c>
      <c r="BK154" s="8" t="str">
        <f t="shared" si="73"/>
        <v>No</v>
      </c>
      <c r="BL154" s="8">
        <f t="shared" si="74"/>
        <v>8</v>
      </c>
      <c r="BM154" s="8">
        <f t="shared" si="79"/>
        <v>10</v>
      </c>
      <c r="BN154" s="8" cm="1">
        <f t="array" ref="BN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O154" s="8" t="str">
        <f>IF(W154="No","No",IF(_xlfn.XLOOKUP(E154,Groups!A:A,Groups!BD:BD)=1,(AM154*5%),EXP(0.7354*LN(C154)^0.4078)*2/IF(_xlfn.XLOOKUP(E154,Groups!A:A,Groups!BL:BL)=1,1000,100)))</f>
        <v>No</v>
      </c>
      <c r="BP154" s="8">
        <f>IF(BH154="No","No",IF(_xlfn.XLOOKUP(E154,Groups!A:A,Groups!BF:BF)=1,(0.0315*C154+2.1825)*2,(0.7354*C154^0.4078)*2)/IF(_xlfn.XLOOKUP(E154,Groups!A:A,Groups!BM:BM)=1,1000,100))</f>
        <v>2.4226502642868641E-2</v>
      </c>
      <c r="BQ154" s="8">
        <f t="shared" si="75"/>
        <v>4.8642178397101443E-2</v>
      </c>
      <c r="BR154" s="8">
        <f t="shared" si="80"/>
        <v>375.52076282197186</v>
      </c>
      <c r="BS154" s="8" t="str">
        <f t="shared" si="76"/>
        <v>No</v>
      </c>
      <c r="BT154" s="8">
        <f t="shared" si="81"/>
        <v>674.05110934967979</v>
      </c>
      <c r="BU154" s="4">
        <v>0</v>
      </c>
      <c r="BV154" s="4">
        <v>1</v>
      </c>
    </row>
    <row r="155" spans="1:74" x14ac:dyDescent="0.25">
      <c r="A155" s="26" t="s">
        <v>899</v>
      </c>
      <c r="B155" s="6" t="s">
        <v>920</v>
      </c>
      <c r="C155" s="7">
        <f>AVERAGE(AVERAGE(3.6,8),AVERAGE(4.5,9))</f>
        <v>6.2750000000000004</v>
      </c>
      <c r="D155" s="7" t="s">
        <v>1330</v>
      </c>
      <c r="E155" s="7" t="s">
        <v>75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520</v>
      </c>
      <c r="L155" s="7">
        <f t="shared" si="82"/>
        <v>44.158965395168693</v>
      </c>
      <c r="M155" s="7" t="s">
        <v>638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IF(AR155="No","No",IF(_xlfn.XLOOKUP(E155,Groups!A:A,Groups!AM:AM)=1,MROUND(EXP(0.3582*LN(C155)-0.2221)*T155,0.05),IF(_xlfn.XLOOKUP(E155,Groups!A:A,Groups!AM:AM)=2,MROUND(EXP(0.3582*LN(C155)-0.2221)*T155,0.05),"Need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945</v>
      </c>
      <c r="Y155" s="4" t="s">
        <v>56</v>
      </c>
      <c r="Z155" s="4">
        <v>0</v>
      </c>
      <c r="AA155" s="4">
        <v>0</v>
      </c>
      <c r="AB155" s="4">
        <v>0</v>
      </c>
      <c r="AC155" s="4" t="s">
        <v>45</v>
      </c>
      <c r="AD155" s="4" t="s">
        <v>45</v>
      </c>
      <c r="AE155" s="28" t="s">
        <v>394</v>
      </c>
      <c r="AF155" s="4" t="str">
        <f>Animals!C20</f>
        <v>&lt;li&gt;Cat&lt;/li&gt;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4" t="s">
        <v>40</v>
      </c>
      <c r="AM155" s="8">
        <f t="shared" si="67"/>
        <v>3662.4516781825096</v>
      </c>
      <c r="AN155" s="8">
        <f>IFERROR(C155*_xlfn.XLOOKUP(E155,Groups!A:A,Groups!K:K),0.106*C155^0.94)</f>
        <v>0.78280625000000004</v>
      </c>
      <c r="AO155" s="8">
        <f>AN155*10000/(_xlfn.XLOOKUP(E155,Groups!A:A,Groups!J:J)*AM155)</f>
        <v>1.9609019713156324</v>
      </c>
      <c r="AP155" s="8">
        <f t="shared" si="68"/>
        <v>256.55770826486224</v>
      </c>
      <c r="AQ155" s="8">
        <f>IF(_xlfn.XLOOKUP(E155,Groups!A:A,Groups!M:M)=1,EXP(0.7444*LN('Base stats'!C155)+6.5696),EXP(0.7927*LN('Base stats'!C155)+4.28))</f>
        <v>309.77672671268465</v>
      </c>
      <c r="AR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"No")))))))))))))))</f>
        <v>431.382358656593</v>
      </c>
      <c r="AS155" s="8">
        <f>IF(_xlfn.XLOOKUP(E155,Groups!A:A,Groups!U:U)=3,AQ155,IF(_xlfn.XLOOKUP(E155,Groups!A:A,Groups!U:U)=2,AP155,AR155))</f>
        <v>431.382358656593</v>
      </c>
      <c r="AT155" s="46">
        <f>IFERROR(AVERAGE(_xlfn.XLOOKUP(B155,Animals!B:B,Animals!N:N),_xlfn.XLOOKUP(B155,Animals!B:B,Animals!O:O)),0)</f>
        <v>0</v>
      </c>
      <c r="AU155" s="8">
        <f>MROUND(40*Animals!AO155*_xlfn.XLOOKUP(Animals!BB155,Leathers!$A$2:$A$100,Leathers!$B$2:$B$100,0)+(140*_xlfn.XLOOKUP(B155,Animals!B:B,Animals!AO:AO)*2),5)</f>
        <v>125</v>
      </c>
      <c r="AV155" s="8">
        <f>IFERROR(ROUND(SQRT(V155-1)*IF(_xlfn.XLOOKUP(E155,Groups!A:A,Groups!BF:BF)=0,2,1)*IF(_xlfn.XLOOKUP('Base stats'!E155,Groups!A:A,Groups!O:O)=0,1,0.1),1),0)</f>
        <v>1.3</v>
      </c>
      <c r="AW155" s="8">
        <f t="shared" si="69"/>
        <v>0.7</v>
      </c>
      <c r="AX155" s="8">
        <f t="shared" si="70"/>
        <v>0</v>
      </c>
      <c r="AY155" s="8">
        <f t="shared" si="71"/>
        <v>1.2</v>
      </c>
      <c r="AZ155" s="8">
        <f>IF(_xlfn.XLOOKUP(E155,Groups!A:A,Groups!N:N)="Insect",BB155*2.5,IFERROR(AVERAGE(BB155,AR155/9.81/IF(OR(_xlfn.XLOOKUP(E155,Groups!A:A,Groups!N:N)="Pig",_xlfn.XLOOKUP(E155,Groups!A:A,Groups!N:N)="StrongBitingHerbivore"),20,25))*C155^-0.135,BB155))</f>
        <v>0.75672105008977442</v>
      </c>
      <c r="BA155" s="8" t="str">
        <f>IF(W155="No","No",IF(_xlfn.XLOOKUP(E155,Groups!A:A,Groups!U:U)=1,'Base stats'!AZ155,IF(OR(_xlfn.XLOOKUP(E155,Groups!A:A,Groups!BD:BD)=1,_xlfn.XLOOKUP(E155,Groups!A:A,Groups!U:U)=2),BB155,IF(_xlfn.XLOOKUP(B155,Animals!B:B,Animals!AO:AO)&gt;4,AVERAGE(BB155,BD155),BD155))))</f>
        <v>No</v>
      </c>
      <c r="BB155" s="8">
        <f t="shared" si="72"/>
        <v>0.18034457253799871</v>
      </c>
      <c r="BC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D155" s="8">
        <f>(0.048*C155^1.01)/IF(_xlfn.XLOOKUP(E155,Groups!A:A,Groups!M:M)=1,0.25,0.8)*C155^-0.25</f>
        <v>0.24229122478300158</v>
      </c>
      <c r="BE155" s="8">
        <f>EXP(1.076*LN(AP155)-4.5397)*IF(_xlfn.XLOOKUP(E155,Groups!A:A,Groups!BC:BC)=1,1.25,IF(_xlfn.XLOOKUP(E155,Groups!A:A,Groups!BD:BD)=1,3.5,2.5))</f>
        <v>10.438941934006483</v>
      </c>
      <c r="BF155" s="8">
        <f>EXP(1.076*LN(AQ155)-4.5397)*IF(_xlfn.XLOOKUP(E155,Groups!A:A,Groups!M:M)=1,0.8,IF(_xlfn.XLOOKUP(E155,Groups!A:A,Groups!BC:BC)=1,1.3,3))</f>
        <v>15.343452367379893</v>
      </c>
      <c r="BG155" s="8" t="str">
        <f>IF(W155="No","No",IF(_xlfn.XLOOKUP(E155,Groups!A:A,Groups!U:U)=1,'Base stats'!BH155,IF(OR(_xlfn.XLOOKUP(E155,Groups!A:A,Groups!BD:BD)=1,_xlfn.XLOOKUP(E155,Groups!A:A,Groups!U:U)=2),BE155,BF155))*1.2)</f>
        <v>No</v>
      </c>
      <c r="BH155" s="8">
        <f>IFERROR(EXP(1.076*LN(AR155)-4.5397)*IF(_xlfn.XLOOKUP(E155,Groups!A:A,Groups!N:N)="Insect",1,IF(OR(_xlfn.XLOOKUP(E155,Groups!A:A,Groups!N:N)="Pig",_xlfn.XLOOKUP(E155,Groups!A:A,Groups!N:N)="StrongBitingHerbivore"),3.5,3.75)),"No")</f>
        <v>27.389022315454682</v>
      </c>
      <c r="BI155" s="8">
        <f t="shared" si="77"/>
        <v>10</v>
      </c>
      <c r="BJ155" s="8">
        <f t="shared" si="78"/>
        <v>10</v>
      </c>
      <c r="BK155" s="8" t="str">
        <f t="shared" si="73"/>
        <v>No</v>
      </c>
      <c r="BL155" s="8">
        <f t="shared" si="74"/>
        <v>8</v>
      </c>
      <c r="BM155" s="8">
        <f t="shared" si="79"/>
        <v>11</v>
      </c>
      <c r="BN155" s="8" cm="1">
        <f t="array" ref="BN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O155" s="8" t="str">
        <f>IF(W155="No","No",IF(_xlfn.XLOOKUP(E155,Groups!A:A,Groups!BD:BD)=1,(AM155*5%),EXP(0.7354*LN(C155)^0.4078)*2/IF(_xlfn.XLOOKUP(E155,Groups!A:A,Groups!BL:BL)=1,1000,100)))</f>
        <v>No</v>
      </c>
      <c r="BP155" s="8">
        <f>IF(BH155="No","No",IF(_xlfn.XLOOKUP(E155,Groups!A:A,Groups!BF:BF)=1,(0.0315*C155+2.1825)*2,(0.7354*C155^0.4078)*2)/IF(_xlfn.XLOOKUP(E155,Groups!A:A,Groups!BM:BM)=1,1000,100))</f>
        <v>3.1104304893828406E-2</v>
      </c>
      <c r="BQ155" s="8">
        <f t="shared" si="75"/>
        <v>5.700521318106129E-2</v>
      </c>
      <c r="BR155" s="8">
        <f t="shared" si="80"/>
        <v>493.29031527157775</v>
      </c>
      <c r="BS155" s="8" t="str">
        <f t="shared" si="76"/>
        <v>No</v>
      </c>
      <c r="BT155" s="8">
        <f t="shared" si="81"/>
        <v>880.55407150053702</v>
      </c>
      <c r="BU155" s="4">
        <v>0</v>
      </c>
      <c r="BV155" s="4">
        <v>1</v>
      </c>
    </row>
    <row r="156" spans="1:74" x14ac:dyDescent="0.25">
      <c r="A156" s="26" t="s">
        <v>900</v>
      </c>
      <c r="B156" s="6" t="s">
        <v>921</v>
      </c>
      <c r="C156" s="7">
        <f>AVERAGE(AVERAGE(2.4,3.8),AVERAGE(3.3,4.7))</f>
        <v>3.55</v>
      </c>
      <c r="D156" s="7" t="s">
        <v>1331</v>
      </c>
      <c r="E156" s="7" t="s">
        <v>75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520</v>
      </c>
      <c r="L156" s="7">
        <f t="shared" si="82"/>
        <v>41.976052188890897</v>
      </c>
      <c r="M156" s="7" t="s">
        <v>638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IF(AR156="No","No",IF(_xlfn.XLOOKUP(E156,Groups!A:A,Groups!AM:AM)=1,MROUND(EXP(0.3582*LN(C156)-0.2221)*T156,0.05),IF(_xlfn.XLOOKUP(E156,Groups!A:A,Groups!AM:AM)=2,MROUND(EXP(0.3582*LN(C156)-0.2221)*T156,0.05),"Need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945</v>
      </c>
      <c r="Y156" s="4" t="s">
        <v>56</v>
      </c>
      <c r="Z156" s="4">
        <v>0</v>
      </c>
      <c r="AA156" s="4">
        <v>0</v>
      </c>
      <c r="AB156" s="4">
        <v>0</v>
      </c>
      <c r="AC156" s="4" t="s">
        <v>45</v>
      </c>
      <c r="AD156" s="4" t="s">
        <v>45</v>
      </c>
      <c r="AE156" s="28" t="s">
        <v>394</v>
      </c>
      <c r="AF156" s="4" t="str">
        <f>Animals!C20</f>
        <v>&lt;li&gt;Cat&lt;/li&gt;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4" t="s">
        <v>40</v>
      </c>
      <c r="AM156" s="8">
        <f t="shared" si="67"/>
        <v>2529.1314858830706</v>
      </c>
      <c r="AN156" s="8">
        <f>IFERROR(C156*_xlfn.XLOOKUP(E156,Groups!A:A,Groups!K:K),0.106*C156^0.94)</f>
        <v>0.44286249999999999</v>
      </c>
      <c r="AO156" s="8">
        <f>AN156*10000/(_xlfn.XLOOKUP(E156,Groups!A:A,Groups!J:J)*AM156)</f>
        <v>1.6064640127548404</v>
      </c>
      <c r="AP156" s="8">
        <f t="shared" si="68"/>
        <v>158.56912857529332</v>
      </c>
      <c r="AQ156" s="8">
        <f>IF(_xlfn.XLOOKUP(E156,Groups!A:A,Groups!M:M)=1,EXP(0.7444*LN('Base stats'!C156)+6.5696),EXP(0.7927*LN('Base stats'!C156)+4.28))</f>
        <v>197.21793085360119</v>
      </c>
      <c r="AR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"No")))))))))))))))</f>
        <v>275.95484879033961</v>
      </c>
      <c r="AS156" s="8">
        <f>IF(_xlfn.XLOOKUP(E156,Groups!A:A,Groups!U:U)=3,AQ156,IF(_xlfn.XLOOKUP(E156,Groups!A:A,Groups!U:U)=2,AP156,AR156))</f>
        <v>275.95484879033961</v>
      </c>
      <c r="AT156" s="46">
        <f>IFERROR(AVERAGE(_xlfn.XLOOKUP(B156,Animals!B:B,Animals!N:N),_xlfn.XLOOKUP(B156,Animals!B:B,Animals!O:O)),0)</f>
        <v>0</v>
      </c>
      <c r="AU156" s="8">
        <f>MROUND(40*Animals!AO156*_xlfn.XLOOKUP(Animals!BB156,Leathers!$A$2:$A$100,Leathers!$B$2:$B$100,0)+(140*_xlfn.XLOOKUP(B156,Animals!B:B,Animals!AO:AO)*2),5)</f>
        <v>90</v>
      </c>
      <c r="AV156" s="8">
        <f>IFERROR(ROUND(SQRT(V156-1)*IF(_xlfn.XLOOKUP(E156,Groups!A:A,Groups!BF:BF)=0,2,1)*IF(_xlfn.XLOOKUP('Base stats'!E156,Groups!A:A,Groups!O:O)=0,1,0.1),1),0)</f>
        <v>0.8</v>
      </c>
      <c r="AW156" s="8">
        <f t="shared" si="69"/>
        <v>0.4</v>
      </c>
      <c r="AX156" s="8">
        <f t="shared" si="70"/>
        <v>0</v>
      </c>
      <c r="AY156" s="8">
        <f t="shared" si="71"/>
        <v>1</v>
      </c>
      <c r="AZ156" s="8">
        <f>IF(_xlfn.XLOOKUP(E156,Groups!A:A,Groups!N:N)="Insect",BB156*2.5,IFERROR(AVERAGE(BB156,AR156/9.81/IF(OR(_xlfn.XLOOKUP(E156,Groups!A:A,Groups!N:N)="Pig",_xlfn.XLOOKUP(E156,Groups!A:A,Groups!N:N)="StrongBitingHerbivore"),20,25))*C156^-0.135,BB156))</f>
        <v>0.5214912145242121</v>
      </c>
      <c r="BA156" s="8" t="str">
        <f>IF(W156="No","No",IF(_xlfn.XLOOKUP(E156,Groups!A:A,Groups!U:U)=1,'Base stats'!AZ156,IF(OR(_xlfn.XLOOKUP(E156,Groups!A:A,Groups!BD:BD)=1,_xlfn.XLOOKUP(E156,Groups!A:A,Groups!U:U)=2),BB156,IF(_xlfn.XLOOKUP(B156,Animals!B:B,Animals!AO:AO)&gt;4,AVERAGE(BB156,BD156),BD156))))</f>
        <v>No</v>
      </c>
      <c r="BB156" s="8">
        <f t="shared" si="72"/>
        <v>0.11233777773345578</v>
      </c>
      <c r="BC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D156" s="8">
        <f>(0.048*C156^1.01)/IF(_xlfn.XLOOKUP(E156,Groups!A:A,Groups!M:M)=1,0.25,0.8)*C156^-0.25</f>
        <v>0.15715376812955539</v>
      </c>
      <c r="BE156" s="8">
        <f>EXP(1.076*LN(AP156)-4.5397)*IF(_xlfn.XLOOKUP(E156,Groups!A:A,Groups!BC:BC)=1,1.25,IF(_xlfn.XLOOKUP(E156,Groups!A:A,Groups!BD:BD)=1,3.5,2.5))</f>
        <v>6.2202609623361447</v>
      </c>
      <c r="BF156" s="8">
        <f>EXP(1.076*LN(AQ156)-4.5397)*IF(_xlfn.XLOOKUP(E156,Groups!A:A,Groups!M:M)=1,0.8,IF(_xlfn.XLOOKUP(E156,Groups!A:A,Groups!BC:BC)=1,1.3,3))</f>
        <v>9.438802947558786</v>
      </c>
      <c r="BG156" s="8" t="str">
        <f>IF(W156="No","No",IF(_xlfn.XLOOKUP(E156,Groups!A:A,Groups!U:U)=1,'Base stats'!BH156,IF(OR(_xlfn.XLOOKUP(E156,Groups!A:A,Groups!BD:BD)=1,_xlfn.XLOOKUP(E156,Groups!A:A,Groups!U:U)=2),BE156,BF156))*1.2)</f>
        <v>No</v>
      </c>
      <c r="BH156" s="8">
        <f>IFERROR(EXP(1.076*LN(AR156)-4.5397)*IF(_xlfn.XLOOKUP(E156,Groups!A:A,Groups!N:N)="Insect",1,IF(OR(_xlfn.XLOOKUP(E156,Groups!A:A,Groups!N:N)="Pig",_xlfn.XLOOKUP(E156,Groups!A:A,Groups!N:N)="StrongBitingHerbivore"),3.5,3.75)),"No")</f>
        <v>16.935823849252799</v>
      </c>
      <c r="BI156" s="8">
        <f t="shared" si="77"/>
        <v>10</v>
      </c>
      <c r="BJ156" s="8">
        <f t="shared" si="78"/>
        <v>9</v>
      </c>
      <c r="BK156" s="8" t="str">
        <f t="shared" si="73"/>
        <v>No</v>
      </c>
      <c r="BL156" s="8">
        <f t="shared" si="74"/>
        <v>8</v>
      </c>
      <c r="BM156" s="8">
        <f t="shared" si="79"/>
        <v>10</v>
      </c>
      <c r="BN156" s="8" cm="1">
        <f t="array" ref="BN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O156" s="8" t="str">
        <f>IF(W156="No","No",IF(_xlfn.XLOOKUP(E156,Groups!A:A,Groups!BD:BD)=1,(AM156*5%),EXP(0.7354*LN(C156)^0.4078)*2/IF(_xlfn.XLOOKUP(E156,Groups!A:A,Groups!BL:BL)=1,1000,100)))</f>
        <v>No</v>
      </c>
      <c r="BP156" s="8">
        <f>IF(BH156="No","No",IF(_xlfn.XLOOKUP(E156,Groups!A:A,Groups!BF:BF)=1,(0.0315*C156+2.1825)*2,(0.7354*C156^0.4078)*2)/IF(_xlfn.XLOOKUP(E156,Groups!A:A,Groups!BM:BM)=1,1000,100))</f>
        <v>2.4656801766078776E-2</v>
      </c>
      <c r="BQ156" s="8">
        <f t="shared" si="75"/>
        <v>4.9188909292031374E-2</v>
      </c>
      <c r="BR156" s="8">
        <f t="shared" si="80"/>
        <v>382.80726904914638</v>
      </c>
      <c r="BS156" s="8" t="str">
        <f t="shared" si="76"/>
        <v>No</v>
      </c>
      <c r="BT156" s="8">
        <f t="shared" si="81"/>
        <v>686.86214902988775</v>
      </c>
      <c r="BU156" s="4">
        <v>0</v>
      </c>
      <c r="BV156" s="4">
        <v>1</v>
      </c>
    </row>
    <row r="157" spans="1:74" x14ac:dyDescent="0.25">
      <c r="A157" s="26" t="s">
        <v>901</v>
      </c>
      <c r="B157" s="6" t="s">
        <v>922</v>
      </c>
      <c r="C157" s="7">
        <f>AVERAGE(AVERAGE(3.5,4.8),AVERAGE(4.5,5.5))</f>
        <v>4.5750000000000002</v>
      </c>
      <c r="D157" s="7" t="s">
        <v>1332</v>
      </c>
      <c r="E157" s="7" t="s">
        <v>75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520</v>
      </c>
      <c r="L157" s="7">
        <f t="shared" si="82"/>
        <v>42.934466966943809</v>
      </c>
      <c r="M157" s="7" t="s">
        <v>638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IF(AR157="No","No",IF(_xlfn.XLOOKUP(E157,Groups!A:A,Groups!AM:AM)=1,MROUND(EXP(0.3582*LN(C157)-0.2221)*T157,0.05),IF(_xlfn.XLOOKUP(E157,Groups!A:A,Groups!AM:AM)=2,MROUND(EXP(0.3582*LN(C157)-0.2221)*T157,0.05),"Need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945</v>
      </c>
      <c r="Y157" s="4" t="s">
        <v>56</v>
      </c>
      <c r="Z157" s="4">
        <v>0</v>
      </c>
      <c r="AA157" s="4">
        <v>0</v>
      </c>
      <c r="AB157" s="4">
        <v>0</v>
      </c>
      <c r="AC157" s="4" t="s">
        <v>45</v>
      </c>
      <c r="AD157" s="4" t="s">
        <v>45</v>
      </c>
      <c r="AE157" s="28" t="s">
        <v>394</v>
      </c>
      <c r="AF157" s="4" t="str">
        <f>Animals!C20</f>
        <v>&lt;li&gt;Cat&lt;/li&gt;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4" t="s">
        <v>40</v>
      </c>
      <c r="AM157" s="8">
        <f t="shared" si="67"/>
        <v>2982.4776149516515</v>
      </c>
      <c r="AN157" s="8">
        <f>IFERROR(C157*_xlfn.XLOOKUP(E157,Groups!A:A,Groups!K:K),0.106*C157^0.94)</f>
        <v>0.57073125000000002</v>
      </c>
      <c r="AO157" s="8">
        <f>AN157*10000/(_xlfn.XLOOKUP(E157,Groups!A:A,Groups!J:J)*AM157)</f>
        <v>1.755609660743874</v>
      </c>
      <c r="AP157" s="8">
        <f t="shared" si="68"/>
        <v>196.45953442343205</v>
      </c>
      <c r="AQ157" s="8">
        <f>IF(_xlfn.XLOOKUP(E157,Groups!A:A,Groups!M:M)=1,EXP(0.7444*LN('Base stats'!C157)+6.5696),EXP(0.7927*LN('Base stats'!C157)+4.28))</f>
        <v>241.14174884817575</v>
      </c>
      <c r="AR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"No")))))))))))))))</f>
        <v>336.69655329553518</v>
      </c>
      <c r="AS157" s="8">
        <f>IF(_xlfn.XLOOKUP(E157,Groups!A:A,Groups!U:U)=3,AQ157,IF(_xlfn.XLOOKUP(E157,Groups!A:A,Groups!U:U)=2,AP157,AR157))</f>
        <v>336.69655329553518</v>
      </c>
      <c r="AT157" s="46">
        <f>IFERROR(AVERAGE(_xlfn.XLOOKUP(B157,Animals!B:B,Animals!N:N),_xlfn.XLOOKUP(B157,Animals!B:B,Animals!O:O)),0)</f>
        <v>0</v>
      </c>
      <c r="AU157" s="8">
        <f>MROUND(40*Animals!AO157*_xlfn.XLOOKUP(Animals!BB157,Leathers!$A$2:$A$100,Leathers!$B$2:$B$100,0)+(140*_xlfn.XLOOKUP(B157,Animals!B:B,Animals!AO:AO)*2),5)</f>
        <v>105</v>
      </c>
      <c r="AV157" s="8">
        <f>IFERROR(ROUND(SQRT(V157-1)*IF(_xlfn.XLOOKUP(E157,Groups!A:A,Groups!BF:BF)=0,2,1)*IF(_xlfn.XLOOKUP('Base stats'!E157,Groups!A:A,Groups!O:O)=0,1,0.1),1),0)</f>
        <v>1</v>
      </c>
      <c r="AW157" s="8">
        <f t="shared" si="69"/>
        <v>0.4</v>
      </c>
      <c r="AX157" s="8">
        <f t="shared" si="70"/>
        <v>0</v>
      </c>
      <c r="AY157" s="8">
        <f t="shared" si="71"/>
        <v>1.1000000000000001</v>
      </c>
      <c r="AZ157" s="8">
        <f>IF(_xlfn.XLOOKUP(E157,Groups!A:A,Groups!N:N)="Insect",BB157*2.5,IFERROR(AVERAGE(BB157,AR157/9.81/IF(OR(_xlfn.XLOOKUP(E157,Groups!A:A,Groups!N:N)="Pig",_xlfn.XLOOKUP(E157,Groups!A:A,Groups!N:N)="StrongBitingHerbivore"),20,25))*C157^-0.135,BB157))</f>
        <v>0.61552428586446339</v>
      </c>
      <c r="BA157" s="8" t="str">
        <f>IF(W157="No","No",IF(_xlfn.XLOOKUP(E157,Groups!A:A,Groups!U:U)=1,'Base stats'!AZ157,IF(OR(_xlfn.XLOOKUP(E157,Groups!A:A,Groups!BD:BD)=1,_xlfn.XLOOKUP(E157,Groups!A:A,Groups!U:U)=2),BB157,IF(_xlfn.XLOOKUP(B157,Animals!B:B,Animals!AO:AO)&gt;4,AVERAGE(BB157,BD157),BD157))))</f>
        <v>No</v>
      </c>
      <c r="BB157" s="8">
        <f t="shared" si="72"/>
        <v>0.13869827820527736</v>
      </c>
      <c r="BC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D157" s="8">
        <f>(0.048*C157^1.01)/IF(_xlfn.XLOOKUP(E157,Groups!A:A,Groups!M:M)=1,0.25,0.8)*C157^-0.25</f>
        <v>0.19056734578138307</v>
      </c>
      <c r="BE157" s="8">
        <f>EXP(1.076*LN(AP157)-4.5397)*IF(_xlfn.XLOOKUP(E157,Groups!A:A,Groups!BC:BC)=1,1.25,IF(_xlfn.XLOOKUP(E157,Groups!A:A,Groups!BD:BD)=1,3.5,2.5))</f>
        <v>7.8331278690013058</v>
      </c>
      <c r="BF157" s="8">
        <f>EXP(1.076*LN(AQ157)-4.5397)*IF(_xlfn.XLOOKUP(E157,Groups!A:A,Groups!M:M)=1,0.8,IF(_xlfn.XLOOKUP(E157,Groups!A:A,Groups!BC:BC)=1,1.3,3))</f>
        <v>11.718707229744618</v>
      </c>
      <c r="BG157" s="8" t="str">
        <f>IF(W157="No","No",IF(_xlfn.XLOOKUP(E157,Groups!A:A,Groups!U:U)=1,'Base stats'!BH157,IF(OR(_xlfn.XLOOKUP(E157,Groups!A:A,Groups!BD:BD)=1,_xlfn.XLOOKUP(E157,Groups!A:A,Groups!U:U)=2),BE157,BF157))*1.2)</f>
        <v>No</v>
      </c>
      <c r="BH157" s="8">
        <f>IFERROR(EXP(1.076*LN(AR157)-4.5397)*IF(_xlfn.XLOOKUP(E157,Groups!A:A,Groups!N:N)="Insect",1,IF(OR(_xlfn.XLOOKUP(E157,Groups!A:A,Groups!N:N)="Pig",_xlfn.XLOOKUP(E157,Groups!A:A,Groups!N:N)="StrongBitingHerbivore"),3.5,3.75)),"No")</f>
        <v>20.978451003083897</v>
      </c>
      <c r="BI157" s="8">
        <f t="shared" si="77"/>
        <v>10</v>
      </c>
      <c r="BJ157" s="8">
        <f t="shared" si="78"/>
        <v>10</v>
      </c>
      <c r="BK157" s="8" t="str">
        <f t="shared" si="73"/>
        <v>No</v>
      </c>
      <c r="BL157" s="8">
        <f t="shared" si="74"/>
        <v>8</v>
      </c>
      <c r="BM157" s="8">
        <f t="shared" si="79"/>
        <v>11</v>
      </c>
      <c r="BN157" s="8" cm="1">
        <f t="array" ref="BN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O157" s="8" t="str">
        <f>IF(W157="No","No",IF(_xlfn.XLOOKUP(E157,Groups!A:A,Groups!BD:BD)=1,(AM157*5%),EXP(0.7354*LN(C157)^0.4078)*2/IF(_xlfn.XLOOKUP(E157,Groups!A:A,Groups!BL:BL)=1,1000,100)))</f>
        <v>No</v>
      </c>
      <c r="BP157" s="8">
        <f>IF(BH157="No","No",IF(_xlfn.XLOOKUP(E157,Groups!A:A,Groups!BF:BF)=1,(0.0315*C157+2.1825)*2,(0.7354*C157^0.4078)*2)/IF(_xlfn.XLOOKUP(E157,Groups!A:A,Groups!BM:BM)=1,1000,100))</f>
        <v>2.7343941177838019E-2</v>
      </c>
      <c r="BQ157" s="8">
        <f t="shared" si="75"/>
        <v>5.2527655729803606E-2</v>
      </c>
      <c r="BR157" s="8">
        <f t="shared" si="80"/>
        <v>428.56686801398291</v>
      </c>
      <c r="BS157" s="8" t="str">
        <f t="shared" si="76"/>
        <v>No</v>
      </c>
      <c r="BT157" s="8">
        <f t="shared" si="81"/>
        <v>767.20655836133506</v>
      </c>
      <c r="BU157" s="4">
        <v>0</v>
      </c>
      <c r="BV157" s="4">
        <v>1</v>
      </c>
    </row>
    <row r="158" spans="1:74" x14ac:dyDescent="0.25">
      <c r="A158" s="26" t="s">
        <v>902</v>
      </c>
      <c r="B158" s="6" t="s">
        <v>923</v>
      </c>
      <c r="C158" s="7">
        <v>4.5</v>
      </c>
      <c r="D158" s="7" t="s">
        <v>1180</v>
      </c>
      <c r="E158" s="7" t="s">
        <v>75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520</v>
      </c>
      <c r="L158" s="7">
        <f t="shared" si="82"/>
        <v>42.871352170257147</v>
      </c>
      <c r="M158" s="7" t="s">
        <v>638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IF(AR158="No","No",IF(_xlfn.XLOOKUP(E158,Groups!A:A,Groups!AM:AM)=1,MROUND(EXP(0.3582*LN(C158)-0.2221)*T158,0.05),IF(_xlfn.XLOOKUP(E158,Groups!A:A,Groups!AM:AM)=2,MROUND(EXP(0.3582*LN(C158)-0.2221)*T158,0.05),"Need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945</v>
      </c>
      <c r="Y158" s="4" t="s">
        <v>56</v>
      </c>
      <c r="Z158" s="4">
        <v>0</v>
      </c>
      <c r="AA158" s="4">
        <v>0</v>
      </c>
      <c r="AB158" s="4">
        <v>0</v>
      </c>
      <c r="AC158" s="4" t="s">
        <v>45</v>
      </c>
      <c r="AD158" s="4" t="s">
        <v>45</v>
      </c>
      <c r="AE158" s="28" t="s">
        <v>394</v>
      </c>
      <c r="AF158" s="4" t="str">
        <f>Animals!C20</f>
        <v>&lt;li&gt;Cat&lt;/li&gt;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4" t="s">
        <v>40</v>
      </c>
      <c r="AM158" s="8">
        <f t="shared" si="67"/>
        <v>2950.6052630710305</v>
      </c>
      <c r="AN158" s="8">
        <f>IFERROR(C158*_xlfn.XLOOKUP(E158,Groups!A:A,Groups!K:K),0.106*C158^0.94)</f>
        <v>0.56137499999999996</v>
      </c>
      <c r="AO158" s="8">
        <f>AN158*10000/(_xlfn.XLOOKUP(E158,Groups!A:A,Groups!J:J)*AM158)</f>
        <v>1.7454823328138902</v>
      </c>
      <c r="AP158" s="8">
        <f t="shared" si="68"/>
        <v>193.73556787208551</v>
      </c>
      <c r="AQ158" s="8">
        <f>IF(_xlfn.XLOOKUP(E158,Groups!A:A,Groups!M:M)=1,EXP(0.7444*LN('Base stats'!C158)+6.5696),EXP(0.7927*LN('Base stats'!C158)+4.28))</f>
        <v>238.00273195891231</v>
      </c>
      <c r="AR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"No")))))))))))))))</f>
        <v>332.35981357102617</v>
      </c>
      <c r="AS158" s="8">
        <f>IF(_xlfn.XLOOKUP(E158,Groups!A:A,Groups!U:U)=3,AQ158,IF(_xlfn.XLOOKUP(E158,Groups!A:A,Groups!U:U)=2,AP158,AR158))</f>
        <v>332.35981357102617</v>
      </c>
      <c r="AT158" s="46">
        <f>IFERROR(AVERAGE(_xlfn.XLOOKUP(B158,Animals!B:B,Animals!N:N),_xlfn.XLOOKUP(B158,Animals!B:B,Animals!O:O)),0)</f>
        <v>0</v>
      </c>
      <c r="AU158" s="8">
        <f>MROUND(40*Animals!AO158*_xlfn.XLOOKUP(Animals!BB158,Leathers!$A$2:$A$100,Leathers!$B$2:$B$100,0)+(140*_xlfn.XLOOKUP(B158,Animals!B:B,Animals!AO:AO)*2),5)</f>
        <v>105</v>
      </c>
      <c r="AV158" s="8">
        <f>IFERROR(ROUND(SQRT(V158-1)*IF(_xlfn.XLOOKUP(E158,Groups!A:A,Groups!BF:BF)=0,2,1)*IF(_xlfn.XLOOKUP('Base stats'!E158,Groups!A:A,Groups!O:O)=0,1,0.1),1),0)</f>
        <v>1</v>
      </c>
      <c r="AW158" s="8">
        <f t="shared" si="69"/>
        <v>0.4</v>
      </c>
      <c r="AX158" s="8">
        <f t="shared" si="70"/>
        <v>0</v>
      </c>
      <c r="AY158" s="8">
        <f t="shared" si="71"/>
        <v>1</v>
      </c>
      <c r="AZ158" s="8">
        <f>IF(_xlfn.XLOOKUP(E158,Groups!A:A,Groups!N:N)="Insect",BB158*2.5,IFERROR(AVERAGE(BB158,AR158/9.81/IF(OR(_xlfn.XLOOKUP(E158,Groups!A:A,Groups!N:N)="Pig",_xlfn.XLOOKUP(E158,Groups!A:A,Groups!N:N)="StrongBitingHerbivore"),20,25))*C158^-0.135,BB158))</f>
        <v>0.60891039454806106</v>
      </c>
      <c r="BA158" s="8" t="str">
        <f>IF(W158="No","No",IF(_xlfn.XLOOKUP(E158,Groups!A:A,Groups!U:U)=1,'Base stats'!AZ158,IF(OR(_xlfn.XLOOKUP(E158,Groups!A:A,Groups!BD:BD)=1,_xlfn.XLOOKUP(E158,Groups!A:A,Groups!U:U)=2),BB158,IF(_xlfn.XLOOKUP(B158,Animals!B:B,Animals!AO:AO)&gt;4,AVERAGE(BB158,BD158),BD158))))</f>
        <v>No</v>
      </c>
      <c r="BB158" s="8">
        <f t="shared" si="72"/>
        <v>0.1368061641182855</v>
      </c>
      <c r="BC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D158" s="8">
        <f>(0.048*C158^1.01)/IF(_xlfn.XLOOKUP(E158,Groups!A:A,Groups!M:M)=1,0.25,0.8)*C158^-0.25</f>
        <v>0.18818836143592041</v>
      </c>
      <c r="BE158" s="8">
        <f>EXP(1.076*LN(AP158)-4.5397)*IF(_xlfn.XLOOKUP(E158,Groups!A:A,Groups!BC:BC)=1,1.25,IF(_xlfn.XLOOKUP(E158,Groups!A:A,Groups!BD:BD)=1,3.5,2.5))</f>
        <v>7.716326944216144</v>
      </c>
      <c r="BF158" s="8">
        <f>EXP(1.076*LN(AQ158)-4.5397)*IF(_xlfn.XLOOKUP(E158,Groups!A:A,Groups!M:M)=1,0.8,IF(_xlfn.XLOOKUP(E158,Groups!A:A,Groups!BC:BC)=1,1.3,3))</f>
        <v>11.55464920650892</v>
      </c>
      <c r="BG158" s="8" t="str">
        <f>IF(W158="No","No",IF(_xlfn.XLOOKUP(E158,Groups!A:A,Groups!U:U)=1,'Base stats'!BH158,IF(OR(_xlfn.XLOOKUP(E158,Groups!A:A,Groups!BD:BD)=1,_xlfn.XLOOKUP(E158,Groups!A:A,Groups!U:U)=2),BE158,BF158))*1.2)</f>
        <v>No</v>
      </c>
      <c r="BH158" s="8">
        <f>IFERROR(EXP(1.076*LN(AR158)-4.5397)*IF(_xlfn.XLOOKUP(E158,Groups!A:A,Groups!N:N)="Insect",1,IF(OR(_xlfn.XLOOKUP(E158,Groups!A:A,Groups!N:N)="Pig",_xlfn.XLOOKUP(E158,Groups!A:A,Groups!N:N)="StrongBitingHerbivore"),3.5,3.75)),"No")</f>
        <v>20.687850133006499</v>
      </c>
      <c r="BI158" s="8">
        <f t="shared" si="77"/>
        <v>10</v>
      </c>
      <c r="BJ158" s="8">
        <f t="shared" si="78"/>
        <v>10</v>
      </c>
      <c r="BK158" s="8" t="str">
        <f t="shared" si="73"/>
        <v>No</v>
      </c>
      <c r="BL158" s="8">
        <f t="shared" si="74"/>
        <v>8</v>
      </c>
      <c r="BM158" s="8">
        <f t="shared" si="79"/>
        <v>11</v>
      </c>
      <c r="BN158" s="8" cm="1">
        <f t="array" ref="BN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O158" s="8" t="str">
        <f>IF(W158="No","No",IF(_xlfn.XLOOKUP(E158,Groups!A:A,Groups!BD:BD)=1,(AM158*5%),EXP(0.7354*LN(C158)^0.4078)*2/IF(_xlfn.XLOOKUP(E158,Groups!A:A,Groups!BL:BL)=1,1000,100)))</f>
        <v>No</v>
      </c>
      <c r="BP158" s="8">
        <f>IF(BH158="No","No",IF(_xlfn.XLOOKUP(E158,Groups!A:A,Groups!BF:BF)=1,(0.0315*C158+2.1825)*2,(0.7354*C158^0.4078)*2)/IF(_xlfn.XLOOKUP(E158,Groups!A:A,Groups!BM:BM)=1,1000,100))</f>
        <v>2.7160245069965436E-2</v>
      </c>
      <c r="BQ158" s="8">
        <f t="shared" si="75"/>
        <v>5.2303349694325998E-2</v>
      </c>
      <c r="BR158" s="8">
        <f t="shared" si="80"/>
        <v>425.4250717084426</v>
      </c>
      <c r="BS158" s="8" t="str">
        <f t="shared" si="76"/>
        <v>No</v>
      </c>
      <c r="BT158" s="8">
        <f t="shared" si="81"/>
        <v>761.69600383627267</v>
      </c>
      <c r="BU158" s="4">
        <v>0</v>
      </c>
      <c r="BV158" s="4">
        <v>1</v>
      </c>
    </row>
    <row r="159" spans="1:74" x14ac:dyDescent="0.25">
      <c r="A159" s="26" t="s">
        <v>903</v>
      </c>
      <c r="B159" s="6" t="s">
        <v>924</v>
      </c>
      <c r="C159" s="7">
        <f>AVERAGE(3.5,7)</f>
        <v>5.25</v>
      </c>
      <c r="D159" s="7" t="s">
        <v>1179</v>
      </c>
      <c r="E159" s="7" t="s">
        <v>75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520</v>
      </c>
      <c r="L159" s="7">
        <f t="shared" si="82"/>
        <v>43.463575034767231</v>
      </c>
      <c r="M159" s="7" t="s">
        <v>638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IF(AR159="No","No",IF(_xlfn.XLOOKUP(E159,Groups!A:A,Groups!AM:AM)=1,MROUND(EXP(0.3582*LN(C159)-0.2221)*T159,0.05),IF(_xlfn.XLOOKUP(E159,Groups!A:A,Groups!AM:AM)=2,MROUND(EXP(0.3582*LN(C159)-0.2221)*T159,0.05),"Need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945</v>
      </c>
      <c r="Y159" s="4" t="s">
        <v>56</v>
      </c>
      <c r="Z159" s="4">
        <v>0</v>
      </c>
      <c r="AA159" s="4">
        <v>0</v>
      </c>
      <c r="AB159" s="4">
        <v>0</v>
      </c>
      <c r="AC159" s="4" t="s">
        <v>45</v>
      </c>
      <c r="AD159" s="4" t="s">
        <v>45</v>
      </c>
      <c r="AE159" s="28" t="s">
        <v>394</v>
      </c>
      <c r="AF159" s="4" t="str">
        <f>Animals!C20</f>
        <v>&lt;li&gt;Cat&lt;/li&gt;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4" t="s">
        <v>40</v>
      </c>
      <c r="AM159" s="8">
        <f t="shared" si="67"/>
        <v>3261.5686646339173</v>
      </c>
      <c r="AN159" s="8">
        <f>IFERROR(C159*_xlfn.XLOOKUP(E159,Groups!A:A,Groups!K:K),0.106*C159^0.94)</f>
        <v>0.65493749999999995</v>
      </c>
      <c r="AO159" s="8">
        <f>AN159*10000/(_xlfn.XLOOKUP(E159,Groups!A:A,Groups!J:J)*AM159)</f>
        <v>1.8422426553774867</v>
      </c>
      <c r="AP159" s="8">
        <f t="shared" si="68"/>
        <v>220.67813921262933</v>
      </c>
      <c r="AQ159" s="8">
        <f>IF(_xlfn.XLOOKUP(E159,Groups!A:A,Groups!M:M)=1,EXP(0.7444*LN('Base stats'!C159)+6.5696),EXP(0.7927*LN('Base stats'!C159)+4.28))</f>
        <v>268.93706586121436</v>
      </c>
      <c r="AR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"No")))))))))))))))</f>
        <v>375.07219823293701</v>
      </c>
      <c r="AS159" s="8">
        <f>IF(_xlfn.XLOOKUP(E159,Groups!A:A,Groups!U:U)=3,AQ159,IF(_xlfn.XLOOKUP(E159,Groups!A:A,Groups!U:U)=2,AP159,AR159))</f>
        <v>375.07219823293701</v>
      </c>
      <c r="AT159" s="46">
        <f>IFERROR(AVERAGE(_xlfn.XLOOKUP(B159,Animals!B:B,Animals!N:N),_xlfn.XLOOKUP(B159,Animals!B:B,Animals!O:O)),0)</f>
        <v>0</v>
      </c>
      <c r="AU159" s="8">
        <f>MROUND(40*Animals!AO159*_xlfn.XLOOKUP(Animals!BB159,Leathers!$A$2:$A$100,Leathers!$B$2:$B$100,0)+(140*_xlfn.XLOOKUP(B159,Animals!B:B,Animals!AO:AO)*2),5)</f>
        <v>105</v>
      </c>
      <c r="AV159" s="8">
        <f>IFERROR(ROUND(SQRT(V159-1)*IF(_xlfn.XLOOKUP(E159,Groups!A:A,Groups!BF:BF)=0,2,1)*IF(_xlfn.XLOOKUP('Base stats'!E159,Groups!A:A,Groups!O:O)=0,1,0.1),1),0)</f>
        <v>1.1000000000000001</v>
      </c>
      <c r="AW159" s="8">
        <f t="shared" si="69"/>
        <v>0.4</v>
      </c>
      <c r="AX159" s="8">
        <f t="shared" si="70"/>
        <v>0</v>
      </c>
      <c r="AY159" s="8">
        <f t="shared" si="71"/>
        <v>1.1000000000000001</v>
      </c>
      <c r="AZ159" s="8">
        <f>IF(_xlfn.XLOOKUP(E159,Groups!A:A,Groups!N:N)="Insect",BB159*2.5,IFERROR(AVERAGE(BB159,AR159/9.81/IF(OR(_xlfn.XLOOKUP(E159,Groups!A:A,Groups!N:N)="Pig",_xlfn.XLOOKUP(E159,Groups!A:A,Groups!N:N)="StrongBitingHerbivore"),20,25))*C159^-0.135,BB159))</f>
        <v>0.67345650068859608</v>
      </c>
      <c r="BA159" s="8" t="str">
        <f>IF(W159="No","No",IF(_xlfn.XLOOKUP(E159,Groups!A:A,Groups!U:U)=1,'Base stats'!AZ159,IF(OR(_xlfn.XLOOKUP(E159,Groups!A:A,Groups!BD:BD)=1,_xlfn.XLOOKUP(E159,Groups!A:A,Groups!U:U)=2),BB159,IF(_xlfn.XLOOKUP(B159,Animals!B:B,Animals!AO:AO)&gt;4,AVERAGE(BB159,BD159),BD159))))</f>
        <v>No</v>
      </c>
      <c r="BB159" s="8">
        <f t="shared" si="72"/>
        <v>0.15550288405953519</v>
      </c>
      <c r="BC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D159" s="8">
        <f>(0.048*C159^1.01)/IF(_xlfn.XLOOKUP(E159,Groups!A:A,Groups!M:M)=1,0.25,0.8)*C159^-0.25</f>
        <v>0.21157888347035275</v>
      </c>
      <c r="BE159" s="8">
        <f>EXP(1.076*LN(AP159)-4.5397)*IF(_xlfn.XLOOKUP(E159,Groups!A:A,Groups!BC:BC)=1,1.25,IF(_xlfn.XLOOKUP(E159,Groups!A:A,Groups!BD:BD)=1,3.5,2.5))</f>
        <v>8.8768395547731256</v>
      </c>
      <c r="BF159" s="8">
        <f>EXP(1.076*LN(AQ159)-4.5397)*IF(_xlfn.XLOOKUP(E159,Groups!A:A,Groups!M:M)=1,0.8,IF(_xlfn.XLOOKUP(E159,Groups!A:A,Groups!BC:BC)=1,1.3,3))</f>
        <v>13.178279305671431</v>
      </c>
      <c r="BG159" s="8" t="str">
        <f>IF(W159="No","No",IF(_xlfn.XLOOKUP(E159,Groups!A:A,Groups!U:U)=1,'Base stats'!BH159,IF(OR(_xlfn.XLOOKUP(E159,Groups!A:A,Groups!BD:BD)=1,_xlfn.XLOOKUP(E159,Groups!A:A,Groups!U:U)=2),BE159,BF159))*1.2)</f>
        <v>No</v>
      </c>
      <c r="BH159" s="8">
        <f>IFERROR(EXP(1.076*LN(AR159)-4.5397)*IF(_xlfn.XLOOKUP(E159,Groups!A:A,Groups!N:N)="Insect",1,IF(OR(_xlfn.XLOOKUP(E159,Groups!A:A,Groups!N:N)="Pig",_xlfn.XLOOKUP(E159,Groups!A:A,Groups!N:N)="StrongBitingHerbivore"),3.5,3.75)),"No")</f>
        <v>23.562003297721184</v>
      </c>
      <c r="BI159" s="8">
        <f t="shared" si="77"/>
        <v>10</v>
      </c>
      <c r="BJ159" s="8">
        <f t="shared" si="78"/>
        <v>10</v>
      </c>
      <c r="BK159" s="8" t="str">
        <f t="shared" si="73"/>
        <v>No</v>
      </c>
      <c r="BL159" s="8">
        <f t="shared" si="74"/>
        <v>8</v>
      </c>
      <c r="BM159" s="8">
        <f t="shared" si="79"/>
        <v>11</v>
      </c>
      <c r="BN159" s="8" cm="1">
        <f t="array" ref="BN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O159" s="8" t="str">
        <f>IF(W159="No","No",IF(_xlfn.XLOOKUP(E159,Groups!A:A,Groups!BD:BD)=1,(AM159*5%),EXP(0.7354*LN(C159)^0.4078)*2/IF(_xlfn.XLOOKUP(E159,Groups!A:A,Groups!BL:BL)=1,1000,100)))</f>
        <v>No</v>
      </c>
      <c r="BP159" s="8">
        <f>IF(BH159="No","No",IF(_xlfn.XLOOKUP(E159,Groups!A:A,Groups!BF:BF)=1,(0.0315*C159+2.1825)*2,(0.7354*C159^0.4078)*2)/IF(_xlfn.XLOOKUP(E159,Groups!A:A,Groups!BM:BM)=1,1000,100))</f>
        <v>2.8922417112775739E-2</v>
      </c>
      <c r="BQ159" s="8">
        <f t="shared" si="75"/>
        <v>5.4432946030093611E-2</v>
      </c>
      <c r="BR159" s="8">
        <f t="shared" si="80"/>
        <v>455.64239165371356</v>
      </c>
      <c r="BS159" s="8" t="str">
        <f t="shared" si="76"/>
        <v>No</v>
      </c>
      <c r="BT159" s="8">
        <f t="shared" si="81"/>
        <v>814.66231559578989</v>
      </c>
      <c r="BU159" s="4">
        <v>0</v>
      </c>
      <c r="BV159" s="4">
        <v>1</v>
      </c>
    </row>
    <row r="160" spans="1:74" x14ac:dyDescent="0.25">
      <c r="A160" s="26" t="s">
        <v>463</v>
      </c>
      <c r="B160" s="6" t="s">
        <v>464</v>
      </c>
      <c r="C160" s="7">
        <v>10000</v>
      </c>
      <c r="D160" s="7" t="s">
        <v>538</v>
      </c>
      <c r="E160" s="7" t="str">
        <f>Groups!A33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538</v>
      </c>
      <c r="L160" s="7">
        <f t="shared" si="82"/>
        <v>40.857631515333281</v>
      </c>
      <c r="M160" s="7" t="s">
        <v>638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945</v>
      </c>
      <c r="Y160" s="4" t="s">
        <v>56</v>
      </c>
      <c r="Z160" s="4">
        <v>0</v>
      </c>
      <c r="AA160" s="4">
        <v>0</v>
      </c>
      <c r="AB160" s="4">
        <v>0</v>
      </c>
      <c r="AC160" s="4" t="s">
        <v>45</v>
      </c>
      <c r="AD160" s="4" t="s">
        <v>45</v>
      </c>
      <c r="AE160" s="28" t="s">
        <v>465</v>
      </c>
      <c r="AF160" s="4" t="s">
        <v>45</v>
      </c>
      <c r="AG160" s="4">
        <v>0</v>
      </c>
      <c r="AH160" s="4">
        <v>0</v>
      </c>
      <c r="AI160" s="4">
        <v>0</v>
      </c>
      <c r="AJ160" s="4">
        <v>1</v>
      </c>
      <c r="AK160" s="4">
        <v>1</v>
      </c>
      <c r="AL160" s="44" t="s">
        <v>40</v>
      </c>
      <c r="AM160" s="8">
        <f t="shared" si="67"/>
        <v>441898.95931438234</v>
      </c>
      <c r="AN160" s="8">
        <f>IFERROR(C160*_xlfn.XLOOKUP(E160,Groups!A:A,Groups!K:K),0.106*C160^0.94)</f>
        <v>609.96633357738608</v>
      </c>
      <c r="AO160" s="8">
        <f>AN160*10000/(_xlfn.XLOOKUP(E160,Groups!A:A,Groups!J:J)*AM160)</f>
        <v>12.663576799658493</v>
      </c>
      <c r="AP160" s="8">
        <f t="shared" si="68"/>
        <v>130089.05224741565</v>
      </c>
      <c r="AQ160" s="8">
        <f>IF(_xlfn.XLOOKUP(E160,Groups!A:A,Groups!M:M)=1,EXP(0.7444*LN('Base stats'!C160)+6.5696),EXP(0.7927*LN('Base stats'!C160)+4.28))</f>
        <v>107048.44980386966</v>
      </c>
      <c r="AR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"No")))))))))))))))</f>
        <v>67208.889531771376</v>
      </c>
      <c r="AS160" s="8">
        <f>IF(_xlfn.XLOOKUP(E160,Groups!A:A,Groups!U:U)=3,AQ160,IF(_xlfn.XLOOKUP(E160,Groups!A:A,Groups!U:U)=2,AP160,AR160))</f>
        <v>67208.889531771376</v>
      </c>
      <c r="AT160" s="46">
        <f>IFERROR(AVERAGE(_xlfn.XLOOKUP(B160,Animals!B:B,Animals!N:N),_xlfn.XLOOKUP(B160,Animals!B:B,Animals!O:O)),0)</f>
        <v>1.3</v>
      </c>
      <c r="AU160" s="8">
        <f>MROUND(40*Animals!AO160*_xlfn.XLOOKUP(Animals!BB160,Leathers!$A$2:$A$100,Leathers!$B$2:$B$100,0)+(140*_xlfn.XLOOKUP(B160,Animals!B:B,Animals!AO:AO)*2),5)</f>
        <v>7280</v>
      </c>
      <c r="AV160" s="8">
        <f>IFERROR(ROUND(SQRT(V160-1)*IF(_xlfn.XLOOKUP(E160,Groups!A:A,Groups!BF:BF)=0,2,1)*IF(_xlfn.XLOOKUP('Base stats'!E160,Groups!A:A,Groups!O:O)=0,1,0.1),1),0)</f>
        <v>4</v>
      </c>
      <c r="AW160" s="8">
        <f t="shared" si="69"/>
        <v>3</v>
      </c>
      <c r="AX160" s="8">
        <f t="shared" si="70"/>
        <v>0</v>
      </c>
      <c r="AY160" s="8">
        <f t="shared" si="71"/>
        <v>21.7</v>
      </c>
      <c r="AZ160" s="8">
        <f>IF(_xlfn.XLOOKUP(E160,Groups!A:A,Groups!N:N)="Insect",BB160*2.5,IFERROR(AVERAGE(BB160,AR160/9.81/IF(OR(_xlfn.XLOOKUP(E160,Groups!A:A,Groups!N:N)="Pig",_xlfn.XLOOKUP(E160,Groups!A:A,Groups!N:N)="StrongBitingHerbivore"),20,25))*C160^-0.135,BB160))</f>
        <v>51.436786432766141</v>
      </c>
      <c r="BA160" s="8" t="str">
        <f>IF(W160="No","No",IF(_xlfn.XLOOKUP(E160,Groups!A:A,Groups!U:U)=1,'Base stats'!AZ160,IF(OR(_xlfn.XLOOKUP(E160,Groups!A:A,Groups!BD:BD)=1,_xlfn.XLOOKUP(E160,Groups!A:A,Groups!U:U)=2),BB160,IF(_xlfn.XLOOKUP(B160,Animals!B:B,Animals!AO:AO)&gt;4,AVERAGE(BB160,BD160),BD160))))</f>
        <v>No</v>
      </c>
      <c r="BB160" s="8">
        <f t="shared" si="72"/>
        <v>82.658223477384908</v>
      </c>
      <c r="BC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D160" s="8">
        <f>(0.048*C160^1.01)/IF(_xlfn.XLOOKUP(E160,Groups!A:A,Groups!M:M)=1,0.25,0.8)*C160^-0.25</f>
        <v>65.788691768591107</v>
      </c>
      <c r="BE160" s="8">
        <f>EXP(1.076*LN(AP160)-4.5397)*IF(_xlfn.XLOOKUP(E160,Groups!A:A,Groups!BC:BC)=1,1.25,IF(_xlfn.XLOOKUP(E160,Groups!A:A,Groups!BD:BD)=1,3.5,2.5))</f>
        <v>8497.6021867907875</v>
      </c>
      <c r="BF160" s="8">
        <f>EXP(1.076*LN(AQ160)-4.5397)*IF(_xlfn.XLOOKUP(E160,Groups!A:A,Groups!M:M)=1,0.8,IF(_xlfn.XLOOKUP(E160,Groups!A:A,Groups!BC:BC)=1,1.3,3))</f>
        <v>8267.6691089400374</v>
      </c>
      <c r="BG160" s="8" t="str">
        <f>IF(W160="No","No",IF(_xlfn.XLOOKUP(E160,Groups!A:A,Groups!U:U)=1,'Base stats'!BH160,IF(OR(_xlfn.XLOOKUP(E160,Groups!A:A,Groups!BD:BD)=1,_xlfn.XLOOKUP(E160,Groups!A:A,Groups!U:U)=2),BE160,BF160))*1.2)</f>
        <v>No</v>
      </c>
      <c r="BH160" s="8">
        <f>IFERROR(EXP(1.076*LN(AR160)-4.5397)*IF(_xlfn.XLOOKUP(E160,Groups!A:A,Groups!N:N)="Insect",1,IF(OR(_xlfn.XLOOKUP(E160,Groups!A:A,Groups!N:N)="Pig",_xlfn.XLOOKUP(E160,Groups!A:A,Groups!N:N)="StrongBitingHerbivore"),3.5,3.75)),"No")</f>
        <v>6262.9040572450376</v>
      </c>
      <c r="BI160" s="8">
        <f t="shared" si="77"/>
        <v>14</v>
      </c>
      <c r="BJ160" s="8">
        <f t="shared" si="78"/>
        <v>17</v>
      </c>
      <c r="BK160" s="8" t="str">
        <f t="shared" si="73"/>
        <v>No</v>
      </c>
      <c r="BL160" s="8">
        <f t="shared" si="74"/>
        <v>15</v>
      </c>
      <c r="BM160" s="8">
        <f t="shared" si="79"/>
        <v>15</v>
      </c>
      <c r="BN160" s="8" cm="1">
        <f t="array" ref="BN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O160" s="8" t="str">
        <f>IF(W160="No","No",IF(_xlfn.XLOOKUP(E160,Groups!A:A,Groups!BD:BD)=1,(AM160*5%),EXP(0.7354*LN(C160)^0.4078)*2/IF(_xlfn.XLOOKUP(E160,Groups!A:A,Groups!BL:BL)=1,1000,100)))</f>
        <v>No</v>
      </c>
      <c r="BP160" s="8">
        <f>IF(BH160="No","No",IF(_xlfn.XLOOKUP(E160,Groups!A:A,Groups!BF:BF)=1,(0.0315*C160+2.1825)*2,(0.7354*C160^0.4078)*2)/IF(_xlfn.XLOOKUP(E160,Groups!A:A,Groups!BM:BM)=1,1000,100))</f>
        <v>6.2914916014378153E-2</v>
      </c>
      <c r="BQ160" s="8">
        <f t="shared" si="75"/>
        <v>0.38459480420479092</v>
      </c>
      <c r="BR160" s="8">
        <f t="shared" si="80"/>
        <v>131410.31781796546</v>
      </c>
      <c r="BS160" s="8" t="str">
        <f t="shared" si="76"/>
        <v>No</v>
      </c>
      <c r="BT160" s="8">
        <f t="shared" si="81"/>
        <v>99545.615793459147</v>
      </c>
      <c r="BU160" s="4">
        <v>0</v>
      </c>
      <c r="BV160" s="4">
        <v>1</v>
      </c>
    </row>
    <row r="161" spans="1:74" x14ac:dyDescent="0.25">
      <c r="A161" s="26" t="s">
        <v>1160</v>
      </c>
      <c r="B161" s="6" t="s">
        <v>1161</v>
      </c>
      <c r="C161" s="7">
        <f>MIN(369,440,389,462)</f>
        <v>369</v>
      </c>
      <c r="D161" s="7" t="s">
        <v>1178</v>
      </c>
      <c r="E161" s="7" t="str">
        <f>Groups!A19</f>
        <v>Felid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538</v>
      </c>
      <c r="L161" s="7">
        <f>MIN(37.5*C161^0.089,79.3*C161^-0.072)</f>
        <v>51.814020065006822</v>
      </c>
      <c r="M161" s="7" t="s">
        <v>638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945</v>
      </c>
      <c r="Y161" s="4" t="s">
        <v>56</v>
      </c>
      <c r="Z161" s="4">
        <v>0</v>
      </c>
      <c r="AA161" s="4">
        <v>0</v>
      </c>
      <c r="AB161" s="4">
        <v>0</v>
      </c>
      <c r="AC161" s="4" t="s">
        <v>45</v>
      </c>
      <c r="AD161" s="4" t="s">
        <v>45</v>
      </c>
      <c r="AE161" s="28" t="s">
        <v>398</v>
      </c>
      <c r="AF161" s="4" t="s">
        <v>45</v>
      </c>
      <c r="AG161" s="4">
        <v>0</v>
      </c>
      <c r="AH161" s="4">
        <v>0</v>
      </c>
      <c r="AI161" s="4">
        <v>0</v>
      </c>
      <c r="AJ161" s="4">
        <v>0</v>
      </c>
      <c r="AK161" s="4">
        <v>1</v>
      </c>
      <c r="AL161" s="44" t="s">
        <v>40</v>
      </c>
      <c r="AM161" s="8">
        <f t="shared" si="67"/>
        <v>51747.588599598166</v>
      </c>
      <c r="AN161" s="8">
        <f>IFERROR(C161*_xlfn.XLOOKUP(E161,Groups!A:A,Groups!K:K),0.106*C161^0.94)</f>
        <v>46.03275</v>
      </c>
      <c r="AO161" s="8">
        <f>AN161*10000/(_xlfn.XLOOKUP(E161,Groups!A:A,Groups!J:J)*AM161)</f>
        <v>8.161130185353775</v>
      </c>
      <c r="AP161" s="8">
        <f t="shared" si="68"/>
        <v>8013.2357735170845</v>
      </c>
      <c r="AQ161" s="8">
        <f>IF(_xlfn.XLOOKUP(E161,Groups!A:A,Groups!M:M)=1,EXP(0.7444*LN('Base stats'!C161)+6.5696),EXP(0.7927*LN('Base stats'!C161)+4.28))</f>
        <v>7828.2048709515466</v>
      </c>
      <c r="AR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"No")))))))))))))))</f>
        <v>6993.1621893135707</v>
      </c>
      <c r="AS161" s="8">
        <f>IF(_xlfn.XLOOKUP(E161,Groups!A:A,Groups!U:U)=3,AQ161,IF(_xlfn.XLOOKUP(E161,Groups!A:A,Groups!U:U)=2,AP161,AR161))</f>
        <v>6993.1621893135707</v>
      </c>
      <c r="AT161" s="46">
        <f>IFERROR(AVERAGE(_xlfn.XLOOKUP(B161,Animals!B:B,Animals!N:N),_xlfn.XLOOKUP(B161,Animals!B:B,Animals!O:O)),0)</f>
        <v>0</v>
      </c>
      <c r="AU161" s="8">
        <f>MROUND(40*Animals!AO161*_xlfn.XLOOKUP(Animals!BB161,Leathers!$A$2:$A$100,Leathers!$B$2:$B$100,0)+(140*_xlfn.XLOOKUP(B161,Animals!B:B,Animals!AO:AO)*2),5)</f>
        <v>1120</v>
      </c>
      <c r="AV161" s="8">
        <f>IFERROR(ROUND(SQRT(V161-1)*IF(_xlfn.XLOOKUP(E161,Groups!A:A,Groups!BF:BF)=0,2,1)*IF(_xlfn.XLOOKUP('Base stats'!E161,Groups!A:A,Groups!O:O)=0,1,0.1),1),0)</f>
        <v>8.1999999999999993</v>
      </c>
      <c r="AW161" s="8">
        <f t="shared" si="69"/>
        <v>3.3</v>
      </c>
      <c r="AX161" s="8">
        <f t="shared" si="70"/>
        <v>0</v>
      </c>
      <c r="AY161" s="8">
        <f t="shared" si="71"/>
        <v>6.7</v>
      </c>
      <c r="AZ161" s="8">
        <f>IF(_xlfn.XLOOKUP(E161,Groups!A:A,Groups!N:N)="Insect",BB161*2.5,IFERROR(AVERAGE(BB161,AR161/9.81/IF(OR(_xlfn.XLOOKUP(E161,Groups!A:A,Groups!N:N)="Pig",_xlfn.XLOOKUP(E161,Groups!A:A,Groups!N:N)="StrongBitingHerbivore"),20,25))*C161^-0.135,BB161))</f>
        <v>7.6185165902802199</v>
      </c>
      <c r="BA161" s="8" t="str">
        <f>IF(W161="No","No",IF(_xlfn.XLOOKUP(E161,Groups!A:A,Groups!U:U)=1,'Base stats'!AZ161,IF(OR(_xlfn.XLOOKUP(E161,Groups!A:A,Groups!BD:BD)=1,_xlfn.XLOOKUP(E161,Groups!A:A,Groups!U:U)=2),BB161,IF(_xlfn.XLOOKUP(B161,Animals!B:B,Animals!AO:AO)&gt;4,AVERAGE(BB161,BD161),BD161))))</f>
        <v>No</v>
      </c>
      <c r="BB161" s="8">
        <f t="shared" si="72"/>
        <v>5.3270279725611278</v>
      </c>
      <c r="BC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D161" s="8">
        <f>(0.048*C161^1.01)/IF(_xlfn.XLOOKUP(E161,Groups!A:A,Groups!M:M)=1,0.25,0.8)*C161^-0.25</f>
        <v>5.3590929376452232</v>
      </c>
      <c r="BE161" s="8">
        <f>EXP(1.076*LN(AP161)-4.5397)*IF(_xlfn.XLOOKUP(E161,Groups!A:A,Groups!BC:BC)=1,1.25,IF(_xlfn.XLOOKUP(E161,Groups!A:A,Groups!BD:BD)=1,3.5,2.5))</f>
        <v>423.51682908933856</v>
      </c>
      <c r="BF161" s="8">
        <f>EXP(1.076*LN(AQ161)-4.5397)*IF(_xlfn.XLOOKUP(E161,Groups!A:A,Groups!M:M)=1,0.8,IF(_xlfn.XLOOKUP(E161,Groups!A:A,Groups!BC:BC)=1,1.3,3))</f>
        <v>495.60434376649175</v>
      </c>
      <c r="BG161" s="8" t="str">
        <f>IF(W161="No","No",IF(_xlfn.XLOOKUP(E161,Groups!A:A,Groups!U:U)=1,'Base stats'!BH161,IF(OR(_xlfn.XLOOKUP(E161,Groups!A:A,Groups!BD:BD)=1,_xlfn.XLOOKUP(E161,Groups!A:A,Groups!U:U)=2),BE161,BF161))*1.2)</f>
        <v>No</v>
      </c>
      <c r="BH161" s="8">
        <f>IFERROR(EXP(1.076*LN(AR161)-4.5397)*IF(_xlfn.XLOOKUP(E161,Groups!A:A,Groups!N:N)="Insect",1,IF(OR(_xlfn.XLOOKUP(E161,Groups!A:A,Groups!N:N)="Pig",_xlfn.XLOOKUP(E161,Groups!A:A,Groups!N:N)="StrongBitingHerbivore"),3.5,3.75)),"No")</f>
        <v>548.69803215002526</v>
      </c>
      <c r="BI161" s="8">
        <f t="shared" si="77"/>
        <v>12</v>
      </c>
      <c r="BJ161" s="8">
        <f t="shared" si="78"/>
        <v>11</v>
      </c>
      <c r="BK161" s="8" t="str">
        <f t="shared" si="73"/>
        <v>No</v>
      </c>
      <c r="BL161" s="8">
        <f t="shared" si="74"/>
        <v>12</v>
      </c>
      <c r="BM161" s="8">
        <f t="shared" si="79"/>
        <v>13</v>
      </c>
      <c r="BN161" s="8" cm="1">
        <f t="array" ref="BN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O161" s="8" t="str">
        <f>IF(W161="No","No",IF(_xlfn.XLOOKUP(E161,Groups!A:A,Groups!BD:BD)=1,(AM161*5%),EXP(0.7354*LN(C161)^0.4078)*2/IF(_xlfn.XLOOKUP(E161,Groups!A:A,Groups!BL:BL)=1,1000,100)))</f>
        <v>No</v>
      </c>
      <c r="BP161" s="8">
        <f>IF(BH161="No","No",IF(_xlfn.XLOOKUP(E161,Groups!A:A,Groups!BF:BF)=1,(0.0315*C161+2.1825)*2,(0.7354*C161^0.4078)*2)/IF(_xlfn.XLOOKUP(E161,Groups!A:A,Groups!BM:BM)=1,1000,100))</f>
        <v>0.16382756387364389</v>
      </c>
      <c r="BQ161" s="8">
        <f t="shared" si="75"/>
        <v>0.16368562885754537</v>
      </c>
      <c r="BR161" s="8">
        <f t="shared" si="80"/>
        <v>3025.1584779026502</v>
      </c>
      <c r="BS161" s="8" t="str">
        <f t="shared" si="76"/>
        <v>No</v>
      </c>
      <c r="BT161" s="8">
        <f t="shared" si="81"/>
        <v>3349.2412337475907</v>
      </c>
      <c r="BU161" s="4">
        <v>0</v>
      </c>
      <c r="BV161" s="4">
        <v>1</v>
      </c>
    </row>
    <row r="162" spans="1:74" s="16" customFormat="1" x14ac:dyDescent="0.25">
      <c r="A162" s="26" t="s">
        <v>1167</v>
      </c>
      <c r="B162" s="6" t="s">
        <v>1164</v>
      </c>
      <c r="C162" s="7">
        <v>1.095</v>
      </c>
      <c r="D162" s="7" t="s">
        <v>1165</v>
      </c>
      <c r="E162" s="7" t="str">
        <f>Groups!A9</f>
        <v>Bird</v>
      </c>
      <c r="F162" s="7" t="str">
        <f t="shared" ref="F162:F170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1165</v>
      </c>
      <c r="L162" s="7">
        <f>10*1.60934</f>
        <v>16.093399999999999</v>
      </c>
      <c r="M162" s="7" t="s">
        <v>640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945</v>
      </c>
      <c r="Y162" s="4" t="s">
        <v>42</v>
      </c>
      <c r="Z162" s="4">
        <v>0</v>
      </c>
      <c r="AA162" s="4">
        <v>0</v>
      </c>
      <c r="AB162" s="4">
        <v>0</v>
      </c>
      <c r="AC162" s="4" t="s">
        <v>45</v>
      </c>
      <c r="AD162" s="4" t="s">
        <v>408</v>
      </c>
      <c r="AE162" s="28" t="s">
        <v>45</v>
      </c>
      <c r="AF162" s="4" t="s">
        <v>45</v>
      </c>
      <c r="AG162" s="4">
        <v>0</v>
      </c>
      <c r="AH162" s="4">
        <v>0</v>
      </c>
      <c r="AI162" s="4">
        <v>0</v>
      </c>
      <c r="AJ162" s="4">
        <v>0</v>
      </c>
      <c r="AK162" s="4">
        <v>1</v>
      </c>
      <c r="AL162" s="44" t="s">
        <v>40</v>
      </c>
      <c r="AM162" s="8">
        <f t="shared" si="67"/>
        <v>1177.4491384447158</v>
      </c>
      <c r="AN162" s="8">
        <f>IFERROR(C162*_xlfn.XLOOKUP(E162,Groups!A:A,Groups!K:K),0.106*C162^0.94)</f>
        <v>0.11543968613278187</v>
      </c>
      <c r="AO162" s="8">
        <f>AN162*10000/(_xlfn.XLOOKUP(E162,Groups!A:A,Groups!J:J)*AM162)</f>
        <v>0.89946958616871342</v>
      </c>
      <c r="AP162" s="8">
        <f t="shared" si="68"/>
        <v>58.712943827064578</v>
      </c>
      <c r="AQ162" s="8">
        <f>IF(_xlfn.XLOOKUP(E162,Groups!A:A,Groups!M:M)=1,EXP(0.7444*LN('Base stats'!C162)+6.5696),EXP(0.7927*LN('Base stats'!C162)+4.28))</f>
        <v>77.628993405123524</v>
      </c>
      <c r="AR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"No")))))))))))))))</f>
        <v>14.967751966566047</v>
      </c>
      <c r="AS162" s="8">
        <f>IF(_xlfn.XLOOKUP(E162,Groups!A:A,Groups!U:U)=3,AQ162,IF(_xlfn.XLOOKUP(E162,Groups!A:A,Groups!U:U)=2,AP162,AR162))</f>
        <v>14.967751966566047</v>
      </c>
      <c r="AT162" s="46">
        <f>IFERROR(AVERAGE(_xlfn.XLOOKUP(B162,Animals!B:B,Animals!N:N),_xlfn.XLOOKUP(B162,Animals!B:B,Animals!O:O)),0)</f>
        <v>0</v>
      </c>
      <c r="AU162" s="8">
        <f>MROUND(40*Animals!AO162*_xlfn.XLOOKUP(Animals!BB162,Leathers!$A$2:$A$100,Leathers!$B$2:$B$100,0)+(140*_xlfn.XLOOKUP(B162,Animals!B:B,Animals!AO:AO)*2),5)</f>
        <v>40</v>
      </c>
      <c r="AV162" s="8">
        <f>IFERROR(ROUND(SQRT(V162-1)*IF(_xlfn.XLOOKUP(E162,Groups!A:A,Groups!BF:BF)=0,2,1)*IF(_xlfn.XLOOKUP('Base stats'!E162,Groups!A:A,Groups!O:O)=0,1,0.1),1),0)</f>
        <v>0</v>
      </c>
      <c r="AW162" s="8">
        <f t="shared" si="69"/>
        <v>0</v>
      </c>
      <c r="AX162" s="8">
        <f t="shared" si="70"/>
        <v>0</v>
      </c>
      <c r="AY162" s="8">
        <f t="shared" si="71"/>
        <v>0.6</v>
      </c>
      <c r="AZ162" s="8">
        <f>IF(_xlfn.XLOOKUP(E162,Groups!A:A,Groups!N:N)="Insect",BB162*2.5,IFERROR(AVERAGE(BB162,AR162/9.81/IF(OR(_xlfn.XLOOKUP(E162,Groups!A:A,Groups!N:N)="Pig",_xlfn.XLOOKUP(E162,Groups!A:A,Groups!N:N)="StrongBitingHerbivore"),20,25))*C162^-0.135,BB162))</f>
        <v>5.0876289940800463E-2</v>
      </c>
      <c r="BA162" s="8" t="str">
        <f>IF(W162="No","No",IF(_xlfn.XLOOKUP(E162,Groups!A:A,Groups!U:U)=1,'Base stats'!AZ162,IF(OR(_xlfn.XLOOKUP(E162,Groups!A:A,Groups!BD:BD)=1,_xlfn.XLOOKUP(E162,Groups!A:A,Groups!U:U)=2),BB162,IF(_xlfn.XLOOKUP(B162,Animals!B:B,Animals!AO:AO)&gt;4,AVERAGE(BB162,BD162),BD162))))</f>
        <v>No</v>
      </c>
      <c r="BB162" s="8">
        <f t="shared" si="72"/>
        <v>4.1976315254226217E-2</v>
      </c>
      <c r="BC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D162" s="8">
        <f>(0.048*C162^1.01)/IF(_xlfn.XLOOKUP(E162,Groups!A:A,Groups!M:M)=1,0.25,0.8)*C162^-0.25</f>
        <v>6.4284457164961284E-2</v>
      </c>
      <c r="BE162" s="8">
        <f>EXP(1.076*LN(AP162)-4.5397)*IF(_xlfn.XLOOKUP(E162,Groups!A:A,Groups!BC:BC)=1,1.25,IF(_xlfn.XLOOKUP(E162,Groups!A:A,Groups!BD:BD)=1,3.5,2.5))</f>
        <v>2.1356544176878636</v>
      </c>
      <c r="BF162" s="8">
        <f>EXP(1.076*LN(AQ162)-4.5397)*IF(_xlfn.XLOOKUP(E162,Groups!A:A,Groups!M:M)=1,0.8,IF(_xlfn.XLOOKUP(E162,Groups!A:A,Groups!BC:BC)=1,1.3,3))</f>
        <v>3.4611495964570245</v>
      </c>
      <c r="BG162" s="8" t="str">
        <f>IF(W162="No","No",IF(_xlfn.XLOOKUP(E162,Groups!A:A,Groups!U:U)=1,'Base stats'!BH162,IF(OR(_xlfn.XLOOKUP(E162,Groups!A:A,Groups!BD:BD)=1,_xlfn.XLOOKUP(E162,Groups!A:A,Groups!U:U)=2),BE162,BF162))*1.2)</f>
        <v>No</v>
      </c>
      <c r="BH162" s="8">
        <f>IFERROR(EXP(1.076*LN(AR162)-4.5397)*IF(_xlfn.XLOOKUP(E162,Groups!A:A,Groups!N:N)="Insect",1,IF(OR(_xlfn.XLOOKUP(E162,Groups!A:A,Groups!N:N)="Pig",_xlfn.XLOOKUP(E162,Groups!A:A,Groups!N:N)="StrongBitingHerbivore"),3.5,3.75)),"No")</f>
        <v>0.73609367485438459</v>
      </c>
      <c r="BI162" s="8">
        <f t="shared" si="77"/>
        <v>10</v>
      </c>
      <c r="BJ162" s="8">
        <f t="shared" si="78"/>
        <v>7</v>
      </c>
      <c r="BK162" s="8" t="str">
        <f t="shared" si="73"/>
        <v>No</v>
      </c>
      <c r="BL162" s="8">
        <f t="shared" si="74"/>
        <v>5</v>
      </c>
      <c r="BM162" s="8">
        <f t="shared" si="79"/>
        <v>10</v>
      </c>
      <c r="BN162" s="8" cm="1">
        <f t="array" ref="BN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O162" s="8" t="str">
        <f>IF(W162="No","No",IF(_xlfn.XLOOKUP(E162,Groups!A:A,Groups!BD:BD)=1,(AM162*5%),EXP(0.7354*LN(C162)^0.4078)*2/IF(_xlfn.XLOOKUP(E162,Groups!A:A,Groups!BL:BL)=1,1000,100)))</f>
        <v>No</v>
      </c>
      <c r="BP162" s="8">
        <f>IF(BH162="No","No",IF(_xlfn.XLOOKUP(E162,Groups!A:A,Groups!BF:BF)=1,(0.0315*C162+2.1825)*2,(0.7354*C162^0.4078)*2)/IF(_xlfn.XLOOKUP(E162,Groups!A:A,Groups!BM:BM)=1,1000,100))</f>
        <v>1.5262535917941055E-2</v>
      </c>
      <c r="BQ162" s="8">
        <f t="shared" si="75"/>
        <v>3.6275951936384006E-2</v>
      </c>
      <c r="BR162" s="8">
        <f t="shared" si="80"/>
        <v>226.77421465645534</v>
      </c>
      <c r="BS162" s="8" t="str">
        <f t="shared" si="76"/>
        <v>No</v>
      </c>
      <c r="BT162" s="8">
        <f t="shared" si="81"/>
        <v>48.2287923063368</v>
      </c>
      <c r="BU162" s="4">
        <v>0</v>
      </c>
      <c r="BV162" s="4">
        <v>1</v>
      </c>
    </row>
    <row r="163" spans="1:74" s="16" customFormat="1" x14ac:dyDescent="0.25">
      <c r="A163" s="26" t="s">
        <v>1176</v>
      </c>
      <c r="B163" s="6" t="s">
        <v>1168</v>
      </c>
      <c r="C163" s="7">
        <v>64.474999999999994</v>
      </c>
      <c r="D163" s="7" t="s">
        <v>1177</v>
      </c>
      <c r="E163" s="7" t="s">
        <v>1036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1177</v>
      </c>
      <c r="L163" s="7">
        <v>32</v>
      </c>
      <c r="M163" s="7" t="s">
        <v>638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IF(AR163="No","No",IF(_xlfn.XLOOKUP(E163,Groups!A:A,Groups!AM:AM)=1,MROUND(EXP(0.3582*LN(C163)-0.2221)*T163,0.05),IF(_xlfn.XLOOKUP(E163,Groups!A:A,Groups!AM:AM)=2,MROUND(EXP(0.3582*LN(C163)-0.2221)*T163,0.05),"Need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945</v>
      </c>
      <c r="Y163" s="4" t="s">
        <v>42</v>
      </c>
      <c r="Z163" s="4">
        <v>0</v>
      </c>
      <c r="AA163" s="4">
        <v>0</v>
      </c>
      <c r="AB163" s="4">
        <v>0</v>
      </c>
      <c r="AC163" s="4" t="s">
        <v>45</v>
      </c>
      <c r="AD163" s="4" t="s">
        <v>45</v>
      </c>
      <c r="AE163" s="28" t="s">
        <v>394</v>
      </c>
      <c r="AF163" s="4" t="str">
        <f>Animals!C31</f>
        <v>&lt;li&gt;Monkey&lt;/li&gt;</v>
      </c>
      <c r="AG163" s="4">
        <v>0</v>
      </c>
      <c r="AH163" s="4">
        <v>0</v>
      </c>
      <c r="AI163" s="4">
        <v>0</v>
      </c>
      <c r="AJ163" s="4">
        <v>0</v>
      </c>
      <c r="AK163" s="4">
        <v>1</v>
      </c>
      <c r="AL163" s="44" t="s">
        <v>40</v>
      </c>
      <c r="AM163" s="8">
        <f t="shared" si="67"/>
        <v>16650.502963247593</v>
      </c>
      <c r="AN163" s="8">
        <f>IFERROR(C163*_xlfn.XLOOKUP(E163,Groups!A:A,Groups!K:K),0.106*C163^0.94)</f>
        <v>5.3227213993454852</v>
      </c>
      <c r="AO163" s="8">
        <f>AN163*10000/(_xlfn.XLOOKUP(E163,Groups!A:A,Groups!J:J)*AM163)</f>
        <v>2.9327826627099767</v>
      </c>
      <c r="AP163" s="8">
        <f t="shared" si="68"/>
        <v>1835.8349084230915</v>
      </c>
      <c r="AQ163" s="8">
        <f>IF(_xlfn.XLOOKUP(E163,Groups!A:A,Groups!M:M)=1,EXP(0.7444*LN('Base stats'!C163)+6.5696),EXP(0.7927*LN('Base stats'!C163)+4.28))</f>
        <v>1963.7441592588623</v>
      </c>
      <c r="AR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"No")))))))))))))))</f>
        <v>1580.7227800218652</v>
      </c>
      <c r="AS163" s="8">
        <f>IF(_xlfn.XLOOKUP(E163,Groups!A:A,Groups!U:U)=3,AQ163,IF(_xlfn.XLOOKUP(E163,Groups!A:A,Groups!U:U)=2,AP163,AR163))</f>
        <v>1580.7227800218652</v>
      </c>
      <c r="AT163" s="46">
        <f>IFERROR(AVERAGE(_xlfn.XLOOKUP(B163,Animals!B:B,Animals!N:N),_xlfn.XLOOKUP(B163,Animals!B:B,Animals!O:O)),0)</f>
        <v>0</v>
      </c>
      <c r="AU163" s="8">
        <f>MROUND(40*Animals!AO163*_xlfn.XLOOKUP(Animals!BB163,Leathers!$A$2:$A$100,Leathers!$B$2:$B$100,0)+(140*_xlfn.XLOOKUP(B163,Animals!B:B,Animals!AO:AO)*2),5)</f>
        <v>340</v>
      </c>
      <c r="AV163" s="8">
        <f>IFERROR(ROUND(SQRT(V163-1)*IF(_xlfn.XLOOKUP(E163,Groups!A:A,Groups!BF:BF)=0,2,1)*IF(_xlfn.XLOOKUP('Base stats'!E163,Groups!A:A,Groups!O:O)=0,1,0.1),1),0)</f>
        <v>2.8</v>
      </c>
      <c r="AW163" s="8">
        <f t="shared" si="69"/>
        <v>0</v>
      </c>
      <c r="AX163" s="8">
        <f t="shared" si="70"/>
        <v>0</v>
      </c>
      <c r="AY163" s="8">
        <f t="shared" si="71"/>
        <v>3.6</v>
      </c>
      <c r="AZ163" s="8">
        <f>IF(_xlfn.XLOOKUP(E163,Groups!A:A,Groups!N:N)="Insect",BB163*2.5,IFERROR(AVERAGE(BB163,AR163/9.81/IF(OR(_xlfn.XLOOKUP(E163,Groups!A:A,Groups!N:N)="Pig",_xlfn.XLOOKUP(E163,Groups!A:A,Groups!N:N)="StrongBitingHerbivore"),20,25))*C163^-0.135,BB163))</f>
        <v>2.0947083310725234</v>
      </c>
      <c r="BA163" s="8" t="str">
        <f>IF(W163="No","No",IF(_xlfn.XLOOKUP(E163,Groups!A:A,Groups!U:U)=1,'Base stats'!AZ163,IF(OR(_xlfn.XLOOKUP(E163,Groups!A:A,Groups!BD:BD)=1,_xlfn.XLOOKUP(E163,Groups!A:A,Groups!U:U)=2),BB163,IF(_xlfn.XLOOKUP(B163,Animals!B:B,Animals!AO:AO)&gt;4,AVERAGE(BB163,BD163),BD163))))</f>
        <v>No</v>
      </c>
      <c r="BB163" s="8">
        <f t="shared" si="72"/>
        <v>0.90691617051172224</v>
      </c>
      <c r="BC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D163" s="8">
        <f>(0.048*C163^1.01)/IF(_xlfn.XLOOKUP(E163,Groups!A:A,Groups!M:M)=1,0.25,0.8)*C163^-0.25</f>
        <v>1.4232745281234689</v>
      </c>
      <c r="BE163" s="8">
        <f>EXP(1.076*LN(AP163)-4.5397)*IF(_xlfn.XLOOKUP(E163,Groups!A:A,Groups!BC:BC)=1,1.25,IF(_xlfn.XLOOKUP(E163,Groups!A:A,Groups!BD:BD)=1,3.5,2.5))</f>
        <v>86.747771791664036</v>
      </c>
      <c r="BF163" s="8">
        <f>EXP(1.076*LN(AQ163)-4.5397)*IF(_xlfn.XLOOKUP(E163,Groups!A:A,Groups!M:M)=1,0.8,IF(_xlfn.XLOOKUP(E163,Groups!A:A,Groups!BC:BC)=1,1.3,3))</f>
        <v>111.92161143113256</v>
      </c>
      <c r="BG163" s="8" t="str">
        <f>IF(W163="No","No",IF(_xlfn.XLOOKUP(E163,Groups!A:A,Groups!U:U)=1,'Base stats'!BH163,IF(OR(_xlfn.XLOOKUP(E163,Groups!A:A,Groups!BD:BD)=1,_xlfn.XLOOKUP(E163,Groups!A:A,Groups!U:U)=2),BE163,BF163))*1.2)</f>
        <v>No</v>
      </c>
      <c r="BH163" s="8">
        <f>IFERROR(EXP(1.076*LN(AR163)-4.5397)*IF(_xlfn.XLOOKUP(E163,Groups!A:A,Groups!N:N)="Insect",1,IF(OR(_xlfn.XLOOKUP(E163,Groups!A:A,Groups!N:N)="Pig",_xlfn.XLOOKUP(E163,Groups!A:A,Groups!N:N)="StrongBitingHerbivore"),3.5,3.75)),"No")</f>
        <v>110.77285633492741</v>
      </c>
      <c r="BI163" s="8">
        <f t="shared" si="77"/>
        <v>13</v>
      </c>
      <c r="BJ163" s="8">
        <f t="shared" si="78"/>
        <v>11</v>
      </c>
      <c r="BK163" s="8" t="str">
        <f t="shared" si="73"/>
        <v>No</v>
      </c>
      <c r="BL163" s="8">
        <f t="shared" si="74"/>
        <v>10</v>
      </c>
      <c r="BM163" s="8">
        <f t="shared" si="79"/>
        <v>12</v>
      </c>
      <c r="BN163" s="8" cm="1">
        <f t="array" ref="BN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O163" s="8" t="str">
        <f>IF(W163="No","No",IF(_xlfn.XLOOKUP(E163,Groups!A:A,Groups!BD:BD)=1,(AM163*5%),EXP(0.7354*LN(C163)^0.4078)*2/IF(_xlfn.XLOOKUP(E163,Groups!A:A,Groups!BL:BL)=1,1000,100)))</f>
        <v>No</v>
      </c>
      <c r="BP163" s="8">
        <f>IF(BH163="No","No",IF(_xlfn.XLOOKUP(E163,Groups!A:A,Groups!BF:BF)=1,(0.0315*C163+2.1825)*2,(0.7354*C163^0.4078)*2)/IF(_xlfn.XLOOKUP(E163,Groups!A:A,Groups!BM:BM)=1,1000,100))</f>
        <v>8.0430989949293499E-2</v>
      </c>
      <c r="BQ163" s="8">
        <f t="shared" si="75"/>
        <v>0.10419838005271204</v>
      </c>
      <c r="BR163" s="8">
        <f t="shared" si="80"/>
        <v>38.97878694877609</v>
      </c>
      <c r="BS163" s="8" t="str">
        <f t="shared" si="76"/>
        <v>No</v>
      </c>
      <c r="BT163" s="8">
        <f t="shared" si="81"/>
        <v>1377.2409913736294</v>
      </c>
      <c r="BU163" s="4">
        <v>0</v>
      </c>
      <c r="BV163" s="4">
        <v>1</v>
      </c>
    </row>
    <row r="164" spans="1:74" s="16" customFormat="1" x14ac:dyDescent="0.25">
      <c r="A164" s="26" t="s">
        <v>1188</v>
      </c>
      <c r="B164" s="6" t="s">
        <v>1171</v>
      </c>
      <c r="C164" s="7">
        <v>5</v>
      </c>
      <c r="D164" s="7" t="s">
        <v>538</v>
      </c>
      <c r="E164" s="7" t="str">
        <f>Groups!A9</f>
        <v>Bird</v>
      </c>
      <c r="F164" s="7" t="str">
        <f t="shared" si="85"/>
        <v>Lay eggs</v>
      </c>
      <c r="G164" s="7">
        <v>3</v>
      </c>
      <c r="H164" s="7">
        <v>25</v>
      </c>
      <c r="I164" s="4">
        <v>1</v>
      </c>
      <c r="J164" s="7" t="str">
        <f t="shared" ref="J164:J170" si="87">"Lay eggs"</f>
        <v>Lay eggs</v>
      </c>
      <c r="K164" s="7" t="s">
        <v>538</v>
      </c>
      <c r="L164" s="7">
        <v>25</v>
      </c>
      <c r="M164" s="7" t="s">
        <v>538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945</v>
      </c>
      <c r="Y164" s="4" t="s">
        <v>1023</v>
      </c>
      <c r="Z164" s="4">
        <v>0</v>
      </c>
      <c r="AA164" s="4">
        <v>0</v>
      </c>
      <c r="AB164" s="4">
        <v>0</v>
      </c>
      <c r="AC164" s="4" t="s">
        <v>45</v>
      </c>
      <c r="AD164" s="4" t="s">
        <v>45</v>
      </c>
      <c r="AE164" s="28" t="s">
        <v>384</v>
      </c>
      <c r="AF164" s="4" t="str">
        <f>Animals!C11</f>
        <v>&lt;li&gt;Chicken&lt;/li&gt;</v>
      </c>
      <c r="AG164" s="4">
        <v>0</v>
      </c>
      <c r="AH164" s="4">
        <v>0</v>
      </c>
      <c r="AI164" s="4">
        <v>0</v>
      </c>
      <c r="AJ164" s="4">
        <v>1</v>
      </c>
      <c r="AK164" s="4">
        <v>1</v>
      </c>
      <c r="AL164" s="44" t="s">
        <v>40</v>
      </c>
      <c r="AM164" s="8">
        <f t="shared" si="67"/>
        <v>3159.7555228095994</v>
      </c>
      <c r="AN164" s="8">
        <f>IFERROR(C164*_xlfn.XLOOKUP(E164,Groups!A:A,Groups!K:K),0.106*C164^0.94)</f>
        <v>0.48121335237829438</v>
      </c>
      <c r="AO164" s="8">
        <f>AN164*10000/(_xlfn.XLOOKUP(E164,Groups!A:A,Groups!J:J)*AM164)</f>
        <v>1.3971971458223575</v>
      </c>
      <c r="AP164" s="8">
        <f t="shared" si="68"/>
        <v>211.76818398634828</v>
      </c>
      <c r="AQ164" s="8">
        <f>IF(_xlfn.XLOOKUP(E164,Groups!A:A,Groups!M:M)=1,EXP(0.7444*LN('Base stats'!C164)+6.5696),EXP(0.7927*LN('Base stats'!C164)+4.28))</f>
        <v>258.73423965704086</v>
      </c>
      <c r="AR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"No")))))))))))))))</f>
        <v>42.812368048701295</v>
      </c>
      <c r="AS164" s="8">
        <f>IF(_xlfn.XLOOKUP(E164,Groups!A:A,Groups!U:U)=3,AQ164,IF(_xlfn.XLOOKUP(E164,Groups!A:A,Groups!U:U)=2,AP164,AR164))</f>
        <v>42.812368048701295</v>
      </c>
      <c r="AT164" s="46">
        <f>IFERROR(AVERAGE(_xlfn.XLOOKUP(B164,Animals!B:B,Animals!N:N),_xlfn.XLOOKUP(B164,Animals!B:B,Animals!O:O)),0)</f>
        <v>0</v>
      </c>
      <c r="AU164" s="8">
        <f>MROUND(40*Animals!AO164*_xlfn.XLOOKUP(Animals!BB164,Leathers!$A$2:$A$100,Leathers!$B$2:$B$100,0)+(140*_xlfn.XLOOKUP(B164,Animals!B:B,Animals!AO:AO)*2),5)</f>
        <v>105</v>
      </c>
      <c r="AV164" s="8">
        <f>IFERROR(ROUND(SQRT(V164-1)*IF(_xlfn.XLOOKUP(E164,Groups!A:A,Groups!BF:BF)=0,2,1)*IF(_xlfn.XLOOKUP('Base stats'!E164,Groups!A:A,Groups!O:O)=0,1,0.1),1),0)</f>
        <v>0.1</v>
      </c>
      <c r="AW164" s="8">
        <f t="shared" si="69"/>
        <v>1</v>
      </c>
      <c r="AX164" s="8">
        <f t="shared" si="70"/>
        <v>0</v>
      </c>
      <c r="AY164" s="8">
        <f t="shared" si="71"/>
        <v>1.1000000000000001</v>
      </c>
      <c r="AZ164" s="8">
        <f>IF(_xlfn.XLOOKUP(E164,Groups!A:A,Groups!N:N)="Insect",BB164*2.5,IFERROR(AVERAGE(BB164,AR164/9.81/IF(OR(_xlfn.XLOOKUP(E164,Groups!A:A,Groups!N:N)="Pig",_xlfn.XLOOKUP(E164,Groups!A:A,Groups!N:N)="StrongBitingHerbivore"),20,25))*C164^-0.135,BB164))</f>
        <v>0.12331602252188387</v>
      </c>
      <c r="BA164" s="8" t="str">
        <f>IF(W164="No","No",IF(_xlfn.XLOOKUP(E164,Groups!A:A,Groups!U:U)=1,'Base stats'!AZ164,IF(OR(_xlfn.XLOOKUP(E164,Groups!A:A,Groups!BD:BD)=1,_xlfn.XLOOKUP(E164,Groups!A:A,Groups!U:U)=2),BB164,IF(_xlfn.XLOOKUP(B164,Animals!B:B,Animals!AO:AO)&gt;4,AVERAGE(BB164,BD164),BD164))))</f>
        <v>No</v>
      </c>
      <c r="BB164" s="8">
        <f t="shared" si="72"/>
        <v>0.13191963781682639</v>
      </c>
      <c r="BC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D164" s="8">
        <f>(0.048*C164^1.01)/IF(_xlfn.XLOOKUP(E164,Groups!A:A,Groups!M:M)=1,0.25,0.8)*C164^-0.25</f>
        <v>0.20387710292659536</v>
      </c>
      <c r="BE164" s="8">
        <f>EXP(1.076*LN(AP164)-4.5397)*IF(_xlfn.XLOOKUP(E164,Groups!A:A,Groups!BC:BC)=1,1.25,IF(_xlfn.XLOOKUP(E164,Groups!A:A,Groups!BD:BD)=1,3.5,2.5))</f>
        <v>8.4917944979407451</v>
      </c>
      <c r="BF164" s="8">
        <f>EXP(1.076*LN(AQ164)-4.5397)*IF(_xlfn.XLOOKUP(E164,Groups!A:A,Groups!M:M)=1,0.8,IF(_xlfn.XLOOKUP(E164,Groups!A:A,Groups!BC:BC)=1,1.3,3))</f>
        <v>12.641115428827339</v>
      </c>
      <c r="BG164" s="8" t="str">
        <f>IF(W164="No","No",IF(_xlfn.XLOOKUP(E164,Groups!A:A,Groups!U:U)=1,'Base stats'!BH164,IF(OR(_xlfn.XLOOKUP(E164,Groups!A:A,Groups!BD:BD)=1,_xlfn.XLOOKUP(E164,Groups!A:A,Groups!U:U)=2),BE164,BF164))*1.2)</f>
        <v>No</v>
      </c>
      <c r="BH164" s="8">
        <f>IFERROR(EXP(1.076*LN(AR164)-4.5397)*IF(_xlfn.XLOOKUP(E164,Groups!A:A,Groups!N:N)="Insect",1,IF(OR(_xlfn.XLOOKUP(E164,Groups!A:A,Groups!N:N)="Pig",_xlfn.XLOOKUP(E164,Groups!A:A,Groups!N:N)="StrongBitingHerbivore"),3.5,3.75)),"No")</f>
        <v>2.2805159894077489</v>
      </c>
      <c r="BI164" s="8">
        <f t="shared" si="77"/>
        <v>11</v>
      </c>
      <c r="BJ164" s="8">
        <f t="shared" si="78"/>
        <v>7</v>
      </c>
      <c r="BK164" s="8" t="str">
        <f t="shared" si="73"/>
        <v>No</v>
      </c>
      <c r="BL164" s="8">
        <f t="shared" si="74"/>
        <v>6</v>
      </c>
      <c r="BM164" s="8">
        <f t="shared" si="79"/>
        <v>11</v>
      </c>
      <c r="BN164" s="8" cm="1">
        <f t="array" ref="BN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O164" s="8" t="str">
        <f>IF(W164="No","No",IF(_xlfn.XLOOKUP(E164,Groups!A:A,Groups!BD:BD)=1,(AM164*5%),EXP(0.7354*LN(C164)^0.4078)*2/IF(_xlfn.XLOOKUP(E164,Groups!A:A,Groups!BL:BL)=1,1000,100)))</f>
        <v>No</v>
      </c>
      <c r="BP164" s="8">
        <f>IF(BH164="No","No",IF(_xlfn.XLOOKUP(E164,Groups!A:A,Groups!BF:BF)=1,(0.0315*C164+2.1825)*2,(0.7354*C164^0.4078)*2)/IF(_xlfn.XLOOKUP(E164,Groups!A:A,Groups!BM:BM)=1,1000,100))</f>
        <v>2.8352645574082073E-2</v>
      </c>
      <c r="BQ164" s="8">
        <f t="shared" si="75"/>
        <v>5.3749693206580677E-2</v>
      </c>
      <c r="BR164" s="8">
        <f t="shared" si="80"/>
        <v>445.85311786152778</v>
      </c>
      <c r="BS164" s="8" t="str">
        <f t="shared" si="76"/>
        <v>No</v>
      </c>
      <c r="BT164" s="8">
        <f t="shared" si="81"/>
        <v>80.433975145248198</v>
      </c>
      <c r="BU164" s="4">
        <v>0</v>
      </c>
      <c r="BV164" s="4">
        <v>1</v>
      </c>
    </row>
    <row r="165" spans="1:74" s="16" customFormat="1" x14ac:dyDescent="0.25">
      <c r="A165" s="26" t="s">
        <v>1189</v>
      </c>
      <c r="B165" s="6" t="s">
        <v>1173</v>
      </c>
      <c r="C165" s="7">
        <v>8.5</v>
      </c>
      <c r="D165" s="7" t="s">
        <v>1190</v>
      </c>
      <c r="E165" s="7" t="str">
        <f>Groups!A6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1190</v>
      </c>
      <c r="L165" s="7">
        <f>8.2*1.60934</f>
        <v>13.196587999999998</v>
      </c>
      <c r="M165" s="7" t="s">
        <v>640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945</v>
      </c>
      <c r="Y165" s="4" t="s">
        <v>56</v>
      </c>
      <c r="Z165" s="4">
        <v>0</v>
      </c>
      <c r="AA165" s="4">
        <v>0</v>
      </c>
      <c r="AB165" s="4">
        <v>0</v>
      </c>
      <c r="AC165" s="4" t="s">
        <v>45</v>
      </c>
      <c r="AD165" s="4" t="s">
        <v>45</v>
      </c>
      <c r="AE165" s="28" t="s">
        <v>45</v>
      </c>
      <c r="AF165" s="4" t="str">
        <f>Animals!C6</f>
        <v>&lt;li&gt;Cassowary&lt;/li&gt;</v>
      </c>
      <c r="AG165" s="4">
        <v>0</v>
      </c>
      <c r="AH165" s="4">
        <v>0</v>
      </c>
      <c r="AI165" s="4">
        <v>0</v>
      </c>
      <c r="AJ165" s="4">
        <v>0</v>
      </c>
      <c r="AK165" s="4">
        <v>1</v>
      </c>
      <c r="AL165" s="44" t="s">
        <v>40</v>
      </c>
      <c r="AM165" s="8">
        <f t="shared" si="67"/>
        <v>4461.134123991772</v>
      </c>
      <c r="AN165" s="8">
        <f>IFERROR(C165*_xlfn.XLOOKUP(E165,Groups!A:A,Groups!K:K),0.106*C165^0.94)</f>
        <v>0.79242771306933013</v>
      </c>
      <c r="AO165" s="8">
        <f>AN165*10000/(_xlfn.XLOOKUP(E165,Groups!A:A,Groups!J:J)*AM165)</f>
        <v>1.6296257446928282</v>
      </c>
      <c r="AP165" s="8">
        <f t="shared" si="68"/>
        <v>331.52853631038164</v>
      </c>
      <c r="AQ165" s="8">
        <f>IF(_xlfn.XLOOKUP(E165,Groups!A:A,Groups!M:M)=1,EXP(0.7444*LN('Base stats'!C165)+6.5696),EXP(0.7927*LN('Base stats'!C165)+4.28))</f>
        <v>394.03133941751958</v>
      </c>
      <c r="AR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"No")))))))))))))))</f>
        <v>61.807318740814573</v>
      </c>
      <c r="AS165" s="8">
        <f>IF(_xlfn.XLOOKUP(E165,Groups!A:A,Groups!U:U)=3,AQ165,IF(_xlfn.XLOOKUP(E165,Groups!A:A,Groups!U:U)=2,AP165,AR165))</f>
        <v>61.807318740814573</v>
      </c>
      <c r="AT165" s="46">
        <f>IFERROR(AVERAGE(_xlfn.XLOOKUP(B165,Animals!B:B,Animals!N:N),_xlfn.XLOOKUP(B165,Animals!B:B,Animals!O:O)),0)</f>
        <v>0</v>
      </c>
      <c r="AU165" s="8">
        <f>MROUND(40*Animals!AO165*_xlfn.XLOOKUP(Animals!BB165,Leathers!$A$2:$A$100,Leathers!$B$2:$B$100,0)+(140*_xlfn.XLOOKUP(B165,Animals!B:B,Animals!AO:AO)*2),5)</f>
        <v>110</v>
      </c>
      <c r="AV165" s="8">
        <f>IFERROR(ROUND(SQRT(V165-1)*IF(_xlfn.XLOOKUP(E165,Groups!A:A,Groups!BF:BF)=0,2,1)*IF(_xlfn.XLOOKUP('Base stats'!E165,Groups!A:A,Groups!O:O)=0,1,0.1),1),0)</f>
        <v>0.4</v>
      </c>
      <c r="AW165" s="8">
        <f t="shared" si="69"/>
        <v>0</v>
      </c>
      <c r="AX165" s="8">
        <f t="shared" si="70"/>
        <v>0</v>
      </c>
      <c r="AY165" s="8">
        <f t="shared" si="71"/>
        <v>1.4</v>
      </c>
      <c r="AZ165" s="8">
        <f>IF(_xlfn.XLOOKUP(E165,Groups!A:A,Groups!N:N)="Insect",BB165*2.5,IFERROR(AVERAGE(BB165,AR165/9.81/IF(OR(_xlfn.XLOOKUP(E165,Groups!A:A,Groups!N:N)="Pig",_xlfn.XLOOKUP(E165,Groups!A:A,Groups!N:N)="StrongBitingHerbivore"),20,25))*C165^-0.135,BB165))</f>
        <v>0.18131311525105787</v>
      </c>
      <c r="BA165" s="8" t="str">
        <f>IF(W165="No","No",IF(_xlfn.XLOOKUP(E165,Groups!A:A,Groups!U:U)=1,'Base stats'!AZ165,IF(OR(_xlfn.XLOOKUP(E165,Groups!A:A,Groups!BD:BD)=1,_xlfn.XLOOKUP(E165,Groups!A:A,Groups!U:U)=2),BB165,IF(_xlfn.XLOOKUP(B165,Animals!B:B,Animals!AO:AO)&gt;4,AVERAGE(BB165,BD165),BD165))))</f>
        <v>No</v>
      </c>
      <c r="BB165" s="8">
        <f t="shared" si="72"/>
        <v>0.23207758379257695</v>
      </c>
      <c r="BC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D165" s="8">
        <f>(0.048*C165^1.01)/IF(_xlfn.XLOOKUP(E165,Groups!A:A,Groups!M:M)=1,0.25,0.8)*C165^-0.25</f>
        <v>0.30514737190351315</v>
      </c>
      <c r="BE165" s="8">
        <f>EXP(1.076*LN(AP165)-4.5397)*IF(_xlfn.XLOOKUP(E165,Groups!A:A,Groups!BC:BC)=1,1.25,IF(_xlfn.XLOOKUP(E165,Groups!A:A,Groups!BD:BD)=1,3.5,2.5))</f>
        <v>13.754786542132019</v>
      </c>
      <c r="BF165" s="8">
        <f>EXP(1.076*LN(AQ165)-4.5397)*IF(_xlfn.XLOOKUP(E165,Groups!A:A,Groups!M:M)=1,0.8,IF(_xlfn.XLOOKUP(E165,Groups!A:A,Groups!BC:BC)=1,1.3,3))</f>
        <v>19.876764778886127</v>
      </c>
      <c r="BG165" s="8" t="str">
        <f>IF(W165="No","No",IF(_xlfn.XLOOKUP(E165,Groups!A:A,Groups!U:U)=1,'Base stats'!BH165,IF(OR(_xlfn.XLOOKUP(E165,Groups!A:A,Groups!BD:BD)=1,_xlfn.XLOOKUP(E165,Groups!A:A,Groups!U:U)=2),BE165,BF165))*1.2)</f>
        <v>No</v>
      </c>
      <c r="BH165" s="8">
        <f>IFERROR(EXP(1.076*LN(AR165)-4.5397)*IF(_xlfn.XLOOKUP(E165,Groups!A:A,Groups!N:N)="Insect",1,IF(OR(_xlfn.XLOOKUP(E165,Groups!A:A,Groups!N:N)="Pig",_xlfn.XLOOKUP(E165,Groups!A:A,Groups!N:N)="StrongBitingHerbivore"),3.5,3.75)),"No")</f>
        <v>3.3855056648837354</v>
      </c>
      <c r="BI165" s="8">
        <f t="shared" si="77"/>
        <v>10</v>
      </c>
      <c r="BJ165" s="8">
        <f t="shared" si="78"/>
        <v>8</v>
      </c>
      <c r="BK165" s="8" t="str">
        <f t="shared" si="73"/>
        <v>No</v>
      </c>
      <c r="BL165" s="8">
        <f t="shared" si="74"/>
        <v>6</v>
      </c>
      <c r="BM165" s="8">
        <f t="shared" si="79"/>
        <v>11</v>
      </c>
      <c r="BN165" s="8" t="str" cm="1">
        <f t="array" ref="BN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O165" s="8" t="str">
        <f>IF(W165="No","No",IF(_xlfn.XLOOKUP(E165,Groups!A:A,Groups!BD:BD)=1,(AM165*5%),EXP(0.7354*LN(C165)^0.4078)*2/IF(_xlfn.XLOOKUP(E165,Groups!A:A,Groups!BL:BL)=1,1000,100)))</f>
        <v>No</v>
      </c>
      <c r="BP165" s="8">
        <f>IF(BH165="No","No",IF(_xlfn.XLOOKUP(E165,Groups!A:A,Groups!BF:BF)=1,(0.0315*C165+2.1825)*2,(0.7354*C165^0.4078)*2)/IF(_xlfn.XLOOKUP(E165,Groups!A:A,Groups!BM:BM)=1,1000,100))</f>
        <v>3.5202269146404543E-2</v>
      </c>
      <c r="BQ165" s="8">
        <f t="shared" si="75"/>
        <v>6.166497648281595E-2</v>
      </c>
      <c r="BR165" s="8" t="str">
        <f t="shared" si="80"/>
        <v>No</v>
      </c>
      <c r="BS165" s="8" t="str">
        <f t="shared" si="76"/>
        <v>No</v>
      </c>
      <c r="BT165" s="8">
        <f t="shared" si="81"/>
        <v>96.172938477448156</v>
      </c>
      <c r="BU165" s="4">
        <v>0</v>
      </c>
      <c r="BV165" s="4">
        <v>1</v>
      </c>
    </row>
    <row r="166" spans="1:74" x14ac:dyDescent="0.25">
      <c r="A166" s="26" t="s">
        <v>1192</v>
      </c>
      <c r="B166" s="48" t="s">
        <v>1191</v>
      </c>
      <c r="C166" s="7">
        <f>AVERAGE(2,5.5)</f>
        <v>3.75</v>
      </c>
      <c r="D166" s="7" t="s">
        <v>1193</v>
      </c>
      <c r="E166" s="7" t="str">
        <f>Groups!A48</f>
        <v>Rodentlike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1194</v>
      </c>
      <c r="L166" s="7">
        <v>56</v>
      </c>
      <c r="M166" s="7" t="s">
        <v>638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945</v>
      </c>
      <c r="Y166" s="4" t="s">
        <v>42</v>
      </c>
      <c r="Z166" s="4">
        <v>0</v>
      </c>
      <c r="AA166" s="4">
        <v>0</v>
      </c>
      <c r="AB166" s="4">
        <v>0</v>
      </c>
      <c r="AC166" s="4" t="s">
        <v>45</v>
      </c>
      <c r="AD166" s="4" t="s">
        <v>408</v>
      </c>
      <c r="AE166" s="28" t="s">
        <v>394</v>
      </c>
      <c r="AF166" s="4" t="str">
        <f>Animals!C23</f>
        <v>&lt;li&gt;Hare&lt;/li&gt;</v>
      </c>
      <c r="AG166" s="4">
        <v>0</v>
      </c>
      <c r="AH166" s="4">
        <v>0</v>
      </c>
      <c r="AI166" s="4">
        <v>0</v>
      </c>
      <c r="AJ166" s="4">
        <v>0</v>
      </c>
      <c r="AK166" s="4">
        <v>1</v>
      </c>
      <c r="AL166" s="44" t="s">
        <v>40</v>
      </c>
      <c r="AM166" s="8">
        <f t="shared" si="67"/>
        <v>2620.8568631608559</v>
      </c>
      <c r="AN166" s="8">
        <f>IFERROR(C166*_xlfn.XLOOKUP(E166,Groups!A:A,Groups!K:K),0.106*C166^0.94)</f>
        <v>0.36719373009484357</v>
      </c>
      <c r="AO166" s="8">
        <f>AN166*10000/(_xlfn.XLOOKUP(E166,Groups!A:A,Groups!J:J)*AM166)</f>
        <v>1.2853619992512837</v>
      </c>
      <c r="AP166" s="8">
        <f t="shared" si="68"/>
        <v>166.08291606746454</v>
      </c>
      <c r="AQ166" s="8">
        <f>IF(_xlfn.XLOOKUP(E166,Groups!A:A,Groups!M:M)=1,EXP(0.7444*LN('Base stats'!C166)+6.5696),EXP(0.7927*LN('Base stats'!C166)+4.28))</f>
        <v>205.97521671719039</v>
      </c>
      <c r="AR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"No")))))))))))))))</f>
        <v>155.10272820314702</v>
      </c>
      <c r="AS166" s="8">
        <f>IF(_xlfn.XLOOKUP(E166,Groups!A:A,Groups!U:U)=3,AQ166,IF(_xlfn.XLOOKUP(E166,Groups!A:A,Groups!U:U)=2,AP166,AR166))</f>
        <v>155.10272820314702</v>
      </c>
      <c r="AT166" s="46">
        <f>IFERROR(AVERAGE(_xlfn.XLOOKUP(B166,Animals!B:B,Animals!N:N),_xlfn.XLOOKUP(B166,Animals!B:B,Animals!O:O)),0)</f>
        <v>0</v>
      </c>
      <c r="AU166" s="8">
        <f>MROUND(40*Animals!AO166*_xlfn.XLOOKUP(Animals!BB166,Leathers!$A$2:$A$100,Leathers!$B$2:$B$100,0)+(140*_xlfn.XLOOKUP(B166,Animals!B:B,Animals!AO:AO)*2),5)</f>
        <v>90</v>
      </c>
      <c r="AV166" s="8">
        <f>IFERROR(ROUND(SQRT(V166-1)*IF(_xlfn.XLOOKUP(E166,Groups!A:A,Groups!BF:BF)=0,2,1)*IF(_xlfn.XLOOKUP('Base stats'!E166,Groups!A:A,Groups!O:O)=0,1,0.1),1),0)</f>
        <v>0</v>
      </c>
      <c r="AW166" s="8">
        <f t="shared" si="69"/>
        <v>0</v>
      </c>
      <c r="AX166" s="8">
        <f t="shared" si="70"/>
        <v>0</v>
      </c>
      <c r="AY166" s="8">
        <f t="shared" si="71"/>
        <v>1</v>
      </c>
      <c r="AZ166" s="8">
        <f>IF(_xlfn.XLOOKUP(E166,Groups!A:A,Groups!N:N)="Insect",BB166*2.5,IFERROR(AVERAGE(BB166,AR166/9.81/IF(OR(_xlfn.XLOOKUP(E166,Groups!A:A,Groups!N:N)="Pig",_xlfn.XLOOKUP(E166,Groups!A:A,Groups!N:N)="StrongBitingHerbivore"),20,25))*C166^-0.135,BB166))</f>
        <v>0.30895715974354143</v>
      </c>
      <c r="BA166" s="8" t="str">
        <f>IF(W166="No","No",IF(_xlfn.XLOOKUP(E166,Groups!A:A,Groups!U:U)=1,'Base stats'!AZ166,IF(OR(_xlfn.XLOOKUP(E166,Groups!A:A,Groups!BD:BD)=1,_xlfn.XLOOKUP(E166,Groups!A:A,Groups!U:U)=2),BB166,IF(_xlfn.XLOOKUP(B166,Animals!B:B,Animals!AO:AO)&gt;4,AVERAGE(BB166,BD166),BD166))))</f>
        <v>No</v>
      </c>
      <c r="BB166" s="8">
        <f t="shared" si="72"/>
        <v>0.10619538479008944</v>
      </c>
      <c r="BC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D166" s="8">
        <f>(0.048*C166^1.01)/IF(_xlfn.XLOOKUP(E166,Groups!A:A,Groups!M:M)=1,0.25,0.8)*C166^-0.25</f>
        <v>0.163838141861369</v>
      </c>
      <c r="BE166" s="8">
        <f>EXP(1.076*LN(AP166)-4.5397)*IF(_xlfn.XLOOKUP(E166,Groups!A:A,Groups!BC:BC)=1,1.25,IF(_xlfn.XLOOKUP(E166,Groups!A:A,Groups!BD:BD)=1,3.5,2.5))</f>
        <v>6.5379712695786694</v>
      </c>
      <c r="BF166" s="8">
        <f>EXP(1.076*LN(AQ166)-4.5397)*IF(_xlfn.XLOOKUP(E166,Groups!A:A,Groups!M:M)=1,0.8,IF(_xlfn.XLOOKUP(E166,Groups!A:A,Groups!BC:BC)=1,1.3,3))</f>
        <v>9.8905285586523277</v>
      </c>
      <c r="BG166" s="8" t="str">
        <f>IF(W166="No","No",IF(_xlfn.XLOOKUP(E166,Groups!A:A,Groups!U:U)=1,'Base stats'!BH166,IF(OR(_xlfn.XLOOKUP(E166,Groups!A:A,Groups!BD:BD)=1,_xlfn.XLOOKUP(E166,Groups!A:A,Groups!U:U)=2),BE166,BF166))*1.2)</f>
        <v>No</v>
      </c>
      <c r="BH166" s="8">
        <f>IFERROR(EXP(1.076*LN(AR166)-4.5397)*IF(_xlfn.XLOOKUP(E166,Groups!A:A,Groups!N:N)="Insect",1,IF(OR(_xlfn.XLOOKUP(E166,Groups!A:A,Groups!N:N)="Pig",_xlfn.XLOOKUP(E166,Groups!A:A,Groups!N:N)="StrongBitingHerbivore"),3.5,3.75)),"No")</f>
        <v>9.1111064845227325</v>
      </c>
      <c r="BI166" s="8">
        <f t="shared" si="77"/>
        <v>11</v>
      </c>
      <c r="BJ166" s="8">
        <f t="shared" si="78"/>
        <v>9</v>
      </c>
      <c r="BK166" s="8" t="str">
        <f t="shared" si="73"/>
        <v>No</v>
      </c>
      <c r="BL166" s="8">
        <f t="shared" si="74"/>
        <v>7</v>
      </c>
      <c r="BM166" s="8">
        <f t="shared" si="79"/>
        <v>10</v>
      </c>
      <c r="BN166" s="8" t="str" cm="1">
        <f t="array" ref="BN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O166" s="8" t="str">
        <f>IF(W166="No","No",IF(_xlfn.XLOOKUP(E166,Groups!A:A,Groups!BD:BD)=1,(AM166*5%),EXP(0.7354*LN(C166)^0.4078)*2/IF(_xlfn.XLOOKUP(E166,Groups!A:A,Groups!BL:BL)=1,1000,100)))</f>
        <v>No</v>
      </c>
      <c r="BP166" s="8">
        <f>IF(BH166="No","No",IF(_xlfn.XLOOKUP(E166,Groups!A:A,Groups!BF:BF)=1,(0.0315*C166+2.1825)*2,(0.7354*C166^0.4078)*2)/IF(_xlfn.XLOOKUP(E166,Groups!A:A,Groups!BM:BM)=1,1000,100))</f>
        <v>2.5214105878214141E-2</v>
      </c>
      <c r="BQ166" s="8">
        <f t="shared" si="75"/>
        <v>4.9891860646625465E-2</v>
      </c>
      <c r="BR166" s="8" t="str">
        <f t="shared" si="80"/>
        <v>No</v>
      </c>
      <c r="BS166" s="8" t="str">
        <f t="shared" si="76"/>
        <v>No</v>
      </c>
      <c r="BT166" s="8">
        <f t="shared" si="81"/>
        <v>361.34957664293159</v>
      </c>
      <c r="BU166" s="4">
        <v>0</v>
      </c>
      <c r="BV166" s="4">
        <v>1</v>
      </c>
    </row>
    <row r="167" spans="1:74" x14ac:dyDescent="0.25">
      <c r="A167" s="26" t="s">
        <v>1212</v>
      </c>
      <c r="B167" s="6" t="s">
        <v>1213</v>
      </c>
      <c r="C167" s="7">
        <v>7000</v>
      </c>
      <c r="D167" s="7" t="s">
        <v>1214</v>
      </c>
      <c r="E167" s="7" t="str">
        <f>Groups!A68</f>
        <v>Xenofelid (PHOTONOZOA)</v>
      </c>
      <c r="F167" s="7" t="str">
        <f t="shared" si="85"/>
        <v>Lay eggs</v>
      </c>
      <c r="G167" s="7">
        <v>15</v>
      </c>
      <c r="H167" s="7">
        <v>1200</v>
      </c>
      <c r="I167" s="4">
        <v>1</v>
      </c>
      <c r="J167" s="7" t="str">
        <f t="shared" si="87"/>
        <v>Lay eggs</v>
      </c>
      <c r="K167" s="7" t="s">
        <v>538</v>
      </c>
      <c r="L167" s="7">
        <v>107</v>
      </c>
      <c r="M167" s="7" t="s">
        <v>1214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945</v>
      </c>
      <c r="Y167" s="4" t="s">
        <v>56</v>
      </c>
      <c r="Z167" s="4">
        <v>0</v>
      </c>
      <c r="AA167" s="4">
        <v>0</v>
      </c>
      <c r="AB167" s="4">
        <v>0</v>
      </c>
      <c r="AC167" s="4" t="s">
        <v>45</v>
      </c>
      <c r="AD167" s="4" t="s">
        <v>45</v>
      </c>
      <c r="AE167" s="28" t="s">
        <v>1217</v>
      </c>
      <c r="AF167" s="4" t="s">
        <v>45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4" t="s">
        <v>40</v>
      </c>
      <c r="AM167" s="8">
        <f>43.97*10000</f>
        <v>439700</v>
      </c>
      <c r="AN167" s="8">
        <f>IFERROR(C167*_xlfn.XLOOKUP(E167,Groups!A:A,Groups!K:K),0.106*C167^0.94)</f>
        <v>1897.0000000000002</v>
      </c>
      <c r="AO167" s="8">
        <f>AN167*10000/(_xlfn.XLOOKUP(E167,Groups!A:A,Groups!J:J)*AM167)</f>
        <v>19.521743023060772</v>
      </c>
      <c r="AP167" s="8">
        <f t="shared" ref="AP167" si="88">EXP(0.8447*LN(C167)+3.996)</f>
        <v>96248.742493610582</v>
      </c>
      <c r="AQ167" s="8">
        <f>IF(_xlfn.XLOOKUP(E167,Groups!A:A,Groups!M:M)=1,EXP(0.7444*LN('Base stats'!C167)+6.5696),EXP(0.7927*LN('Base stats'!C167)+4.28))</f>
        <v>80684.404662262488</v>
      </c>
      <c r="AR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"No")))))))))))))))</f>
        <v>519316.36589283083</v>
      </c>
      <c r="AS167" s="8">
        <f>IF(_xlfn.XLOOKUP(E167,Groups!A:A,Groups!U:U)=3,AQ167,IF(_xlfn.XLOOKUP(E167,Groups!A:A,Groups!U:U)=2,AP167,AR167))</f>
        <v>519316.36589283083</v>
      </c>
      <c r="AT167" s="46">
        <f>IFERROR(AVERAGE(_xlfn.XLOOKUP(B167,Animals!B:B,Animals!N:N),_xlfn.XLOOKUP(B167,Animals!B:B,Animals!O:O)),0)</f>
        <v>2</v>
      </c>
      <c r="AU167" s="8">
        <f>MROUND(40*Animals!AO167*_xlfn.XLOOKUP(Animals!BB167,Leathers!$A$2:$A$100,Leathers!$B$2:$B$100,0)+(140*_xlfn.XLOOKUP(B167,Animals!B:B,Animals!AO:AO)*2),5)</f>
        <v>7680</v>
      </c>
      <c r="AV167" s="8">
        <f>IFERROR(ROUND(SQRT(V167-1)*IF(_xlfn.XLOOKUP(E167,Groups!A:A,Groups!BF:BF)=0,2,1)*IF(_xlfn.XLOOKUP('Base stats'!E167,Groups!A:A,Groups!O:O)=0,1,0.1),1),0)</f>
        <v>10.8</v>
      </c>
      <c r="AW167" s="8">
        <f t="shared" ref="AW167" si="89">IFERROR(ROUND(SQRT(U167-1),1),0)</f>
        <v>5.4</v>
      </c>
      <c r="AX167" s="8">
        <f t="shared" ref="AX167" si="90">IFERROR(ROUND(SQRT(W167),1),0)</f>
        <v>0</v>
      </c>
      <c r="AY167" s="8">
        <f t="shared" ref="AY167" si="91">ROUND(
  EXP(0.3582*LN(C167)-0.2221) *
  (0.75 + 0.25*(C167^4/(C167^4+10^4))),
1)</f>
        <v>19.100000000000001</v>
      </c>
      <c r="AZ167" s="8">
        <f>IF(_xlfn.XLOOKUP(E167,Groups!A:A,Groups!N:N)="Insect",BB167*2.5,IFERROR(AVERAGE(BB167,AR167/9.81/IF(OR(_xlfn.XLOOKUP(E167,Groups!A:A,Groups!N:N)="Pig",_xlfn.XLOOKUP(E167,Groups!A:A,Groups!N:N)="StrongBitingHerbivore"),20,25))*C167^-0.135,BB167))</f>
        <v>153.63938035727926</v>
      </c>
      <c r="BA167" s="8" t="str">
        <f>IF(W167="No","No",IF(_xlfn.XLOOKUP(E167,Groups!A:A,Groups!U:U)=1,'Base stats'!AZ167,IF(OR(_xlfn.XLOOKUP(E167,Groups!A:A,Groups!BD:BD)=1,_xlfn.XLOOKUP(E167,Groups!A:A,Groups!U:U)=2),BB167,IF(_xlfn.XLOOKUP(B167,Animals!B:B,Animals!AO:AO)&gt;4,AVERAGE(BB167,BD167),BD167))))</f>
        <v>No</v>
      </c>
      <c r="BB167" s="8">
        <f t="shared" ref="BB167" si="92">(0.0392*C167^IF(OR(Y167="Herbivore",Y167="Dendrovore",Y167="OmnivoreRough"),0.889,0.966))*C167^-0.135</f>
        <v>61.455752142911706</v>
      </c>
      <c r="BC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D167" s="8">
        <f>(0.048*C167^1.01)/IF(_xlfn.XLOOKUP(E167,Groups!A:A,Groups!M:M)=1,0.25,0.8)*C167^-0.25</f>
        <v>50.167881368257298</v>
      </c>
      <c r="BE167" s="8">
        <f>EXP(1.076*LN(AP167)-4.5397)*IF(_xlfn.XLOOKUP(E167,Groups!A:A,Groups!BC:BC)=1,1.25,IF(_xlfn.XLOOKUP(E167,Groups!A:A,Groups!BD:BD)=1,3.5,2.5))</f>
        <v>6144.7814087496872</v>
      </c>
      <c r="BF167" s="8">
        <f>EXP(1.076*LN(AQ167)-4.5397)*IF(_xlfn.XLOOKUP(E167,Groups!A:A,Groups!M:M)=1,0.8,IF(_xlfn.XLOOKUP(E167,Groups!A:A,Groups!BC:BC)=1,1.3,3))</f>
        <v>6099.0220517193065</v>
      </c>
      <c r="BG167" s="8" t="str">
        <f>IF(W167="No","No",IF(_xlfn.XLOOKUP(E167,Groups!A:A,Groups!U:U)=1,'Base stats'!BH167,IF(OR(_xlfn.XLOOKUP(E167,Groups!A:A,Groups!BD:BD)=1,_xlfn.XLOOKUP(E167,Groups!A:A,Groups!U:U)=2),BE167,BF167))*1.2)</f>
        <v>No</v>
      </c>
      <c r="BH167" s="8">
        <f>IFERROR(EXP(1.076*LN(AR167)-4.5397)*IF(_xlfn.XLOOKUP(E167,Groups!A:A,Groups!N:N)="Insect",1,IF(OR(_xlfn.XLOOKUP(E167,Groups!A:A,Groups!N:N)="Pig",_xlfn.XLOOKUP(E167,Groups!A:A,Groups!N:N)="StrongBitingHerbivore"),3.5,3.75)),"No")</f>
        <v>15074.335695984135</v>
      </c>
      <c r="BI167" s="8">
        <f t="shared" ref="BI167" si="93">ROUNDDOWN(SQRT((2*BE167)/BB167),0)</f>
        <v>14</v>
      </c>
      <c r="BJ167" s="8">
        <f t="shared" ref="BJ167" si="94">ROUNDDOWN(SQRT((2*BF167)/BC167),0)</f>
        <v>17</v>
      </c>
      <c r="BK167" s="8" t="str">
        <f t="shared" ref="BK167" si="95">IF(W167="No","No",ROUNDDOWN(SQRT((2*BG167)/BA167),0))</f>
        <v>No</v>
      </c>
      <c r="BL167" s="8">
        <f t="shared" ref="BL167" si="96">IF(V167="No","No",ROUNDDOWN(SQRT((2*BH167)/AZ167),0))</f>
        <v>14</v>
      </c>
      <c r="BM167" s="8">
        <f t="shared" ref="BM167" si="97">ROUNDDOWN(SQRT((2*BF167)/BD167),0)</f>
        <v>15</v>
      </c>
      <c r="BN167" s="8" cm="1">
        <f t="array" ref="BN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O167" s="8" t="str">
        <f>IF(W167="No","No",IF(_xlfn.XLOOKUP(E167,Groups!A:A,Groups!BD:BD)=1,(AM167*5%),EXP(0.7354*LN(C167)^0.4078)*2/IF(_xlfn.XLOOKUP(E167,Groups!A:A,Groups!BL:BL)=1,1000,100)))</f>
        <v>No</v>
      </c>
      <c r="BP167" s="8">
        <f>IF(BH167="No","No",IF(_xlfn.XLOOKUP(E167,Groups!A:A,Groups!BF:BF)=1,(0.0315*C167+2.1825)*2,(0.7354*C167^0.4078)*2)/IF(_xlfn.XLOOKUP(E167,Groups!A:A,Groups!BM:BM)=1,1000,100))</f>
        <v>5.4398209080119844E-2</v>
      </c>
      <c r="BQ167" s="8">
        <f t="shared" ref="BQ167" si="98">BE167/(AM167*5%)</f>
        <v>0.27949881322491188</v>
      </c>
      <c r="BR167" s="8">
        <f t="shared" ref="BR167" si="99">IF(BN167="No","No",BF167/BN167)</f>
        <v>112118.06702563359</v>
      </c>
      <c r="BS167" s="8" t="str">
        <f t="shared" ref="BS167" si="100">IF(W167="No","No",BG167/BO167)</f>
        <v>No</v>
      </c>
      <c r="BT167" s="8">
        <f t="shared" ref="BT167" si="101">IF(BH167="No","No",BH167/BP167)</f>
        <v>277110.8819737439</v>
      </c>
      <c r="BU167" s="4">
        <v>0</v>
      </c>
      <c r="BV167" s="4">
        <v>1</v>
      </c>
    </row>
    <row r="168" spans="1:74" s="16" customFormat="1" x14ac:dyDescent="0.25">
      <c r="A168" s="26" t="s">
        <v>1235</v>
      </c>
      <c r="B168" s="6" t="s">
        <v>1236</v>
      </c>
      <c r="C168" s="7">
        <v>5000</v>
      </c>
      <c r="D168" s="7" t="s">
        <v>1214</v>
      </c>
      <c r="E168" s="7" t="str">
        <f>Groups!A69</f>
        <v>Xenobovid (PHOTONOZOA)</v>
      </c>
      <c r="F168" s="7" t="str">
        <f t="shared" si="85"/>
        <v>Lay eggs</v>
      </c>
      <c r="G168" s="7">
        <v>10</v>
      </c>
      <c r="H168" s="7">
        <v>1200</v>
      </c>
      <c r="I168" s="4">
        <v>1</v>
      </c>
      <c r="J168" s="7" t="str">
        <f t="shared" si="87"/>
        <v>Lay eggs</v>
      </c>
      <c r="K168" s="7" t="s">
        <v>538</v>
      </c>
      <c r="L168" s="7">
        <v>80</v>
      </c>
      <c r="M168" s="7" t="s">
        <v>1214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7" t="s">
        <v>45</v>
      </c>
      <c r="V168" s="7" t="s">
        <v>45</v>
      </c>
      <c r="W168" s="7">
        <v>25</v>
      </c>
      <c r="X168" s="7" t="s">
        <v>945</v>
      </c>
      <c r="Y168" s="4" t="s">
        <v>1023</v>
      </c>
      <c r="Z168" s="4">
        <v>0</v>
      </c>
      <c r="AA168" s="4">
        <v>0</v>
      </c>
      <c r="AB168" s="4">
        <v>0</v>
      </c>
      <c r="AC168" s="4" t="s">
        <v>45</v>
      </c>
      <c r="AD168" s="4" t="s">
        <v>407</v>
      </c>
      <c r="AE168" s="28" t="s">
        <v>1217</v>
      </c>
      <c r="AF168" s="4" t="s">
        <v>45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4" t="s">
        <v>40</v>
      </c>
      <c r="AM168" s="8">
        <f t="shared" ref="AM168:AM170" si="102">43.97*10000</f>
        <v>439700</v>
      </c>
      <c r="AN168" s="8">
        <f>IFERROR(C168*_xlfn.XLOOKUP(E168,Groups!A:A,Groups!K:K),0.106*C168^0.94)</f>
        <v>1355</v>
      </c>
      <c r="AO168" s="8">
        <f>AN168*10000/(_xlfn.XLOOKUP(E168,Groups!A:A,Groups!J:J)*AM168)</f>
        <v>13.94410215932912</v>
      </c>
      <c r="AP168" s="8">
        <f t="shared" ref="AP168:AP181" si="103">EXP(0.8447*LN(C168)+3.996)</f>
        <v>72437.042827169687</v>
      </c>
      <c r="AQ168" s="8">
        <f>IF(_xlfn.XLOOKUP(E168,Groups!A:A,Groups!M:M)=1,EXP(0.7444*LN('Base stats'!C168)+6.5696),EXP(0.7927*LN('Base stats'!C168)+4.28))</f>
        <v>61795.080878079119</v>
      </c>
      <c r="AR168" s="8" t="str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"No")))))))))))))))</f>
        <v>No</v>
      </c>
      <c r="AS168" s="8">
        <f>IF(_xlfn.XLOOKUP(E168,Groups!A:A,Groups!U:U)=3,AQ168,IF(_xlfn.XLOOKUP(E168,Groups!A:A,Groups!U:U)=2,AP168,AR168))</f>
        <v>72437.042827169687</v>
      </c>
      <c r="AT168" s="46">
        <f>IFERROR(AVERAGE(_xlfn.XLOOKUP(B168,Animals!B:B,Animals!N:N),_xlfn.XLOOKUP(B168,Animals!B:B,Animals!O:O)),0)</f>
        <v>2</v>
      </c>
      <c r="AU168" s="8">
        <f>MROUND(40*Animals!AO168*_xlfn.XLOOKUP(Animals!BB168,Leathers!$A$2:$A$100,Leathers!$B$2:$B$100,0)+(140*_xlfn.XLOOKUP(B168,Animals!B:B,Animals!AO:AO)*2),5)</f>
        <v>6400</v>
      </c>
      <c r="AV168" s="8">
        <f>IFERROR(ROUND(SQRT(V168-1)*IF(_xlfn.XLOOKUP(E168,Groups!A:A,Groups!BF:BF)=0,2,1)*IF(_xlfn.XLOOKUP('Base stats'!E168,Groups!A:A,Groups!O:O)=0,1,0.1),1),0)</f>
        <v>0</v>
      </c>
      <c r="AW168" s="8">
        <f t="shared" ref="AW168:AW181" si="104">IFERROR(ROUND(SQRT(U168-1),1),0)</f>
        <v>0</v>
      </c>
      <c r="AX168" s="8">
        <f t="shared" ref="AX168:AX181" si="105">IFERROR(ROUND(SQRT(W168),1),0)</f>
        <v>5</v>
      </c>
      <c r="AY168" s="8">
        <f t="shared" ref="AY168:AY181" si="106">ROUND(
  EXP(0.3582*LN(C168)-0.2221) *
  (0.75 + 0.25*(C168^4/(C168^4+10^4))),
1)</f>
        <v>16.899999999999999</v>
      </c>
      <c r="AZ168" s="8">
        <f>IF(_xlfn.XLOOKUP(E168,Groups!A:A,Groups!N:N)="Insect",BB168*2.5,IFERROR(AVERAGE(BB168,AR168/9.81/IF(OR(_xlfn.XLOOKUP(E168,Groups!A:A,Groups!N:N)="Pig",_xlfn.XLOOKUP(E168,Groups!A:A,Groups!N:N)="StrongBitingHerbivore"),20,25))*C168^-0.135,BB168))</f>
        <v>24.116231840641284</v>
      </c>
      <c r="BA168" s="8">
        <f>IF(W168="No","No",IF(_xlfn.XLOOKUP(E168,Groups!A:A,Groups!U:U)=1,'Base stats'!AZ168,IF(OR(_xlfn.XLOOKUP(E168,Groups!A:A,Groups!BD:BD)=1,_xlfn.XLOOKUP(E168,Groups!A:A,Groups!U:U)=2),BB168,IF(_xlfn.XLOOKUP(B168,Animals!B:B,Animals!AO:AO)&gt;4,AVERAGE(BB168,BD168),BD168))))</f>
        <v>24.116231840641284</v>
      </c>
      <c r="BB168" s="8">
        <f t="shared" ref="BB168:BB181" si="107">(0.0392*C168^IF(OR(Y168="Herbivore",Y168="Dendrovore",Y168="OmnivoreRough"),0.889,0.966))*C168^-0.135</f>
        <v>24.116231840641284</v>
      </c>
      <c r="BC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32.063138478804731</v>
      </c>
      <c r="BD168" s="8">
        <f>(0.048*C168^1.01)/IF(_xlfn.XLOOKUP(E168,Groups!A:A,Groups!M:M)=1,0.25,0.8)*C168^-0.25</f>
        <v>38.847981091877756</v>
      </c>
      <c r="BE168" s="8">
        <f>EXP(1.076*LN(AP168)-4.5397)*IF(_xlfn.XLOOKUP(E168,Groups!A:A,Groups!BC:BC)=1,1.25,IF(_xlfn.XLOOKUP(E168,Groups!A:A,Groups!BD:BD)=1,3.5,2.5))</f>
        <v>4525.755372771675</v>
      </c>
      <c r="BF168" s="8">
        <f>EXP(1.076*LN(AQ168)-4.5397)*IF(_xlfn.XLOOKUP(E168,Groups!A:A,Groups!M:M)=1,0.8,IF(_xlfn.XLOOKUP(E168,Groups!A:A,Groups!BC:BC)=1,1.3,3))</f>
        <v>4577.4224679256631</v>
      </c>
      <c r="BG168" s="8">
        <f>IF(W168="No","No",IF(_xlfn.XLOOKUP(E168,Groups!A:A,Groups!U:U)=1,'Base stats'!BH168,IF(OR(_xlfn.XLOOKUP(E168,Groups!A:A,Groups!BD:BD)=1,_xlfn.XLOOKUP(E168,Groups!A:A,Groups!U:U)=2),BE168,BF168))*1.2)</f>
        <v>5430.9064473260096</v>
      </c>
      <c r="BH168" s="8" t="str">
        <f>IFERROR(EXP(1.076*LN(AR168)-4.5397)*IF(_xlfn.XLOOKUP(E168,Groups!A:A,Groups!N:N)="Insect",1,IF(OR(_xlfn.XLOOKUP(E168,Groups!A:A,Groups!N:N)="Pig",_xlfn.XLOOKUP(E168,Groups!A:A,Groups!N:N)="StrongBitingHerbivore"),3.5,3.75)),"No")</f>
        <v>No</v>
      </c>
      <c r="BI168" s="8">
        <f t="shared" ref="BI168:BI181" si="108">ROUNDDOWN(SQRT((2*BE168)/BB168),0)</f>
        <v>19</v>
      </c>
      <c r="BJ168" s="8">
        <f t="shared" ref="BJ168:BJ181" si="109">ROUNDDOWN(SQRT((2*BF168)/BC168),0)</f>
        <v>16</v>
      </c>
      <c r="BK168" s="8">
        <f t="shared" ref="BK168:BK181" si="110">IF(W168="No","No",ROUNDDOWN(SQRT((2*BG168)/BA168),0))</f>
        <v>21</v>
      </c>
      <c r="BL168" s="8" t="str">
        <f t="shared" ref="BL168:BL181" si="111">IF(V168="No","No",ROUNDDOWN(SQRT((2*BH168)/AZ168),0))</f>
        <v>No</v>
      </c>
      <c r="BM168" s="8">
        <f t="shared" ref="BM168:BM181" si="112">ROUNDDOWN(SQRT((2*BF168)/BD168),0)</f>
        <v>15</v>
      </c>
      <c r="BN168" s="8" cm="1">
        <f t="array" ref="BN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752.75860766571407</v>
      </c>
      <c r="BO168" s="8">
        <f>IF(W168="No","No",IF(_xlfn.XLOOKUP(E168,Groups!A:A,Groups!BD:BD)=1,(AM168*5%),EXP(0.7354*LN(C168)^0.4078)*2/IF(_xlfn.XLOOKUP(E168,Groups!A:A,Groups!BL:BL)=1,1000,100)))</f>
        <v>1.1643075570203649E-2</v>
      </c>
      <c r="BP168" s="8" t="str">
        <f>IF(BH168="No","No",IF(_xlfn.XLOOKUP(E168,Groups!A:A,Groups!BF:BF)=1,(0.0315*C168+2.1825)*2,(0.7354*C168^0.4078)*2)/IF(_xlfn.XLOOKUP(E168,Groups!A:A,Groups!BM:BM)=1,1000,100))</f>
        <v>No</v>
      </c>
      <c r="BQ168" s="8">
        <f t="shared" ref="BQ168:BQ181" si="113">BE168/(AM168*5%)</f>
        <v>0.20585651001918012</v>
      </c>
      <c r="BR168" s="8">
        <f t="shared" ref="BR168:BR181" si="114">IF(BN168="No","No",BF168/BN168)</f>
        <v>6.0808636677302674</v>
      </c>
      <c r="BS168" s="8">
        <f t="shared" ref="BS168:BS181" si="115">IF(W168="No","No",BG168/BO168)</f>
        <v>466449.47158330755</v>
      </c>
      <c r="BT168" s="8" t="str">
        <f t="shared" ref="BT168:BT181" si="116">IF(BH168="No","No",BH168/BP168)</f>
        <v>No</v>
      </c>
      <c r="BU168" s="4">
        <v>0</v>
      </c>
      <c r="BV168" s="4">
        <v>1</v>
      </c>
    </row>
    <row r="169" spans="1:74" s="16" customFormat="1" x14ac:dyDescent="0.25">
      <c r="A169" s="26" t="s">
        <v>1220</v>
      </c>
      <c r="B169" s="6" t="s">
        <v>1221</v>
      </c>
      <c r="C169" s="7">
        <v>50</v>
      </c>
      <c r="D169" s="7" t="s">
        <v>1214</v>
      </c>
      <c r="E169" s="7" t="str">
        <f>Groups!A70</f>
        <v>Xenosnake (PHOTONOZOA)</v>
      </c>
      <c r="F169" s="7" t="str">
        <f t="shared" si="85"/>
        <v>Lay eggs</v>
      </c>
      <c r="G169" s="7">
        <v>3</v>
      </c>
      <c r="H169" s="7">
        <v>6</v>
      </c>
      <c r="I169" s="4">
        <v>1</v>
      </c>
      <c r="J169" s="7" t="str">
        <f t="shared" si="87"/>
        <v>Lay eggs</v>
      </c>
      <c r="K169" s="7" t="s">
        <v>538</v>
      </c>
      <c r="L169" s="7">
        <v>25</v>
      </c>
      <c r="M169" s="7" t="s">
        <v>1214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4">
        <v>10</v>
      </c>
      <c r="V169" s="7">
        <v>2</v>
      </c>
      <c r="W169" s="7" t="s">
        <v>45</v>
      </c>
      <c r="X169" s="7" t="s">
        <v>945</v>
      </c>
      <c r="Y169" s="4" t="s">
        <v>56</v>
      </c>
      <c r="Z169" s="4">
        <v>0</v>
      </c>
      <c r="AA169" s="4">
        <v>0</v>
      </c>
      <c r="AB169" s="4">
        <v>0</v>
      </c>
      <c r="AC169" s="4" t="s">
        <v>1083</v>
      </c>
      <c r="AD169" s="4" t="s">
        <v>45</v>
      </c>
      <c r="AE169" s="28" t="s">
        <v>1217</v>
      </c>
      <c r="AF169" s="4" t="s">
        <v>45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4" t="s">
        <v>40</v>
      </c>
      <c r="AM169" s="8">
        <f t="shared" si="102"/>
        <v>439700</v>
      </c>
      <c r="AN169" s="8">
        <f>IFERROR(C169*_xlfn.XLOOKUP(E169,Groups!A:A,Groups!K:K),0.106*C169^0.94)</f>
        <v>13.55</v>
      </c>
      <c r="AO169" s="8">
        <f>AN169*10000/(_xlfn.XLOOKUP(E169,Groups!A:A,Groups!J:J)*AM169)</f>
        <v>0.13944102159329119</v>
      </c>
      <c r="AP169" s="8">
        <f t="shared" si="103"/>
        <v>1481.019280401604</v>
      </c>
      <c r="AQ169" s="8">
        <f>IF(_xlfn.XLOOKUP(E169,Groups!A:A,Groups!M:M)=1,EXP(0.7444*LN('Base stats'!C169)+6.5696),EXP(0.7927*LN('Base stats'!C169)+4.28))</f>
        <v>13117.597459187402</v>
      </c>
      <c r="AR169" s="8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"No")))))))))))))))</f>
        <v>13117.597459187402</v>
      </c>
      <c r="AS169" s="8">
        <f>IF(_xlfn.XLOOKUP(E169,Groups!A:A,Groups!U:U)=3,AQ169,IF(_xlfn.XLOOKUP(E169,Groups!A:A,Groups!U:U)=2,AP169,AR169))</f>
        <v>13117.597459187402</v>
      </c>
      <c r="AT169" s="46">
        <f>IFERROR(AVERAGE(_xlfn.XLOOKUP(B169,Animals!B:B,Animals!N:N),_xlfn.XLOOKUP(B169,Animals!B:B,Animals!O:O)),0)</f>
        <v>0.5</v>
      </c>
      <c r="AU169" s="8">
        <f>MROUND(40*Animals!AO169*_xlfn.XLOOKUP(Animals!BB169,Leathers!$A$2:$A$100,Leathers!$B$2:$B$100,0)+(140*_xlfn.XLOOKUP(B169,Animals!B:B,Animals!AO:AO)*2),5)</f>
        <v>1090</v>
      </c>
      <c r="AV169" s="8">
        <f>IFERROR(ROUND(SQRT(V169-1)*IF(_xlfn.XLOOKUP(E169,Groups!A:A,Groups!BF:BF)=0,2,1)*IF(_xlfn.XLOOKUP('Base stats'!E169,Groups!A:A,Groups!O:O)=0,1,0.1),1),0)</f>
        <v>2</v>
      </c>
      <c r="AW169" s="8">
        <f t="shared" si="104"/>
        <v>3</v>
      </c>
      <c r="AX169" s="8">
        <f t="shared" si="105"/>
        <v>0</v>
      </c>
      <c r="AY169" s="8">
        <f t="shared" si="106"/>
        <v>3.3</v>
      </c>
      <c r="AZ169" s="8">
        <f>IF(_xlfn.XLOOKUP(E169,Groups!A:A,Groups!N:N)="Insect",BB169*2.5,IFERROR(AVERAGE(BB169,AR169/9.81/IF(OR(_xlfn.XLOOKUP(E169,Groups!A:A,Groups!N:N)="Pig",_xlfn.XLOOKUP(E169,Groups!A:A,Groups!N:N)="StrongBitingHerbivore"),20,25))*C169^-0.135,BB169))</f>
        <v>2.5297065736002207</v>
      </c>
      <c r="BA169" s="8" t="str">
        <f>IF(W169="No","No",IF(_xlfn.XLOOKUP(E169,Groups!A:A,Groups!U:U)=1,'Base stats'!AZ169,IF(OR(_xlfn.XLOOKUP(E169,Groups!A:A,Groups!BD:BD)=1,_xlfn.XLOOKUP(E169,Groups!A:A,Groups!U:U)=2),BB169,IF(_xlfn.XLOOKUP(B169,Animals!B:B,Animals!AO:AO)&gt;4,AVERAGE(BB169,BD169),BD169))))</f>
        <v>No</v>
      </c>
      <c r="BB169" s="8">
        <f t="shared" si="107"/>
        <v>1.0118826294400882</v>
      </c>
      <c r="BC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1.7661843263486061</v>
      </c>
      <c r="BD169" s="8">
        <f>(0.048*C169^1.01)/IF(_xlfn.XLOOKUP(E169,Groups!A:A,Groups!M:M)=1,0.25,0.8)*C169^-0.25</f>
        <v>3.754208874641956</v>
      </c>
      <c r="BE169" s="8">
        <f>EXP(1.076*LN(AP169)-4.5397)*IF(_xlfn.XLOOKUP(E169,Groups!A:A,Groups!BC:BC)=1,1.25,IF(_xlfn.XLOOKUP(E169,Groups!A:A,Groups!BD:BD)=1,3.5,2.5))</f>
        <v>68.848847644384961</v>
      </c>
      <c r="BF169" s="8">
        <f>EXP(1.076*LN(AQ169)-4.5397)*IF(_xlfn.XLOOKUP(E169,Groups!A:A,Groups!M:M)=1,0.8,IF(_xlfn.XLOOKUP(E169,Groups!A:A,Groups!BC:BC)=1,1.3,3))</f>
        <v>230.32153898976432</v>
      </c>
      <c r="BG169" s="8" t="str">
        <f>IF(W169="No","No",IF(_xlfn.XLOOKUP(E169,Groups!A:A,Groups!U:U)=1,'Base stats'!BH169,IF(OR(_xlfn.XLOOKUP(E169,Groups!A:A,Groups!BD:BD)=1,_xlfn.XLOOKUP(E169,Groups!A:A,Groups!U:U)=2),BE169,BF169))*1.2)</f>
        <v>No</v>
      </c>
      <c r="BH169" s="8">
        <f>IFERROR(EXP(1.076*LN(AR169)-4.5397)*IF(_xlfn.XLOOKUP(E169,Groups!A:A,Groups!N:N)="Insect",1,IF(OR(_xlfn.XLOOKUP(E169,Groups!A:A,Groups!N:N)="Pig",_xlfn.XLOOKUP(E169,Groups!A:A,Groups!N:N)="StrongBitingHerbivore"),3.5,3.75)),"No")</f>
        <v>287.90192373720538</v>
      </c>
      <c r="BI169" s="8">
        <f t="shared" si="108"/>
        <v>11</v>
      </c>
      <c r="BJ169" s="8">
        <f t="shared" si="109"/>
        <v>16</v>
      </c>
      <c r="BK169" s="8" t="str">
        <f t="shared" si="110"/>
        <v>No</v>
      </c>
      <c r="BL169" s="8">
        <f t="shared" si="111"/>
        <v>15</v>
      </c>
      <c r="BM169" s="8">
        <f t="shared" si="112"/>
        <v>11</v>
      </c>
      <c r="BN169" s="8" cm="1">
        <f t="array" ref="BN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7.2509279375208967E-3</v>
      </c>
      <c r="BO169" s="8" t="str">
        <f>IF(W169="No","No",IF(_xlfn.XLOOKUP(E169,Groups!A:A,Groups!BD:BD)=1,(AM169*5%),EXP(0.7354*LN(C169)^0.4078)*2/IF(_xlfn.XLOOKUP(E169,Groups!A:A,Groups!BL:BL)=1,1000,100)))</f>
        <v>No</v>
      </c>
      <c r="BP169" s="8">
        <f>IF(BH169="No","No",IF(_xlfn.XLOOKUP(E169,Groups!A:A,Groups!BF:BF)=1,(0.0315*C169+2.1825)*2,(0.7354*C169^0.4078)*2)/IF(_xlfn.XLOOKUP(E169,Groups!A:A,Groups!BM:BM)=1,1000,100))</f>
        <v>7.2509279375208967E-3</v>
      </c>
      <c r="BQ169" s="8">
        <f t="shared" si="113"/>
        <v>3.1316282758419357E-3</v>
      </c>
      <c r="BR169" s="8">
        <f t="shared" si="114"/>
        <v>31764.422564170676</v>
      </c>
      <c r="BS169" s="8" t="str">
        <f t="shared" si="115"/>
        <v>No</v>
      </c>
      <c r="BT169" s="8">
        <f t="shared" si="116"/>
        <v>39705.528205213341</v>
      </c>
      <c r="BU169" s="4">
        <v>0</v>
      </c>
      <c r="BV169" s="4">
        <v>1</v>
      </c>
    </row>
    <row r="170" spans="1:74" s="16" customFormat="1" x14ac:dyDescent="0.25">
      <c r="A170" s="26" t="s">
        <v>1222</v>
      </c>
      <c r="B170" s="6" t="s">
        <v>1223</v>
      </c>
      <c r="C170" s="7">
        <v>100</v>
      </c>
      <c r="D170" s="7" t="s">
        <v>1214</v>
      </c>
      <c r="E170" s="7" t="str">
        <f>Groups!A71</f>
        <v>Paragnathia (PHOTONOZOA)</v>
      </c>
      <c r="F170" s="7" t="str">
        <f t="shared" si="85"/>
        <v>Lay eggs</v>
      </c>
      <c r="G170" s="7">
        <v>2</v>
      </c>
      <c r="H170" s="7">
        <v>4</v>
      </c>
      <c r="I170" s="4">
        <v>1</v>
      </c>
      <c r="J170" s="7" t="str">
        <f t="shared" si="87"/>
        <v>Lay eggs</v>
      </c>
      <c r="K170" s="7" t="s">
        <v>538</v>
      </c>
      <c r="L170" s="7">
        <v>35</v>
      </c>
      <c r="M170" s="7" t="s">
        <v>1214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7" t="s">
        <v>45</v>
      </c>
      <c r="V170" s="7" t="s">
        <v>45</v>
      </c>
      <c r="W170" s="7" t="s">
        <v>45</v>
      </c>
      <c r="X170" s="7" t="s">
        <v>945</v>
      </c>
      <c r="Y170" s="4" t="s">
        <v>1023</v>
      </c>
      <c r="Z170" s="4">
        <v>0</v>
      </c>
      <c r="AA170" s="4">
        <v>0</v>
      </c>
      <c r="AB170" s="4">
        <v>0</v>
      </c>
      <c r="AC170" s="4" t="s">
        <v>1085</v>
      </c>
      <c r="AD170" s="4" t="s">
        <v>45</v>
      </c>
      <c r="AE170" s="28" t="s">
        <v>1234</v>
      </c>
      <c r="AF170" s="4" t="s">
        <v>45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4" t="s">
        <v>40</v>
      </c>
      <c r="AM170" s="8">
        <f t="shared" si="102"/>
        <v>439700</v>
      </c>
      <c r="AN170" s="8">
        <f>IFERROR(C170*_xlfn.XLOOKUP(E170,Groups!A:A,Groups!K:K),0.106*C170^0.94)</f>
        <v>27.1</v>
      </c>
      <c r="AO170" s="8">
        <f>AN170*10000/(_xlfn.XLOOKUP(E170,Groups!A:A,Groups!J:J)*AM170)</f>
        <v>0.27888204318658238</v>
      </c>
      <c r="AP170" s="8">
        <f t="shared" si="103"/>
        <v>2659.7495843014949</v>
      </c>
      <c r="AQ170" s="8">
        <f>IF(_xlfn.XLOOKUP(E170,Groups!A:A,Groups!M:M)=1,EXP(0.7444*LN('Base stats'!C170)+6.5696),EXP(0.7927*LN('Base stats'!C170)+4.28))</f>
        <v>2780.8680507952254</v>
      </c>
      <c r="AR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"No")))))))))))))))</f>
        <v>21975.614515210149</v>
      </c>
      <c r="AS170" s="8">
        <f>IF(_xlfn.XLOOKUP(E170,Groups!A:A,Groups!U:U)=3,AQ170,IF(_xlfn.XLOOKUP(E170,Groups!A:A,Groups!U:U)=2,AP170,AR170))</f>
        <v>21975.614515210149</v>
      </c>
      <c r="AT170" s="46">
        <f>IFERROR(AVERAGE(_xlfn.XLOOKUP(B170,Animals!B:B,Animals!N:N),_xlfn.XLOOKUP(B170,Animals!B:B,Animals!O:O)),0)</f>
        <v>0.95000000000000007</v>
      </c>
      <c r="AU170" s="8">
        <f>MROUND(40*Animals!AO170*_xlfn.XLOOKUP(Animals!BB170,Leathers!$A$2:$A$100,Leathers!$B$2:$B$100,0)+(140*_xlfn.XLOOKUP(B170,Animals!B:B,Animals!AO:AO)*2),5)</f>
        <v>1600</v>
      </c>
      <c r="AV170" s="8">
        <f>IFERROR(ROUND(SQRT(V170-1)*IF(_xlfn.XLOOKUP(E170,Groups!A:A,Groups!BF:BF)=0,2,1)*IF(_xlfn.XLOOKUP('Base stats'!E170,Groups!A:A,Groups!O:O)=0,1,0.1),1),0)</f>
        <v>0</v>
      </c>
      <c r="AW170" s="8">
        <f t="shared" si="104"/>
        <v>0</v>
      </c>
      <c r="AX170" s="8">
        <f t="shared" si="105"/>
        <v>0</v>
      </c>
      <c r="AY170" s="8">
        <f t="shared" si="106"/>
        <v>4.2</v>
      </c>
      <c r="AZ170" s="8">
        <f>IF(_xlfn.XLOOKUP(E170,Groups!A:A,Groups!N:N)="Insect",BB170*2.5,IFERROR(AVERAGE(BB170,AR170/9.81/IF(OR(_xlfn.XLOOKUP(E170,Groups!A:A,Groups!N:N)="Pig",_xlfn.XLOOKUP(E170,Groups!A:A,Groups!N:N)="StrongBitingHerbivore"),20,25))*C170^-0.135,BB170))</f>
        <v>3.1566474154577655</v>
      </c>
      <c r="BA170" s="8" t="str">
        <f>IF(W170="No","No",IF(_xlfn.XLOOKUP(E170,Groups!A:A,Groups!U:U)=1,'Base stats'!AZ170,IF(OR(_xlfn.XLOOKUP(E170,Groups!A:A,Groups!BD:BD)=1,_xlfn.XLOOKUP(E170,Groups!A:A,Groups!U:U)=2),BB170,IF(_xlfn.XLOOKUP(B170,Animals!B:B,Animals!AO:AO)&gt;4,AVERAGE(BB170,BD170),BD170))))</f>
        <v>No</v>
      </c>
      <c r="BB170" s="8">
        <f t="shared" si="107"/>
        <v>1.2626589661831062</v>
      </c>
      <c r="BC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2.5778541888677213</v>
      </c>
      <c r="BD170" s="8">
        <f>(0.048*C170^1.01)/IF(_xlfn.XLOOKUP(E170,Groups!A:A,Groups!M:M)=1,0.25,0.8)*C170^-0.25</f>
        <v>1.986786728895547</v>
      </c>
      <c r="BE170" s="8">
        <f>EXP(1.076*LN(AP170)-4.5397)*IF(_xlfn.XLOOKUP(E170,Groups!A:A,Groups!BC:BC)=1,1.25,IF(_xlfn.XLOOKUP(E170,Groups!A:A,Groups!BD:BD)=1,3.5,2.5))</f>
        <v>129.27126415643053</v>
      </c>
      <c r="BF170" s="8">
        <f>EXP(1.076*LN(AQ170)-4.5397)*IF(_xlfn.XLOOKUP(E170,Groups!A:A,Groups!M:M)=1,0.8,IF(_xlfn.XLOOKUP(E170,Groups!A:A,Groups!BC:BC)=1,1.3,3))</f>
        <v>162.73939114543509</v>
      </c>
      <c r="BG170" s="8" t="str">
        <f>IF(W170="No","No",IF(_xlfn.XLOOKUP(E170,Groups!A:A,Groups!U:U)=1,'Base stats'!BH170,IF(OR(_xlfn.XLOOKUP(E170,Groups!A:A,Groups!BD:BD)=1,_xlfn.XLOOKUP(E170,Groups!A:A,Groups!U:U)=2),BE170,BF170))*1.2)</f>
        <v>No</v>
      </c>
      <c r="BH170" s="8">
        <f>IFERROR(EXP(1.076*LN(AR170)-4.5397)*IF(_xlfn.XLOOKUP(E170,Groups!A:A,Groups!N:N)="Insect",1,IF(OR(_xlfn.XLOOKUP(E170,Groups!A:A,Groups!N:N)="Pig",_xlfn.XLOOKUP(E170,Groups!A:A,Groups!N:N)="StrongBitingHerbivore"),3.5,3.75)),"No")</f>
        <v>501.60503473544446</v>
      </c>
      <c r="BI170" s="8">
        <f t="shared" si="108"/>
        <v>14</v>
      </c>
      <c r="BJ170" s="8">
        <f t="shared" si="109"/>
        <v>11</v>
      </c>
      <c r="BK170" s="8" t="str">
        <f t="shared" si="110"/>
        <v>No</v>
      </c>
      <c r="BL170" s="8" t="str">
        <f t="shared" si="111"/>
        <v>No</v>
      </c>
      <c r="BM170" s="8">
        <f t="shared" si="112"/>
        <v>12</v>
      </c>
      <c r="BN170" s="8" t="str" cm="1">
        <f t="array" ref="BN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No</v>
      </c>
      <c r="BO170" s="8" t="str">
        <f>IF(W170="No","No",IF(_xlfn.XLOOKUP(E170,Groups!A:A,Groups!BD:BD)=1,(AM170*5%),EXP(0.7354*LN(C170)^0.4078)*2/IF(_xlfn.XLOOKUP(E170,Groups!A:A,Groups!BL:BL)=1,1000,100)))</f>
        <v>No</v>
      </c>
      <c r="BP170" s="8">
        <f>IF(BH170="No","No",IF(_xlfn.XLOOKUP(E170,Groups!A:A,Groups!BF:BF)=1,(0.0315*C170+2.1825)*2,(0.7354*C170^0.4078)*2)/IF(_xlfn.XLOOKUP(E170,Groups!A:A,Groups!BM:BM)=1,1000,100))</f>
        <v>9.6195248569743513E-2</v>
      </c>
      <c r="BQ170" s="8">
        <f t="shared" si="113"/>
        <v>5.8799756268560627E-3</v>
      </c>
      <c r="BR170" s="8" t="str">
        <f t="shared" si="114"/>
        <v>No</v>
      </c>
      <c r="BS170" s="8" t="str">
        <f t="shared" si="115"/>
        <v>No</v>
      </c>
      <c r="BT170" s="8">
        <f t="shared" si="116"/>
        <v>5214.4470978914369</v>
      </c>
      <c r="BU170" s="4">
        <v>0</v>
      </c>
      <c r="BV170" s="4">
        <v>1</v>
      </c>
    </row>
    <row r="171" spans="1:74" x14ac:dyDescent="0.25">
      <c r="A171" s="26" t="s">
        <v>1240</v>
      </c>
      <c r="B171" s="6" t="s">
        <v>1241</v>
      </c>
      <c r="C171" s="7">
        <v>1.0209999999999999</v>
      </c>
      <c r="D171" s="7" t="s">
        <v>1242</v>
      </c>
      <c r="E171" s="7" t="str">
        <f>Groups!A37</f>
        <v>Mustelid</v>
      </c>
      <c r="F171" s="7">
        <v>43</v>
      </c>
      <c r="G171" s="7">
        <v>1</v>
      </c>
      <c r="H171" s="7">
        <v>9.4</v>
      </c>
      <c r="I171" s="4">
        <v>0</v>
      </c>
      <c r="J171" s="7">
        <v>3</v>
      </c>
      <c r="K171" s="7" t="s">
        <v>1242</v>
      </c>
      <c r="L171" s="7">
        <f>MIN(20*C171^0.183,19.9*C171^0.142)</f>
        <v>19.958814040198892</v>
      </c>
      <c r="M171" s="7" t="s">
        <v>638</v>
      </c>
      <c r="N171" s="4">
        <v>0</v>
      </c>
      <c r="O171" s="4">
        <v>0</v>
      </c>
      <c r="P171" s="4">
        <v>0</v>
      </c>
      <c r="Q171" s="4">
        <v>0</v>
      </c>
      <c r="R171" s="4" t="s">
        <v>40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7">
        <v>1</v>
      </c>
      <c r="V171" s="7">
        <f>IF(AR171="No","No",IF(_xlfn.XLOOKUP(E171,Groups!A:A,Groups!AM:AM)=1,MROUND(EXP(0.3582*LN(C171)-0.2221)*T171,0.05),IF(_xlfn.XLOOKUP(E171,Groups!A:A,Groups!AM:AM)=2,MROUND(EXP(0.3582*LN(C171)-0.2221)*T171,0.05),"Need a formula")))</f>
        <v>0.8</v>
      </c>
      <c r="W171" s="7" t="s">
        <v>45</v>
      </c>
      <c r="X171" s="7" t="s">
        <v>945</v>
      </c>
      <c r="Y171" s="4" t="s">
        <v>56</v>
      </c>
      <c r="Z171" s="4">
        <v>1</v>
      </c>
      <c r="AA171" s="4">
        <v>0</v>
      </c>
      <c r="AB171" s="4">
        <v>0</v>
      </c>
      <c r="AC171" s="4" t="s">
        <v>45</v>
      </c>
      <c r="AD171" s="4" t="s">
        <v>45</v>
      </c>
      <c r="AE171" s="28" t="s">
        <v>394</v>
      </c>
      <c r="AF171" s="4" t="s">
        <v>45</v>
      </c>
      <c r="AG171" s="4">
        <v>0</v>
      </c>
      <c r="AH171" s="4">
        <v>0</v>
      </c>
      <c r="AI171" s="4">
        <v>0</v>
      </c>
      <c r="AJ171" s="4">
        <v>0</v>
      </c>
      <c r="AK171" s="4">
        <v>1</v>
      </c>
      <c r="AL171" s="44" t="s">
        <v>40</v>
      </c>
      <c r="AM171" s="8">
        <f t="shared" ref="AM171:AM181" si="117">(0.111*C171^0.65)*10000</f>
        <v>1125.096338028226</v>
      </c>
      <c r="AN171" s="8">
        <f>IFERROR(C171*_xlfn.XLOOKUP(E171,Groups!A:A,Groups!K:K),0.106*C171^0.94)</f>
        <v>0.12736974999999998</v>
      </c>
      <c r="AO171" s="8">
        <f>AN171*10000/(_xlfn.XLOOKUP(E171,Groups!A:A,Groups!J:J)*AM171)</f>
        <v>1.0386042306045133</v>
      </c>
      <c r="AP171" s="8">
        <f t="shared" si="103"/>
        <v>55.343267175725082</v>
      </c>
      <c r="AQ171" s="8">
        <f>IF(_xlfn.XLOOKUP(E171,Groups!A:A,Groups!M:M)=1,EXP(0.7444*LN('Base stats'!C171)+6.5696),EXP(0.7927*LN('Base stats'!C171)+4.28))</f>
        <v>73.440409245375434</v>
      </c>
      <c r="AR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"No")))))))))))))))</f>
        <v>69.148599776552857</v>
      </c>
      <c r="AS171" s="8">
        <f>IF(_xlfn.XLOOKUP(E171,Groups!A:A,Groups!U:U)=3,AQ171,IF(_xlfn.XLOOKUP(E171,Groups!A:A,Groups!U:U)=2,AP171,AR171))</f>
        <v>69.148599776552857</v>
      </c>
      <c r="AT171" s="46">
        <f>IFERROR(AVERAGE(_xlfn.XLOOKUP(B171,Animals!B:B,Animals!N:N),_xlfn.XLOOKUP(B171,Animals!B:B,Animals!O:O)),0)</f>
        <v>0</v>
      </c>
      <c r="AU171" s="8">
        <f>MROUND(40*Animals!AO171*_xlfn.XLOOKUP(Animals!BB171,Leathers!$A$2:$A$100,Leathers!$B$2:$B$100,0)+(140*_xlfn.XLOOKUP(B171,Animals!B:B,Animals!AO:AO)*2),5)</f>
        <v>55</v>
      </c>
      <c r="AV171" s="8">
        <f>IFERROR(ROUND(SQRT(V171-1)*IF(_xlfn.XLOOKUP(E171,Groups!A:A,Groups!BF:BF)=0,2,1)*IF(_xlfn.XLOOKUP('Base stats'!E171,Groups!A:A,Groups!O:O)=0,1,0.1),1),0)</f>
        <v>0</v>
      </c>
      <c r="AW171" s="8">
        <f t="shared" si="104"/>
        <v>0</v>
      </c>
      <c r="AX171" s="8">
        <f t="shared" si="105"/>
        <v>0</v>
      </c>
      <c r="AY171" s="8">
        <f t="shared" si="106"/>
        <v>0.6</v>
      </c>
      <c r="AZ171" s="8">
        <f>IF(_xlfn.XLOOKUP(E171,Groups!A:A,Groups!N:N)="Insect",BB171*2.5,IFERROR(AVERAGE(BB171,AR171/9.81/IF(OR(_xlfn.XLOOKUP(E171,Groups!A:A,Groups!N:N)="Pig",_xlfn.XLOOKUP(E171,Groups!A:A,Groups!N:N)="StrongBitingHerbivore"),20,25))*C171^-0.135,BB171))</f>
        <v>0.16046633278129638</v>
      </c>
      <c r="BA171" s="8" t="str">
        <f>IF(W171="No","No",IF(_xlfn.XLOOKUP(E171,Groups!A:A,Groups!U:U)=1,'Base stats'!AZ171,IF(OR(_xlfn.XLOOKUP(E171,Groups!A:A,Groups!BD:BD)=1,_xlfn.XLOOKUP(E171,Groups!A:A,Groups!U:U)=2),BB171,IF(_xlfn.XLOOKUP(B171,Animals!B:B,Animals!AO:AO)&gt;4,AVERAGE(BB171,BD171),BD171))))</f>
        <v>No</v>
      </c>
      <c r="BB171" s="8">
        <f t="shared" si="107"/>
        <v>3.9882875123161909E-2</v>
      </c>
      <c r="BC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7.2160316194939636E-2</v>
      </c>
      <c r="BD171" s="8">
        <f>(0.048*C171^1.01)/IF(_xlfn.XLOOKUP(E171,Groups!A:A,Groups!M:M)=1,0.25,0.8)*C171^-0.25</f>
        <v>6.0955207551135558E-2</v>
      </c>
      <c r="BE171" s="8">
        <f>EXP(1.076*LN(AP171)-4.5397)*IF(_xlfn.XLOOKUP(E171,Groups!A:A,Groups!BC:BC)=1,1.25,IF(_xlfn.XLOOKUP(E171,Groups!A:A,Groups!BD:BD)=1,3.5,2.5))</f>
        <v>2.0040616045550155</v>
      </c>
      <c r="BF171" s="8">
        <f>EXP(1.076*LN(AQ171)-4.5397)*IF(_xlfn.XLOOKUP(E171,Groups!A:A,Groups!M:M)=1,0.8,IF(_xlfn.XLOOKUP(E171,Groups!A:A,Groups!BC:BC)=1,1.3,3))</f>
        <v>3.2606242204274993</v>
      </c>
      <c r="BG171" s="8" t="str">
        <f>IF(W171="No","No",IF(_xlfn.XLOOKUP(E171,Groups!A:A,Groups!U:U)=1,'Base stats'!BH171,IF(OR(_xlfn.XLOOKUP(E171,Groups!A:A,Groups!BD:BD)=1,_xlfn.XLOOKUP(E171,Groups!A:A,Groups!U:U)=2),BE171,BF171))*1.2)</f>
        <v>No</v>
      </c>
      <c r="BH171" s="8">
        <f>IFERROR(EXP(1.076*LN(AR171)-4.5397)*IF(_xlfn.XLOOKUP(E171,Groups!A:A,Groups!N:N)="Insect",1,IF(OR(_xlfn.XLOOKUP(E171,Groups!A:A,Groups!N:N)="Pig",_xlfn.XLOOKUP(E171,Groups!A:A,Groups!N:N)="StrongBitingHerbivore"),3.5,3.75)),"No")</f>
        <v>3.8200718918048557</v>
      </c>
      <c r="BI171" s="8">
        <f t="shared" si="108"/>
        <v>10</v>
      </c>
      <c r="BJ171" s="8">
        <f t="shared" si="109"/>
        <v>9</v>
      </c>
      <c r="BK171" s="8" t="str">
        <f t="shared" si="110"/>
        <v>No</v>
      </c>
      <c r="BL171" s="8">
        <f t="shared" si="111"/>
        <v>6</v>
      </c>
      <c r="BM171" s="8">
        <f t="shared" si="112"/>
        <v>10</v>
      </c>
      <c r="BN171" s="8" cm="1">
        <f t="array" ref="BN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1.4833181773242334E-2</v>
      </c>
      <c r="BO171" s="8" t="str">
        <f>IF(W171="No","No",IF(_xlfn.XLOOKUP(E171,Groups!A:A,Groups!BD:BD)=1,(AM171*5%),EXP(0.7354*LN(C171)^0.4078)*2/IF(_xlfn.XLOOKUP(E171,Groups!A:A,Groups!BL:BL)=1,1000,100)))</f>
        <v>No</v>
      </c>
      <c r="BP171" s="8">
        <f>IF(BH171="No","No",IF(_xlfn.XLOOKUP(E171,Groups!A:A,Groups!BF:BF)=1,(0.0315*C171+2.1825)*2,(0.7354*C171^0.4078)*2)/IF(_xlfn.XLOOKUP(E171,Groups!A:A,Groups!BM:BM)=1,1000,100))</f>
        <v>1.4833181773242334E-2</v>
      </c>
      <c r="BQ171" s="8">
        <f t="shared" si="113"/>
        <v>3.5624711179261491E-2</v>
      </c>
      <c r="BR171" s="8">
        <f t="shared" si="114"/>
        <v>219.81960918926774</v>
      </c>
      <c r="BS171" s="8" t="str">
        <f t="shared" si="115"/>
        <v>No</v>
      </c>
      <c r="BT171" s="8">
        <f t="shared" si="116"/>
        <v>257.53556790464921</v>
      </c>
      <c r="BU171" s="4">
        <v>0</v>
      </c>
      <c r="BV171" s="4">
        <v>1</v>
      </c>
    </row>
    <row r="172" spans="1:74" x14ac:dyDescent="0.25">
      <c r="A172" s="26" t="s">
        <v>1271</v>
      </c>
      <c r="B172" s="6" t="s">
        <v>1263</v>
      </c>
      <c r="C172" s="7">
        <v>1100</v>
      </c>
      <c r="D172" s="7" t="s">
        <v>1272</v>
      </c>
      <c r="E172" s="7" t="str">
        <f>Groups!A46</f>
        <v>Rhinolike</v>
      </c>
      <c r="F172" s="7">
        <v>474</v>
      </c>
      <c r="G172" s="7">
        <f>1826/365</f>
        <v>5.0027397260273974</v>
      </c>
      <c r="H172" s="7">
        <v>57</v>
      </c>
      <c r="I172" s="4">
        <v>1</v>
      </c>
      <c r="J172" s="7">
        <v>1</v>
      </c>
      <c r="K172" s="7" t="s">
        <v>1272</v>
      </c>
      <c r="L172" s="7">
        <v>45</v>
      </c>
      <c r="M172" s="7" t="s">
        <v>638</v>
      </c>
      <c r="N172" s="4">
        <v>0</v>
      </c>
      <c r="O172" s="4">
        <v>0</v>
      </c>
      <c r="P172" s="4">
        <v>0</v>
      </c>
      <c r="Q172" s="4">
        <v>0</v>
      </c>
      <c r="R172" s="4" t="s">
        <v>40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f>MROUND(22.7/10,0.05)</f>
        <v>2.25</v>
      </c>
      <c r="W172" s="7">
        <f>MROUND(48.26,0.05)</f>
        <v>48.25</v>
      </c>
      <c r="X172" s="7" t="s">
        <v>945</v>
      </c>
      <c r="Y172" s="4" t="s">
        <v>42</v>
      </c>
      <c r="Z172" s="4">
        <v>0</v>
      </c>
      <c r="AA172" s="4">
        <v>0</v>
      </c>
      <c r="AB172" s="4">
        <v>0</v>
      </c>
      <c r="AC172" s="4" t="s">
        <v>45</v>
      </c>
      <c r="AD172" s="4" t="s">
        <v>45</v>
      </c>
      <c r="AE172" s="28" t="s">
        <v>402</v>
      </c>
      <c r="AF172" s="4" t="str">
        <f>Animals!C25</f>
        <v>&lt;li&gt;Rhinoceros&lt;/li&gt;</v>
      </c>
      <c r="AG172" s="4">
        <v>0</v>
      </c>
      <c r="AH172" s="4">
        <v>0</v>
      </c>
      <c r="AI172" s="4">
        <v>0</v>
      </c>
      <c r="AJ172" s="4">
        <v>0</v>
      </c>
      <c r="AK172" s="4">
        <v>1</v>
      </c>
      <c r="AL172" s="44" t="s">
        <v>40</v>
      </c>
      <c r="AM172" s="8">
        <f t="shared" si="117"/>
        <v>105251.48308535226</v>
      </c>
      <c r="AN172" s="8">
        <f>IFERROR(C172*_xlfn.XLOOKUP(E172,Groups!A:A,Groups!K:K),0.106*C172^0.94)</f>
        <v>76.597569493188232</v>
      </c>
      <c r="AO172" s="8">
        <f>AN172*10000/(_xlfn.XLOOKUP(E172,Groups!A:A,Groups!J:J)*AM172)</f>
        <v>6.6766754705060203</v>
      </c>
      <c r="AP172" s="8">
        <f t="shared" si="103"/>
        <v>20160.678815796717</v>
      </c>
      <c r="AQ172" s="8">
        <f>IF(_xlfn.XLOOKUP(E172,Groups!A:A,Groups!M:M)=1,EXP(0.7444*LN('Base stats'!C172)+6.5696),EXP(0.7927*LN('Base stats'!C172)+4.28))</f>
        <v>18607.685795809553</v>
      </c>
      <c r="AR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"No")))))))))))))))</f>
        <v>9282.8195408862866</v>
      </c>
      <c r="AS172" s="8">
        <f>IF(_xlfn.XLOOKUP(E172,Groups!A:A,Groups!U:U)=3,AQ172,IF(_xlfn.XLOOKUP(E172,Groups!A:A,Groups!U:U)=2,AP172,AR172))</f>
        <v>20160.678815796717</v>
      </c>
      <c r="AT172" s="46">
        <f>IFERROR(AVERAGE(_xlfn.XLOOKUP(B172,Animals!B:B,Animals!N:N),_xlfn.XLOOKUP(B172,Animals!B:B,Animals!O:O)),0)</f>
        <v>0</v>
      </c>
      <c r="AU172" s="8">
        <f>MROUND(40*Animals!AO172*_xlfn.XLOOKUP(Animals!BB172,Leathers!$A$2:$A$100,Leathers!$B$2:$B$100,0)+(140*_xlfn.XLOOKUP(B172,Animals!B:B,Animals!AO:AO)*2),5)</f>
        <v>1570</v>
      </c>
      <c r="AV172" s="8">
        <f>IFERROR(ROUND(SQRT(V172-1)*IF(_xlfn.XLOOKUP(E172,Groups!A:A,Groups!BF:BF)=0,2,1)*IF(_xlfn.XLOOKUP('Base stats'!E172,Groups!A:A,Groups!O:O)=0,1,0.1),1),0)</f>
        <v>2.2000000000000002</v>
      </c>
      <c r="AW172" s="8">
        <f t="shared" si="104"/>
        <v>0</v>
      </c>
      <c r="AX172" s="8">
        <f t="shared" si="105"/>
        <v>6.9</v>
      </c>
      <c r="AY172" s="8">
        <f t="shared" si="106"/>
        <v>9.8000000000000007</v>
      </c>
      <c r="AZ172" s="8">
        <f>IF(_xlfn.XLOOKUP(E172,Groups!A:A,Groups!N:N)="Insect",BB172*2.5,IFERROR(AVERAGE(BB172,AR172/9.81/IF(OR(_xlfn.XLOOKUP(E172,Groups!A:A,Groups!N:N)="Pig",_xlfn.XLOOKUP(E172,Groups!A:A,Groups!N:N)="StrongBitingHerbivore"),20,25))*C172^-0.135,BB172))</f>
        <v>10.6868186552502</v>
      </c>
      <c r="BA172" s="8">
        <f>IF(W172="No","No",IF(_xlfn.XLOOKUP(E172,Groups!A:A,Groups!U:U)=1,'Base stats'!AZ172,IF(OR(_xlfn.XLOOKUP(E172,Groups!A:A,Groups!BD:BD)=1,_xlfn.XLOOKUP(E172,Groups!A:A,Groups!U:U)=2),BB172,IF(_xlfn.XLOOKUP(B172,Animals!B:B,Animals!AO:AO)&gt;4,AVERAGE(BB172,BD172),BD172))))</f>
        <v>7.700096211174249</v>
      </c>
      <c r="BB172" s="8">
        <f t="shared" si="107"/>
        <v>7.700096211174249</v>
      </c>
      <c r="BC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16.731876222688001</v>
      </c>
      <c r="BD172" s="8">
        <f>(0.048*C172^1.01)/IF(_xlfn.XLOOKUP(E172,Groups!A:A,Groups!M:M)=1,0.25,0.8)*C172^-0.25</f>
        <v>12.291636010376193</v>
      </c>
      <c r="BE172" s="8">
        <f>EXP(1.076*LN(AP172)-4.5397)*IF(_xlfn.XLOOKUP(E172,Groups!A:A,Groups!BC:BC)=1,1.25,IF(_xlfn.XLOOKUP(E172,Groups!A:A,Groups!BD:BD)=1,3.5,2.5))</f>
        <v>1142.9333135956558</v>
      </c>
      <c r="BF172" s="8">
        <f>EXP(1.076*LN(AQ172)-4.5397)*IF(_xlfn.XLOOKUP(E172,Groups!A:A,Groups!M:M)=1,0.8,IF(_xlfn.XLOOKUP(E172,Groups!A:A,Groups!BC:BC)=1,1.3,3))</f>
        <v>1258.182322275647</v>
      </c>
      <c r="BG172" s="8">
        <f>IF(W172="No","No",IF(_xlfn.XLOOKUP(E172,Groups!A:A,Groups!U:U)=1,'Base stats'!BH172,IF(OR(_xlfn.XLOOKUP(E172,Groups!A:A,Groups!BD:BD)=1,_xlfn.XLOOKUP(E172,Groups!A:A,Groups!U:U)=2),BE172,BF172))*1.2)</f>
        <v>1371.5199763147868</v>
      </c>
      <c r="BH172" s="8">
        <f>IFERROR(EXP(1.076*LN(AR172)-4.5397)*IF(_xlfn.XLOOKUP(E172,Groups!A:A,Groups!N:N)="Insect",1,IF(OR(_xlfn.XLOOKUP(E172,Groups!A:A,Groups!N:N)="Pig",_xlfn.XLOOKUP(E172,Groups!A:A,Groups!N:N)="StrongBitingHerbivore"),3.5,3.75)),"No")</f>
        <v>694.58430497858171</v>
      </c>
      <c r="BI172" s="8">
        <f t="shared" si="108"/>
        <v>17</v>
      </c>
      <c r="BJ172" s="8">
        <f t="shared" si="109"/>
        <v>12</v>
      </c>
      <c r="BK172" s="8">
        <f t="shared" si="110"/>
        <v>18</v>
      </c>
      <c r="BL172" s="8">
        <f t="shared" si="111"/>
        <v>11</v>
      </c>
      <c r="BM172" s="8">
        <f t="shared" si="112"/>
        <v>14</v>
      </c>
      <c r="BN172" s="8" t="str" cm="1">
        <f t="array" ref="BN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O172" s="8">
        <f>IF(W172="No","No",IF(_xlfn.XLOOKUP(E172,Groups!A:A,Groups!BD:BD)=1,(AM172*5%),EXP(0.7354*LN(C172)^0.4078)*2/IF(_xlfn.XLOOKUP(E172,Groups!A:A,Groups!BL:BL)=1,1000,100)))</f>
        <v>0.10171249757005109</v>
      </c>
      <c r="BP172" s="8">
        <f>IF(BH172="No","No",IF(_xlfn.XLOOKUP(E172,Groups!A:A,Groups!BF:BF)=1,(0.0315*C172+2.1825)*2,(0.7354*C172^0.4078)*2)/IF(_xlfn.XLOOKUP(E172,Groups!A:A,Groups!BM:BM)=1,1000,100))</f>
        <v>0.25576055059574831</v>
      </c>
      <c r="BQ172" s="8">
        <f t="shared" si="113"/>
        <v>0.21718141732384133</v>
      </c>
      <c r="BR172" s="8" t="str">
        <f t="shared" si="114"/>
        <v>No</v>
      </c>
      <c r="BS172" s="8">
        <f t="shared" si="115"/>
        <v>13484.281765573578</v>
      </c>
      <c r="BT172" s="8">
        <f t="shared" si="116"/>
        <v>2715.7601254793681</v>
      </c>
      <c r="BU172" s="4">
        <v>0</v>
      </c>
      <c r="BV172" s="4">
        <v>1</v>
      </c>
    </row>
    <row r="173" spans="1:74" x14ac:dyDescent="0.25">
      <c r="A173" s="26" t="s">
        <v>1255</v>
      </c>
      <c r="B173" s="6" t="s">
        <v>1264</v>
      </c>
      <c r="C173" s="7">
        <v>39.924999999999997</v>
      </c>
      <c r="D173" s="7" t="s">
        <v>1273</v>
      </c>
      <c r="E173" s="7" t="str">
        <f>Groups!A44</f>
        <v>Primate (tailless)</v>
      </c>
      <c r="F173" s="7">
        <v>232</v>
      </c>
      <c r="G173" s="7">
        <f>3194/365</f>
        <v>8.75068493150685</v>
      </c>
      <c r="H173" s="7">
        <v>55</v>
      </c>
      <c r="I173" s="4">
        <v>1</v>
      </c>
      <c r="J173" s="7">
        <v>1</v>
      </c>
      <c r="K173" s="7" t="s">
        <v>1273</v>
      </c>
      <c r="L173" s="7">
        <v>32</v>
      </c>
      <c r="M173" s="7" t="s">
        <v>638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</v>
      </c>
      <c r="T173" s="7">
        <f>_xlfn.XLOOKUP(B173,[1]TeethAdjusters!$A:$A,[1]TeethAdjusters!$B:$B,1)</f>
        <v>1</v>
      </c>
      <c r="U173" s="7" t="s">
        <v>45</v>
      </c>
      <c r="V173" s="7">
        <f>IF(AR173="No","No",IF(_xlfn.XLOOKUP(E173,Groups!A:A,Groups!AM:AM)=1,MROUND(EXP(0.3582*LN(C173)-0.2221)*T173,0.05),IF(_xlfn.XLOOKUP(E173,Groups!A:A,Groups!AM:AM)=2,MROUND(EXP(0.3582*LN(C173)-0.2221)*T173,0.05),"Need a formula")))</f>
        <v>3</v>
      </c>
      <c r="W173" s="7" t="s">
        <v>45</v>
      </c>
      <c r="X173" s="7" t="s">
        <v>945</v>
      </c>
      <c r="Y173" s="4" t="s">
        <v>42</v>
      </c>
      <c r="Z173" s="4">
        <v>0</v>
      </c>
      <c r="AA173" s="4">
        <v>0</v>
      </c>
      <c r="AB173" s="4">
        <v>0</v>
      </c>
      <c r="AC173" s="4" t="s">
        <v>1085</v>
      </c>
      <c r="AD173" s="4" t="s">
        <v>407</v>
      </c>
      <c r="AE173" s="28" t="s">
        <v>394</v>
      </c>
      <c r="AF173" s="4" t="str">
        <f>Animals!C31</f>
        <v>&lt;li&gt;Monkey&lt;/li&gt;</v>
      </c>
      <c r="AG173" s="4">
        <v>0</v>
      </c>
      <c r="AH173" s="4">
        <v>0</v>
      </c>
      <c r="AI173" s="4">
        <v>0</v>
      </c>
      <c r="AJ173" s="4">
        <v>0</v>
      </c>
      <c r="AK173" s="4">
        <v>1</v>
      </c>
      <c r="AL173" s="44" t="s">
        <v>40</v>
      </c>
      <c r="AM173" s="8">
        <f t="shared" si="117"/>
        <v>12193.606615764173</v>
      </c>
      <c r="AN173" s="8">
        <f>IFERROR(C173*_xlfn.XLOOKUP(E173,Groups!A:A,Groups!K:K),0.106*C173^0.94)</f>
        <v>3.392158171478437</v>
      </c>
      <c r="AO173" s="8">
        <f>AN173*10000/(_xlfn.XLOOKUP(E173,Groups!A:A,Groups!J:J)*AM173)</f>
        <v>2.5522159398920881</v>
      </c>
      <c r="AP173" s="8">
        <f t="shared" si="103"/>
        <v>1224.6509893194125</v>
      </c>
      <c r="AQ173" s="8">
        <f>IF(_xlfn.XLOOKUP(E173,Groups!A:A,Groups!M:M)=1,EXP(0.7444*LN('Base stats'!C173)+6.5696),EXP(0.7927*LN('Base stats'!C173)+4.28))</f>
        <v>1343.0347023471277</v>
      </c>
      <c r="AR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"No")))))))))))))))</f>
        <v>593.65064942336471</v>
      </c>
      <c r="AS173" s="8">
        <f>IF(_xlfn.XLOOKUP(E173,Groups!A:A,Groups!U:U)=3,AQ173,IF(_xlfn.XLOOKUP(E173,Groups!A:A,Groups!U:U)=2,AP173,AR173))</f>
        <v>593.65064942336471</v>
      </c>
      <c r="AT173" s="46">
        <f>IFERROR(AVERAGE(_xlfn.XLOOKUP(B173,Animals!B:B,Animals!N:N),_xlfn.XLOOKUP(B173,Animals!B:B,Animals!O:O)),0)</f>
        <v>0</v>
      </c>
      <c r="AU173" s="8">
        <f>MROUND(40*Animals!AO173*_xlfn.XLOOKUP(Animals!BB173,Leathers!$A$2:$A$100,Leathers!$B$2:$B$100,0)+(140*_xlfn.XLOOKUP(B173,Animals!B:B,Animals!AO:AO)*2),5)</f>
        <v>285</v>
      </c>
      <c r="AV173" s="8">
        <f>IFERROR(ROUND(SQRT(V173-1)*IF(_xlfn.XLOOKUP(E173,Groups!A:A,Groups!BF:BF)=0,2,1)*IF(_xlfn.XLOOKUP('Base stats'!E173,Groups!A:A,Groups!O:O)=0,1,0.1),1),0)</f>
        <v>2.8</v>
      </c>
      <c r="AW173" s="8">
        <f t="shared" si="104"/>
        <v>0</v>
      </c>
      <c r="AX173" s="8">
        <f t="shared" si="105"/>
        <v>0</v>
      </c>
      <c r="AY173" s="8">
        <f t="shared" si="106"/>
        <v>3</v>
      </c>
      <c r="AZ173" s="8">
        <f>IF(_xlfn.XLOOKUP(E173,Groups!A:A,Groups!N:N)="Insect",BB173*2.5,IFERROR(AVERAGE(BB173,AR173/9.81/IF(OR(_xlfn.XLOOKUP(E173,Groups!A:A,Groups!N:N)="Pig",_xlfn.XLOOKUP(E173,Groups!A:A,Groups!N:N)="StrongBitingHerbivore"),20,25))*C173^-0.135,BB173))</f>
        <v>0.92779462698216975</v>
      </c>
      <c r="BA173" s="8" t="str">
        <f>IF(W173="No","No",IF(_xlfn.XLOOKUP(E173,Groups!A:A,Groups!U:U)=1,'Base stats'!AZ173,IF(OR(_xlfn.XLOOKUP(E173,Groups!A:A,Groups!BD:BD)=1,_xlfn.XLOOKUP(E173,Groups!A:A,Groups!U:U)=2),BB173,IF(_xlfn.XLOOKUP(B173,Animals!B:B,Animals!AO:AO)&gt;4,AVERAGE(BB173,BD173),BD173))))</f>
        <v>No</v>
      </c>
      <c r="BB173" s="8">
        <f t="shared" si="107"/>
        <v>0.63186564097306441</v>
      </c>
      <c r="BC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1.2595905394485822</v>
      </c>
      <c r="BD173" s="8">
        <f>(0.048*C173^1.01)/IF(_xlfn.XLOOKUP(E173,Groups!A:A,Groups!M:M)=1,0.25,0.8)*C173^-0.25</f>
        <v>0.98877480869839474</v>
      </c>
      <c r="BE173" s="8">
        <f>EXP(1.076*LN(AP173)-4.5397)*IF(_xlfn.XLOOKUP(E173,Groups!A:A,Groups!BC:BC)=1,1.25,IF(_xlfn.XLOOKUP(E173,Groups!A:A,Groups!BD:BD)=1,3.5,2.5))</f>
        <v>56.114438879003373</v>
      </c>
      <c r="BF173" s="8">
        <f>EXP(1.076*LN(AQ173)-4.5397)*IF(_xlfn.XLOOKUP(E173,Groups!A:A,Groups!M:M)=1,0.8,IF(_xlfn.XLOOKUP(E173,Groups!A:A,Groups!BC:BC)=1,1.3,3))</f>
        <v>74.366348840447856</v>
      </c>
      <c r="BG173" s="8" t="str">
        <f>IF(W173="No","No",IF(_xlfn.XLOOKUP(E173,Groups!A:A,Groups!U:U)=1,'Base stats'!BH173,IF(OR(_xlfn.XLOOKUP(E173,Groups!A:A,Groups!BD:BD)=1,_xlfn.XLOOKUP(E173,Groups!A:A,Groups!U:U)=2),BE173,BF173))*1.2)</f>
        <v>No</v>
      </c>
      <c r="BH173" s="8">
        <f>IFERROR(EXP(1.076*LN(AR173)-4.5397)*IF(_xlfn.XLOOKUP(E173,Groups!A:A,Groups!N:N)="Insect",1,IF(OR(_xlfn.XLOOKUP(E173,Groups!A:A,Groups!N:N)="Pig",_xlfn.XLOOKUP(E173,Groups!A:A,Groups!N:N)="StrongBitingHerbivore"),3.5,3.75)),"No")</f>
        <v>38.617477968946893</v>
      </c>
      <c r="BI173" s="8">
        <f t="shared" si="108"/>
        <v>13</v>
      </c>
      <c r="BJ173" s="8">
        <f t="shared" si="109"/>
        <v>10</v>
      </c>
      <c r="BK173" s="8" t="str">
        <f t="shared" si="110"/>
        <v>No</v>
      </c>
      <c r="BL173" s="8">
        <f t="shared" si="111"/>
        <v>9</v>
      </c>
      <c r="BM173" s="8">
        <f t="shared" si="112"/>
        <v>12</v>
      </c>
      <c r="BN173" s="8" cm="1">
        <f t="array" ref="BN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1.9023530295960598</v>
      </c>
      <c r="BO173" s="8" t="str">
        <f>IF(W173="No","No",IF(_xlfn.XLOOKUP(E173,Groups!A:A,Groups!BD:BD)=1,(AM173*5%),EXP(0.7354*LN(C173)^0.4078)*2/IF(_xlfn.XLOOKUP(E173,Groups!A:A,Groups!BL:BL)=1,1000,100)))</f>
        <v>No</v>
      </c>
      <c r="BP173" s="8">
        <f>IF(BH173="No","No",IF(_xlfn.XLOOKUP(E173,Groups!A:A,Groups!BF:BF)=1,(0.0315*C173+2.1825)*2,(0.7354*C173^0.4078)*2)/IF(_xlfn.XLOOKUP(E173,Groups!A:A,Groups!BM:BM)=1,1000,100))</f>
        <v>6.6151744499875986E-2</v>
      </c>
      <c r="BQ173" s="8">
        <f t="shared" si="113"/>
        <v>9.2039116312736133E-2</v>
      </c>
      <c r="BR173" s="8">
        <f t="shared" si="114"/>
        <v>39.091770919217133</v>
      </c>
      <c r="BS173" s="8" t="str">
        <f t="shared" si="115"/>
        <v>No</v>
      </c>
      <c r="BT173" s="8">
        <f t="shared" si="116"/>
        <v>583.77111988360775</v>
      </c>
      <c r="BU173" s="4">
        <v>0</v>
      </c>
      <c r="BV173" s="4">
        <v>1</v>
      </c>
    </row>
    <row r="174" spans="1:74" x14ac:dyDescent="0.25">
      <c r="A174" s="26" t="s">
        <v>1256</v>
      </c>
      <c r="B174" s="6" t="s">
        <v>1265</v>
      </c>
      <c r="C174" s="7">
        <v>158</v>
      </c>
      <c r="D174" s="7" t="s">
        <v>1274</v>
      </c>
      <c r="E174" s="7" t="str">
        <f>Groups!A9</f>
        <v>Bird</v>
      </c>
      <c r="F174" s="7" t="str">
        <f t="shared" ref="F174" si="118">"Lay eggs"</f>
        <v>Lay eggs</v>
      </c>
      <c r="G174" s="7">
        <f>5</f>
        <v>5</v>
      </c>
      <c r="H174" s="7">
        <v>50</v>
      </c>
      <c r="I174" s="4">
        <v>0</v>
      </c>
      <c r="J174" s="7" t="str">
        <f t="shared" ref="J174:J176" si="119">"Lay eggs"</f>
        <v>Lay eggs</v>
      </c>
      <c r="K174" s="7" t="s">
        <v>538</v>
      </c>
      <c r="L174" s="7">
        <f>$L$5*(C174/C173)^0.165</f>
        <v>60.207026059878537</v>
      </c>
      <c r="M174" s="7" t="s">
        <v>639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>
        <v>6</v>
      </c>
      <c r="V174" s="7">
        <v>8</v>
      </c>
      <c r="W174" s="7" t="s">
        <v>45</v>
      </c>
      <c r="X174" s="7" t="s">
        <v>945</v>
      </c>
      <c r="Y174" s="4" t="s">
        <v>42</v>
      </c>
      <c r="Z174" s="4">
        <v>0</v>
      </c>
      <c r="AA174" s="4">
        <v>0</v>
      </c>
      <c r="AB174" s="4">
        <v>0</v>
      </c>
      <c r="AC174" s="4" t="s">
        <v>45</v>
      </c>
      <c r="AD174" s="4" t="s">
        <v>320</v>
      </c>
      <c r="AE174" s="28" t="s">
        <v>384</v>
      </c>
      <c r="AF174" s="4" t="str">
        <f>Animals!C6</f>
        <v>&lt;li&gt;Cassowary&lt;/li&gt;</v>
      </c>
      <c r="AG174" s="4">
        <v>0</v>
      </c>
      <c r="AH174" s="4">
        <v>0</v>
      </c>
      <c r="AI174" s="4">
        <v>0</v>
      </c>
      <c r="AJ174" s="4">
        <v>0</v>
      </c>
      <c r="AK174" s="4">
        <v>1</v>
      </c>
      <c r="AL174" s="44" t="s">
        <v>40</v>
      </c>
      <c r="AM174" s="8">
        <f t="shared" si="117"/>
        <v>29816.048439554645</v>
      </c>
      <c r="AN174" s="8">
        <f>IFERROR(C174*_xlfn.XLOOKUP(E174,Groups!A:A,Groups!K:K),0.106*C174^0.94)</f>
        <v>12.360713120212504</v>
      </c>
      <c r="AO174" s="8">
        <f>AN174*10000/(_xlfn.XLOOKUP(E174,Groups!A:A,Groups!J:J)*AM174)</f>
        <v>3.8033557005385839</v>
      </c>
      <c r="AP174" s="8">
        <f t="shared" si="103"/>
        <v>3914.2304491773752</v>
      </c>
      <c r="AQ174" s="8">
        <f>IF(_xlfn.XLOOKUP(E174,Groups!A:A,Groups!M:M)=1,EXP(0.7444*LN('Base stats'!C174)+6.5696),EXP(0.7927*LN('Base stats'!C174)+4.28))</f>
        <v>3996.2795016509476</v>
      </c>
      <c r="AR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"No")))))))))))))))</f>
        <v>467.03853082898877</v>
      </c>
      <c r="AS174" s="8">
        <f>IF(_xlfn.XLOOKUP(E174,Groups!A:A,Groups!U:U)=3,AQ174,IF(_xlfn.XLOOKUP(E174,Groups!A:A,Groups!U:U)=2,AP174,AR174))</f>
        <v>467.03853082898877</v>
      </c>
      <c r="AT174" s="46">
        <f>IFERROR(AVERAGE(_xlfn.XLOOKUP(B174,Animals!B:B,Animals!N:N),_xlfn.XLOOKUP(B174,Animals!B:B,Animals!O:O)),0)</f>
        <v>0</v>
      </c>
      <c r="AU174" s="8">
        <f>MROUND(40*Animals!AO174*_xlfn.XLOOKUP(Animals!BB174,Leathers!$A$2:$A$100,Leathers!$B$2:$B$100,0)+(140*_xlfn.XLOOKUP(B174,Animals!B:B,Animals!AO:AO)*2),5)</f>
        <v>565</v>
      </c>
      <c r="AV174" s="8">
        <f>IFERROR(ROUND(SQRT(V174-1)*IF(_xlfn.XLOOKUP(E174,Groups!A:A,Groups!BF:BF)=0,2,1)*IF(_xlfn.XLOOKUP('Base stats'!E174,Groups!A:A,Groups!O:O)=0,1,0.1),1),0)</f>
        <v>0.3</v>
      </c>
      <c r="AW174" s="8">
        <f t="shared" si="104"/>
        <v>2.2000000000000002</v>
      </c>
      <c r="AX174" s="8">
        <f t="shared" si="105"/>
        <v>0</v>
      </c>
      <c r="AY174" s="8">
        <f t="shared" si="106"/>
        <v>4.9000000000000004</v>
      </c>
      <c r="AZ174" s="8">
        <f>IF(_xlfn.XLOOKUP(E174,Groups!A:A,Groups!N:N)="Insect",BB174*2.5,IFERROR(AVERAGE(BB174,AR174/9.81/IF(OR(_xlfn.XLOOKUP(E174,Groups!A:A,Groups!N:N)="Pig",_xlfn.XLOOKUP(E174,Groups!A:A,Groups!N:N)="StrongBitingHerbivore"),20,25))*C174^-0.135,BB174))</f>
        <v>0.93073584075318005</v>
      </c>
      <c r="BA174" s="8" t="str">
        <f>IF(W174="No","No",IF(_xlfn.XLOOKUP(E174,Groups!A:A,Groups!U:U)=1,'Base stats'!AZ174,IF(OR(_xlfn.XLOOKUP(E174,Groups!A:A,Groups!BD:BD)=1,_xlfn.XLOOKUP(E174,Groups!A:A,Groups!U:U)=2),BB174,IF(_xlfn.XLOOKUP(B174,Animals!B:B,Animals!AO:AO)&gt;4,AVERAGE(BB174,BD174),BD174))))</f>
        <v>No</v>
      </c>
      <c r="BB174" s="8">
        <f t="shared" si="107"/>
        <v>1.7826804862107648</v>
      </c>
      <c r="BC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5.9332750873560087</v>
      </c>
      <c r="BD174" s="8">
        <f>(0.048*C174^1.01)/IF(_xlfn.XLOOKUP(E174,Groups!A:A,Groups!M:M)=1,0.25,0.8)*C174^-0.25</f>
        <v>2.8127467818541616</v>
      </c>
      <c r="BE174" s="8">
        <f>EXP(1.076*LN(AP174)-4.5397)*IF(_xlfn.XLOOKUP(E174,Groups!A:A,Groups!BC:BC)=1,1.25,IF(_xlfn.XLOOKUP(E174,Groups!A:A,Groups!BD:BD)=1,3.5,2.5))</f>
        <v>195.91192228350945</v>
      </c>
      <c r="BF174" s="8">
        <f>EXP(1.076*LN(AQ174)-4.5397)*IF(_xlfn.XLOOKUP(E174,Groups!A:A,Groups!M:M)=1,0.8,IF(_xlfn.XLOOKUP(E174,Groups!A:A,Groups!BC:BC)=1,1.3,3))</f>
        <v>240.40101424282807</v>
      </c>
      <c r="BG174" s="8" t="str">
        <f>IF(W174="No","No",IF(_xlfn.XLOOKUP(E174,Groups!A:A,Groups!U:U)=1,'Base stats'!BH174,IF(OR(_xlfn.XLOOKUP(E174,Groups!A:A,Groups!BD:BD)=1,_xlfn.XLOOKUP(E174,Groups!A:A,Groups!U:U)=2),BE174,BF174))*1.2)</f>
        <v>No</v>
      </c>
      <c r="BH174" s="8">
        <f>IFERROR(EXP(1.076*LN(AR174)-4.5397)*IF(_xlfn.XLOOKUP(E174,Groups!A:A,Groups!N:N)="Insect",1,IF(OR(_xlfn.XLOOKUP(E174,Groups!A:A,Groups!N:N)="Pig",_xlfn.XLOOKUP(E174,Groups!A:A,Groups!N:N)="StrongBitingHerbivore"),3.5,3.75)),"No")</f>
        <v>29.832395347188957</v>
      </c>
      <c r="BI174" s="8">
        <f t="shared" si="108"/>
        <v>14</v>
      </c>
      <c r="BJ174" s="8">
        <f t="shared" si="109"/>
        <v>9</v>
      </c>
      <c r="BK174" s="8" t="str">
        <f t="shared" si="110"/>
        <v>No</v>
      </c>
      <c r="BL174" s="8">
        <f t="shared" si="111"/>
        <v>8</v>
      </c>
      <c r="BM174" s="8">
        <f t="shared" si="112"/>
        <v>13</v>
      </c>
      <c r="BN174" s="8" cm="1">
        <f t="array" ref="BN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0.11592203092401863</v>
      </c>
      <c r="BO174" s="8" t="str">
        <f>IF(W174="No","No",IF(_xlfn.XLOOKUP(E174,Groups!A:A,Groups!BD:BD)=1,(AM174*5%),EXP(0.7354*LN(C174)^0.4078)*2/IF(_xlfn.XLOOKUP(E174,Groups!A:A,Groups!BL:BL)=1,1000,100)))</f>
        <v>No</v>
      </c>
      <c r="BP174" s="8">
        <f>IF(BH174="No","No",IF(_xlfn.XLOOKUP(E174,Groups!A:A,Groups!BF:BF)=1,(0.0315*C174+2.1825)*2,(0.7354*C174^0.4078)*2)/IF(_xlfn.XLOOKUP(E174,Groups!A:A,Groups!BM:BM)=1,1000,100))</f>
        <v>0.11592203092401863</v>
      </c>
      <c r="BQ174" s="8">
        <f t="shared" si="113"/>
        <v>0.13141374027525946</v>
      </c>
      <c r="BR174" s="8">
        <f t="shared" si="114"/>
        <v>2073.8164465079071</v>
      </c>
      <c r="BS174" s="8" t="str">
        <f t="shared" si="115"/>
        <v>No</v>
      </c>
      <c r="BT174" s="8">
        <f t="shared" si="116"/>
        <v>257.3487982344156</v>
      </c>
      <c r="BU174" s="4">
        <v>0</v>
      </c>
      <c r="BV174" s="4">
        <v>1</v>
      </c>
    </row>
    <row r="175" spans="1:74" x14ac:dyDescent="0.25">
      <c r="A175" s="26" t="s">
        <v>1257</v>
      </c>
      <c r="B175" s="6" t="s">
        <v>1266</v>
      </c>
      <c r="C175" s="7">
        <v>280</v>
      </c>
      <c r="D175" s="7" t="s">
        <v>607</v>
      </c>
      <c r="E175" s="7" t="str">
        <f>Groups!A25</f>
        <v>Horselike (wild)</v>
      </c>
      <c r="F175" s="7">
        <v>365</v>
      </c>
      <c r="G175" s="7">
        <f>900 /365</f>
        <v>2.4657534246575343</v>
      </c>
      <c r="H175" s="7">
        <v>55</v>
      </c>
      <c r="I175" s="4">
        <v>0</v>
      </c>
      <c r="J175" s="7">
        <v>0</v>
      </c>
      <c r="K175" s="7" t="s">
        <v>607</v>
      </c>
      <c r="L175" s="7">
        <v>70</v>
      </c>
      <c r="M175" s="7" t="s">
        <v>638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1</v>
      </c>
      <c r="T175" s="7">
        <f>_xlfn.XLOOKUP(B175,[1]TeethAdjusters!$A:$A,[1]TeethAdjusters!$B:$B,1)</f>
        <v>1</v>
      </c>
      <c r="U175" s="7" t="s">
        <v>45</v>
      </c>
      <c r="V175" s="7">
        <f>MROUND(1.5,0.05)</f>
        <v>1.5</v>
      </c>
      <c r="W175" s="7" t="s">
        <v>45</v>
      </c>
      <c r="X175" s="7" t="s">
        <v>945</v>
      </c>
      <c r="Y175" s="4" t="s">
        <v>42</v>
      </c>
      <c r="Z175" s="4">
        <v>0</v>
      </c>
      <c r="AA175" s="4">
        <v>0</v>
      </c>
      <c r="AB175" s="4">
        <v>0</v>
      </c>
      <c r="AC175" s="4" t="s">
        <v>45</v>
      </c>
      <c r="AD175" s="4" t="s">
        <v>410</v>
      </c>
      <c r="AE175" s="28" t="s">
        <v>401</v>
      </c>
      <c r="AF175" s="4" t="str">
        <f>Animals!C21</f>
        <v>&lt;li&gt;Horse&lt;/li&gt;</v>
      </c>
      <c r="AG175" s="4">
        <v>0</v>
      </c>
      <c r="AH175" s="4">
        <v>0</v>
      </c>
      <c r="AI175" s="4">
        <v>0</v>
      </c>
      <c r="AJ175" s="4">
        <v>0</v>
      </c>
      <c r="AK175" s="4">
        <v>1</v>
      </c>
      <c r="AL175" s="44" t="s">
        <v>40</v>
      </c>
      <c r="AM175" s="8">
        <f t="shared" si="117"/>
        <v>43248.963050706334</v>
      </c>
      <c r="AN175" s="8">
        <f>IFERROR(C175*_xlfn.XLOOKUP(E175,Groups!A:A,Groups!K:K),0.106*C175^0.94)</f>
        <v>21.165786678220933</v>
      </c>
      <c r="AO175" s="8">
        <f>AN175*10000/(_xlfn.XLOOKUP(E175,Groups!A:A,Groups!J:J)*AM175)</f>
        <v>4.4898539863331788</v>
      </c>
      <c r="AP175" s="8">
        <f t="shared" si="103"/>
        <v>6346.804759702758</v>
      </c>
      <c r="AQ175" s="8">
        <f>IF(_xlfn.XLOOKUP(E175,Groups!A:A,Groups!M:M)=1,EXP(0.7444*LN('Base stats'!C175)+6.5696),EXP(0.7927*LN('Base stats'!C175)+4.28))</f>
        <v>6289.8828104523209</v>
      </c>
      <c r="AR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"No")))))))))))))))</f>
        <v>3728.4083499042572</v>
      </c>
      <c r="AS175" s="8">
        <f>IF(_xlfn.XLOOKUP(E175,Groups!A:A,Groups!U:U)=3,AQ175,IF(_xlfn.XLOOKUP(E175,Groups!A:A,Groups!U:U)=2,AP175,AR175))</f>
        <v>3728.4083499042572</v>
      </c>
      <c r="AT175" s="46">
        <f>IFERROR(AVERAGE(_xlfn.XLOOKUP(B175,Animals!B:B,Animals!N:N),_xlfn.XLOOKUP(B175,Animals!B:B,Animals!O:O)),0)</f>
        <v>0</v>
      </c>
      <c r="AU175" s="8">
        <f>MROUND(40*Animals!AO175*_xlfn.XLOOKUP(Animals!BB175,Leathers!$A$2:$A$100,Leathers!$B$2:$B$100,0)+(140*_xlfn.XLOOKUP(B175,Animals!B:B,Animals!AO:AO)*2),5)</f>
        <v>820</v>
      </c>
      <c r="AV175" s="8">
        <f>IFERROR(ROUND(SQRT(V175-1)*IF(_xlfn.XLOOKUP(E175,Groups!A:A,Groups!BF:BF)=0,2,1)*IF(_xlfn.XLOOKUP('Base stats'!E175,Groups!A:A,Groups!O:O)=0,1,0.1),1),0)</f>
        <v>0.7</v>
      </c>
      <c r="AW175" s="8">
        <f t="shared" si="104"/>
        <v>0</v>
      </c>
      <c r="AX175" s="8">
        <f t="shared" si="105"/>
        <v>0</v>
      </c>
      <c r="AY175" s="8">
        <f t="shared" si="106"/>
        <v>6</v>
      </c>
      <c r="AZ175" s="8">
        <f>IF(_xlfn.XLOOKUP(E175,Groups!A:A,Groups!N:N)="Insect",BB175*2.5,IFERROR(AVERAGE(BB175,AR175/9.81/IF(OR(_xlfn.XLOOKUP(E175,Groups!A:A,Groups!N:N)="Pig",_xlfn.XLOOKUP(E175,Groups!A:A,Groups!N:N)="StrongBitingHerbivore"),20,25))*C175^-0.135,BB175))</f>
        <v>5.0817406215823828</v>
      </c>
      <c r="BA175" s="8" t="str">
        <f>IF(W175="No","No",IF(_xlfn.XLOOKUP(E175,Groups!A:A,Groups!U:U)=1,'Base stats'!AZ175,IF(OR(_xlfn.XLOOKUP(E175,Groups!A:A,Groups!BD:BD)=1,_xlfn.XLOOKUP(E175,Groups!A:A,Groups!U:U)=2),BB175,IF(_xlfn.XLOOKUP(B175,Animals!B:B,Animals!AO:AO)&gt;4,AVERAGE(BB175,BD175),BD175))))</f>
        <v>No</v>
      </c>
      <c r="BB175" s="8">
        <f t="shared" si="107"/>
        <v>2.7443735352452556</v>
      </c>
      <c r="BC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5.7549507739970602</v>
      </c>
      <c r="BD175" s="8">
        <f>(0.048*C175^1.01)/IF(_xlfn.XLOOKUP(E175,Groups!A:A,Groups!M:M)=1,0.25,0.8)*C175^-0.25</f>
        <v>4.3450157416647412</v>
      </c>
      <c r="BE175" s="8">
        <f>EXP(1.076*LN(AP175)-4.5397)*IF(_xlfn.XLOOKUP(E175,Groups!A:A,Groups!BC:BC)=1,1.25,IF(_xlfn.XLOOKUP(E175,Groups!A:A,Groups!BD:BD)=1,3.5,2.5))</f>
        <v>329.55103389391587</v>
      </c>
      <c r="BF175" s="8">
        <f>EXP(1.076*LN(AQ175)-4.5397)*IF(_xlfn.XLOOKUP(E175,Groups!A:A,Groups!M:M)=1,0.8,IF(_xlfn.XLOOKUP(E175,Groups!A:A,Groups!BC:BC)=1,1.3,3))</f>
        <v>391.64625971648672</v>
      </c>
      <c r="BG175" s="8" t="str">
        <f>IF(W175="No","No",IF(_xlfn.XLOOKUP(E175,Groups!A:A,Groups!U:U)=1,'Base stats'!BH175,IF(OR(_xlfn.XLOOKUP(E175,Groups!A:A,Groups!BD:BD)=1,_xlfn.XLOOKUP(E175,Groups!A:A,Groups!U:U)=2),BE175,BF175))*1.2)</f>
        <v>No</v>
      </c>
      <c r="BH175" s="8">
        <f>IFERROR(EXP(1.076*LN(AR175)-4.5397)*IF(_xlfn.XLOOKUP(E175,Groups!A:A,Groups!N:N)="Insect",1,IF(OR(_xlfn.XLOOKUP(E175,Groups!A:A,Groups!N:N)="Pig",_xlfn.XLOOKUP(E175,Groups!A:A,Groups!N:N)="StrongBitingHerbivore"),3.5,3.75)),"No")</f>
        <v>260.29189226422181</v>
      </c>
      <c r="BI175" s="8">
        <f t="shared" si="108"/>
        <v>15</v>
      </c>
      <c r="BJ175" s="8">
        <f t="shared" si="109"/>
        <v>11</v>
      </c>
      <c r="BK175" s="8" t="str">
        <f t="shared" si="110"/>
        <v>No</v>
      </c>
      <c r="BL175" s="8">
        <f t="shared" si="111"/>
        <v>10</v>
      </c>
      <c r="BM175" s="8">
        <f t="shared" si="112"/>
        <v>13</v>
      </c>
      <c r="BN175" s="8" cm="1">
        <f t="array" ref="BN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52.432304702118707</v>
      </c>
      <c r="BO175" s="8" t="str">
        <f>IF(W175="No","No",IF(_xlfn.XLOOKUP(E175,Groups!A:A,Groups!BD:BD)=1,(AM175*5%),EXP(0.7354*LN(C175)^0.4078)*2/IF(_xlfn.XLOOKUP(E175,Groups!A:A,Groups!BL:BL)=1,1000,100)))</f>
        <v>No</v>
      </c>
      <c r="BP175" s="8">
        <f>IF(BH175="No","No",IF(_xlfn.XLOOKUP(E175,Groups!A:A,Groups!BF:BF)=1,(0.0315*C175+2.1825)*2,(0.7354*C175^0.4078)*2)/IF(_xlfn.XLOOKUP(E175,Groups!A:A,Groups!BM:BM)=1,1000,100))</f>
        <v>0.22005000000000002</v>
      </c>
      <c r="BQ175" s="8">
        <f t="shared" si="113"/>
        <v>0.15239719551543501</v>
      </c>
      <c r="BR175" s="8">
        <f t="shared" si="114"/>
        <v>7.4695602633057803</v>
      </c>
      <c r="BS175" s="8" t="str">
        <f t="shared" si="115"/>
        <v>No</v>
      </c>
      <c r="BT175" s="8">
        <f t="shared" si="116"/>
        <v>1182.8761293534278</v>
      </c>
      <c r="BU175" s="4">
        <v>0</v>
      </c>
      <c r="BV175" s="4">
        <v>1</v>
      </c>
    </row>
    <row r="176" spans="1:74" x14ac:dyDescent="0.25">
      <c r="A176" s="26" t="s">
        <v>1258</v>
      </c>
      <c r="B176" s="6" t="s">
        <v>1267</v>
      </c>
      <c r="C176" s="7">
        <v>4.5</v>
      </c>
      <c r="D176" s="7" t="s">
        <v>1275</v>
      </c>
      <c r="E176" s="7" t="str">
        <f>Groups!A6</f>
        <v>Bird (water)</v>
      </c>
      <c r="F176" s="7" t="str">
        <f t="shared" ref="F176" si="120">"Lay eggs"</f>
        <v>Lay eggs</v>
      </c>
      <c r="G176" s="7">
        <f>1817 /365</f>
        <v>4.978082191780822</v>
      </c>
      <c r="H176" s="7">
        <v>15.8</v>
      </c>
      <c r="I176" s="4">
        <v>1</v>
      </c>
      <c r="J176" s="7" t="str">
        <f t="shared" si="119"/>
        <v>Lay eggs</v>
      </c>
      <c r="K176" s="7" t="s">
        <v>1275</v>
      </c>
      <c r="L176" s="7">
        <f>8.2*1.60934</f>
        <v>13.196587999999998</v>
      </c>
      <c r="M176" s="7" t="s">
        <v>640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 t="s">
        <v>45</v>
      </c>
      <c r="V176" s="7">
        <v>8</v>
      </c>
      <c r="W176" s="7" t="s">
        <v>45</v>
      </c>
      <c r="X176" s="7" t="s">
        <v>945</v>
      </c>
      <c r="Y176" s="4" t="s">
        <v>56</v>
      </c>
      <c r="Z176" s="4">
        <v>0</v>
      </c>
      <c r="AA176" s="4">
        <v>0</v>
      </c>
      <c r="AB176" s="4">
        <v>0</v>
      </c>
      <c r="AC176" s="4" t="s">
        <v>45</v>
      </c>
      <c r="AD176" s="4" t="s">
        <v>410</v>
      </c>
      <c r="AE176" s="28" t="s">
        <v>45</v>
      </c>
      <c r="AF176" s="4" t="str">
        <f>Animals!C6</f>
        <v>&lt;li&gt;Cassowary&lt;/li&gt;</v>
      </c>
      <c r="AG176" s="4">
        <v>0</v>
      </c>
      <c r="AH176" s="4">
        <v>1</v>
      </c>
      <c r="AI176" s="4">
        <v>0</v>
      </c>
      <c r="AJ176" s="4">
        <v>0</v>
      </c>
      <c r="AK176" s="4">
        <v>1</v>
      </c>
      <c r="AL176" s="44">
        <v>11</v>
      </c>
      <c r="AM176" s="8">
        <f t="shared" si="117"/>
        <v>2950.6052630710305</v>
      </c>
      <c r="AN176" s="8">
        <f>IFERROR(C176*_xlfn.XLOOKUP(E176,Groups!A:A,Groups!K:K),0.106*C176^0.94)</f>
        <v>0.43583853713193826</v>
      </c>
      <c r="AO176" s="8">
        <f>AN176*10000/(_xlfn.XLOOKUP(E176,Groups!A:A,Groups!J:J)*AM176)</f>
        <v>1.3551520223081701</v>
      </c>
      <c r="AP176" s="8">
        <f t="shared" si="103"/>
        <v>193.73556787208551</v>
      </c>
      <c r="AQ176" s="8">
        <f>IF(_xlfn.XLOOKUP(E176,Groups!A:A,Groups!M:M)=1,EXP(0.7444*LN('Base stats'!C176)+6.5696),EXP(0.7927*LN('Base stats'!C176)+4.28))</f>
        <v>238.00273195891231</v>
      </c>
      <c r="AR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"No")))))))))))))))</f>
        <v>39.802015714796987</v>
      </c>
      <c r="AS176" s="8">
        <f>IF(_xlfn.XLOOKUP(E176,Groups!A:A,Groups!U:U)=3,AQ176,IF(_xlfn.XLOOKUP(E176,Groups!A:A,Groups!U:U)=2,AP176,AR176))</f>
        <v>39.802015714796987</v>
      </c>
      <c r="AT176" s="46">
        <f>IFERROR(AVERAGE(_xlfn.XLOOKUP(B176,Animals!B:B,Animals!N:N),_xlfn.XLOOKUP(B176,Animals!B:B,Animals!O:O)),0)</f>
        <v>0</v>
      </c>
      <c r="AU176" s="8">
        <f>MROUND(40*Animals!AO176*_xlfn.XLOOKUP(Animals!BB176,Leathers!$A$2:$A$100,Leathers!$B$2:$B$100,0)+(140*_xlfn.XLOOKUP(B176,Animals!B:B,Animals!AO:AO)*2),5)</f>
        <v>85</v>
      </c>
      <c r="AV176" s="8">
        <f>IFERROR(ROUND(SQRT(V176-1)*IF(_xlfn.XLOOKUP(E176,Groups!A:A,Groups!BF:BF)=0,2,1)*IF(_xlfn.XLOOKUP('Base stats'!E176,Groups!A:A,Groups!O:O)=0,1,0.1),1),0)</f>
        <v>0.3</v>
      </c>
      <c r="AW176" s="8">
        <f t="shared" si="104"/>
        <v>0</v>
      </c>
      <c r="AX176" s="8">
        <f t="shared" si="105"/>
        <v>0</v>
      </c>
      <c r="AY176" s="8">
        <f t="shared" si="106"/>
        <v>1</v>
      </c>
      <c r="AZ176" s="8">
        <f>IF(_xlfn.XLOOKUP(E176,Groups!A:A,Groups!N:N)="Insect",BB176*2.5,IFERROR(AVERAGE(BB176,AR176/9.81/IF(OR(_xlfn.XLOOKUP(E176,Groups!A:A,Groups!N:N)="Pig",_xlfn.XLOOKUP(E176,Groups!A:A,Groups!N:N)="StrongBitingHerbivore"),20,25))*C176^-0.135,BB176))</f>
        <v>0.12206734153284268</v>
      </c>
      <c r="BA176" s="8" t="str">
        <f>IF(W176="No","No",IF(_xlfn.XLOOKUP(E176,Groups!A:A,Groups!U:U)=1,'Base stats'!AZ176,IF(OR(_xlfn.XLOOKUP(E176,Groups!A:A,Groups!BD:BD)=1,_xlfn.XLOOKUP(E176,Groups!A:A,Groups!U:U)=2),BB176,IF(_xlfn.XLOOKUP(B176,Animals!B:B,Animals!AO:AO)&gt;4,AVERAGE(BB176,BD176),BD176))))</f>
        <v>No</v>
      </c>
      <c r="BB176" s="8">
        <f t="shared" si="107"/>
        <v>0.1368061641182855</v>
      </c>
      <c r="BC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0.38004087066628489</v>
      </c>
      <c r="BD176" s="8">
        <f>(0.048*C176^1.01)/IF(_xlfn.XLOOKUP(E176,Groups!A:A,Groups!M:M)=1,0.25,0.8)*C176^-0.25</f>
        <v>0.18818836143592041</v>
      </c>
      <c r="BE176" s="8">
        <f>EXP(1.076*LN(AP176)-4.5397)*IF(_xlfn.XLOOKUP(E176,Groups!A:A,Groups!BC:BC)=1,1.25,IF(_xlfn.XLOOKUP(E176,Groups!A:A,Groups!BD:BD)=1,3.5,2.5))</f>
        <v>7.716326944216144</v>
      </c>
      <c r="BF176" s="8">
        <f>EXP(1.076*LN(AQ176)-4.5397)*IF(_xlfn.XLOOKUP(E176,Groups!A:A,Groups!M:M)=1,0.8,IF(_xlfn.XLOOKUP(E176,Groups!A:A,Groups!BC:BC)=1,1.3,3))</f>
        <v>11.55464920650892</v>
      </c>
      <c r="BG176" s="8" t="str">
        <f>IF(W176="No","No",IF(_xlfn.XLOOKUP(E176,Groups!A:A,Groups!U:U)=1,'Base stats'!BH176,IF(OR(_xlfn.XLOOKUP(E176,Groups!A:A,Groups!BD:BD)=1,_xlfn.XLOOKUP(E176,Groups!A:A,Groups!U:U)=2),BE176,BF176))*1.2)</f>
        <v>No</v>
      </c>
      <c r="BH176" s="8">
        <f>IFERROR(EXP(1.076*LN(AR176)-4.5397)*IF(_xlfn.XLOOKUP(E176,Groups!A:A,Groups!N:N)="Insect",1,IF(OR(_xlfn.XLOOKUP(E176,Groups!A:A,Groups!N:N)="Pig",_xlfn.XLOOKUP(E176,Groups!A:A,Groups!N:N)="StrongBitingHerbivore"),3.5,3.75)),"No")</f>
        <v>2.1084458907362174</v>
      </c>
      <c r="BI176" s="8">
        <f t="shared" si="108"/>
        <v>10</v>
      </c>
      <c r="BJ176" s="8">
        <f t="shared" si="109"/>
        <v>7</v>
      </c>
      <c r="BK176" s="8" t="str">
        <f t="shared" si="110"/>
        <v>No</v>
      </c>
      <c r="BL176" s="8">
        <f t="shared" si="111"/>
        <v>5</v>
      </c>
      <c r="BM176" s="8">
        <f t="shared" si="112"/>
        <v>11</v>
      </c>
      <c r="BN176" s="8" t="str" cm="1">
        <f t="array" ref="BN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No</v>
      </c>
      <c r="BO176" s="8" t="str">
        <f>IF(W176="No","No",IF(_xlfn.XLOOKUP(E176,Groups!A:A,Groups!BD:BD)=1,(AM176*5%),EXP(0.7354*LN(C176)^0.4078)*2/IF(_xlfn.XLOOKUP(E176,Groups!A:A,Groups!BL:BL)=1,1000,100)))</f>
        <v>No</v>
      </c>
      <c r="BP176" s="8">
        <f>IF(BH176="No","No",IF(_xlfn.XLOOKUP(E176,Groups!A:A,Groups!BF:BF)=1,(0.0315*C176+2.1825)*2,(0.7354*C176^0.4078)*2)/IF(_xlfn.XLOOKUP(E176,Groups!A:A,Groups!BM:BM)=1,1000,100))</f>
        <v>2.7160245069965436E-2</v>
      </c>
      <c r="BQ176" s="8">
        <f t="shared" si="113"/>
        <v>5.2303349694325998E-2</v>
      </c>
      <c r="BR176" s="8" t="str">
        <f t="shared" si="114"/>
        <v>No</v>
      </c>
      <c r="BS176" s="8" t="str">
        <f t="shared" si="115"/>
        <v>No</v>
      </c>
      <c r="BT176" s="8">
        <f t="shared" si="116"/>
        <v>77.629855154281955</v>
      </c>
      <c r="BU176" s="4">
        <v>0</v>
      </c>
      <c r="BV176" s="4">
        <v>1</v>
      </c>
    </row>
    <row r="177" spans="1:74" x14ac:dyDescent="0.25">
      <c r="A177" s="26" t="s">
        <v>1259</v>
      </c>
      <c r="B177" s="6" t="s">
        <v>1268</v>
      </c>
      <c r="C177" s="7">
        <v>6.1268000000000002</v>
      </c>
      <c r="D177" s="7" t="s">
        <v>1276</v>
      </c>
      <c r="E177" s="7" t="str">
        <f>Groups!A36</f>
        <v>Mustelid (scavenger)</v>
      </c>
      <c r="F177" s="7">
        <v>26</v>
      </c>
      <c r="G177" s="7">
        <f>730/365</f>
        <v>2</v>
      </c>
      <c r="H177" s="7">
        <v>13</v>
      </c>
      <c r="I177" s="4">
        <v>1</v>
      </c>
      <c r="J177" s="7">
        <v>3</v>
      </c>
      <c r="K177" s="7" t="s">
        <v>1276</v>
      </c>
      <c r="L177" s="7">
        <f>MIN(20*C177^0.183,19.9*C177^0.142)</f>
        <v>25.741880052805641</v>
      </c>
      <c r="M177" s="7" t="s">
        <v>638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>
        <v>2.5</v>
      </c>
      <c r="V177" s="7">
        <f>IF(AR177="No","No",IF(_xlfn.XLOOKUP(E177,Groups!A:A,Groups!AM:AM)=1,MROUND(EXP(0.3582*LN(C177)-0.2221)*T177,0.05),IF(_xlfn.XLOOKUP(E177,Groups!A:A,Groups!AM:AM)=2,MROUND(EXP(0.3582*LN(C177)-0.2221)*T177,0.05),"Need a formula")))</f>
        <v>1.55</v>
      </c>
      <c r="W177" s="7" t="s">
        <v>45</v>
      </c>
      <c r="X177" s="7" t="s">
        <v>945</v>
      </c>
      <c r="Y177" s="4" t="s">
        <v>56</v>
      </c>
      <c r="Z177" s="4">
        <v>1</v>
      </c>
      <c r="AA177" s="4">
        <v>0</v>
      </c>
      <c r="AB177" s="4">
        <v>0</v>
      </c>
      <c r="AC177" s="4" t="s">
        <v>45</v>
      </c>
      <c r="AD177" s="4" t="s">
        <v>45</v>
      </c>
      <c r="AE177" s="28" t="s">
        <v>394</v>
      </c>
      <c r="AF177" s="4" t="s">
        <v>45</v>
      </c>
      <c r="AG177" s="4">
        <v>0</v>
      </c>
      <c r="AH177" s="4">
        <v>0</v>
      </c>
      <c r="AI177" s="4">
        <v>0</v>
      </c>
      <c r="AJ177" s="4">
        <v>0</v>
      </c>
      <c r="AK177" s="4">
        <v>1</v>
      </c>
      <c r="AL177" s="44" t="s">
        <v>40</v>
      </c>
      <c r="AM177" s="8">
        <f t="shared" si="117"/>
        <v>3605.9930569006506</v>
      </c>
      <c r="AN177" s="8">
        <f>IFERROR(C177*_xlfn.XLOOKUP(E177,Groups!A:A,Groups!K:K),0.106*C177^0.94)</f>
        <v>0.76431830000000001</v>
      </c>
      <c r="AO177" s="8">
        <f>AN177*10000/(_xlfn.XLOOKUP(E177,Groups!A:A,Groups!J:J)*AM177)</f>
        <v>1.9445668321501803</v>
      </c>
      <c r="AP177" s="8">
        <f t="shared" si="103"/>
        <v>251.42997905005222</v>
      </c>
      <c r="AQ177" s="8">
        <f>IF(_xlfn.XLOOKUP(E177,Groups!A:A,Groups!M:M)=1,EXP(0.7444*LN('Base stats'!C177)+6.5696),EXP(0.7927*LN('Base stats'!C177)+4.28))</f>
        <v>303.96287211097786</v>
      </c>
      <c r="AR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"No")))))))))))))))</f>
        <v>264.45383560190891</v>
      </c>
      <c r="AS177" s="8">
        <f>IF(_xlfn.XLOOKUP(E177,Groups!A:A,Groups!U:U)=3,AQ177,IF(_xlfn.XLOOKUP(E177,Groups!A:A,Groups!U:U)=2,AP177,AR177))</f>
        <v>264.45383560190891</v>
      </c>
      <c r="AT177" s="46">
        <f>IFERROR(AVERAGE(_xlfn.XLOOKUP(B177,Animals!B:B,Animals!N:N),_xlfn.XLOOKUP(B177,Animals!B:B,Animals!O:O)),0)</f>
        <v>0</v>
      </c>
      <c r="AU177" s="8">
        <f>MROUND(40*Animals!AO177*_xlfn.XLOOKUP(Animals!BB177,Leathers!$A$2:$A$100,Leathers!$B$2:$B$100,0)+(140*_xlfn.XLOOKUP(B177,Animals!B:B,Animals!AO:AO)*2),5)</f>
        <v>125</v>
      </c>
      <c r="AV177" s="8">
        <f>IFERROR(ROUND(SQRT(V177-1)*IF(_xlfn.XLOOKUP(E177,Groups!A:A,Groups!BF:BF)=0,2,1)*IF(_xlfn.XLOOKUP('Base stats'!E177,Groups!A:A,Groups!O:O)=0,1,0.1),1),0)</f>
        <v>1.5</v>
      </c>
      <c r="AW177" s="8">
        <f t="shared" si="104"/>
        <v>1.2</v>
      </c>
      <c r="AX177" s="8">
        <f t="shared" si="105"/>
        <v>0</v>
      </c>
      <c r="AY177" s="8">
        <f t="shared" si="106"/>
        <v>1.2</v>
      </c>
      <c r="AZ177" s="8">
        <f>IF(_xlfn.XLOOKUP(E177,Groups!A:A,Groups!N:N)="Insect",BB177*2.5,IFERROR(AVERAGE(BB177,AR177/9.81/IF(OR(_xlfn.XLOOKUP(E177,Groups!A:A,Groups!N:N)="Pig",_xlfn.XLOOKUP(E177,Groups!A:A,Groups!N:N)="StrongBitingHerbivore"),20,25))*C177^-0.135,BB177))</f>
        <v>0.49132872418829543</v>
      </c>
      <c r="BA177" s="8" t="str">
        <f>IF(W177="No","No",IF(_xlfn.XLOOKUP(E177,Groups!A:A,Groups!U:U)=1,'Base stats'!AZ177,IF(OR(_xlfn.XLOOKUP(E177,Groups!A:A,Groups!BD:BD)=1,_xlfn.XLOOKUP(E177,Groups!A:A,Groups!U:U)=2),BB177,IF(_xlfn.XLOOKUP(B177,Animals!B:B,Animals!AO:AO)&gt;4,AVERAGE(BB177,BD177),BD177))))</f>
        <v>No</v>
      </c>
      <c r="BB177" s="8">
        <f t="shared" si="107"/>
        <v>0.17679797026889368</v>
      </c>
      <c r="BC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0.29194472834796398</v>
      </c>
      <c r="BD177" s="8">
        <f>(0.048*C177^1.01)/IF(_xlfn.XLOOKUP(E177,Groups!A:A,Groups!M:M)=1,0.25,0.8)*C177^-0.25</f>
        <v>0.23792981405136351</v>
      </c>
      <c r="BE177" s="8">
        <f>EXP(1.076*LN(AP177)-4.5397)*IF(_xlfn.XLOOKUP(E177,Groups!A:A,Groups!BC:BC)=1,1.25,IF(_xlfn.XLOOKUP(E177,Groups!A:A,Groups!BD:BD)=1,3.5,2.5))</f>
        <v>10.214617413604199</v>
      </c>
      <c r="BF177" s="8">
        <f>EXP(1.076*LN(AQ177)-4.5397)*IF(_xlfn.XLOOKUP(E177,Groups!A:A,Groups!M:M)=1,0.8,IF(_xlfn.XLOOKUP(E177,Groups!A:A,Groups!BC:BC)=1,1.3,3))</f>
        <v>15.033825176859128</v>
      </c>
      <c r="BG177" s="8" t="str">
        <f>IF(W177="No","No",IF(_xlfn.XLOOKUP(E177,Groups!A:A,Groups!U:U)=1,'Base stats'!BH177,IF(OR(_xlfn.XLOOKUP(E177,Groups!A:A,Groups!BD:BD)=1,_xlfn.XLOOKUP(E177,Groups!A:A,Groups!U:U)=2),BE177,BF177))*1.2)</f>
        <v>No</v>
      </c>
      <c r="BH177" s="8">
        <f>IFERROR(EXP(1.076*LN(AR177)-4.5397)*IF(_xlfn.XLOOKUP(E177,Groups!A:A,Groups!N:N)="Insect",1,IF(OR(_xlfn.XLOOKUP(E177,Groups!A:A,Groups!N:N)="Pig",_xlfn.XLOOKUP(E177,Groups!A:A,Groups!N:N)="StrongBitingHerbivore"),3.5,3.75)),"No")</f>
        <v>16.17756184386171</v>
      </c>
      <c r="BI177" s="8">
        <f t="shared" si="108"/>
        <v>10</v>
      </c>
      <c r="BJ177" s="8">
        <f t="shared" si="109"/>
        <v>10</v>
      </c>
      <c r="BK177" s="8" t="str">
        <f t="shared" si="110"/>
        <v>No</v>
      </c>
      <c r="BL177" s="8">
        <f t="shared" si="111"/>
        <v>8</v>
      </c>
      <c r="BM177" s="8">
        <f t="shared" si="112"/>
        <v>11</v>
      </c>
      <c r="BN177" s="8" cm="1">
        <f t="array" ref="BN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3.0802610595156293E-2</v>
      </c>
      <c r="BO177" s="8" t="str">
        <f>IF(W177="No","No",IF(_xlfn.XLOOKUP(E177,Groups!A:A,Groups!BD:BD)=1,(AM177*5%),EXP(0.7354*LN(C177)^0.4078)*2/IF(_xlfn.XLOOKUP(E177,Groups!A:A,Groups!BL:BL)=1,1000,100)))</f>
        <v>No</v>
      </c>
      <c r="BP177" s="8">
        <f>IF(BH177="No","No",IF(_xlfn.XLOOKUP(E177,Groups!A:A,Groups!BF:BF)=1,(0.0315*C177+2.1825)*2,(0.7354*C177^0.4078)*2)/IF(_xlfn.XLOOKUP(E177,Groups!A:A,Groups!BM:BM)=1,1000,100))</f>
        <v>3.0802610595156293E-2</v>
      </c>
      <c r="BQ177" s="8">
        <f t="shared" si="113"/>
        <v>5.6653561182303865E-2</v>
      </c>
      <c r="BR177" s="8">
        <f t="shared" si="114"/>
        <v>488.069838444901</v>
      </c>
      <c r="BS177" s="8" t="str">
        <f t="shared" si="115"/>
        <v>No</v>
      </c>
      <c r="BT177" s="8">
        <f t="shared" si="116"/>
        <v>525.20099859346431</v>
      </c>
      <c r="BU177" s="4">
        <v>0</v>
      </c>
      <c r="BV177" s="4">
        <v>1</v>
      </c>
    </row>
    <row r="178" spans="1:74" x14ac:dyDescent="0.25">
      <c r="A178" s="26" t="s">
        <v>1260</v>
      </c>
      <c r="B178" s="6" t="s">
        <v>1269</v>
      </c>
      <c r="C178" s="7">
        <v>16.7</v>
      </c>
      <c r="D178" s="7" t="s">
        <v>1277</v>
      </c>
      <c r="E178" s="7" t="str">
        <f>Groups!A11</f>
        <v>Canid</v>
      </c>
      <c r="F178" s="7">
        <v>26</v>
      </c>
      <c r="G178" s="7">
        <v>2.5</v>
      </c>
      <c r="H178" s="7">
        <v>12</v>
      </c>
      <c r="I178" s="4">
        <v>1</v>
      </c>
      <c r="J178" s="7">
        <v>1</v>
      </c>
      <c r="K178" s="7" t="s">
        <v>538</v>
      </c>
      <c r="L178" s="7">
        <f>MIN(37.5*C178^0.089,79.3*C178^-0.072)</f>
        <v>48.178473287593313</v>
      </c>
      <c r="M178" s="7" t="s">
        <v>638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f>IF(AR178="No","No",IF(_xlfn.XLOOKUP(E178,Groups!A:A,Groups!AM:AM)=1,MROUND(EXP(0.3582*LN(C178)-0.2221)*T178,0.05),IF(_xlfn.XLOOKUP(E178,Groups!A:A,Groups!AM:AM)=2,MROUND(EXP(0.3582*LN(C178)-0.2221)*T178,0.05),"Need a formula")))</f>
        <v>2.2000000000000002</v>
      </c>
      <c r="W178" s="7" t="s">
        <v>45</v>
      </c>
      <c r="X178" s="7" t="s">
        <v>945</v>
      </c>
      <c r="Y178" s="4" t="s">
        <v>56</v>
      </c>
      <c r="Z178" s="4">
        <v>0</v>
      </c>
      <c r="AA178" s="4">
        <v>0</v>
      </c>
      <c r="AB178" s="4">
        <v>0</v>
      </c>
      <c r="AC178" s="4" t="s">
        <v>45</v>
      </c>
      <c r="AD178" s="4" t="s">
        <v>45</v>
      </c>
      <c r="AE178" s="28" t="s">
        <v>388</v>
      </c>
      <c r="AF178" s="4" t="s">
        <v>45</v>
      </c>
      <c r="AG178" s="4">
        <v>0</v>
      </c>
      <c r="AH178" s="4">
        <v>0</v>
      </c>
      <c r="AI178" s="4">
        <v>0</v>
      </c>
      <c r="AJ178" s="4">
        <v>0</v>
      </c>
      <c r="AK178" s="4">
        <v>1</v>
      </c>
      <c r="AL178" s="44" t="s">
        <v>40</v>
      </c>
      <c r="AM178" s="8">
        <f t="shared" si="117"/>
        <v>6919.7226057303715</v>
      </c>
      <c r="AN178" s="8">
        <f>IFERROR(C178*_xlfn.XLOOKUP(E178,Groups!A:A,Groups!K:K),0.106*C178^0.94)</f>
        <v>2.0833249999999999</v>
      </c>
      <c r="AO178" s="8">
        <f>AN178*10000/(_xlfn.XLOOKUP(E178,Groups!A:A,Groups!J:J)*AM178)</f>
        <v>2.762115547618551</v>
      </c>
      <c r="AP178" s="8">
        <f t="shared" si="103"/>
        <v>586.50180478223808</v>
      </c>
      <c r="AQ178" s="8">
        <f>IF(_xlfn.XLOOKUP(E178,Groups!A:A,Groups!M:M)=1,EXP(0.7444*LN('Base stats'!C178)+6.5696),EXP(0.7927*LN('Base stats'!C178)+4.28))</f>
        <v>673.01962647480741</v>
      </c>
      <c r="AR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"No")))))))))))))))</f>
        <v>1382.9199872954503</v>
      </c>
      <c r="AS178" s="8">
        <f>IF(_xlfn.XLOOKUP(E178,Groups!A:A,Groups!U:U)=3,AQ178,IF(_xlfn.XLOOKUP(E178,Groups!A:A,Groups!U:U)=2,AP178,AR178))</f>
        <v>1382.9199872954503</v>
      </c>
      <c r="AT178" s="46">
        <f>IFERROR(AVERAGE(_xlfn.XLOOKUP(B178,Animals!B:B,Animals!N:N),_xlfn.XLOOKUP(B178,Animals!B:B,Animals!O:O)),0)</f>
        <v>0</v>
      </c>
      <c r="AU178" s="8">
        <f>MROUND(40*Animals!AO178*_xlfn.XLOOKUP(Animals!BB178,Leathers!$A$2:$A$100,Leathers!$B$2:$B$100,0)+(140*_xlfn.XLOOKUP(B178,Animals!B:B,Animals!AO:AO)*2),5)</f>
        <v>200</v>
      </c>
      <c r="AV178" s="8">
        <f>IFERROR(ROUND(SQRT(V178-1)*IF(_xlfn.XLOOKUP(E178,Groups!A:A,Groups!BF:BF)=0,2,1)*IF(_xlfn.XLOOKUP('Base stats'!E178,Groups!A:A,Groups!O:O)=0,1,0.1),1),0)</f>
        <v>2.2000000000000002</v>
      </c>
      <c r="AW178" s="8">
        <f t="shared" si="104"/>
        <v>0</v>
      </c>
      <c r="AX178" s="8">
        <f t="shared" si="105"/>
        <v>0</v>
      </c>
      <c r="AY178" s="8">
        <f t="shared" si="106"/>
        <v>2.1</v>
      </c>
      <c r="AZ178" s="8">
        <f>IF(_xlfn.XLOOKUP(E178,Groups!A:A,Groups!N:N)="Insect",BB178*2.5,IFERROR(AVERAGE(BB178,AR178/9.81/IF(OR(_xlfn.XLOOKUP(E178,Groups!A:A,Groups!N:N)="Pig",_xlfn.XLOOKUP(E178,Groups!A:A,Groups!N:N)="StrongBitingHerbivore"),20,25))*C178^-0.135,BB178))</f>
        <v>2.0670109099857714</v>
      </c>
      <c r="BA178" s="8" t="str">
        <f>IF(W178="No","No",IF(_xlfn.XLOOKUP(E178,Groups!A:A,Groups!U:U)=1,'Base stats'!AZ178,IF(OR(_xlfn.XLOOKUP(E178,Groups!A:A,Groups!BD:BD)=1,_xlfn.XLOOKUP(E178,Groups!A:A,Groups!U:U)=2),BB178,IF(_xlfn.XLOOKUP(B178,Animals!B:B,Animals!AO:AO)&gt;4,AVERAGE(BB178,BD178),BD178))))</f>
        <v>No</v>
      </c>
      <c r="BB178" s="8">
        <f t="shared" si="107"/>
        <v>0.40678361786832601</v>
      </c>
      <c r="BC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0.63822997335001663</v>
      </c>
      <c r="BD178" s="8">
        <f>(0.048*C178^1.01)/IF(_xlfn.XLOOKUP(E178,Groups!A:A,Groups!M:M)=1,0.25,0.8)*C178^-0.25</f>
        <v>0.50981870849494881</v>
      </c>
      <c r="BE178" s="8">
        <f>EXP(1.076*LN(AP178)-4.5397)*IF(_xlfn.XLOOKUP(E178,Groups!A:A,Groups!BC:BC)=1,1.25,IF(_xlfn.XLOOKUP(E178,Groups!A:A,Groups!BD:BD)=1,3.5,2.5))</f>
        <v>25.41155098431426</v>
      </c>
      <c r="BF178" s="8">
        <f>EXP(1.076*LN(AQ178)-4.5397)*IF(_xlfn.XLOOKUP(E178,Groups!A:A,Groups!M:M)=1,0.8,IF(_xlfn.XLOOKUP(E178,Groups!A:A,Groups!BC:BC)=1,1.3,3))</f>
        <v>35.360014291397988</v>
      </c>
      <c r="BG178" s="8" t="str">
        <f>IF(W178="No","No",IF(_xlfn.XLOOKUP(E178,Groups!A:A,Groups!U:U)=1,'Base stats'!BH178,IF(OR(_xlfn.XLOOKUP(E178,Groups!A:A,Groups!BD:BD)=1,_xlfn.XLOOKUP(E178,Groups!A:A,Groups!U:U)=2),BE178,BF178))*1.2)</f>
        <v>No</v>
      </c>
      <c r="BH178" s="8">
        <f>IFERROR(EXP(1.076*LN(AR178)-4.5397)*IF(_xlfn.XLOOKUP(E178,Groups!A:A,Groups!N:N)="Insect",1,IF(OR(_xlfn.XLOOKUP(E178,Groups!A:A,Groups!N:N)="Pig",_xlfn.XLOOKUP(E178,Groups!A:A,Groups!N:N)="StrongBitingHerbivore"),3.5,3.75)),"No")</f>
        <v>95.931721463424893</v>
      </c>
      <c r="BI178" s="8">
        <f t="shared" si="108"/>
        <v>11</v>
      </c>
      <c r="BJ178" s="8">
        <f t="shared" si="109"/>
        <v>10</v>
      </c>
      <c r="BK178" s="8" t="str">
        <f t="shared" si="110"/>
        <v>No</v>
      </c>
      <c r="BL178" s="8">
        <f t="shared" si="111"/>
        <v>9</v>
      </c>
      <c r="BM178" s="8">
        <f t="shared" si="112"/>
        <v>11</v>
      </c>
      <c r="BN178" s="8" t="str" cm="1">
        <f t="array" ref="BN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O178" s="8" t="str">
        <f>IF(W178="No","No",IF(_xlfn.XLOOKUP(E178,Groups!A:A,Groups!BD:BD)=1,(AM178*5%),EXP(0.7354*LN(C178)^0.4078)*2/IF(_xlfn.XLOOKUP(E178,Groups!A:A,Groups!BL:BL)=1,1000,100)))</f>
        <v>No</v>
      </c>
      <c r="BP178" s="8">
        <f>IF(BH178="No","No",IF(_xlfn.XLOOKUP(E178,Groups!A:A,Groups!BF:BF)=1,(0.0315*C178+2.1825)*2,(0.7354*C178^0.4078)*2)/IF(_xlfn.XLOOKUP(E178,Groups!A:A,Groups!BM:BM)=1,1000,100))</f>
        <v>4.6363626455710044E-2</v>
      </c>
      <c r="BQ178" s="8">
        <f t="shared" si="113"/>
        <v>7.3446733148725948E-2</v>
      </c>
      <c r="BR178" s="8" t="str">
        <f t="shared" si="114"/>
        <v>No</v>
      </c>
      <c r="BS178" s="8" t="str">
        <f t="shared" si="115"/>
        <v>No</v>
      </c>
      <c r="BT178" s="8">
        <f t="shared" si="116"/>
        <v>2069.1160031466898</v>
      </c>
      <c r="BU178" s="4">
        <v>0</v>
      </c>
      <c r="BV178" s="4">
        <v>1</v>
      </c>
    </row>
    <row r="179" spans="1:74" x14ac:dyDescent="0.25">
      <c r="A179" s="26" t="s">
        <v>1261</v>
      </c>
      <c r="B179" s="6" t="s">
        <v>1270</v>
      </c>
      <c r="C179" s="7">
        <v>26.5</v>
      </c>
      <c r="D179" s="7" t="s">
        <v>1278</v>
      </c>
      <c r="E179" s="7" t="str">
        <f>Groups!A11</f>
        <v>Canid</v>
      </c>
      <c r="F179" s="7">
        <v>72</v>
      </c>
      <c r="G179" s="7">
        <f>639/365</f>
        <v>1.7506849315068493</v>
      </c>
      <c r="H179" s="7">
        <v>17</v>
      </c>
      <c r="I179" s="4">
        <v>0</v>
      </c>
      <c r="J179" s="7">
        <v>8</v>
      </c>
      <c r="K179" s="7" t="s">
        <v>1278</v>
      </c>
      <c r="L179" s="7">
        <v>70</v>
      </c>
      <c r="M179" s="7" t="s">
        <v>638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 t="s">
        <v>45</v>
      </c>
      <c r="V179" s="7">
        <f>IF(AR179="No","No",IF(_xlfn.XLOOKUP(E179,Groups!A:A,Groups!AM:AM)=1,MROUND(EXP(0.3582*LN(C179)-0.2221)*T179,0.05),IF(_xlfn.XLOOKUP(E179,Groups!A:A,Groups!AM:AM)=2,MROUND(EXP(0.3582*LN(C179)-0.2221)*T179,0.05),"Need a formula")))</f>
        <v>2.6</v>
      </c>
      <c r="W179" s="7" t="s">
        <v>45</v>
      </c>
      <c r="X179" s="7" t="s">
        <v>945</v>
      </c>
      <c r="Y179" s="4" t="s">
        <v>56</v>
      </c>
      <c r="Z179" s="4">
        <v>0</v>
      </c>
      <c r="AA179" s="4">
        <v>0</v>
      </c>
      <c r="AB179" s="4">
        <v>0</v>
      </c>
      <c r="AC179" s="4" t="s">
        <v>45</v>
      </c>
      <c r="AD179" s="4" t="s">
        <v>408</v>
      </c>
      <c r="AE179" s="28" t="s">
        <v>388</v>
      </c>
      <c r="AF179" s="4" t="str">
        <f>Animals!C14</f>
        <v>&lt;li&gt;YorkshireTerrier&lt;/li&gt;</v>
      </c>
      <c r="AG179" s="4">
        <v>0</v>
      </c>
      <c r="AH179" s="4">
        <v>0</v>
      </c>
      <c r="AI179" s="4">
        <v>0</v>
      </c>
      <c r="AJ179" s="4">
        <v>0</v>
      </c>
      <c r="AK179" s="4">
        <v>1</v>
      </c>
      <c r="AL179" s="44" t="s">
        <v>40</v>
      </c>
      <c r="AM179" s="8">
        <f t="shared" si="117"/>
        <v>9341.8480039934075</v>
      </c>
      <c r="AN179" s="8">
        <f>IFERROR(C179*_xlfn.XLOOKUP(E179,Groups!A:A,Groups!K:K),0.106*C179^0.94)</f>
        <v>3.3058749999999999</v>
      </c>
      <c r="AO179" s="8">
        <f>AN179*10000/(_xlfn.XLOOKUP(E179,Groups!A:A,Groups!J:J)*AM179)</f>
        <v>3.2465876588231817</v>
      </c>
      <c r="AP179" s="8">
        <f t="shared" si="103"/>
        <v>866.27651238056524</v>
      </c>
      <c r="AQ179" s="8">
        <f>IF(_xlfn.XLOOKUP(E179,Groups!A:A,Groups!M:M)=1,EXP(0.7444*LN('Base stats'!C179)+6.5696),EXP(0.7927*LN('Base stats'!C179)+4.28))</f>
        <v>970.48178120144519</v>
      </c>
      <c r="AR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"No")))))))))))))))</f>
        <v>2035.073058254738</v>
      </c>
      <c r="AS179" s="8">
        <f>IF(_xlfn.XLOOKUP(E179,Groups!A:A,Groups!U:U)=3,AQ179,IF(_xlfn.XLOOKUP(E179,Groups!A:A,Groups!U:U)=2,AP179,AR179))</f>
        <v>2035.073058254738</v>
      </c>
      <c r="AT179" s="46">
        <f>IFERROR(AVERAGE(_xlfn.XLOOKUP(B179,Animals!B:B,Animals!N:N),_xlfn.XLOOKUP(B179,Animals!B:B,Animals!O:O)),0)</f>
        <v>0</v>
      </c>
      <c r="AU179" s="8">
        <f>MROUND(40*Animals!AO179*_xlfn.XLOOKUP(Animals!BB179,Leathers!$A$2:$A$100,Leathers!$B$2:$B$100,0)+(140*_xlfn.XLOOKUP(B179,Animals!B:B,Animals!AO:AO)*2),5)</f>
        <v>235</v>
      </c>
      <c r="AV179" s="8">
        <f>IFERROR(ROUND(SQRT(V179-1)*IF(_xlfn.XLOOKUP(E179,Groups!A:A,Groups!BF:BF)=0,2,1)*IF(_xlfn.XLOOKUP('Base stats'!E179,Groups!A:A,Groups!O:O)=0,1,0.1),1),0)</f>
        <v>2.5</v>
      </c>
      <c r="AW179" s="8">
        <f t="shared" si="104"/>
        <v>0</v>
      </c>
      <c r="AX179" s="8">
        <f t="shared" si="105"/>
        <v>0</v>
      </c>
      <c r="AY179" s="8">
        <f t="shared" si="106"/>
        <v>2.6</v>
      </c>
      <c r="AZ179" s="8">
        <f>IF(_xlfn.XLOOKUP(E179,Groups!A:A,Groups!N:N)="Insect",BB179*2.5,IFERROR(AVERAGE(BB179,AR179/9.81/IF(OR(_xlfn.XLOOKUP(E179,Groups!A:A,Groups!N:N)="Pig",_xlfn.XLOOKUP(E179,Groups!A:A,Groups!N:N)="StrongBitingHerbivore"),20,25))*C179^-0.135,BB179))</f>
        <v>2.8574420810274579</v>
      </c>
      <c r="BA179" s="8" t="str">
        <f>IF(W179="No","No",IF(_xlfn.XLOOKUP(E179,Groups!A:A,Groups!U:U)=1,'Base stats'!AZ179,IF(OR(_xlfn.XLOOKUP(E179,Groups!A:A,Groups!BD:BD)=1,_xlfn.XLOOKUP(E179,Groups!A:A,Groups!U:U)=2),BB179,IF(_xlfn.XLOOKUP(B179,Animals!B:B,Animals!AO:AO)&gt;4,AVERAGE(BB179,BD179),BD179))))</f>
        <v>No</v>
      </c>
      <c r="BB179" s="8">
        <f t="shared" si="107"/>
        <v>0.59703994452888687</v>
      </c>
      <c r="BC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0.9149347660277225</v>
      </c>
      <c r="BD179" s="8">
        <f>(0.048*C179^1.01)/IF(_xlfn.XLOOKUP(E179,Groups!A:A,Groups!M:M)=1,0.25,0.8)*C179^-0.25</f>
        <v>0.72413262498904141</v>
      </c>
      <c r="BE179" s="8">
        <f>EXP(1.076*LN(AP179)-4.5397)*IF(_xlfn.XLOOKUP(E179,Groups!A:A,Groups!BC:BC)=1,1.25,IF(_xlfn.XLOOKUP(E179,Groups!A:A,Groups!BD:BD)=1,3.5,2.5))</f>
        <v>38.66266492198455</v>
      </c>
      <c r="BF179" s="8">
        <f>EXP(1.076*LN(AQ179)-4.5397)*IF(_xlfn.XLOOKUP(E179,Groups!A:A,Groups!M:M)=1,0.8,IF(_xlfn.XLOOKUP(E179,Groups!A:A,Groups!BC:BC)=1,1.3,3))</f>
        <v>52.426760544473467</v>
      </c>
      <c r="BG179" s="8" t="str">
        <f>IF(W179="No","No",IF(_xlfn.XLOOKUP(E179,Groups!A:A,Groups!U:U)=1,'Base stats'!BH179,IF(OR(_xlfn.XLOOKUP(E179,Groups!A:A,Groups!BD:BD)=1,_xlfn.XLOOKUP(E179,Groups!A:A,Groups!U:U)=2),BE179,BF179))*1.2)</f>
        <v>No</v>
      </c>
      <c r="BH179" s="8">
        <f>IFERROR(EXP(1.076*LN(AR179)-4.5397)*IF(_xlfn.XLOOKUP(E179,Groups!A:A,Groups!N:N)="Insect",1,IF(OR(_xlfn.XLOOKUP(E179,Groups!A:A,Groups!N:N)="Pig",_xlfn.XLOOKUP(E179,Groups!A:A,Groups!N:N)="StrongBitingHerbivore"),3.5,3.75)),"No")</f>
        <v>145.37733170187784</v>
      </c>
      <c r="BI179" s="8">
        <f t="shared" si="108"/>
        <v>11</v>
      </c>
      <c r="BJ179" s="8">
        <f t="shared" si="109"/>
        <v>10</v>
      </c>
      <c r="BK179" s="8" t="str">
        <f t="shared" si="110"/>
        <v>No</v>
      </c>
      <c r="BL179" s="8">
        <f t="shared" si="111"/>
        <v>10</v>
      </c>
      <c r="BM179" s="8">
        <f t="shared" si="112"/>
        <v>12</v>
      </c>
      <c r="BN179" s="8" t="str" cm="1">
        <f t="array" ref="BN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No</v>
      </c>
      <c r="BO179" s="8" t="str">
        <f>IF(W179="No","No",IF(_xlfn.XLOOKUP(E179,Groups!A:A,Groups!BD:BD)=1,(AM179*5%),EXP(0.7354*LN(C179)^0.4078)*2/IF(_xlfn.XLOOKUP(E179,Groups!A:A,Groups!BL:BL)=1,1000,100)))</f>
        <v>No</v>
      </c>
      <c r="BP179" s="8">
        <f>IF(BH179="No","No",IF(_xlfn.XLOOKUP(E179,Groups!A:A,Groups!BF:BF)=1,(0.0315*C179+2.1825)*2,(0.7354*C179^0.4078)*2)/IF(_xlfn.XLOOKUP(E179,Groups!A:A,Groups!BM:BM)=1,1000,100))</f>
        <v>5.5969739888423069E-2</v>
      </c>
      <c r="BQ179" s="8">
        <f t="shared" si="113"/>
        <v>8.2773054978966087E-2</v>
      </c>
      <c r="BR179" s="8" t="str">
        <f t="shared" si="114"/>
        <v>No</v>
      </c>
      <c r="BS179" s="8" t="str">
        <f t="shared" si="115"/>
        <v>No</v>
      </c>
      <c r="BT179" s="8">
        <f t="shared" si="116"/>
        <v>2597.4273239734684</v>
      </c>
      <c r="BU179" s="4">
        <v>0</v>
      </c>
      <c r="BV179" s="4">
        <v>1</v>
      </c>
    </row>
    <row r="180" spans="1:74" x14ac:dyDescent="0.25">
      <c r="A180" s="26" t="s">
        <v>1262</v>
      </c>
      <c r="B180" s="6" t="s">
        <v>1279</v>
      </c>
      <c r="C180" s="7">
        <v>13.015000000000001</v>
      </c>
      <c r="D180" s="7" t="s">
        <v>1280</v>
      </c>
      <c r="E180" s="7" t="str">
        <f>Groups!A32</f>
        <v>ArmoredMammal</v>
      </c>
      <c r="F180" s="7">
        <v>67</v>
      </c>
      <c r="G180" s="7">
        <f>755/365</f>
        <v>2.0684931506849313</v>
      </c>
      <c r="H180" s="7">
        <v>20</v>
      </c>
      <c r="I180" s="4">
        <v>1</v>
      </c>
      <c r="J180" s="7">
        <v>1</v>
      </c>
      <c r="K180" s="7" t="s">
        <v>1280</v>
      </c>
      <c r="L180" s="7">
        <f>MIN(20*C180^0.183,19.9*C180^0.142)</f>
        <v>28.648649156530904</v>
      </c>
      <c r="M180" s="7" t="s">
        <v>638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>
        <v>4</v>
      </c>
      <c r="V180" s="7">
        <v>1.5</v>
      </c>
      <c r="W180" s="7" t="s">
        <v>45</v>
      </c>
      <c r="X180" s="7" t="s">
        <v>945</v>
      </c>
      <c r="Y180" s="4" t="s">
        <v>56</v>
      </c>
      <c r="Z180" s="4">
        <v>0</v>
      </c>
      <c r="AA180" s="4">
        <v>0</v>
      </c>
      <c r="AB180" s="4">
        <v>0</v>
      </c>
      <c r="AC180" s="4" t="s">
        <v>45</v>
      </c>
      <c r="AD180" s="4" t="s">
        <v>45</v>
      </c>
      <c r="AE180" s="28" t="s">
        <v>382</v>
      </c>
      <c r="AF180" s="4" t="s">
        <v>45</v>
      </c>
      <c r="AG180" s="4">
        <v>0</v>
      </c>
      <c r="AH180" s="4">
        <v>0</v>
      </c>
      <c r="AI180" s="4">
        <v>0</v>
      </c>
      <c r="AJ180" s="4">
        <v>0</v>
      </c>
      <c r="AK180" s="4">
        <v>1</v>
      </c>
      <c r="AL180" s="44" t="s">
        <v>40</v>
      </c>
      <c r="AM180" s="8">
        <f t="shared" si="117"/>
        <v>5884.5287751512305</v>
      </c>
      <c r="AN180" s="8">
        <f>IFERROR(C180*_xlfn.XLOOKUP(E180,Groups!A:A,Groups!K:K),0.106*C180^0.94)</f>
        <v>4.1648000000000005</v>
      </c>
      <c r="AO180" s="8">
        <f>AN180*10000/(_xlfn.XLOOKUP(E180,Groups!A:A,Groups!J:J)*AM180)</f>
        <v>7.3724396618688308</v>
      </c>
      <c r="AP180" s="8">
        <f t="shared" si="103"/>
        <v>475.12922241490219</v>
      </c>
      <c r="AQ180" s="8">
        <f>IF(_xlfn.XLOOKUP(E180,Groups!A:A,Groups!M:M)=1,EXP(0.7444*LN('Base stats'!C180)+6.5696),EXP(0.7927*LN('Base stats'!C180)+4.28))</f>
        <v>552.33209250027983</v>
      </c>
      <c r="AR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"No")))))))))))))))</f>
        <v>464.83586290819727</v>
      </c>
      <c r="AS180" s="8">
        <f>IF(_xlfn.XLOOKUP(E180,Groups!A:A,Groups!U:U)=3,AQ180,IF(_xlfn.XLOOKUP(E180,Groups!A:A,Groups!U:U)=2,AP180,AR180))</f>
        <v>464.83586290819727</v>
      </c>
      <c r="AT180" s="46">
        <f>IFERROR(AVERAGE(_xlfn.XLOOKUP(B180,Animals!B:B,Animals!N:N),_xlfn.XLOOKUP(B180,Animals!B:B,Animals!O:O)),0)</f>
        <v>0.32500000000000007</v>
      </c>
      <c r="AU180" s="8">
        <f>MROUND(40*Animals!AO180*_xlfn.XLOOKUP(Animals!BB180,Leathers!$A$2:$A$100,Leathers!$B$2:$B$100,0)+(140*_xlfn.XLOOKUP(B180,Animals!B:B,Animals!AO:AO)*2),5)</f>
        <v>185</v>
      </c>
      <c r="AV180" s="8">
        <f>IFERROR(ROUND(SQRT(V180-1)*IF(_xlfn.XLOOKUP(E180,Groups!A:A,Groups!BF:BF)=0,2,1)*IF(_xlfn.XLOOKUP('Base stats'!E180,Groups!A:A,Groups!O:O)=0,1,0.1),1),0)</f>
        <v>1.4</v>
      </c>
      <c r="AW180" s="8">
        <f t="shared" si="104"/>
        <v>1.7</v>
      </c>
      <c r="AX180" s="8">
        <f t="shared" si="105"/>
        <v>0</v>
      </c>
      <c r="AY180" s="8">
        <f t="shared" si="106"/>
        <v>1.9</v>
      </c>
      <c r="AZ180" s="8">
        <f>IF(_xlfn.XLOOKUP(E180,Groups!A:A,Groups!N:N)="Insect",BB180*2.5,IFERROR(AVERAGE(BB180,AR180/9.81/IF(OR(_xlfn.XLOOKUP(E180,Groups!A:A,Groups!N:N)="Pig",_xlfn.XLOOKUP(E180,Groups!A:A,Groups!N:N)="StrongBitingHerbivore"),20,25))*C180^-0.135,BB180))</f>
        <v>0.78713510677615284</v>
      </c>
      <c r="BA180" s="8" t="str">
        <f>IF(W180="No","No",IF(_xlfn.XLOOKUP(E180,Groups!A:A,Groups!U:U)=1,'Base stats'!AZ180,IF(OR(_xlfn.XLOOKUP(E180,Groups!A:A,Groups!BD:BD)=1,_xlfn.XLOOKUP(E180,Groups!A:A,Groups!U:U)=2),BB180,IF(_xlfn.XLOOKUP(B180,Animals!B:B,Animals!AO:AO)&gt;4,AVERAGE(BB180,BD180),BD180))))</f>
        <v>No</v>
      </c>
      <c r="BB180" s="8">
        <f t="shared" si="107"/>
        <v>0.33066572017725104</v>
      </c>
      <c r="BC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0.52544202305592447</v>
      </c>
      <c r="BD180" s="8">
        <f>(0.048*C180^1.01)/IF(_xlfn.XLOOKUP(E180,Groups!A:A,Groups!M:M)=1,0.25,0.8)*C180^-0.25</f>
        <v>0.42182160658214174</v>
      </c>
      <c r="BE180" s="8">
        <f>EXP(1.076*LN(AP180)-4.5397)*IF(_xlfn.XLOOKUP(E180,Groups!A:A,Groups!BC:BC)=1,1.25,IF(_xlfn.XLOOKUP(E180,Groups!A:A,Groups!BD:BD)=1,3.5,2.5))</f>
        <v>20.259222945854933</v>
      </c>
      <c r="BF180" s="8">
        <f>EXP(1.076*LN(AQ180)-4.5397)*IF(_xlfn.XLOOKUP(E180,Groups!A:A,Groups!M:M)=1,0.8,IF(_xlfn.XLOOKUP(E180,Groups!A:A,Groups!BC:BC)=1,1.3,3))</f>
        <v>28.586572985154973</v>
      </c>
      <c r="BG180" s="8" t="str">
        <f>IF(W180="No","No",IF(_xlfn.XLOOKUP(E180,Groups!A:A,Groups!U:U)=1,'Base stats'!BH180,IF(OR(_xlfn.XLOOKUP(E180,Groups!A:A,Groups!BD:BD)=1,_xlfn.XLOOKUP(E180,Groups!A:A,Groups!U:U)=2),BE180,BF180))*1.2)</f>
        <v>No</v>
      </c>
      <c r="BH180" s="8">
        <f>IFERROR(EXP(1.076*LN(AR180)-4.5397)*IF(_xlfn.XLOOKUP(E180,Groups!A:A,Groups!N:N)="Insect",1,IF(OR(_xlfn.XLOOKUP(E180,Groups!A:A,Groups!N:N)="Pig",_xlfn.XLOOKUP(E180,Groups!A:A,Groups!N:N)="StrongBitingHerbivore"),3.5,3.75)),"No")</f>
        <v>29.681032684461776</v>
      </c>
      <c r="BI180" s="8">
        <f t="shared" si="108"/>
        <v>11</v>
      </c>
      <c r="BJ180" s="8">
        <f t="shared" si="109"/>
        <v>10</v>
      </c>
      <c r="BK180" s="8" t="str">
        <f t="shared" si="110"/>
        <v>No</v>
      </c>
      <c r="BL180" s="8">
        <f t="shared" si="111"/>
        <v>8</v>
      </c>
      <c r="BM180" s="8">
        <f t="shared" si="112"/>
        <v>11</v>
      </c>
      <c r="BN180" s="8" t="str" cm="1">
        <f t="array" ref="BN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O180" s="8" t="str">
        <f>IF(W180="No","No",IF(_xlfn.XLOOKUP(E180,Groups!A:A,Groups!BD:BD)=1,(AM180*5%),EXP(0.7354*LN(C180)^0.4078)*2/IF(_xlfn.XLOOKUP(E180,Groups!A:A,Groups!BL:BL)=1,1000,100)))</f>
        <v>No</v>
      </c>
      <c r="BP180" s="8">
        <f>IF(BH180="No","No",IF(_xlfn.XLOOKUP(E180,Groups!A:A,Groups!BF:BF)=1,(0.0315*C180+2.1825)*2,(0.7354*C180^0.4078)*2)/IF(_xlfn.XLOOKUP(E180,Groups!A:A,Groups!BM:BM)=1,1000,100))</f>
        <v>4.1881666547881835E-2</v>
      </c>
      <c r="BQ180" s="8">
        <f t="shared" si="113"/>
        <v>6.8855888788934602E-2</v>
      </c>
      <c r="BR180" s="8" t="str">
        <f t="shared" si="114"/>
        <v>No</v>
      </c>
      <c r="BS180" s="8" t="str">
        <f t="shared" si="115"/>
        <v>No</v>
      </c>
      <c r="BT180" s="8">
        <f t="shared" si="116"/>
        <v>708.68795659142404</v>
      </c>
      <c r="BU180" s="4">
        <v>0</v>
      </c>
      <c r="BV180" s="4">
        <v>1</v>
      </c>
    </row>
    <row r="181" spans="1:74" s="16" customFormat="1" x14ac:dyDescent="0.25">
      <c r="A181" s="26" t="s">
        <v>1334</v>
      </c>
      <c r="B181" s="6" t="s">
        <v>1337</v>
      </c>
      <c r="C181" s="7">
        <v>8</v>
      </c>
      <c r="D181" s="7" t="s">
        <v>538</v>
      </c>
      <c r="E181" s="7" t="str">
        <f>Groups!A61</f>
        <v>Snake (three-headed)</v>
      </c>
      <c r="F181" s="7" t="str">
        <f t="shared" ref="F181" si="121">"Lay eggs"</f>
        <v>Lay eggs</v>
      </c>
      <c r="G181" s="7">
        <v>5</v>
      </c>
      <c r="H181" s="7">
        <v>22.5</v>
      </c>
      <c r="I181" s="4">
        <v>0</v>
      </c>
      <c r="J181" s="7" t="str">
        <f t="shared" ref="J181" si="122">"Lay eggs"</f>
        <v>Lay eggs</v>
      </c>
      <c r="K181" s="7" t="s">
        <v>538</v>
      </c>
      <c r="L181" s="7">
        <v>19</v>
      </c>
      <c r="M181" s="7" t="s">
        <v>538</v>
      </c>
      <c r="N181" s="4">
        <v>1</v>
      </c>
      <c r="O181" s="4">
        <v>0</v>
      </c>
      <c r="P181" s="4">
        <v>0</v>
      </c>
      <c r="Q181" s="4">
        <v>0</v>
      </c>
      <c r="R181" s="4">
        <v>1</v>
      </c>
      <c r="S181" s="7">
        <f>_xlfn.XLOOKUP(B181,[1]TeethAdjusters!$A:$A,[1]BiteAdjusters!$C:$C,1)</f>
        <v>1</v>
      </c>
      <c r="T181" s="7">
        <f>_xlfn.XLOOKUP(B181,[1]TeethAdjusters!$A:$A,[1]TeethAdjusters!$B:$B,1)</f>
        <v>1</v>
      </c>
      <c r="U181" s="7" t="s">
        <v>45</v>
      </c>
      <c r="V181" s="7">
        <f>MROUND(1.27,0.05)</f>
        <v>1.25</v>
      </c>
      <c r="W181" s="7" t="s">
        <v>45</v>
      </c>
      <c r="X181" s="7" t="s">
        <v>945</v>
      </c>
      <c r="Y181" s="4" t="s">
        <v>56</v>
      </c>
      <c r="Z181" s="4">
        <v>1</v>
      </c>
      <c r="AA181" s="4">
        <v>0</v>
      </c>
      <c r="AB181" s="4">
        <v>0</v>
      </c>
      <c r="AC181" s="4" t="s">
        <v>45</v>
      </c>
      <c r="AD181" s="4" t="s">
        <v>45</v>
      </c>
      <c r="AE181" s="28" t="s">
        <v>1384</v>
      </c>
      <c r="AF181" s="4" t="s">
        <v>45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4" t="s">
        <v>40</v>
      </c>
      <c r="AM181" s="8">
        <f t="shared" si="117"/>
        <v>4288.757300426314</v>
      </c>
      <c r="AN181" s="8">
        <f>IFERROR(C181*_xlfn.XLOOKUP(E181,Groups!A:A,Groups!K:K),0.106*C181^0.94)</f>
        <v>0.74853214085447506</v>
      </c>
      <c r="AO181" s="8">
        <f>AN181*10000/(_xlfn.XLOOKUP(E181,Groups!A:A,Groups!J:J)*AM181)</f>
        <v>1.6012254520921798</v>
      </c>
      <c r="AP181" s="8">
        <f t="shared" si="103"/>
        <v>314.9784646370465</v>
      </c>
      <c r="AQ181" s="8">
        <f>IF(_xlfn.XLOOKUP(E181,Groups!A:A,Groups!M:M)=1,EXP(0.7444*LN('Base stats'!C181)+6.5696),EXP(0.7927*LN('Base stats'!C181)+4.28))</f>
        <v>375.54312447761004</v>
      </c>
      <c r="AR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"No")))))))))))))))</f>
        <v>199.99999999999994</v>
      </c>
      <c r="AS181" s="8">
        <f>IF(_xlfn.XLOOKUP(E181,Groups!A:A,Groups!U:U)=3,AQ181,IF(_xlfn.XLOOKUP(E181,Groups!A:A,Groups!U:U)=2,AP181,AR181))</f>
        <v>199.99999999999994</v>
      </c>
      <c r="AT181" s="46">
        <f>IFERROR(AVERAGE(_xlfn.XLOOKUP(B181,Animals!B:B,Animals!N:N),_xlfn.XLOOKUP(B181,Animals!B:B,Animals!O:O)),0)</f>
        <v>0</v>
      </c>
      <c r="AU181" s="8">
        <f>MROUND(40*Animals!AO181*_xlfn.XLOOKUP(Animals!BB181,Leathers!$A$2:$A$100,Leathers!$B$2:$B$100,0)+(140*_xlfn.XLOOKUP(B181,Animals!B:B,Animals!AO:AO)*2),5)</f>
        <v>320</v>
      </c>
      <c r="AV181" s="8">
        <f>IFERROR(ROUND(SQRT(V181-1)*IF(_xlfn.XLOOKUP(E181,Groups!A:A,Groups!BF:BF)=0,2,1)*IF(_xlfn.XLOOKUP('Base stats'!E181,Groups!A:A,Groups!O:O)=0,1,0.1),1),0)</f>
        <v>1</v>
      </c>
      <c r="AW181" s="8">
        <f t="shared" si="104"/>
        <v>0</v>
      </c>
      <c r="AX181" s="8">
        <f t="shared" si="105"/>
        <v>0</v>
      </c>
      <c r="AY181" s="8">
        <f t="shared" si="106"/>
        <v>1.4</v>
      </c>
      <c r="AZ181" s="8">
        <f>IF(_xlfn.XLOOKUP(E181,Groups!A:A,Groups!N:N)="Insect",BB181*2.5,IFERROR(AVERAGE(BB181,AR181/9.81/IF(OR(_xlfn.XLOOKUP(E181,Groups!A:A,Groups!N:N)="Pig",_xlfn.XLOOKUP(E181,Groups!A:A,Groups!N:N)="StrongBitingHerbivore"),20,25))*C181^-0.135,BB181))</f>
        <v>0.39127650212614778</v>
      </c>
      <c r="BA181" s="8" t="str">
        <f>IF(W181="No","No",IF(_xlfn.XLOOKUP(E181,Groups!A:A,Groups!U:U)=1,'Base stats'!AZ181,IF(OR(_xlfn.XLOOKUP(E181,Groups!A:A,Groups!BD:BD)=1,_xlfn.XLOOKUP(E181,Groups!A:A,Groups!U:U)=2),BB181,IF(_xlfn.XLOOKUP(B181,Animals!B:B,Animals!AO:AO)&gt;4,AVERAGE(BB181,BD181),BD181))))</f>
        <v>No</v>
      </c>
      <c r="BB181" s="8">
        <f t="shared" si="107"/>
        <v>0.22067536125102225</v>
      </c>
      <c r="BC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0.3594748726875594</v>
      </c>
      <c r="BD181" s="8">
        <f>(0.048*C181^1.01)/IF(_xlfn.XLOOKUP(E181,Groups!A:A,Groups!M:M)=1,0.25,0.8)*C181^-0.25</f>
        <v>0.29140677225481115</v>
      </c>
      <c r="BE181" s="8">
        <f>EXP(1.076*LN(AP181)-4.5397)*IF(_xlfn.XLOOKUP(E181,Groups!A:A,Groups!BC:BC)=1,1.25,IF(_xlfn.XLOOKUP(E181,Groups!A:A,Groups!BD:BD)=1,3.5,2.5))</f>
        <v>13.017379206175637</v>
      </c>
      <c r="BF181" s="8">
        <f>EXP(1.076*LN(AQ181)-4.5397)*IF(_xlfn.XLOOKUP(E181,Groups!A:A,Groups!M:M)=1,0.8,IF(_xlfn.XLOOKUP(E181,Groups!A:A,Groups!BC:BC)=1,1.3,3))</f>
        <v>18.875069369328124</v>
      </c>
      <c r="BG181" s="8" t="str">
        <f>IF(W181="No","No",IF(_xlfn.XLOOKUP(E181,Groups!A:A,Groups!U:U)=1,'Base stats'!BH181,IF(OR(_xlfn.XLOOKUP(E181,Groups!A:A,Groups!BD:BD)=1,_xlfn.XLOOKUP(E181,Groups!A:A,Groups!U:U)=2),BE181,BF181))*1.2)</f>
        <v>No</v>
      </c>
      <c r="BH181" s="8">
        <f>IFERROR(EXP(1.076*LN(AR181)-4.5397)*IF(_xlfn.XLOOKUP(E181,Groups!A:A,Groups!N:N)="Insect",1,IF(OR(_xlfn.XLOOKUP(E181,Groups!A:A,Groups!N:N)="Pig",_xlfn.XLOOKUP(E181,Groups!A:A,Groups!N:N)="StrongBitingHerbivore"),3.5,3.75)),"No")</f>
        <v>11.977684893457671</v>
      </c>
      <c r="BI181" s="8">
        <f t="shared" si="108"/>
        <v>10</v>
      </c>
      <c r="BJ181" s="8">
        <f t="shared" si="109"/>
        <v>10</v>
      </c>
      <c r="BK181" s="8" t="str">
        <f t="shared" si="110"/>
        <v>No</v>
      </c>
      <c r="BL181" s="8">
        <f t="shared" si="111"/>
        <v>7</v>
      </c>
      <c r="BM181" s="8">
        <f t="shared" si="112"/>
        <v>11</v>
      </c>
      <c r="BN181" s="8" t="str" cm="1">
        <f t="array" ref="BN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O181" s="8" t="str">
        <f>IF(W181="No","No",IF(_xlfn.XLOOKUP(E181,Groups!A:A,Groups!BD:BD)=1,(AM181*5%),EXP(0.7354*LN(C181)^0.4078)*2/IF(_xlfn.XLOOKUP(E181,Groups!A:A,Groups!BL:BL)=1,1000,100)))</f>
        <v>No</v>
      </c>
      <c r="BP181" s="8">
        <f>IF(BH181="No","No",IF(_xlfn.XLOOKUP(E181,Groups!A:A,Groups!BF:BF)=1,(0.0315*C181+2.1825)*2,(0.7354*C181^0.4078)*2)/IF(_xlfn.XLOOKUP(E181,Groups!A:A,Groups!BM:BM)=1,1000,100))</f>
        <v>3.434264320573633E-2</v>
      </c>
      <c r="BQ181" s="8">
        <f t="shared" si="113"/>
        <v>6.07046670833142E-2</v>
      </c>
      <c r="BR181" s="8" t="str">
        <f t="shared" si="114"/>
        <v>No</v>
      </c>
      <c r="BS181" s="8" t="str">
        <f t="shared" si="115"/>
        <v>No</v>
      </c>
      <c r="BT181" s="8">
        <f t="shared" si="116"/>
        <v>348.77003559985184</v>
      </c>
      <c r="BU181" s="4">
        <v>0</v>
      </c>
      <c r="BV181" s="4">
        <v>1</v>
      </c>
    </row>
    <row r="182" spans="1:74" s="16" customFormat="1" x14ac:dyDescent="0.25">
      <c r="A182" s="26" t="s">
        <v>1340</v>
      </c>
      <c r="B182" s="6" t="s">
        <v>1341</v>
      </c>
      <c r="C182" s="7">
        <v>250</v>
      </c>
      <c r="D182" s="7" t="s">
        <v>538</v>
      </c>
      <c r="E182" s="7" t="str">
        <f>Groups!A72</f>
        <v>Megatardi</v>
      </c>
      <c r="F182" s="7">
        <v>250</v>
      </c>
      <c r="G182" s="7">
        <v>3</v>
      </c>
      <c r="H182" s="7">
        <v>12</v>
      </c>
      <c r="I182" s="4">
        <v>1</v>
      </c>
      <c r="J182" s="7">
        <v>3</v>
      </c>
      <c r="K182" s="7" t="s">
        <v>538</v>
      </c>
      <c r="L182" s="7">
        <v>12</v>
      </c>
      <c r="M182" s="7" t="s">
        <v>538</v>
      </c>
      <c r="N182" s="4">
        <v>1</v>
      </c>
      <c r="O182" s="4">
        <v>0</v>
      </c>
      <c r="P182" s="4">
        <v>30</v>
      </c>
      <c r="Q182" s="4">
        <v>30</v>
      </c>
      <c r="R182" s="4">
        <v>1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 t="s">
        <v>45</v>
      </c>
      <c r="V182" s="7">
        <v>1</v>
      </c>
      <c r="W182" s="7" t="s">
        <v>45</v>
      </c>
      <c r="X182" s="7" t="s">
        <v>945</v>
      </c>
      <c r="Y182" s="4" t="s">
        <v>1023</v>
      </c>
      <c r="Z182" s="4">
        <v>1</v>
      </c>
      <c r="AA182" s="4">
        <v>0</v>
      </c>
      <c r="AB182" s="4">
        <v>0</v>
      </c>
      <c r="AC182" s="4" t="s">
        <v>45</v>
      </c>
      <c r="AD182" s="4" t="s">
        <v>45</v>
      </c>
      <c r="AE182" s="28" t="s">
        <v>45</v>
      </c>
      <c r="AF182" s="4" t="s">
        <v>45</v>
      </c>
      <c r="AG182" s="4">
        <v>1</v>
      </c>
      <c r="AH182" s="4">
        <v>0</v>
      </c>
      <c r="AI182" s="4">
        <v>1</v>
      </c>
      <c r="AJ182" s="4">
        <v>0</v>
      </c>
      <c r="AK182" s="4">
        <v>0</v>
      </c>
      <c r="AL182" s="44" t="s">
        <v>40</v>
      </c>
      <c r="AM182" s="8">
        <f t="shared" ref="AM182:AM186" si="123">(0.111*C182^0.65)*10000</f>
        <v>40177.59941909022</v>
      </c>
      <c r="AN182" s="8">
        <f>IFERROR(C182*_xlfn.XLOOKUP(E182,Groups!A:A,Groups!K:K),0.106*C182^0.94)</f>
        <v>80</v>
      </c>
      <c r="AO182" s="8">
        <f>AN182*10000/(_xlfn.XLOOKUP(E182,Groups!A:A,Groups!J:J)*AM182)</f>
        <v>16.592994014219347</v>
      </c>
      <c r="AP182" s="8">
        <f t="shared" ref="AP182:AP186" si="124">EXP(0.8447*LN(C182)+3.996)</f>
        <v>5767.4079933655148</v>
      </c>
      <c r="AQ182" s="8">
        <f>IF(_xlfn.XLOOKUP(E182,Groups!A:A,Groups!M:M)=1,EXP(0.7444*LN('Base stats'!C182)+6.5696),EXP(0.7927*LN('Base stats'!C182)+4.28))</f>
        <v>43467.791053039065</v>
      </c>
      <c r="AR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"No")))))))))))))))</f>
        <v>43467.791053039065</v>
      </c>
      <c r="AS182" s="8">
        <f>IF(_xlfn.XLOOKUP(E182,Groups!A:A,Groups!U:U)=3,AQ182,IF(_xlfn.XLOOKUP(E182,Groups!A:A,Groups!U:U)=2,AP182,AR182))</f>
        <v>43467.791053039065</v>
      </c>
      <c r="AT182" s="46">
        <f>IFERROR(AVERAGE(_xlfn.XLOOKUP(B182,Animals!B:B,Animals!N:N),_xlfn.XLOOKUP(B182,Animals!B:B,Animals!O:O)),0)</f>
        <v>0.47500000000000003</v>
      </c>
      <c r="AU182" s="8">
        <f>MROUND(40*Animals!AO182*_xlfn.XLOOKUP(Animals!BB182,Leathers!$A$2:$A$100,Leathers!$B$2:$B$100,0)+(140*_xlfn.XLOOKUP(B182,Animals!B:B,Animals!AO:AO)*2),5)</f>
        <v>590</v>
      </c>
      <c r="AV182" s="8">
        <f>IFERROR(ROUND(SQRT(V182-1)*IF(_xlfn.XLOOKUP(E182,Groups!A:A,Groups!BF:BF)=0,2,1)*IF(_xlfn.XLOOKUP('Base stats'!E182,Groups!A:A,Groups!O:O)=0,1,0.1),1),0)</f>
        <v>0</v>
      </c>
      <c r="AW182" s="8">
        <f t="shared" ref="AW182:AW186" si="125">IFERROR(ROUND(SQRT(U182-1),1),0)</f>
        <v>0</v>
      </c>
      <c r="AX182" s="8">
        <f t="shared" ref="AX182:AX186" si="126">IFERROR(ROUND(SQRT(W182),1),0)</f>
        <v>0</v>
      </c>
      <c r="AY182" s="8">
        <f t="shared" ref="AY182:AY186" si="127">ROUND(
  EXP(0.3582*LN(C182)-0.2221) *
  (0.75 + 0.25*(C182^4/(C182^4+10^4))),
1)</f>
        <v>5.8</v>
      </c>
      <c r="AZ182" s="8">
        <f>IF(_xlfn.XLOOKUP(E182,Groups!A:A,Groups!N:N)="Insect",BB182*2.5,IFERROR(AVERAGE(BB182,AR182/9.81/IF(OR(_xlfn.XLOOKUP(E182,Groups!A:A,Groups!N:N)="Pig",_xlfn.XLOOKUP(E182,Groups!A:A,Groups!N:N)="StrongBitingHerbivore"),20,25))*C182^-0.135,BB182))</f>
        <v>6.2990178962199987</v>
      </c>
      <c r="BA182" s="8" t="str">
        <f>IF(W182="No","No",IF(_xlfn.XLOOKUP(E182,Groups!A:A,Groups!U:U)=1,'Base stats'!AZ182,IF(OR(_xlfn.XLOOKUP(E182,Groups!A:A,Groups!BD:BD)=1,_xlfn.XLOOKUP(E182,Groups!A:A,Groups!U:U)=2),BB182,IF(_xlfn.XLOOKUP(B182,Animals!B:B,Animals!AO:AO)&gt;4,AVERAGE(BB182,BD182),BD182))))</f>
        <v>No</v>
      </c>
      <c r="BB182" s="8">
        <f t="shared" ref="BB182:BB186" si="128">(0.0392*C182^IF(OR(Y182="Herbivore",Y182="Dendrovore",Y182="OmnivoreRough"),0.889,0.966))*C182^-0.135</f>
        <v>2.5196071584879993</v>
      </c>
      <c r="BC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6.1977296746955153</v>
      </c>
      <c r="BD182" s="8">
        <f>(0.048*C182^1.01)/IF(_xlfn.XLOOKUP(E182,Groups!A:A,Groups!M:M)=1,0.25,0.8)*C182^-0.25</f>
        <v>12.756620485721925</v>
      </c>
      <c r="BE182" s="8">
        <f>EXP(1.076*LN(AP182)-4.5397)*IF(_xlfn.XLOOKUP(E182,Groups!A:A,Groups!BC:BC)=1,1.25,IF(_xlfn.XLOOKUP(E182,Groups!A:A,Groups!BD:BD)=1,3.5,2.5))</f>
        <v>148.64782527005457</v>
      </c>
      <c r="BF182" s="8">
        <f>EXP(1.076*LN(AQ182)-4.5397)*IF(_xlfn.XLOOKUP(E182,Groups!A:A,Groups!M:M)=1,0.8,IF(_xlfn.XLOOKUP(E182,Groups!A:A,Groups!BC:BC)=1,1.3,3))</f>
        <v>835.97181173337106</v>
      </c>
      <c r="BG182" s="8" t="str">
        <f>IF(W182="No","No",IF(_xlfn.XLOOKUP(E182,Groups!A:A,Groups!U:U)=1,'Base stats'!BH182,IF(OR(_xlfn.XLOOKUP(E182,Groups!A:A,Groups!BD:BD)=1,_xlfn.XLOOKUP(E182,Groups!A:A,Groups!U:U)=2),BE182,BF182))*1.2)</f>
        <v>No</v>
      </c>
      <c r="BH182" s="8">
        <f>IFERROR(EXP(1.076*LN(AR182)-4.5397)*IF(_xlfn.XLOOKUP(E182,Groups!A:A,Groups!N:N)="Insect",1,IF(OR(_xlfn.XLOOKUP(E182,Groups!A:A,Groups!N:N)="Pig",_xlfn.XLOOKUP(E182,Groups!A:A,Groups!N:N)="StrongBitingHerbivore"),3.5,3.75)),"No")</f>
        <v>1044.9647646667138</v>
      </c>
      <c r="BI182" s="8">
        <f t="shared" ref="BI182:BI186" si="129">ROUNDDOWN(SQRT((2*BE182)/BB182),0)</f>
        <v>10</v>
      </c>
      <c r="BJ182" s="8">
        <f t="shared" ref="BJ182:BJ186" si="130">ROUNDDOWN(SQRT((2*BF182)/BC182),0)</f>
        <v>16</v>
      </c>
      <c r="BK182" s="8" t="str">
        <f t="shared" ref="BK182:BK186" si="131">IF(W182="No","No",ROUNDDOWN(SQRT((2*BG182)/BA182),0))</f>
        <v>No</v>
      </c>
      <c r="BL182" s="8">
        <f t="shared" ref="BL182:BL186" si="132">IF(V182="No","No",ROUNDDOWN(SQRT((2*BH182)/AZ182),0))</f>
        <v>18</v>
      </c>
      <c r="BM182" s="8">
        <f t="shared" ref="BM182:BM186" si="133">ROUNDDOWN(SQRT((2*BF182)/BD182),0)</f>
        <v>11</v>
      </c>
      <c r="BN182" s="8" t="str" cm="1">
        <f t="array" ref="BN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O182" s="8" t="str">
        <f>IF(W182="No","No",IF(_xlfn.XLOOKUP(E182,Groups!A:A,Groups!BD:BD)=1,(AM182*5%),EXP(0.7354*LN(C182)^0.4078)*2/IF(_xlfn.XLOOKUP(E182,Groups!A:A,Groups!BL:BL)=1,1000,100)))</f>
        <v>No</v>
      </c>
      <c r="BP182" s="8">
        <f>IF(BH182="No","No",IF(_xlfn.XLOOKUP(E182,Groups!A:A,Groups!BF:BF)=1,(0.0315*C182+2.1825)*2,(0.7354*C182^0.4078)*2)/IF(_xlfn.XLOOKUP(E182,Groups!A:A,Groups!BM:BM)=1,1000,100))</f>
        <v>0.13977630534113397</v>
      </c>
      <c r="BQ182" s="8">
        <f t="shared" ref="BQ182:BQ186" si="134">BE182/(AM182*5%)</f>
        <v>7.3995374247982151E-2</v>
      </c>
      <c r="BR182" s="8" t="str">
        <f t="shared" ref="BR182:BR186" si="135">IF(BN182="No","No",BF182/BN182)</f>
        <v>No</v>
      </c>
      <c r="BS182" s="8" t="str">
        <f t="shared" ref="BS182:BS186" si="136">IF(W182="No","No",BG182/BO182)</f>
        <v>No</v>
      </c>
      <c r="BT182" s="8">
        <f t="shared" ref="BT182:BT186" si="137">IF(BH182="No","No",BH182/BP182)</f>
        <v>7475.9792950343281</v>
      </c>
      <c r="BU182" s="4">
        <v>0</v>
      </c>
      <c r="BV182" s="4">
        <v>1</v>
      </c>
    </row>
    <row r="183" spans="1:74" s="16" customFormat="1" x14ac:dyDescent="0.25">
      <c r="A183" s="26" t="s">
        <v>1344</v>
      </c>
      <c r="B183" s="6" t="s">
        <v>1343</v>
      </c>
      <c r="C183" s="7">
        <v>1000</v>
      </c>
      <c r="D183" s="7" t="s">
        <v>538</v>
      </c>
      <c r="E183" s="7" t="str">
        <f>Groups!A17</f>
        <v>Crocodilian (untameable)</v>
      </c>
      <c r="F183" s="7" t="str">
        <f t="shared" ref="F183" si="138">"Lay eggs"</f>
        <v>Lay eggs</v>
      </c>
      <c r="G183" s="7">
        <v>14</v>
      </c>
      <c r="H183" s="7">
        <v>70</v>
      </c>
      <c r="I183" s="4">
        <v>0</v>
      </c>
      <c r="J183" s="7" t="str">
        <f t="shared" ref="J183" si="139">"Lay eggs"</f>
        <v>Lay eggs</v>
      </c>
      <c r="K183" s="7" t="s">
        <v>538</v>
      </c>
      <c r="L183" s="7">
        <v>12</v>
      </c>
      <c r="M183" s="7" t="s">
        <v>538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v>7</v>
      </c>
      <c r="W183" s="7" t="s">
        <v>45</v>
      </c>
      <c r="X183" s="7" t="s">
        <v>945</v>
      </c>
      <c r="Y183" s="4" t="s">
        <v>56</v>
      </c>
      <c r="Z183" s="4">
        <v>1</v>
      </c>
      <c r="AA183" s="4">
        <v>0</v>
      </c>
      <c r="AB183" s="4">
        <v>0</v>
      </c>
      <c r="AC183" s="4" t="s">
        <v>45</v>
      </c>
      <c r="AD183" s="4" t="s">
        <v>45</v>
      </c>
      <c r="AE183" s="28" t="s">
        <v>1384</v>
      </c>
      <c r="AF183" s="4" t="s">
        <v>45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4">
        <v>15</v>
      </c>
      <c r="AM183" s="8">
        <f t="shared" si="123"/>
        <v>98928.854132845765</v>
      </c>
      <c r="AN183" s="8">
        <f>IFERROR(C183*_xlfn.XLOOKUP(E183,Groups!A:A,Groups!K:K),0.106*C183^0.94)</f>
        <v>200</v>
      </c>
      <c r="AO183" s="8">
        <f>AN183*10000/(_xlfn.XLOOKUP(E183,Groups!A:A,Groups!J:J)*AM183)</f>
        <v>10.869112218366398</v>
      </c>
      <c r="AP183" s="8">
        <f t="shared" si="124"/>
        <v>18601.190892984225</v>
      </c>
      <c r="AQ183" s="8">
        <f>IF(_xlfn.XLOOKUP(E183,Groups!A:A,Groups!M:M)=1,EXP(0.7444*LN('Base stats'!C183)+6.5696),EXP(0.7927*LN('Base stats'!C183)+4.28))</f>
        <v>17253.62611008879</v>
      </c>
      <c r="AR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"No")))))))))))))))</f>
        <v>29422.479390509896</v>
      </c>
      <c r="AS183" s="8">
        <f>IF(_xlfn.XLOOKUP(E183,Groups!A:A,Groups!U:U)=3,AQ183,IF(_xlfn.XLOOKUP(E183,Groups!A:A,Groups!U:U)=2,AP183,AR183))</f>
        <v>29422.479390509896</v>
      </c>
      <c r="AT183" s="46">
        <f>IFERROR(AVERAGE(_xlfn.XLOOKUP(B183,Animals!B:B,Animals!N:N),_xlfn.XLOOKUP(B183,Animals!B:B,Animals!O:O)),0)</f>
        <v>0.375</v>
      </c>
      <c r="AU183" s="8">
        <f>MROUND(40*Animals!AO183*_xlfn.XLOOKUP(Animals!BB183,Leathers!$A$2:$A$100,Leathers!$B$2:$B$100,0)+(140*_xlfn.XLOOKUP(B183,Animals!B:B,Animals!AO:AO)*2),5)</f>
        <v>980</v>
      </c>
      <c r="AV183" s="8">
        <f>IFERROR(ROUND(SQRT(V183-1)*IF(_xlfn.XLOOKUP(E183,Groups!A:A,Groups!BF:BF)=0,2,1)*IF(_xlfn.XLOOKUP('Base stats'!E183,Groups!A:A,Groups!O:O)=0,1,0.1),1),0)</f>
        <v>2.4</v>
      </c>
      <c r="AW183" s="8">
        <f t="shared" si="125"/>
        <v>0</v>
      </c>
      <c r="AX183" s="8">
        <f t="shared" si="126"/>
        <v>0</v>
      </c>
      <c r="AY183" s="8">
        <f t="shared" si="127"/>
        <v>9.5</v>
      </c>
      <c r="AZ183" s="8">
        <f>IF(_xlfn.XLOOKUP(E183,Groups!A:A,Groups!N:N)="Insect",BB183*2.5,IFERROR(AVERAGE(BB183,AR183/9.81/IF(OR(_xlfn.XLOOKUP(E183,Groups!A:A,Groups!N:N)="Pig",_xlfn.XLOOKUP(E183,Groups!A:A,Groups!N:N)="StrongBitingHerbivore"),20,25))*C183^-0.135,BB183))</f>
        <v>26.007218156739359</v>
      </c>
      <c r="BA183" s="8" t="str">
        <f>IF(W183="No","No",IF(_xlfn.XLOOKUP(E183,Groups!A:A,Groups!U:U)=1,'Base stats'!AZ183,IF(OR(_xlfn.XLOOKUP(E183,Groups!A:A,Groups!BD:BD)=1,_xlfn.XLOOKUP(E183,Groups!A:A,Groups!U:U)=2),BB183,IF(_xlfn.XLOOKUP(B183,Animals!B:B,Animals!AO:AO)&gt;4,AVERAGE(BB183,BD183),BD183))))</f>
        <v>No</v>
      </c>
      <c r="BB183" s="8">
        <f t="shared" si="128"/>
        <v>12.19792804145558</v>
      </c>
      <c r="BC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15.53310753004182</v>
      </c>
      <c r="BD183" s="8">
        <f>(0.048*C183^1.01)/IF(_xlfn.XLOOKUP(E183,Groups!A:A,Groups!M:M)=1,0.25,0.8)*C183^-0.25</f>
        <v>11.432764307779475</v>
      </c>
      <c r="BE183" s="8">
        <f>EXP(1.076*LN(AP183)-4.5397)*IF(_xlfn.XLOOKUP(E183,Groups!A:A,Groups!BC:BC)=1,1.25,IF(_xlfn.XLOOKUP(E183,Groups!A:A,Groups!BD:BD)=1,3.5,2.5))</f>
        <v>1048.091492659345</v>
      </c>
      <c r="BF183" s="8">
        <f>EXP(1.076*LN(AQ183)-4.5397)*IF(_xlfn.XLOOKUP(E183,Groups!A:A,Groups!M:M)=1,0.8,IF(_xlfn.XLOOKUP(E183,Groups!A:A,Groups!BC:BC)=1,1.3,3))</f>
        <v>1159.9463078008507</v>
      </c>
      <c r="BG183" s="8" t="str">
        <f>IF(W183="No","No",IF(_xlfn.XLOOKUP(E183,Groups!A:A,Groups!U:U)=1,'Base stats'!BH183,IF(OR(_xlfn.XLOOKUP(E183,Groups!A:A,Groups!BD:BD)=1,_xlfn.XLOOKUP(E183,Groups!A:A,Groups!U:U)=2),BE183,BF183))*1.2)</f>
        <v>No</v>
      </c>
      <c r="BH183" s="8">
        <f>IFERROR(EXP(1.076*LN(AR183)-4.5397)*IF(_xlfn.XLOOKUP(E183,Groups!A:A,Groups!N:N)="Insect",1,IF(OR(_xlfn.XLOOKUP(E183,Groups!A:A,Groups!N:N)="Pig",_xlfn.XLOOKUP(E183,Groups!A:A,Groups!N:N)="StrongBitingHerbivore"),3.5,3.75)),"No")</f>
        <v>2574.9185731096982</v>
      </c>
      <c r="BI183" s="8">
        <f t="shared" si="129"/>
        <v>13</v>
      </c>
      <c r="BJ183" s="8">
        <f t="shared" si="130"/>
        <v>12</v>
      </c>
      <c r="BK183" s="8" t="str">
        <f t="shared" si="131"/>
        <v>No</v>
      </c>
      <c r="BL183" s="8">
        <f t="shared" si="132"/>
        <v>14</v>
      </c>
      <c r="BM183" s="8">
        <f t="shared" si="133"/>
        <v>14</v>
      </c>
      <c r="BN183" s="8" t="str" cm="1">
        <f t="array" ref="BN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O183" s="8" t="str">
        <f>IF(W183="No","No",IF(_xlfn.XLOOKUP(E183,Groups!A:A,Groups!BD:BD)=1,(AM183*5%),EXP(0.7354*LN(C183)^0.4078)*2/IF(_xlfn.XLOOKUP(E183,Groups!A:A,Groups!BL:BL)=1,1000,100)))</f>
        <v>No</v>
      </c>
      <c r="BP183" s="8">
        <f>IF(BH183="No","No",IF(_xlfn.XLOOKUP(E183,Groups!A:A,Groups!BF:BF)=1,(0.0315*C183+2.1825)*2,(0.7354*C183^0.4078)*2)/IF(_xlfn.XLOOKUP(E183,Groups!A:A,Groups!BM:BM)=1,1000,100))</f>
        <v>0.67364999999999997</v>
      </c>
      <c r="BQ183" s="8">
        <f t="shared" si="134"/>
        <v>0.21188792730822986</v>
      </c>
      <c r="BR183" s="8" t="str">
        <f t="shared" si="135"/>
        <v>No</v>
      </c>
      <c r="BS183" s="8" t="str">
        <f t="shared" si="136"/>
        <v>No</v>
      </c>
      <c r="BT183" s="8">
        <f t="shared" si="137"/>
        <v>3822.3388601049483</v>
      </c>
      <c r="BU183" s="4">
        <v>0</v>
      </c>
      <c r="BV183" s="4">
        <v>1</v>
      </c>
    </row>
    <row r="184" spans="1:74" s="16" customFormat="1" x14ac:dyDescent="0.25">
      <c r="A184" s="26" t="s">
        <v>1348</v>
      </c>
      <c r="B184" s="6" t="s">
        <v>1346</v>
      </c>
      <c r="C184" s="7">
        <v>6</v>
      </c>
      <c r="D184" s="7" t="s">
        <v>538</v>
      </c>
      <c r="E184" s="7" t="str">
        <f>Groups!A11</f>
        <v>Canid</v>
      </c>
      <c r="F184" s="7">
        <v>52</v>
      </c>
      <c r="G184" s="7">
        <f>300/365</f>
        <v>0.82191780821917804</v>
      </c>
      <c r="H184" s="7">
        <v>20</v>
      </c>
      <c r="I184" s="4">
        <v>0</v>
      </c>
      <c r="J184" s="7">
        <v>5</v>
      </c>
      <c r="K184" s="7" t="s">
        <v>538</v>
      </c>
      <c r="L184" s="7">
        <f>MIN(37.5*C184^0.089,79.3*C184^-0.072)</f>
        <v>43.983190451791103</v>
      </c>
      <c r="M184" s="7" t="s">
        <v>638</v>
      </c>
      <c r="N184" s="4">
        <v>1</v>
      </c>
      <c r="O184" s="4">
        <v>0</v>
      </c>
      <c r="P184" s="4">
        <v>0</v>
      </c>
      <c r="Q184" s="4">
        <v>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f>IF(AR184="No","No",IF(_xlfn.XLOOKUP(E184,Groups!A:A,Groups!AM:AM)=1,MROUND(EXP(0.3582*LN(C184)-0.2221)*T184,0.05),IF(_xlfn.XLOOKUP(E184,Groups!A:A,Groups!AM:AM)=2,MROUND(EXP(0.3582*LN(C184)-0.2221)*T184,0.05),"Need a formula")))</f>
        <v>1.5</v>
      </c>
      <c r="W184" s="7" t="s">
        <v>45</v>
      </c>
      <c r="X184" s="7" t="s">
        <v>945</v>
      </c>
      <c r="Y184" s="4" t="s">
        <v>56</v>
      </c>
      <c r="Z184" s="4">
        <v>1</v>
      </c>
      <c r="AA184" s="4">
        <v>0</v>
      </c>
      <c r="AB184" s="4">
        <v>0</v>
      </c>
      <c r="AC184" s="4" t="s">
        <v>45</v>
      </c>
      <c r="AD184" s="4" t="s">
        <v>45</v>
      </c>
      <c r="AE184" s="28" t="s">
        <v>1384</v>
      </c>
      <c r="AF184" s="4" t="s">
        <v>45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4" t="s">
        <v>40</v>
      </c>
      <c r="AM184" s="8">
        <f t="shared" si="123"/>
        <v>3557.3065460643379</v>
      </c>
      <c r="AN184" s="8">
        <f>IFERROR(C184*_xlfn.XLOOKUP(E184,Groups!A:A,Groups!K:K),0.106*C184^0.94)</f>
        <v>0.74849999999999994</v>
      </c>
      <c r="AO184" s="8">
        <f>AN184*10000/(_xlfn.XLOOKUP(E184,Groups!A:A,Groups!J:J)*AM184)</f>
        <v>1.9303853598621024</v>
      </c>
      <c r="AP184" s="8">
        <f t="shared" si="124"/>
        <v>247.02739061475725</v>
      </c>
      <c r="AQ184" s="8">
        <f>IF(_xlfn.XLOOKUP(E184,Groups!A:A,Groups!M:M)=1,EXP(0.7444*LN('Base stats'!C184)+6.5696),EXP(0.7927*LN('Base stats'!C184)+4.28))</f>
        <v>298.96536520817432</v>
      </c>
      <c r="AR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"No")))))))))))))))</f>
        <v>587.25852949475495</v>
      </c>
      <c r="AS184" s="8">
        <f>IF(_xlfn.XLOOKUP(E184,Groups!A:A,Groups!U:U)=3,AQ184,IF(_xlfn.XLOOKUP(E184,Groups!A:A,Groups!U:U)=2,AP184,AR184))</f>
        <v>587.25852949475495</v>
      </c>
      <c r="AT184" s="46">
        <f>IFERROR(AVERAGE(_xlfn.XLOOKUP(B184,Animals!B:B,Animals!N:N),_xlfn.XLOOKUP(B184,Animals!B:B,Animals!O:O)),0)</f>
        <v>0</v>
      </c>
      <c r="AU184" s="8">
        <f>MROUND(40*Animals!AO184*_xlfn.XLOOKUP(Animals!BB184,Leathers!$A$2:$A$100,Leathers!$B$2:$B$100,0)+(140*_xlfn.XLOOKUP(B184,Animals!B:B,Animals!AO:AO)*2),5)</f>
        <v>100</v>
      </c>
      <c r="AV184" s="8">
        <f>IFERROR(ROUND(SQRT(V184-1)*IF(_xlfn.XLOOKUP(E184,Groups!A:A,Groups!BF:BF)=0,2,1)*IF(_xlfn.XLOOKUP('Base stats'!E184,Groups!A:A,Groups!O:O)=0,1,0.1),1),0)</f>
        <v>1.4</v>
      </c>
      <c r="AW184" s="8">
        <f t="shared" si="125"/>
        <v>0</v>
      </c>
      <c r="AX184" s="8">
        <f t="shared" si="126"/>
        <v>0</v>
      </c>
      <c r="AY184" s="8">
        <f t="shared" si="127"/>
        <v>1.2</v>
      </c>
      <c r="AZ184" s="8">
        <f>IF(_xlfn.XLOOKUP(E184,Groups!A:A,Groups!N:N)="Insect",BB184*2.5,IFERROR(AVERAGE(BB184,AR184/9.81/IF(OR(_xlfn.XLOOKUP(E184,Groups!A:A,Groups!N:N)="Pig",_xlfn.XLOOKUP(E184,Groups!A:A,Groups!N:N)="StrongBitingHerbivore"),20,25))*C184^-0.135,BB184))</f>
        <v>1.0082362829110374</v>
      </c>
      <c r="BA184" s="8" t="str">
        <f>IF(W184="No","No",IF(_xlfn.XLOOKUP(E184,Groups!A:A,Groups!U:U)=1,'Base stats'!AZ184,IF(OR(_xlfn.XLOOKUP(E184,Groups!A:A,Groups!BD:BD)=1,_xlfn.XLOOKUP(E184,Groups!A:A,Groups!U:U)=2),BB184,IF(_xlfn.XLOOKUP(B184,Animals!B:B,Animals!AO:AO)&gt;4,AVERAGE(BB184,BD184),BD184))))</f>
        <v>No</v>
      </c>
      <c r="BB184" s="8">
        <f t="shared" si="128"/>
        <v>0.17375197750865831</v>
      </c>
      <c r="BC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0.28722108868268298</v>
      </c>
      <c r="BD184" s="8">
        <f>(0.048*C184^1.01)/IF(_xlfn.XLOOKUP(E184,Groups!A:A,Groups!M:M)=1,0.25,0.8)*C184^-0.25</f>
        <v>0.23417805828463806</v>
      </c>
      <c r="BE184" s="8">
        <f>EXP(1.076*LN(AP184)-4.5397)*IF(_xlfn.XLOOKUP(E184,Groups!A:A,Groups!BC:BC)=1,1.25,IF(_xlfn.XLOOKUP(E184,Groups!A:A,Groups!BD:BD)=1,3.5,2.5))</f>
        <v>10.022292847033164</v>
      </c>
      <c r="BF184" s="8">
        <f>EXP(1.076*LN(AQ184)-4.5397)*IF(_xlfn.XLOOKUP(E184,Groups!A:A,Groups!M:M)=1,0.8,IF(_xlfn.XLOOKUP(E184,Groups!A:A,Groups!BC:BC)=1,1.3,3))</f>
        <v>14.768033224201108</v>
      </c>
      <c r="BG184" s="8" t="str">
        <f>IF(W184="No","No",IF(_xlfn.XLOOKUP(E184,Groups!A:A,Groups!U:U)=1,'Base stats'!BH184,IF(OR(_xlfn.XLOOKUP(E184,Groups!A:A,Groups!BD:BD)=1,_xlfn.XLOOKUP(E184,Groups!A:A,Groups!U:U)=2),BE184,BF184))*1.2)</f>
        <v>No</v>
      </c>
      <c r="BH184" s="8">
        <f>IFERROR(EXP(1.076*LN(AR184)-4.5397)*IF(_xlfn.XLOOKUP(E184,Groups!A:A,Groups!N:N)="Insect",1,IF(OR(_xlfn.XLOOKUP(E184,Groups!A:A,Groups!N:N)="Pig",_xlfn.XLOOKUP(E184,Groups!A:A,Groups!N:N)="StrongBitingHerbivore"),3.5,3.75)),"No")</f>
        <v>38.170247051121599</v>
      </c>
      <c r="BI184" s="8">
        <f t="shared" si="129"/>
        <v>10</v>
      </c>
      <c r="BJ184" s="8">
        <f t="shared" si="130"/>
        <v>10</v>
      </c>
      <c r="BK184" s="8" t="str">
        <f t="shared" si="131"/>
        <v>No</v>
      </c>
      <c r="BL184" s="8">
        <f t="shared" si="132"/>
        <v>8</v>
      </c>
      <c r="BM184" s="8">
        <f t="shared" si="133"/>
        <v>11</v>
      </c>
      <c r="BN184" s="8" t="str" cm="1">
        <f t="array" ref="BN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O184" s="8" t="str">
        <f>IF(W184="No","No",IF(_xlfn.XLOOKUP(E184,Groups!A:A,Groups!BD:BD)=1,(AM184*5%),EXP(0.7354*LN(C184)^0.4078)*2/IF(_xlfn.XLOOKUP(E184,Groups!A:A,Groups!BL:BL)=1,1000,100)))</f>
        <v>No</v>
      </c>
      <c r="BP184" s="8">
        <f>IF(BH184="No","No",IF(_xlfn.XLOOKUP(E184,Groups!A:A,Groups!BF:BF)=1,(0.0315*C184+2.1825)*2,(0.7354*C184^0.4078)*2)/IF(_xlfn.XLOOKUP(E184,Groups!A:A,Groups!BM:BM)=1,1000,100))</f>
        <v>3.0541031512019721E-2</v>
      </c>
      <c r="BQ184" s="8">
        <f t="shared" si="134"/>
        <v>5.6347647959220322E-2</v>
      </c>
      <c r="BR184" s="8" t="str">
        <f t="shared" si="135"/>
        <v>No</v>
      </c>
      <c r="BS184" s="8" t="str">
        <f t="shared" si="136"/>
        <v>No</v>
      </c>
      <c r="BT184" s="8">
        <f t="shared" si="137"/>
        <v>1249.8021566854848</v>
      </c>
      <c r="BU184" s="4">
        <v>0</v>
      </c>
      <c r="BV184" s="4">
        <v>1</v>
      </c>
    </row>
    <row r="185" spans="1:74" s="16" customFormat="1" x14ac:dyDescent="0.25">
      <c r="A185" s="26" t="s">
        <v>1349</v>
      </c>
      <c r="B185" s="6" t="s">
        <v>1351</v>
      </c>
      <c r="C185" s="7">
        <v>2000</v>
      </c>
      <c r="D185" s="7" t="s">
        <v>538</v>
      </c>
      <c r="E185" s="7" t="str">
        <f>Groups!A66</f>
        <v>Ursid (untameable)</v>
      </c>
      <c r="F185" s="7">
        <v>110</v>
      </c>
      <c r="G185" s="7">
        <v>5</v>
      </c>
      <c r="H185" s="7">
        <v>40</v>
      </c>
      <c r="I185" s="4">
        <v>0</v>
      </c>
      <c r="J185" s="7">
        <v>2</v>
      </c>
      <c r="K185" s="7" t="s">
        <v>538</v>
      </c>
      <c r="L185" s="7">
        <v>48</v>
      </c>
      <c r="M185" s="7" t="s">
        <v>638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>
        <v>10</v>
      </c>
      <c r="V185" s="7">
        <f>IF(AR185="No","No",IF(_xlfn.XLOOKUP(E185,Groups!A:A,Groups!AM:AM)=1,MROUND(EXP(0.3582*LN(C185)-0.2221)*T185,0.05),IF(_xlfn.XLOOKUP(E185,Groups!A:A,Groups!AM:AM)=2,MROUND(EXP(0.3582*LN(C185)-0.2221)*T185,0.05),"Need a formula")))</f>
        <v>12.200000000000001</v>
      </c>
      <c r="W185" s="7" t="s">
        <v>45</v>
      </c>
      <c r="X185" s="7" t="s">
        <v>945</v>
      </c>
      <c r="Y185" s="4" t="s">
        <v>53</v>
      </c>
      <c r="Z185" s="4">
        <v>0</v>
      </c>
      <c r="AA185" s="4">
        <v>0</v>
      </c>
      <c r="AB185" s="4">
        <v>0</v>
      </c>
      <c r="AC185" s="4" t="s">
        <v>45</v>
      </c>
      <c r="AD185" s="4" t="s">
        <v>45</v>
      </c>
      <c r="AE185" s="28" t="s">
        <v>1384</v>
      </c>
      <c r="AF185" s="4" t="s">
        <v>45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4" t="s">
        <v>40</v>
      </c>
      <c r="AM185" s="8">
        <f t="shared" si="123"/>
        <v>155236.011551556</v>
      </c>
      <c r="AN185" s="8">
        <f>IFERROR(C185*_xlfn.XLOOKUP(E185,Groups!A:A,Groups!K:K),0.106*C185^0.94)</f>
        <v>249.5</v>
      </c>
      <c r="AO185" s="8">
        <f>AN185*10000/(_xlfn.XLOOKUP(E185,Groups!A:A,Groups!J:J)*AM185)</f>
        <v>14.745230844377033</v>
      </c>
      <c r="AP185" s="8">
        <f t="shared" si="124"/>
        <v>33405.716184674973</v>
      </c>
      <c r="AQ185" s="8">
        <f>IF(_xlfn.XLOOKUP(E185,Groups!A:A,Groups!M:M)=1,EXP(0.7444*LN('Base stats'!C185)+6.5696),EXP(0.7927*LN('Base stats'!C185)+4.28))</f>
        <v>29888.688587116343</v>
      </c>
      <c r="AR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"No")))))))))))))))</f>
        <v>20145.487184266236</v>
      </c>
      <c r="AS185" s="8">
        <f>IF(_xlfn.XLOOKUP(E185,Groups!A:A,Groups!U:U)=3,AQ185,IF(_xlfn.XLOOKUP(E185,Groups!A:A,Groups!U:U)=2,AP185,AR185))</f>
        <v>20145.487184266236</v>
      </c>
      <c r="AT185" s="46">
        <f>IFERROR(AVERAGE(_xlfn.XLOOKUP(B185,Animals!B:B,Animals!N:N),_xlfn.XLOOKUP(B185,Animals!B:B,Animals!O:O)),0)</f>
        <v>0</v>
      </c>
      <c r="AU185" s="8">
        <f>MROUND(40*Animals!AO185*_xlfn.XLOOKUP(Animals!BB185,Leathers!$A$2:$A$100,Leathers!$B$2:$B$100,0)+(140*_xlfn.XLOOKUP(B185,Animals!B:B,Animals!AO:AO)*2),5)</f>
        <v>1405</v>
      </c>
      <c r="AV185" s="8">
        <f>IFERROR(ROUND(SQRT(V185-1)*IF(_xlfn.XLOOKUP(E185,Groups!A:A,Groups!BF:BF)=0,2,1)*IF(_xlfn.XLOOKUP('Base stats'!E185,Groups!A:A,Groups!O:O)=0,1,0.1),1),0)</f>
        <v>6.7</v>
      </c>
      <c r="AW185" s="8">
        <f t="shared" si="125"/>
        <v>3</v>
      </c>
      <c r="AX185" s="8">
        <f t="shared" si="126"/>
        <v>0</v>
      </c>
      <c r="AY185" s="8">
        <f t="shared" si="127"/>
        <v>12.2</v>
      </c>
      <c r="AZ185" s="8">
        <f>IF(_xlfn.XLOOKUP(E185,Groups!A:A,Groups!N:N)="Insect",BB185*2.5,IFERROR(AVERAGE(BB185,AR185/9.81/IF(OR(_xlfn.XLOOKUP(E185,Groups!A:A,Groups!N:N)="Pig",_xlfn.XLOOKUP(E185,Groups!A:A,Groups!N:N)="StrongBitingHerbivore"),20,25))*C185^-0.135,BB185))</f>
        <v>18.608143606729282</v>
      </c>
      <c r="BA185" s="8" t="str">
        <f>IF(W185="No","No",IF(_xlfn.XLOOKUP(E185,Groups!A:A,Groups!U:U)=1,'Base stats'!AZ185,IF(OR(_xlfn.XLOOKUP(E185,Groups!A:A,Groups!BD:BD)=1,_xlfn.XLOOKUP(E185,Groups!A:A,Groups!U:U)=2),BB185,IF(_xlfn.XLOOKUP(B185,Animals!B:B,Animals!AO:AO)&gt;4,AVERAGE(BB185,BD185),BD185))))</f>
        <v>No</v>
      </c>
      <c r="BB185" s="8">
        <f t="shared" si="128"/>
        <v>21.699113598001556</v>
      </c>
      <c r="BC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26.672378491529827</v>
      </c>
      <c r="BD185" s="8">
        <f>(0.048*C185^1.01)/IF(_xlfn.XLOOKUP(E185,Groups!A:A,Groups!M:M)=1,0.25,0.8)*C185^-0.25</f>
        <v>19.361279169915775</v>
      </c>
      <c r="BE185" s="8">
        <f>EXP(1.076*LN(AP185)-4.5397)*IF(_xlfn.XLOOKUP(E185,Groups!A:A,Groups!BC:BC)=1,1.25,IF(_xlfn.XLOOKUP(E185,Groups!A:A,Groups!BD:BD)=1,3.5,2.5))</f>
        <v>1967.9067528840988</v>
      </c>
      <c r="BF185" s="8">
        <f>EXP(1.076*LN(AQ185)-4.5397)*IF(_xlfn.XLOOKUP(E185,Groups!A:A,Groups!M:M)=1,0.8,IF(_xlfn.XLOOKUP(E185,Groups!A:A,Groups!BC:BC)=1,1.3,3))</f>
        <v>2095.0769399661822</v>
      </c>
      <c r="BG185" s="8" t="str">
        <f>IF(W185="No","No",IF(_xlfn.XLOOKUP(E185,Groups!A:A,Groups!U:U)=1,'Base stats'!BH185,IF(OR(_xlfn.XLOOKUP(E185,Groups!A:A,Groups!BD:BD)=1,_xlfn.XLOOKUP(E185,Groups!A:A,Groups!U:U)=2),BE185,BF185))*1.2)</f>
        <v>No</v>
      </c>
      <c r="BH185" s="8">
        <f>IFERROR(EXP(1.076*LN(AR185)-4.5397)*IF(_xlfn.XLOOKUP(E185,Groups!A:A,Groups!N:N)="Insect",1,IF(OR(_xlfn.XLOOKUP(E185,Groups!A:A,Groups!N:N)="Pig",_xlfn.XLOOKUP(E185,Groups!A:A,Groups!N:N)="StrongBitingHerbivore"),3.5,3.75)),"No")</f>
        <v>1713.0099817547809</v>
      </c>
      <c r="BI185" s="8">
        <f t="shared" si="129"/>
        <v>13</v>
      </c>
      <c r="BJ185" s="8">
        <f t="shared" si="130"/>
        <v>12</v>
      </c>
      <c r="BK185" s="8" t="str">
        <f t="shared" si="131"/>
        <v>No</v>
      </c>
      <c r="BL185" s="8">
        <f t="shared" si="132"/>
        <v>13</v>
      </c>
      <c r="BM185" s="8">
        <f t="shared" si="133"/>
        <v>14</v>
      </c>
      <c r="BN185" s="8" cm="1">
        <f t="array" ref="BN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0.32637257159006128</v>
      </c>
      <c r="BO185" s="8" t="str">
        <f>IF(W185="No","No",IF(_xlfn.XLOOKUP(E185,Groups!A:A,Groups!BD:BD)=1,(AM185*5%),EXP(0.7354*LN(C185)^0.4078)*2/IF(_xlfn.XLOOKUP(E185,Groups!A:A,Groups!BL:BL)=1,1000,100)))</f>
        <v>No</v>
      </c>
      <c r="BP185" s="8">
        <f>IF(BH185="No","No",IF(_xlfn.XLOOKUP(E185,Groups!A:A,Groups!BF:BF)=1,(0.0315*C185+2.1825)*2,(0.7354*C185^0.4078)*2)/IF(_xlfn.XLOOKUP(E185,Groups!A:A,Groups!BM:BM)=1,1000,100))</f>
        <v>0.32637257159006128</v>
      </c>
      <c r="BQ185" s="8">
        <f t="shared" si="134"/>
        <v>0.25353740194884228</v>
      </c>
      <c r="BR185" s="8">
        <f t="shared" si="135"/>
        <v>6419.280057019294</v>
      </c>
      <c r="BS185" s="8" t="str">
        <f t="shared" si="136"/>
        <v>No</v>
      </c>
      <c r="BT185" s="8">
        <f t="shared" si="137"/>
        <v>5248.6334050963051</v>
      </c>
      <c r="BU185" s="4">
        <v>0</v>
      </c>
      <c r="BV185" s="4">
        <v>1</v>
      </c>
    </row>
    <row r="186" spans="1:74" s="16" customFormat="1" x14ac:dyDescent="0.25">
      <c r="A186" s="26" t="s">
        <v>1365</v>
      </c>
      <c r="B186" s="6" t="s">
        <v>1354</v>
      </c>
      <c r="C186" s="7">
        <v>3</v>
      </c>
      <c r="D186" s="7" t="s">
        <v>538</v>
      </c>
      <c r="E186" s="7" t="str">
        <f>Groups!A27</f>
        <v>Lizardlike (iguana)</v>
      </c>
      <c r="F186" s="7" t="str">
        <f t="shared" ref="F186" si="140">"Lay eggs"</f>
        <v>Lay eggs</v>
      </c>
      <c r="G186" s="7">
        <f>1640/365</f>
        <v>4.493150684931507</v>
      </c>
      <c r="H186" s="7">
        <v>19.8</v>
      </c>
      <c r="I186" s="4">
        <v>0</v>
      </c>
      <c r="J186" s="7" t="str">
        <f t="shared" ref="J186" si="141">"Lay eggs"</f>
        <v>Lay eggs</v>
      </c>
      <c r="K186" s="7" t="s">
        <v>538</v>
      </c>
      <c r="L186" s="7">
        <f>164.31*1.5/33.3*3.6</f>
        <v>26.644864864864868</v>
      </c>
      <c r="M186" s="7" t="s">
        <v>644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</v>
      </c>
      <c r="T186" s="7">
        <f>_xlfn.XLOOKUP(B186,[1]TeethAdjusters!$A:$A,[1]TeethAdjusters!$B:$B,1)</f>
        <v>1</v>
      </c>
      <c r="U186" s="7">
        <v>1.5</v>
      </c>
      <c r="V186" s="7">
        <v>1</v>
      </c>
      <c r="W186" s="7" t="s">
        <v>45</v>
      </c>
      <c r="X186" s="7" t="s">
        <v>945</v>
      </c>
      <c r="Y186" s="4" t="s">
        <v>42</v>
      </c>
      <c r="Z186" s="4">
        <v>0</v>
      </c>
      <c r="AA186" s="4">
        <v>0</v>
      </c>
      <c r="AB186" s="4">
        <v>0</v>
      </c>
      <c r="AC186" s="4" t="s">
        <v>45</v>
      </c>
      <c r="AD186" s="4" t="s">
        <v>45</v>
      </c>
      <c r="AE186" s="28" t="s">
        <v>1384</v>
      </c>
      <c r="AF186" s="4" t="s">
        <v>45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4" t="s">
        <v>40</v>
      </c>
      <c r="AM186" s="8">
        <f t="shared" si="123"/>
        <v>2267.00143145934</v>
      </c>
      <c r="AN186" s="8">
        <f>IFERROR(C186*_xlfn.XLOOKUP(E186,Groups!A:A,Groups!K:K),0.106*C186^0.94)</f>
        <v>0.29771440231177032</v>
      </c>
      <c r="AO186" s="8">
        <f>AN186*10000/(_xlfn.XLOOKUP(E186,Groups!A:A,Groups!J:J)*AM186)</f>
        <v>1.2048182916641847</v>
      </c>
      <c r="AP186" s="8">
        <f t="shared" si="124"/>
        <v>137.55141854222117</v>
      </c>
      <c r="AQ186" s="8">
        <f>IF(_xlfn.XLOOKUP(E186,Groups!A:A,Groups!M:M)=1,EXP(0.7444*LN('Base stats'!C186)+6.5696),EXP(0.7927*LN('Base stats'!C186)+4.28))</f>
        <v>172.58156429758728</v>
      </c>
      <c r="AR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"No")))))))))))))))</f>
        <v>589.84328491402005</v>
      </c>
      <c r="AS186" s="8">
        <f>IF(_xlfn.XLOOKUP(E186,Groups!A:A,Groups!U:U)=3,AQ186,IF(_xlfn.XLOOKUP(E186,Groups!A:A,Groups!U:U)=2,AP186,AR186))</f>
        <v>589.84328491402005</v>
      </c>
      <c r="AT186" s="46">
        <f>IFERROR(AVERAGE(_xlfn.XLOOKUP(B186,Animals!B:B,Animals!N:N),_xlfn.XLOOKUP(B186,Animals!B:B,Animals!O:O)),0)</f>
        <v>0</v>
      </c>
      <c r="AU186" s="8">
        <f>MROUND(40*Animals!AO186*_xlfn.XLOOKUP(Animals!BB186,Leathers!$A$2:$A$100,Leathers!$B$2:$B$100,0)+(140*_xlfn.XLOOKUP(B186,Animals!B:B,Animals!AO:AO)*2),5)</f>
        <v>350</v>
      </c>
      <c r="AV186" s="8">
        <f>IFERROR(ROUND(SQRT(V186-1)*IF(_xlfn.XLOOKUP(E186,Groups!A:A,Groups!BF:BF)=0,2,1)*IF(_xlfn.XLOOKUP('Base stats'!E186,Groups!A:A,Groups!O:O)=0,1,0.1),1),0)</f>
        <v>0</v>
      </c>
      <c r="AW186" s="8">
        <f t="shared" si="125"/>
        <v>0.7</v>
      </c>
      <c r="AX186" s="8">
        <f t="shared" si="126"/>
        <v>0</v>
      </c>
      <c r="AY186" s="8">
        <f t="shared" si="127"/>
        <v>0.9</v>
      </c>
      <c r="AZ186" s="8">
        <f>IF(_xlfn.XLOOKUP(E186,Groups!A:A,Groups!N:N)="Insect",BB186*2.5,IFERROR(AVERAGE(BB186,AR186/9.81/IF(OR(_xlfn.XLOOKUP(E186,Groups!A:A,Groups!N:N)="Pig",_xlfn.XLOOKUP(E186,Groups!A:A,Groups!N:N)="StrongBitingHerbivore"),20,25))*C186^-0.135,BB186))</f>
        <v>1.0754687487511485</v>
      </c>
      <c r="BA186" s="8" t="str">
        <f>IF(W186="No","No",IF(_xlfn.XLOOKUP(E186,Groups!A:A,Groups!U:U)=1,'Base stats'!AZ186,IF(OR(_xlfn.XLOOKUP(E186,Groups!A:A,Groups!BD:BD)=1,_xlfn.XLOOKUP(E186,Groups!A:A,Groups!U:U)=2),BB186,IF(_xlfn.XLOOKUP(B186,Animals!B:B,Animals!AO:AO)&gt;4,AVERAGE(BB186,BD186),BD186))))</f>
        <v>No</v>
      </c>
      <c r="BB186" s="8">
        <f t="shared" si="128"/>
        <v>8.9750214061524822E-2</v>
      </c>
      <c r="BC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0.16726802436537791</v>
      </c>
      <c r="BD186" s="8">
        <f>(0.048*C186^1.01)/IF(_xlfn.XLOOKUP(E186,Groups!A:A,Groups!M:M)=1,0.25,0.8)*C186^-0.25</f>
        <v>0.13828128415098723</v>
      </c>
      <c r="BE186" s="8">
        <f>EXP(1.076*LN(AP186)-4.5397)*IF(_xlfn.XLOOKUP(E186,Groups!A:A,Groups!BC:BC)=1,1.25,IF(_xlfn.XLOOKUP(E186,Groups!A:A,Groups!BD:BD)=1,3.5,2.5))</f>
        <v>5.337793497848077</v>
      </c>
      <c r="BF186" s="8">
        <f>EXP(1.076*LN(AQ186)-4.5397)*IF(_xlfn.XLOOKUP(E186,Groups!A:A,Groups!M:M)=1,0.8,IF(_xlfn.XLOOKUP(E186,Groups!A:A,Groups!BC:BC)=1,1.3,3))</f>
        <v>8.1763706549931605</v>
      </c>
      <c r="BG186" s="8" t="str">
        <f>IF(W186="No","No",IF(_xlfn.XLOOKUP(E186,Groups!A:A,Groups!U:U)=1,'Base stats'!BH186,IF(OR(_xlfn.XLOOKUP(E186,Groups!A:A,Groups!BD:BD)=1,_xlfn.XLOOKUP(E186,Groups!A:A,Groups!U:U)=2),BE186,BF186))*1.2)</f>
        <v>No</v>
      </c>
      <c r="BH186" s="8">
        <f>IFERROR(EXP(1.076*LN(AR186)-4.5397)*IF(_xlfn.XLOOKUP(E186,Groups!A:A,Groups!N:N)="Insect",1,IF(OR(_xlfn.XLOOKUP(E186,Groups!A:A,Groups!N:N)="Pig",_xlfn.XLOOKUP(E186,Groups!A:A,Groups!N:N)="StrongBitingHerbivore"),3.5,3.75)),"No")</f>
        <v>38.351047663098335</v>
      </c>
      <c r="BI186" s="8">
        <f t="shared" si="129"/>
        <v>10</v>
      </c>
      <c r="BJ186" s="8">
        <f t="shared" si="130"/>
        <v>9</v>
      </c>
      <c r="BK186" s="8" t="str">
        <f t="shared" si="131"/>
        <v>No</v>
      </c>
      <c r="BL186" s="8">
        <f t="shared" si="132"/>
        <v>8</v>
      </c>
      <c r="BM186" s="8">
        <f t="shared" si="133"/>
        <v>10</v>
      </c>
      <c r="BN186" s="8" cm="1">
        <f t="array" ref="BN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2.3020972649252382E-2</v>
      </c>
      <c r="BO186" s="8" t="str">
        <f>IF(W186="No","No",IF(_xlfn.XLOOKUP(E186,Groups!A:A,Groups!BD:BD)=1,(AM186*5%),EXP(0.7354*LN(C186)^0.4078)*2/IF(_xlfn.XLOOKUP(E186,Groups!A:A,Groups!BL:BL)=1,1000,100)))</f>
        <v>No</v>
      </c>
      <c r="BP186" s="8">
        <f>IF(BH186="No","No",IF(_xlfn.XLOOKUP(E186,Groups!A:A,Groups!BF:BF)=1,(0.0315*C186+2.1825)*2,(0.7354*C186^0.4078)*2)/IF(_xlfn.XLOOKUP(E186,Groups!A:A,Groups!BM:BM)=1,1000,100))</f>
        <v>2.3020972649252382E-2</v>
      </c>
      <c r="BQ186" s="8">
        <f t="shared" si="134"/>
        <v>4.7091223002995383E-2</v>
      </c>
      <c r="BR186" s="8">
        <f t="shared" si="135"/>
        <v>355.17051253951655</v>
      </c>
      <c r="BS186" s="8" t="str">
        <f t="shared" si="136"/>
        <v>No</v>
      </c>
      <c r="BT186" s="8">
        <f t="shared" si="137"/>
        <v>1665.9177806001087</v>
      </c>
      <c r="BU186" s="4">
        <v>0</v>
      </c>
      <c r="BV186" s="4">
        <v>1</v>
      </c>
    </row>
    <row r="187" spans="1:74" s="16" customFormat="1" x14ac:dyDescent="0.25">
      <c r="A187" s="26" t="s">
        <v>1366</v>
      </c>
      <c r="B187" s="6" t="s">
        <v>1355</v>
      </c>
      <c r="C187" s="7">
        <v>160</v>
      </c>
      <c r="D187" s="7" t="s">
        <v>538</v>
      </c>
      <c r="E187" s="7" t="str">
        <f>Groups!A21</f>
        <v>Felid (flu)</v>
      </c>
      <c r="F187" s="7">
        <v>109</v>
      </c>
      <c r="G187" s="7">
        <f>1095/365</f>
        <v>3</v>
      </c>
      <c r="H187" s="7">
        <v>28</v>
      </c>
      <c r="I187" s="4">
        <v>0</v>
      </c>
      <c r="J187" s="7">
        <v>3</v>
      </c>
      <c r="K187" s="7" t="s">
        <v>538</v>
      </c>
      <c r="L187" s="7">
        <v>59</v>
      </c>
      <c r="M187" s="7" t="s">
        <v>638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_xlfn.XLOOKUP(B186,[1]TeethAdjusters!$A:$A,[1]BiteAdjusters!$C:$C,1)</f>
        <v>1</v>
      </c>
      <c r="T187" s="7">
        <f>_xlfn.XLOOKUP(B186,[1]TeethAdjusters!$A:$A,[1]TeethAdjusters!$B:$B,1)</f>
        <v>1</v>
      </c>
      <c r="U187" s="7">
        <f>MROUND(6.985,0.05)</f>
        <v>7</v>
      </c>
      <c r="V187" s="7">
        <f>IF(AR187="No","No",IF(_xlfn.XLOOKUP(E187,Groups!A:A,Groups!AM:AM)=1,MROUND(EXP(0.3582*LN(C187)-0.2221)*T187,0.05),IF(_xlfn.XLOOKUP(E187,Groups!A:A,Groups!AM:AM)=2,MROUND(EXP(0.3582*LN(C187)-0.2221)*T187,0.05),"Need a formula")))</f>
        <v>4.95</v>
      </c>
      <c r="W187" s="7" t="s">
        <v>45</v>
      </c>
      <c r="X187" s="7" t="s">
        <v>945</v>
      </c>
      <c r="Y187" s="4" t="s">
        <v>56</v>
      </c>
      <c r="Z187" s="4">
        <v>0</v>
      </c>
      <c r="AA187" s="4">
        <v>0</v>
      </c>
      <c r="AB187" s="4">
        <v>0</v>
      </c>
      <c r="AC187" s="4" t="s">
        <v>45</v>
      </c>
      <c r="AD187" s="4" t="s">
        <v>320</v>
      </c>
      <c r="AE187" s="28" t="s">
        <v>1384</v>
      </c>
      <c r="AF187" s="4" t="s">
        <v>45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4" t="s">
        <v>40</v>
      </c>
      <c r="AM187" s="8">
        <f>(0.111*C187^0.65)*10000</f>
        <v>30060.829995154538</v>
      </c>
      <c r="AN187" s="8">
        <f>IFERROR(C187*_xlfn.XLOOKUP(E187,Groups!A:A,Groups!K:K),0.106*C187^0.94)</f>
        <v>19.96</v>
      </c>
      <c r="AO187" s="8">
        <f>AN187*10000/(_xlfn.XLOOKUP(E187,Groups!A:A,Groups!J:J)*AM187)</f>
        <v>6.0916237537207918</v>
      </c>
      <c r="AP187" s="8">
        <f>EXP(0.8447*LN(C187)+3.996)</f>
        <v>3956.0420484897504</v>
      </c>
      <c r="AQ187" s="8">
        <f>IF(_xlfn.XLOOKUP(E187,Groups!A:A,Groups!M:M)=1,EXP(0.7444*LN('Base stats'!C187)+6.5696),EXP(0.7927*LN('Base stats'!C187)+4.28))</f>
        <v>4036.3265331248585</v>
      </c>
      <c r="AR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"No")))))))))))))))</f>
        <v>5929.8774358526098</v>
      </c>
      <c r="AS187" s="8">
        <f>IF(_xlfn.XLOOKUP(E187,Groups!A:A,Groups!U:U)=3,AQ187,IF(_xlfn.XLOOKUP(E187,Groups!A:A,Groups!U:U)=2,AP187,AR187))</f>
        <v>5929.8774358526098</v>
      </c>
      <c r="AT187" s="46">
        <f>IFERROR(AVERAGE(_xlfn.XLOOKUP(B186,Animals!B:B,Animals!N:N),_xlfn.XLOOKUP(B186,Animals!B:B,Animals!O:O)),0)</f>
        <v>0</v>
      </c>
      <c r="AU187" s="8">
        <f>MROUND(40*Animals!AO186*_xlfn.XLOOKUP(Animals!BB186,Leathers!$A$2:$A$100,Leathers!$B$2:$B$100,0)+(140*_xlfn.XLOOKUP(B186,Animals!B:B,Animals!AO:AO)*2),5)</f>
        <v>350</v>
      </c>
      <c r="AV187" s="8">
        <f>IFERROR(ROUND(SQRT(V187-1)*IF(_xlfn.XLOOKUP(E187,Groups!A:A,Groups!BF:BF)=0,2,1)*IF(_xlfn.XLOOKUP('Base stats'!E187,Groups!A:A,Groups!O:O)=0,1,0.1),1),0)</f>
        <v>4</v>
      </c>
      <c r="AW187" s="8">
        <f>IFERROR(ROUND(SQRT(U187-1),1),0)</f>
        <v>2.4</v>
      </c>
      <c r="AX187" s="8">
        <f>IFERROR(ROUND(SQRT(W187),1),0)</f>
        <v>0</v>
      </c>
      <c r="AY187" s="8">
        <f>ROUND(
  EXP(0.3582*LN(C187)-0.2221) *
  (0.75 + 0.25*(C187^4/(C187^4+10^4))),
1)</f>
        <v>4.9000000000000004</v>
      </c>
      <c r="AZ187" s="8">
        <f>IF(_xlfn.XLOOKUP(E187,Groups!A:A,Groups!N:N)="Insect",BB187*2.5,IFERROR(AVERAGE(BB187,AR187/9.81/IF(OR(_xlfn.XLOOKUP(E187,Groups!A:A,Groups!N:N)="Pig",_xlfn.XLOOKUP(E187,Groups!A:A,Groups!N:N)="StrongBitingHerbivore"),20,25))*C187^-0.135,BB187))</f>
        <v>6.7636550985785888</v>
      </c>
      <c r="BA187" s="8" t="str">
        <f>IF(W187="No","No",IF(_xlfn.XLOOKUP(E187,Groups!A:A,Groups!U:U)=1,'Base stats'!AZ187,IF(OR(_xlfn.XLOOKUP(E187,Groups!A:A,Groups!BD:BD)=1,_xlfn.XLOOKUP(E187,Groups!A:A,Groups!U:U)=2),BB187,IF(_xlfn.XLOOKUP(B186,Animals!B:B,Animals!AO:AO)&gt;4,AVERAGE(BB187,BD187),BD187))))</f>
        <v>No</v>
      </c>
      <c r="BB187" s="8">
        <f>(0.0392*C187^IF(OR(Y187="Herbivore",Y187="Dendrovore",Y187="OmnivoreRough"),0.889,0.966))*C187^-0.135</f>
        <v>2.660172334959094</v>
      </c>
      <c r="BC187" s="8">
        <f>IF(_xlfn.XLOOKUP(E187,Groups!A:A,Groups!BE:BE)=1,(0.048*C187^1.01)+(0.071*C187^1.03),0.071*C187^1.03)/IF(_xlfn.XLOOKUP(E187,Groups!A:A,Groups!M:M)=1,0.85,IF(OR(_xlfn.XLOOKUP(B186,Animals!B:B,Animals!AO:AO)&gt;4,_xlfn.XLOOKUP(E187,Groups!A:A,Groups!BC:BC)=1),1.7,1))*C187^-0.25</f>
        <v>3.7193918507580448</v>
      </c>
      <c r="BD187" s="8">
        <f>(0.048*C187^1.01)/IF(_xlfn.XLOOKUP(E187,Groups!A:A,Groups!M:M)=1,0.25,0.8)*C187^-0.25</f>
        <v>2.8397652287348705</v>
      </c>
      <c r="BE187" s="8">
        <f>EXP(1.076*LN(AP187)-4.5397)*IF(_xlfn.XLOOKUP(E187,Groups!A:A,Groups!BC:BC)=1,1.25,IF(_xlfn.XLOOKUP(E187,Groups!A:A,Groups!BD:BD)=1,3.5,2.5))</f>
        <v>198.16460070884057</v>
      </c>
      <c r="BF187" s="8">
        <f>EXP(1.076*LN(AQ187)-4.5397)*IF(_xlfn.XLOOKUP(E187,Groups!A:A,Groups!M:M)=1,0.8,IF(_xlfn.XLOOKUP(E187,Groups!A:A,Groups!BC:BC)=1,1.3,3))</f>
        <v>242.99416568789746</v>
      </c>
      <c r="BG187" s="8" t="str">
        <f>IF(W187="No","No",IF(_xlfn.XLOOKUP(E187,Groups!A:A,Groups!U:U)=1,'Base stats'!BH187,IF(OR(_xlfn.XLOOKUP(E187,Groups!A:A,Groups!BD:BD)=1,_xlfn.XLOOKUP(E187,Groups!A:A,Groups!U:U)=2),BE187,BF187))*1.2)</f>
        <v>No</v>
      </c>
      <c r="BH187" s="8">
        <f>IFERROR(EXP(1.076*LN(AR187)-4.5397)*IF(_xlfn.XLOOKUP(E187,Groups!A:A,Groups!N:N)="Insect",1,IF(OR(_xlfn.XLOOKUP(E187,Groups!A:A,Groups!N:N)="Pig",_xlfn.XLOOKUP(E187,Groups!A:A,Groups!N:N)="StrongBitingHerbivore"),3.5,3.75)),"No")</f>
        <v>459.47490832948648</v>
      </c>
      <c r="BI187" s="8">
        <f>ROUNDDOWN(SQRT((2*BE187)/BB187),0)</f>
        <v>12</v>
      </c>
      <c r="BJ187" s="8">
        <f>ROUNDDOWN(SQRT((2*BF187)/BC187),0)</f>
        <v>11</v>
      </c>
      <c r="BK187" s="8" t="str">
        <f>IF(W187="No","No",ROUNDDOWN(SQRT((2*BG187)/BA187),0))</f>
        <v>No</v>
      </c>
      <c r="BL187" s="8">
        <f>IF(V187="No","No",ROUNDDOWN(SQRT((2*BH187)/AZ187),0))</f>
        <v>11</v>
      </c>
      <c r="BM187" s="8">
        <f>ROUNDDOWN(SQRT((2*BF187)/BD187),0)</f>
        <v>13</v>
      </c>
      <c r="BN187" s="8" cm="1">
        <f t="array" ref="BN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0.11651819549205408</v>
      </c>
      <c r="BO187" s="8" t="str">
        <f>IF(W187="No","No",IF(_xlfn.XLOOKUP(E187,Groups!A:A,Groups!BD:BD)=1,(AM187*5%),EXP(0.7354*LN(C187)^0.4078)*2/IF(_xlfn.XLOOKUP(E187,Groups!A:A,Groups!BL:BL)=1,1000,100)))</f>
        <v>No</v>
      </c>
      <c r="BP187" s="8">
        <f>IF(BH187="No","No",IF(_xlfn.XLOOKUP(E187,Groups!A:A,Groups!BF:BF)=1,(0.0315*C187+2.1825)*2,(0.7354*C187^0.4078)*2)/IF(_xlfn.XLOOKUP(E187,Groups!A:A,Groups!BM:BM)=1,1000,100))</f>
        <v>0.11651819549205408</v>
      </c>
      <c r="BQ187" s="8">
        <f>BE187/(AM187*5%)</f>
        <v>0.13184240138464734</v>
      </c>
      <c r="BR187" s="8">
        <f>IF(BN187="No","No",BF187/BN187)</f>
        <v>2085.4611132770965</v>
      </c>
      <c r="BS187" s="8" t="str">
        <f>IF(W187="No","No",BG187/BO187)</f>
        <v>No</v>
      </c>
      <c r="BT187" s="8">
        <f>IF(BH187="No","No",BH187/BP187)</f>
        <v>3943.3747355006044</v>
      </c>
      <c r="BU187" s="4">
        <v>0</v>
      </c>
      <c r="BV187" s="4">
        <v>1</v>
      </c>
    </row>
    <row r="188" spans="1:74" s="16" customFormat="1" x14ac:dyDescent="0.25">
      <c r="A188" s="26" t="s">
        <v>1367</v>
      </c>
      <c r="B188" s="6" t="s">
        <v>1358</v>
      </c>
      <c r="C188" s="7">
        <v>400</v>
      </c>
      <c r="D188" s="7" t="s">
        <v>538</v>
      </c>
      <c r="E188" s="7" t="str">
        <f>Groups!A13</f>
        <v>BeetleLike (WasteScorpion)</v>
      </c>
      <c r="F188" s="7" t="str">
        <f t="shared" ref="F188" si="142">"Lay eggs"</f>
        <v>Lay eggs</v>
      </c>
      <c r="G188" s="7">
        <v>2</v>
      </c>
      <c r="H188" s="7">
        <v>20</v>
      </c>
      <c r="I188" s="4">
        <v>0</v>
      </c>
      <c r="J188" s="7" t="str">
        <f t="shared" ref="J188" si="143">"Lay eggs"</f>
        <v>Lay eggs</v>
      </c>
      <c r="K188" s="7" t="s">
        <v>538</v>
      </c>
      <c r="L188" s="7">
        <v>20</v>
      </c>
      <c r="M188" s="7" t="s">
        <v>538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19</v>
      </c>
      <c r="V188" s="7">
        <v>6</v>
      </c>
      <c r="W188" s="7">
        <v>9</v>
      </c>
      <c r="X188" s="7" t="s">
        <v>945</v>
      </c>
      <c r="Y188" s="4" t="s">
        <v>53</v>
      </c>
      <c r="Z188" s="4">
        <v>0</v>
      </c>
      <c r="AA188" s="4">
        <v>0</v>
      </c>
      <c r="AB188" s="4">
        <v>0</v>
      </c>
      <c r="AC188" s="4" t="s">
        <v>1084</v>
      </c>
      <c r="AD188" s="4" t="s">
        <v>45</v>
      </c>
      <c r="AE188" s="28" t="s">
        <v>45</v>
      </c>
      <c r="AF188" s="4" t="s">
        <v>45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4" t="s">
        <v>40</v>
      </c>
      <c r="AM188" s="8">
        <f t="shared" ref="AM188" si="144">(0.111*C188^0.65)*10000</f>
        <v>54533.324359541104</v>
      </c>
      <c r="AN188" s="8">
        <f>IFERROR(C188*_xlfn.XLOOKUP(E188,Groups!A:A,Groups!K:K),0.106*C188^0.94)</f>
        <v>128</v>
      </c>
      <c r="AO188" s="8">
        <f>AN188*10000/(_xlfn.XLOOKUP(E188,Groups!A:A,Groups!J:J)*AM188)</f>
        <v>19.559905419190599</v>
      </c>
      <c r="AP188" s="8">
        <f t="shared" ref="AP188" si="145">EXP(0.8447*LN(C188)+3.996)</f>
        <v>8578.2919817776201</v>
      </c>
      <c r="AQ188" s="8">
        <f>IF(_xlfn.XLOOKUP(E188,Groups!A:A,Groups!M:M)=1,EXP(0.7444*LN('Base stats'!C188)+6.5696),EXP(0.7927*LN('Base stats'!C188)+4.28))</f>
        <v>61675.756600829809</v>
      </c>
      <c r="AR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"No")))))))))))))))</f>
        <v>61675.756600829809</v>
      </c>
      <c r="AS188" s="8">
        <f>IF(_xlfn.XLOOKUP(E188,Groups!A:A,Groups!U:U)=3,AQ188,IF(_xlfn.XLOOKUP(E188,Groups!A:A,Groups!U:U)=2,AP188,AR188))</f>
        <v>61675.756600829809</v>
      </c>
      <c r="AT188" s="46">
        <f>IFERROR(AVERAGE(_xlfn.XLOOKUP(B188,Animals!B:B,Animals!N:N),_xlfn.XLOOKUP(B188,Animals!B:B,Animals!O:O)),0)</f>
        <v>0.55000000000000004</v>
      </c>
      <c r="AU188" s="8">
        <f>MROUND(40*Animals!AO188*_xlfn.XLOOKUP(Animals!BB188,Leathers!$A$2:$A$100,Leathers!$B$2:$B$100,0)+(140*_xlfn.XLOOKUP(B188,Animals!B:B,Animals!AO:AO)*2),5)</f>
        <v>960</v>
      </c>
      <c r="AV188" s="8">
        <f>IFERROR(ROUND(SQRT(V188-1)*IF(_xlfn.XLOOKUP(E188,Groups!A:A,Groups!BF:BF)=0,2,1)*IF(_xlfn.XLOOKUP('Base stats'!E188,Groups!A:A,Groups!O:O)=0,1,0.1),1),0)</f>
        <v>4.5</v>
      </c>
      <c r="AW188" s="8">
        <f t="shared" ref="AW188" si="146">IFERROR(ROUND(SQRT(U188-1),1),0)</f>
        <v>4.2</v>
      </c>
      <c r="AX188" s="8">
        <f t="shared" ref="AX188" si="147">IFERROR(ROUND(SQRT(W188),1),0)</f>
        <v>3</v>
      </c>
      <c r="AY188" s="8">
        <f t="shared" ref="AY188" si="148">ROUND(
  EXP(0.3582*LN(C188)-0.2221) *
  (0.75 + 0.25*(C188^4/(C188^4+10^4))),
1)</f>
        <v>6.8</v>
      </c>
      <c r="AZ188" s="8">
        <f>IF(_xlfn.XLOOKUP(E188,Groups!A:A,Groups!N:N)="Insect",BB188*2.5,IFERROR(AVERAGE(BB188,AR188/9.81/IF(OR(_xlfn.XLOOKUP(E188,Groups!A:A,Groups!N:N)="Pig",_xlfn.XLOOKUP(E188,Groups!A:A,Groups!N:N)="StrongBitingHerbivore"),20,25))*C188^-0.135,BB188))</f>
        <v>14.24091612215088</v>
      </c>
      <c r="BA188" s="8">
        <f>IF(W188="No","No",IF(_xlfn.XLOOKUP(E188,Groups!A:A,Groups!U:U)=1,'Base stats'!AZ188,IF(OR(_xlfn.XLOOKUP(E188,Groups!A:A,Groups!BD:BD)=1,_xlfn.XLOOKUP(E188,Groups!A:A,Groups!U:U)=2),BB188,IF(_xlfn.XLOOKUP(B188,Animals!B:B,Animals!AO:AO)&gt;4,AVERAGE(BB188,BD188),BD188))))</f>
        <v>18.233364842162999</v>
      </c>
      <c r="BB188" s="8">
        <f t="shared" ref="BB188" si="149">(0.0392*C188^IF(OR(Y188="Herbivore",Y188="Dendrovore",Y188="OmnivoreRough"),0.889,0.966))*C188^-0.135</f>
        <v>5.6963664488603518</v>
      </c>
      <c r="BC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8.9422378289708213</v>
      </c>
      <c r="BD188" s="8">
        <f>(0.048*C188^1.01)/IF(_xlfn.XLOOKUP(E188,Groups!A:A,Groups!M:M)=1,0.25,0.8)*C188^-0.25</f>
        <v>18.233364842162999</v>
      </c>
      <c r="BE188" s="8">
        <f>EXP(1.076*LN(AP188)-4.5397)*IF(_xlfn.XLOOKUP(E188,Groups!A:A,Groups!BC:BC)=1,1.25,IF(_xlfn.XLOOKUP(E188,Groups!A:A,Groups!BD:BD)=1,3.5,2.5))</f>
        <v>227.86763271095117</v>
      </c>
      <c r="BF188" s="8">
        <f>EXP(1.076*LN(AQ188)-4.5397)*IF(_xlfn.XLOOKUP(E188,Groups!A:A,Groups!M:M)=1,0.8,IF(_xlfn.XLOOKUP(E188,Groups!A:A,Groups!BC:BC)=1,1.3,3))</f>
        <v>1218.1100161375859</v>
      </c>
      <c r="BG188" s="8">
        <f>IF(W188="No","No",IF(_xlfn.XLOOKUP(E188,Groups!A:A,Groups!U:U)=1,'Base stats'!BH188,IF(OR(_xlfn.XLOOKUP(E188,Groups!A:A,Groups!BD:BD)=1,_xlfn.XLOOKUP(E188,Groups!A:A,Groups!U:U)=2),BE188,BF188))*1.2)</f>
        <v>1461.732019365103</v>
      </c>
      <c r="BH188" s="8">
        <f>IFERROR(EXP(1.076*LN(AR188)-4.5397)*IF(_xlfn.XLOOKUP(E188,Groups!A:A,Groups!N:N)="Insect",1,IF(OR(_xlfn.XLOOKUP(E188,Groups!A:A,Groups!N:N)="Pig",_xlfn.XLOOKUP(E188,Groups!A:A,Groups!N:N)="StrongBitingHerbivore"),3.5,3.75)),"No")</f>
        <v>1522.6375201719823</v>
      </c>
      <c r="BI188" s="8">
        <f t="shared" ref="BI188" si="150">ROUNDDOWN(SQRT((2*BE188)/BB188),0)</f>
        <v>8</v>
      </c>
      <c r="BJ188" s="8">
        <f t="shared" ref="BJ188" si="151">ROUNDDOWN(SQRT((2*BF188)/BC188),0)</f>
        <v>16</v>
      </c>
      <c r="BK188" s="8">
        <f t="shared" ref="BK188" si="152">IF(W188="No","No",ROUNDDOWN(SQRT((2*BG188)/BA188),0))</f>
        <v>12</v>
      </c>
      <c r="BL188" s="8">
        <f t="shared" ref="BL188" si="153">IF(V188="No","No",ROUNDDOWN(SQRT((2*BH188)/AZ188),0))</f>
        <v>14</v>
      </c>
      <c r="BM188" s="8">
        <f t="shared" ref="BM188" si="154">ROUNDDOWN(SQRT((2*BF188)/BD188),0)</f>
        <v>11</v>
      </c>
      <c r="BN188" s="8" cm="1">
        <f t="array" ref="BN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1.6930652098775201E-2</v>
      </c>
      <c r="BO188" s="8">
        <f>IF(W188="No","No",IF(_xlfn.XLOOKUP(E188,Groups!A:A,Groups!BD:BD)=1,(AM188*5%),EXP(0.7354*LN(C188)^0.4078)*2/IF(_xlfn.XLOOKUP(E188,Groups!A:A,Groups!BL:BL)=1,1000,100)))</f>
        <v>9.2010030010980084E-2</v>
      </c>
      <c r="BP188" s="8">
        <f>IF(BH188="No","No",IF(_xlfn.XLOOKUP(E188,Groups!A:A,Groups!BF:BF)=1,(0.0315*C188+2.1825)*2,(0.7354*C188^0.4078)*2)/IF(_xlfn.XLOOKUP(E188,Groups!A:A,Groups!BM:BM)=1,1000,100))</f>
        <v>0.16930652098775201</v>
      </c>
      <c r="BQ188" s="8">
        <f t="shared" ref="BQ188" si="155">BE188/(AM188*5%)</f>
        <v>8.3570050198519985E-2</v>
      </c>
      <c r="BR188" s="8">
        <f t="shared" ref="BR188" si="156">IF(BN188="No","No",BF188/BN188)</f>
        <v>71947.023010750228</v>
      </c>
      <c r="BS188" s="8">
        <f t="shared" ref="BS188" si="157">IF(W188="No","No",BG188/BO188)</f>
        <v>15886.659521691996</v>
      </c>
      <c r="BT188" s="8">
        <f t="shared" ref="BT188" si="158">IF(BH188="No","No",BH188/BP188)</f>
        <v>8993.3778763437767</v>
      </c>
      <c r="BU188" s="4">
        <v>0</v>
      </c>
      <c r="BV188" s="4">
        <v>1</v>
      </c>
    </row>
    <row r="189" spans="1:74" s="16" customFormat="1" x14ac:dyDescent="0.25">
      <c r="A189" s="26" t="s">
        <v>1368</v>
      </c>
      <c r="B189" s="6" t="s">
        <v>1359</v>
      </c>
      <c r="C189" s="7">
        <v>150</v>
      </c>
      <c r="D189" s="7" t="s">
        <v>538</v>
      </c>
      <c r="E189" s="7" t="str">
        <f>Groups!A38</f>
        <v>TuskedPiglike</v>
      </c>
      <c r="F189" s="7">
        <v>115</v>
      </c>
      <c r="G189" s="7">
        <f>334/365</f>
        <v>0.91506849315068495</v>
      </c>
      <c r="H189" s="7">
        <v>27</v>
      </c>
      <c r="I189" s="4">
        <v>0</v>
      </c>
      <c r="J189" s="7">
        <v>7</v>
      </c>
      <c r="K189" s="7" t="s">
        <v>538</v>
      </c>
      <c r="L189" s="7">
        <f>AVERAGE(5.83,4.56)*3.6*(23.3/11)</f>
        <v>39.614236363636365</v>
      </c>
      <c r="M189" s="7" t="s">
        <v>642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_xlfn.XLOOKUP(B189,[1]TeethAdjusters!$A:$A,[1]BiteAdjusters!$C:$C,1)</f>
        <v>1</v>
      </c>
      <c r="T189" s="7">
        <f>_xlfn.XLOOKUP(B189,[1]TeethAdjusters!$A:$A,[1]TeethAdjusters!$B:$B,1)</f>
        <v>1</v>
      </c>
      <c r="U189" s="7" t="s">
        <v>45</v>
      </c>
      <c r="V189" s="7">
        <f>MROUND(AVERAGE(140/10,55/10),0.05)</f>
        <v>9.75</v>
      </c>
      <c r="W189" s="7">
        <f>MROUND(AVERAGE(230/10,100/10),0.05)</f>
        <v>16.5</v>
      </c>
      <c r="X189" s="7" t="s">
        <v>977</v>
      </c>
      <c r="Y189" s="4" t="s">
        <v>1023</v>
      </c>
      <c r="Z189" s="4">
        <v>0</v>
      </c>
      <c r="AA189" s="4">
        <v>0</v>
      </c>
      <c r="AB189" s="4">
        <v>0</v>
      </c>
      <c r="AC189" s="4" t="s">
        <v>45</v>
      </c>
      <c r="AD189" s="4" t="s">
        <v>407</v>
      </c>
      <c r="AE189" s="28" t="s">
        <v>1384</v>
      </c>
      <c r="AF189" s="4" t="s">
        <v>45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4" t="s">
        <v>40</v>
      </c>
      <c r="AM189" s="8">
        <f t="shared" ref="AM189:AM191" si="159">(0.111*C189^0.65)*10000</f>
        <v>28825.861601687579</v>
      </c>
      <c r="AN189" s="8">
        <f>IFERROR(C189*_xlfn.XLOOKUP(E189,Groups!A:A,Groups!K:K),0.106*C189^0.94)</f>
        <v>11.771495712556113</v>
      </c>
      <c r="AO189" s="8">
        <f>AN189*10000/(_xlfn.XLOOKUP(E189,Groups!A:A,Groups!J:J)*AM189)</f>
        <v>3.7464751271603496</v>
      </c>
      <c r="AP189" s="8">
        <f t="shared" ref="AP189:AP191" si="160">EXP(0.8447*LN(C189)+3.996)</f>
        <v>3746.1489061563307</v>
      </c>
      <c r="AQ189" s="8">
        <f>IF(_xlfn.XLOOKUP(E189,Groups!A:A,Groups!M:M)=1,EXP(0.7444*LN('Base stats'!C189)+6.5696),EXP(0.7927*LN('Base stats'!C189)+4.28))</f>
        <v>3835.0225645496203</v>
      </c>
      <c r="AR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"No")))))))))))))))</f>
        <v>5297.8559377238153</v>
      </c>
      <c r="AS189" s="8">
        <f>IF(_xlfn.XLOOKUP(E189,Groups!A:A,Groups!U:U)=3,AQ189,IF(_xlfn.XLOOKUP(E189,Groups!A:A,Groups!U:U)=2,AP189,AR189))</f>
        <v>5297.8559377238153</v>
      </c>
      <c r="AT189" s="46">
        <f>IFERROR(AVERAGE(_xlfn.XLOOKUP(B189,Animals!B:B,Animals!N:N),_xlfn.XLOOKUP(B189,Animals!B:B,Animals!O:O)),0)</f>
        <v>0</v>
      </c>
      <c r="AU189" s="8">
        <f>MROUND(40*Animals!AO189*_xlfn.XLOOKUP(Animals!BB189,Leathers!$A$2:$A$100,Leathers!$B$2:$B$100,0)+(140*_xlfn.XLOOKUP(B189,Animals!B:B,Animals!AO:AO)*2),5)</f>
        <v>455</v>
      </c>
      <c r="AV189" s="8">
        <f>IFERROR(ROUND(SQRT(V189-1)*IF(_xlfn.XLOOKUP(E189,Groups!A:A,Groups!BF:BF)=0,2,1)*IF(_xlfn.XLOOKUP('Base stats'!E189,Groups!A:A,Groups!O:O)=0,1,0.1),1),0)</f>
        <v>5.9</v>
      </c>
      <c r="AW189" s="8">
        <f t="shared" ref="AW189:AW191" si="161">IFERROR(ROUND(SQRT(U189-1),1),0)</f>
        <v>0</v>
      </c>
      <c r="AX189" s="8">
        <f t="shared" ref="AX189:AX191" si="162">IFERROR(ROUND(SQRT(W189),1),0)</f>
        <v>4.0999999999999996</v>
      </c>
      <c r="AY189" s="8">
        <f t="shared" ref="AY189:AY191" si="163">ROUND(
  EXP(0.3582*LN(C189)-0.2221) *
  (0.75 + 0.25*(C189^4/(C189^4+10^4))),
1)</f>
        <v>4.8</v>
      </c>
      <c r="AZ189" s="8">
        <f>IF(_xlfn.XLOOKUP(E189,Groups!A:A,Groups!N:N)="Insect",BB189*2.5,IFERROR(AVERAGE(BB189,AR189/9.81/IF(OR(_xlfn.XLOOKUP(E189,Groups!A:A,Groups!N:N)="Pig",_xlfn.XLOOKUP(E189,Groups!A:A,Groups!N:N)="StrongBitingHerbivore"),20,25))*C189^-0.135,BB189))</f>
        <v>7.300109850718572</v>
      </c>
      <c r="BA189" s="8">
        <f>IF(W189="No","No",IF(_xlfn.XLOOKUP(E189,Groups!A:A,Groups!U:U)=1,'Base stats'!AZ189,IF(OR(_xlfn.XLOOKUP(E189,Groups!A:A,Groups!BD:BD)=1,_xlfn.XLOOKUP(E189,Groups!A:A,Groups!U:U)=2),BB189,IF(_xlfn.XLOOKUP(B189,Animals!B:B,Animals!AO:AO)&gt;4,AVERAGE(BB189,BD189),BD189))))</f>
        <v>7.300109850718572</v>
      </c>
      <c r="BB189" s="8">
        <f t="shared" ref="BB189:BB191" si="164">(0.0392*C189^IF(OR(Y189="Herbivore",Y189="Dendrovore",Y189="OmnivoreRough"),0.889,0.966))*C189^-0.135</f>
        <v>1.7141896806845596</v>
      </c>
      <c r="BC189" s="8">
        <f>IF(_xlfn.XLOOKUP(E189,Groups!A:A,Groups!BE:BE)=1,(0.048*C189^1.01)+(0.071*C189^1.03),0.071*C189^1.03)/IF(_xlfn.XLOOKUP(E189,Groups!A:A,Groups!M:M)=1,0.85,IF(OR(_xlfn.XLOOKUP(B189,Animals!B:B,Animals!AO:AO)&gt;4,_xlfn.XLOOKUP(E189,Groups!A:A,Groups!BC:BC)=1),1.7,1))*C189^-0.25</f>
        <v>3.5367920914565221</v>
      </c>
      <c r="BD189" s="8">
        <f>(0.048*C189^1.01)/IF(_xlfn.XLOOKUP(E189,Groups!A:A,Groups!M:M)=1,0.25,0.8)*C189^-0.25</f>
        <v>2.7038376258152188</v>
      </c>
      <c r="BE189" s="8">
        <f>EXP(1.076*LN(AP189)-4.5397)*IF(_xlfn.XLOOKUP(E189,Groups!A:A,Groups!BC:BC)=1,1.25,IF(_xlfn.XLOOKUP(E189,Groups!A:A,Groups!BD:BD)=1,3.5,2.5))</f>
        <v>186.87484615605439</v>
      </c>
      <c r="BF189" s="8">
        <f>EXP(1.076*LN(AQ189)-4.5397)*IF(_xlfn.XLOOKUP(E189,Groups!A:A,Groups!M:M)=1,0.8,IF(_xlfn.XLOOKUP(E189,Groups!A:A,Groups!BC:BC)=1,1.3,3))</f>
        <v>229.97937056804284</v>
      </c>
      <c r="BG189" s="8">
        <f>IF(W189="No","No",IF(_xlfn.XLOOKUP(E189,Groups!A:A,Groups!U:U)=1,'Base stats'!BH189,IF(OR(_xlfn.XLOOKUP(E189,Groups!A:A,Groups!BD:BD)=1,_xlfn.XLOOKUP(E189,Groups!A:A,Groups!U:U)=2),BE189,BF189))*1.2)</f>
        <v>455.84205150343917</v>
      </c>
      <c r="BH189" s="8">
        <f>IFERROR(EXP(1.076*LN(AR189)-4.5397)*IF(_xlfn.XLOOKUP(E189,Groups!A:A,Groups!N:N)="Insect",1,IF(OR(_xlfn.XLOOKUP(E189,Groups!A:A,Groups!N:N)="Pig",_xlfn.XLOOKUP(E189,Groups!A:A,Groups!N:N)="StrongBitingHerbivore"),3.5,3.75)),"No")</f>
        <v>379.86837625286597</v>
      </c>
      <c r="BI189" s="8">
        <f t="shared" ref="BI189:BI191" si="165">ROUNDDOWN(SQRT((2*BE189)/BB189),0)</f>
        <v>14</v>
      </c>
      <c r="BJ189" s="8">
        <f t="shared" ref="BJ189:BJ191" si="166">ROUNDDOWN(SQRT((2*BF189)/BC189),0)</f>
        <v>11</v>
      </c>
      <c r="BK189" s="8">
        <f t="shared" ref="BK189:BK191" si="167">IF(W189="No","No",ROUNDDOWN(SQRT((2*BG189)/BA189),0))</f>
        <v>11</v>
      </c>
      <c r="BL189" s="8">
        <f t="shared" ref="BL189:BL191" si="168">IF(V189="No","No",ROUNDDOWN(SQRT((2*BH189)/AZ189),0))</f>
        <v>10</v>
      </c>
      <c r="BM189" s="8">
        <f t="shared" ref="BM189:BM191" si="169">ROUNDDOWN(SQRT((2*BF189)/BD189),0)</f>
        <v>13</v>
      </c>
      <c r="BN189" s="8" t="str" cm="1">
        <f t="array" ref="BN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No</v>
      </c>
      <c r="BO189" s="8">
        <f>IF(W189="No","No",IF(_xlfn.XLOOKUP(E189,Groups!A:A,Groups!BD:BD)=1,(AM189*5%),EXP(0.7354*LN(C189)^0.4078)*2/IF(_xlfn.XLOOKUP(E189,Groups!A:A,Groups!BL:BL)=1,1000,100)))</f>
        <v>8.2648233730893056E-2</v>
      </c>
      <c r="BP189" s="8">
        <f>IF(BH189="No","No",IF(_xlfn.XLOOKUP(E189,Groups!A:A,Groups!BF:BF)=1,(0.0315*C189+2.1825)*2,(0.7354*C189^0.4078)*2)/IF(_xlfn.XLOOKUP(E189,Groups!A:A,Groups!BM:BM)=1,1000,100))</f>
        <v>0.11349157855001941</v>
      </c>
      <c r="BQ189" s="8">
        <f t="shared" ref="BQ189:BQ191" si="170">BE189/(AM189*5%)</f>
        <v>0.12965776963635597</v>
      </c>
      <c r="BR189" s="8" t="str">
        <f t="shared" ref="BR189:BR191" si="171">IF(BN189="No","No",BF189/BN189)</f>
        <v>No</v>
      </c>
      <c r="BS189" s="8">
        <f t="shared" ref="BS189:BS191" si="172">IF(W189="No","No",BG189/BO189)</f>
        <v>5515.4481944246336</v>
      </c>
      <c r="BT189" s="8">
        <f t="shared" ref="BT189:BT191" si="173">IF(BH189="No","No",BH189/BP189)</f>
        <v>3347.1062884674361</v>
      </c>
      <c r="BU189" s="4">
        <v>0</v>
      </c>
      <c r="BV189" s="4">
        <v>1</v>
      </c>
    </row>
    <row r="190" spans="1:74" s="16" customFormat="1" x14ac:dyDescent="0.25">
      <c r="A190" s="26" t="s">
        <v>1369</v>
      </c>
      <c r="B190" s="6" t="s">
        <v>1360</v>
      </c>
      <c r="C190" s="7">
        <v>70</v>
      </c>
      <c r="D190" s="7" t="s">
        <v>538</v>
      </c>
      <c r="E190" s="7" t="str">
        <f>Groups!A56</f>
        <v>Ruminant (cervid, two-headed)</v>
      </c>
      <c r="F190" s="7">
        <f>ROUND(7.545*(C190*1000)^0.2689,0)</f>
        <v>152</v>
      </c>
      <c r="G190" s="7">
        <f>478/365</f>
        <v>1.3095890410958904</v>
      </c>
      <c r="H190" s="7">
        <v>22</v>
      </c>
      <c r="I190" s="4">
        <v>0</v>
      </c>
      <c r="J190" s="7">
        <v>1</v>
      </c>
      <c r="K190" s="7" t="s">
        <v>538</v>
      </c>
      <c r="L190" s="7">
        <f>MIN(114.4*C190^-0.13,97.8*C190^-0.094)</f>
        <v>65.599365542046741</v>
      </c>
      <c r="M190" s="7" t="s">
        <v>638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 t="s">
        <v>45</v>
      </c>
      <c r="V190" s="7" t="str">
        <f>IF(AR190="No","No",IF(_xlfn.XLOOKUP(E190,Groups!A:A,Groups!AM:AM)=1,MROUND(EXP(0.3582*LN(C190)-0.2221)*T190,0.05),IF(_xlfn.XLOOKUP(E190,Groups!A:A,Groups!AM:AM)=2,MROUND(EXP(0.3582*LN(C190)-0.2221)*T190,0.05),"Need a formula")))</f>
        <v>No</v>
      </c>
      <c r="W190" s="7">
        <v>41.2</v>
      </c>
      <c r="X190" s="7" t="s">
        <v>977</v>
      </c>
      <c r="Y190" s="4" t="s">
        <v>42</v>
      </c>
      <c r="Z190" s="4">
        <v>0</v>
      </c>
      <c r="AA190" s="4">
        <v>0</v>
      </c>
      <c r="AB190" s="4">
        <v>0</v>
      </c>
      <c r="AC190" s="4" t="s">
        <v>45</v>
      </c>
      <c r="AD190" s="4" t="s">
        <v>407</v>
      </c>
      <c r="AE190" s="28" t="s">
        <v>1384</v>
      </c>
      <c r="AF190" s="4" t="s">
        <v>45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4" t="s">
        <v>40</v>
      </c>
      <c r="AM190" s="8">
        <f t="shared" si="159"/>
        <v>17564.536938929268</v>
      </c>
      <c r="AN190" s="8">
        <f>IFERROR(C190*_xlfn.XLOOKUP(E190,Groups!A:A,Groups!K:K),0.106*C190^0.94)</f>
        <v>5.7503995690030791</v>
      </c>
      <c r="AO190" s="8">
        <f>AN190*10000/(_xlfn.XLOOKUP(E190,Groups!A:A,Groups!J:J)*AM190)</f>
        <v>3.0035496826407138</v>
      </c>
      <c r="AP190" s="8">
        <f t="shared" si="160"/>
        <v>1967.863924091341</v>
      </c>
      <c r="AQ190" s="8">
        <f>IF(_xlfn.XLOOKUP(E190,Groups!A:A,Groups!M:M)=1,EXP(0.7444*LN('Base stats'!C190)+6.5696),EXP(0.7927*LN('Base stats'!C190)+4.28))</f>
        <v>2095.9918946402931</v>
      </c>
      <c r="AR190" s="8" t="str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"No")))))))))))))))</f>
        <v>No</v>
      </c>
      <c r="AS190" s="8">
        <f>IF(_xlfn.XLOOKUP(E190,Groups!A:A,Groups!U:U)=3,AQ190,IF(_xlfn.XLOOKUP(E190,Groups!A:A,Groups!U:U)=2,AP190,AR190))</f>
        <v>2095.9918946402931</v>
      </c>
      <c r="AT190" s="46">
        <f>IFERROR(AVERAGE(_xlfn.XLOOKUP(B190,Animals!B:B,Animals!N:N),_xlfn.XLOOKUP(B190,Animals!B:B,Animals!O:O)),0)</f>
        <v>0</v>
      </c>
      <c r="AU190" s="8">
        <f>MROUND(40*Animals!AO190*_xlfn.XLOOKUP(Animals!BB190,Leathers!$A$2:$A$100,Leathers!$B$2:$B$100,0)+(140*_xlfn.XLOOKUP(B190,Animals!B:B,Animals!AO:AO)*2),5)</f>
        <v>395</v>
      </c>
      <c r="AV190" s="8">
        <f>IFERROR(ROUND(SQRT(V190-1)*IF(_xlfn.XLOOKUP(E190,Groups!A:A,Groups!BF:BF)=0,2,1)*IF(_xlfn.XLOOKUP('Base stats'!E190,Groups!A:A,Groups!O:O)=0,1,0.1),1),0)</f>
        <v>0</v>
      </c>
      <c r="AW190" s="8">
        <f t="shared" si="161"/>
        <v>0</v>
      </c>
      <c r="AX190" s="8">
        <f t="shared" si="162"/>
        <v>6.4</v>
      </c>
      <c r="AY190" s="8">
        <f t="shared" si="163"/>
        <v>3.7</v>
      </c>
      <c r="AZ190" s="8">
        <f>IF(_xlfn.XLOOKUP(E190,Groups!A:A,Groups!N:N)="Insect",BB190*2.5,IFERROR(AVERAGE(BB190,AR190/9.81/IF(OR(_xlfn.XLOOKUP(E190,Groups!A:A,Groups!N:N)="Pig",_xlfn.XLOOKUP(E190,Groups!A:A,Groups!N:N)="StrongBitingHerbivore"),20,25))*C190^-0.135,BB190))</f>
        <v>0.96491706949761447</v>
      </c>
      <c r="BA190" s="8">
        <f>IF(W190="No","No",IF(_xlfn.XLOOKUP(E190,Groups!A:A,Groups!U:U)=1,'Base stats'!AZ190,IF(OR(_xlfn.XLOOKUP(E190,Groups!A:A,Groups!BD:BD)=1,_xlfn.XLOOKUP(E190,Groups!A:A,Groups!U:U)=2),BB190,IF(_xlfn.XLOOKUP(B190,Animals!B:B,Animals!AO:AO)&gt;4,AVERAGE(BB190,BD190),BD190))))</f>
        <v>1.515045796469928</v>
      </c>
      <c r="BB190" s="8">
        <f t="shared" si="164"/>
        <v>0.96491706949761447</v>
      </c>
      <c r="BC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1.9517977810631861</v>
      </c>
      <c r="BD190" s="8">
        <f>(0.048*C190^1.01)/IF(_xlfn.XLOOKUP(E190,Groups!A:A,Groups!M:M)=1,0.25,0.8)*C190^-0.25</f>
        <v>1.515045796469928</v>
      </c>
      <c r="BE190" s="8">
        <f>EXP(1.076*LN(AP190)-4.5397)*IF(_xlfn.XLOOKUP(E190,Groups!A:A,Groups!BC:BC)=1,1.25,IF(_xlfn.XLOOKUP(E190,Groups!A:A,Groups!BD:BD)=1,3.5,2.5))</f>
        <v>93.478565272069602</v>
      </c>
      <c r="BF190" s="8">
        <f>EXP(1.076*LN(AQ190)-4.5397)*IF(_xlfn.XLOOKUP(E190,Groups!A:A,Groups!M:M)=1,0.8,IF(_xlfn.XLOOKUP(E190,Groups!A:A,Groups!BC:BC)=1,1.3,3))</f>
        <v>120.05211168963112</v>
      </c>
      <c r="BG190" s="8">
        <f>IF(W190="No","No",IF(_xlfn.XLOOKUP(E190,Groups!A:A,Groups!U:U)=1,'Base stats'!BH190,IF(OR(_xlfn.XLOOKUP(E190,Groups!A:A,Groups!BD:BD)=1,_xlfn.XLOOKUP(E190,Groups!A:A,Groups!U:U)=2),BE190,BF190))*1.2)</f>
        <v>144.06253402755735</v>
      </c>
      <c r="BH190" s="8" t="str">
        <f>IFERROR(EXP(1.076*LN(AR190)-4.5397)*IF(_xlfn.XLOOKUP(E190,Groups!A:A,Groups!N:N)="Insect",1,IF(OR(_xlfn.XLOOKUP(E190,Groups!A:A,Groups!N:N)="Pig",_xlfn.XLOOKUP(E190,Groups!A:A,Groups!N:N)="StrongBitingHerbivore"),3.5,3.75)),"No")</f>
        <v>No</v>
      </c>
      <c r="BI190" s="8">
        <f t="shared" si="165"/>
        <v>13</v>
      </c>
      <c r="BJ190" s="8">
        <f t="shared" si="166"/>
        <v>11</v>
      </c>
      <c r="BK190" s="8">
        <f t="shared" si="167"/>
        <v>13</v>
      </c>
      <c r="BL190" s="8" t="str">
        <f t="shared" si="168"/>
        <v>No</v>
      </c>
      <c r="BM190" s="8">
        <f t="shared" si="169"/>
        <v>12</v>
      </c>
      <c r="BN190" s="8" cm="1">
        <f t="array" ref="BN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15.416068414458092</v>
      </c>
      <c r="BO190" s="8">
        <f>IF(W190="No","No",IF(_xlfn.XLOOKUP(E190,Groups!A:A,Groups!BD:BD)=1,(AM190*5%),EXP(0.7354*LN(C190)^0.4078)*2/IF(_xlfn.XLOOKUP(E190,Groups!A:A,Groups!BL:BL)=1,1000,100)))</f>
        <v>7.5359110956583139E-2</v>
      </c>
      <c r="BP190" s="8" t="str">
        <f>IF(BH190="No","No",IF(_xlfn.XLOOKUP(E190,Groups!A:A,Groups!BF:BF)=1,(0.0315*C190+2.1825)*2,(0.7354*C190^0.4078)*2)/IF(_xlfn.XLOOKUP(E190,Groups!A:A,Groups!BM:BM)=1,1000,100))</f>
        <v>No</v>
      </c>
      <c r="BQ190" s="8">
        <f t="shared" si="170"/>
        <v>0.10644011350494281</v>
      </c>
      <c r="BR190" s="8">
        <f t="shared" si="171"/>
        <v>7.7874661983881195</v>
      </c>
      <c r="BS190" s="8">
        <f t="shared" si="172"/>
        <v>1911.68038209151</v>
      </c>
      <c r="BT190" s="8" t="str">
        <f t="shared" si="173"/>
        <v>No</v>
      </c>
      <c r="BU190" s="4">
        <v>0</v>
      </c>
      <c r="BV190" s="4">
        <v>1</v>
      </c>
    </row>
    <row r="191" spans="1:74" s="16" customFormat="1" x14ac:dyDescent="0.25">
      <c r="A191" s="26" t="s">
        <v>1370</v>
      </c>
      <c r="B191" s="6" t="s">
        <v>1361</v>
      </c>
      <c r="C191" s="7">
        <v>400</v>
      </c>
      <c r="D191" s="7" t="s">
        <v>538</v>
      </c>
      <c r="E191" s="7" t="str">
        <f>Groups!A52</f>
        <v>Ruminant (bovid, two-headed)</v>
      </c>
      <c r="F191" s="7">
        <f>ROUND(7.545*(C191*1000)^0.2689,0)</f>
        <v>242</v>
      </c>
      <c r="G191" s="7">
        <v>2</v>
      </c>
      <c r="H191" s="7">
        <v>25</v>
      </c>
      <c r="I191" s="4">
        <v>0</v>
      </c>
      <c r="J191" s="7">
        <v>1</v>
      </c>
      <c r="K191" s="7" t="s">
        <v>538</v>
      </c>
      <c r="L191" s="7">
        <f>MIN(114.4*C191^-0.13,97.8*C191^-0.094)</f>
        <v>52.499869706925978</v>
      </c>
      <c r="M191" s="7" t="s">
        <v>638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1</v>
      </c>
      <c r="T191" s="7">
        <f>_xlfn.XLOOKUP(B191,[1]TeethAdjusters!$A:$A,[1]TeethAdjusters!$B:$B,1)</f>
        <v>1</v>
      </c>
      <c r="U191" s="7" t="s">
        <v>45</v>
      </c>
      <c r="V191" s="7" t="str">
        <f>IF(AR191="No","No",IF(_xlfn.XLOOKUP(E191,Groups!A:A,Groups!AM:AM)=1,MROUND(EXP(0.3582*LN(C191)-0.2221)*T191,0.05),IF(_xlfn.XLOOKUP(E191,Groups!A:A,Groups!AM:AM)=2,MROUND(EXP(0.3582*LN(C191)-0.2221)*T191,0.05),"Need a formula")))</f>
        <v>No</v>
      </c>
      <c r="W191" s="7">
        <v>30</v>
      </c>
      <c r="X191" s="7" t="s">
        <v>945</v>
      </c>
      <c r="Y191" s="4" t="s">
        <v>42</v>
      </c>
      <c r="Z191" s="4">
        <v>0</v>
      </c>
      <c r="AA191" s="4">
        <v>0</v>
      </c>
      <c r="AB191" s="4">
        <v>0</v>
      </c>
      <c r="AC191" s="4" t="s">
        <v>45</v>
      </c>
      <c r="AD191" s="4" t="s">
        <v>407</v>
      </c>
      <c r="AE191" s="28" t="s">
        <v>1384</v>
      </c>
      <c r="AF191" s="4" t="s">
        <v>45</v>
      </c>
      <c r="AG191" s="4">
        <v>1</v>
      </c>
      <c r="AH191" s="4">
        <v>0</v>
      </c>
      <c r="AI191" s="4">
        <v>0</v>
      </c>
      <c r="AJ191" s="4">
        <v>0</v>
      </c>
      <c r="AK191" s="4">
        <v>0</v>
      </c>
      <c r="AL191" s="44" t="s">
        <v>40</v>
      </c>
      <c r="AM191" s="8">
        <f t="shared" si="159"/>
        <v>54533.324359541104</v>
      </c>
      <c r="AN191" s="8">
        <f>IFERROR(C191*_xlfn.XLOOKUP(E191,Groups!A:A,Groups!K:K),0.106*C191^0.94)</f>
        <v>29.596629583111532</v>
      </c>
      <c r="AO191" s="8">
        <f>AN191*10000/(_xlfn.XLOOKUP(E191,Groups!A:A,Groups!J:J)*AM191)</f>
        <v>4.9791336757954134</v>
      </c>
      <c r="AP191" s="8">
        <f t="shared" si="160"/>
        <v>8578.2919817776201</v>
      </c>
      <c r="AQ191" s="8">
        <f>IF(_xlfn.XLOOKUP(E191,Groups!A:A,Groups!M:M)=1,EXP(0.7444*LN('Base stats'!C191)+6.5696),EXP(0.7927*LN('Base stats'!C191)+4.28))</f>
        <v>8345.1344423422543</v>
      </c>
      <c r="AR191" s="8" t="str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"No")))))))))))))))</f>
        <v>No</v>
      </c>
      <c r="AS191" s="8">
        <f>IF(_xlfn.XLOOKUP(E191,Groups!A:A,Groups!U:U)=3,AQ191,IF(_xlfn.XLOOKUP(E191,Groups!A:A,Groups!U:U)=2,AP191,AR191))</f>
        <v>8345.1344423422543</v>
      </c>
      <c r="AT191" s="46">
        <f>IFERROR(AVERAGE(_xlfn.XLOOKUP(B191,Animals!B:B,Animals!N:N),_xlfn.XLOOKUP(B191,Animals!B:B,Animals!O:O)),0)</f>
        <v>0</v>
      </c>
      <c r="AU191" s="8">
        <f>MROUND(40*Animals!AO191*_xlfn.XLOOKUP(Animals!BB191,Leathers!$A$2:$A$100,Leathers!$B$2:$B$100,0)+(140*_xlfn.XLOOKUP(B191,Animals!B:B,Animals!AO:AO)*2),5)</f>
        <v>770</v>
      </c>
      <c r="AV191" s="8">
        <f>IFERROR(ROUND(SQRT(V191-1)*IF(_xlfn.XLOOKUP(E191,Groups!A:A,Groups!BF:BF)=0,2,1)*IF(_xlfn.XLOOKUP('Base stats'!E191,Groups!A:A,Groups!O:O)=0,1,0.1),1),0)</f>
        <v>0</v>
      </c>
      <c r="AW191" s="8">
        <f t="shared" si="161"/>
        <v>0</v>
      </c>
      <c r="AX191" s="8">
        <f t="shared" si="162"/>
        <v>5.5</v>
      </c>
      <c r="AY191" s="8">
        <f t="shared" si="163"/>
        <v>6.8</v>
      </c>
      <c r="AZ191" s="8">
        <f>IF(_xlfn.XLOOKUP(E191,Groups!A:A,Groups!N:N)="Insect",BB191*2.5,IFERROR(AVERAGE(BB191,AR191/9.81/IF(OR(_xlfn.XLOOKUP(E191,Groups!A:A,Groups!N:N)="Pig",_xlfn.XLOOKUP(E191,Groups!A:A,Groups!N:N)="StrongBitingHerbivore"),20,25))*C191^-0.135,BB191))</f>
        <v>3.5911975861689553</v>
      </c>
      <c r="BA191" s="8">
        <f>IF(W191="No","No",IF(_xlfn.XLOOKUP(E191,Groups!A:A,Groups!U:U)=1,'Base stats'!AZ191,IF(OR(_xlfn.XLOOKUP(E191,Groups!A:A,Groups!BD:BD)=1,_xlfn.XLOOKUP(E191,Groups!A:A,Groups!U:U)=2),BB191,IF(_xlfn.XLOOKUP(B191,Animals!B:B,Animals!AO:AO)&gt;4,AVERAGE(BB191,BD191),BD191))))</f>
        <v>5.6979265131759371</v>
      </c>
      <c r="BB191" s="8">
        <f t="shared" si="164"/>
        <v>3.5911975861689553</v>
      </c>
      <c r="BC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7.6009021546251976</v>
      </c>
      <c r="BD191" s="8">
        <f>(0.048*C191^1.01)/IF(_xlfn.XLOOKUP(E191,Groups!A:A,Groups!M:M)=1,0.25,0.8)*C191^-0.25</f>
        <v>5.6979265131759371</v>
      </c>
      <c r="BE191" s="8">
        <f>EXP(1.076*LN(AP191)-4.5397)*IF(_xlfn.XLOOKUP(E191,Groups!A:A,Groups!BC:BC)=1,1.25,IF(_xlfn.XLOOKUP(E191,Groups!A:A,Groups!BD:BD)=1,3.5,2.5))</f>
        <v>455.73526542190234</v>
      </c>
      <c r="BF191" s="8">
        <f>EXP(1.076*LN(AQ191)-4.5397)*IF(_xlfn.XLOOKUP(E191,Groups!A:A,Groups!M:M)=1,0.8,IF(_xlfn.XLOOKUP(E191,Groups!A:A,Groups!BC:BC)=1,1.3,3))</f>
        <v>530.90506242342735</v>
      </c>
      <c r="BG191" s="8">
        <f>IF(W191="No","No",IF(_xlfn.XLOOKUP(E191,Groups!A:A,Groups!U:U)=1,'Base stats'!BH191,IF(OR(_xlfn.XLOOKUP(E191,Groups!A:A,Groups!BD:BD)=1,_xlfn.XLOOKUP(E191,Groups!A:A,Groups!U:U)=2),BE191,BF191))*1.2)</f>
        <v>637.08607490811278</v>
      </c>
      <c r="BH191" s="8" t="str">
        <f>IFERROR(EXP(1.076*LN(AR191)-4.5397)*IF(_xlfn.XLOOKUP(E191,Groups!A:A,Groups!N:N)="Insect",1,IF(OR(_xlfn.XLOOKUP(E191,Groups!A:A,Groups!N:N)="Pig",_xlfn.XLOOKUP(E191,Groups!A:A,Groups!N:N)="StrongBitingHerbivore"),3.5,3.75)),"No")</f>
        <v>No</v>
      </c>
      <c r="BI191" s="8">
        <f t="shared" si="165"/>
        <v>15</v>
      </c>
      <c r="BJ191" s="8">
        <f t="shared" si="166"/>
        <v>11</v>
      </c>
      <c r="BK191" s="8">
        <f t="shared" si="167"/>
        <v>14</v>
      </c>
      <c r="BL191" s="8" t="str">
        <f t="shared" si="168"/>
        <v>No</v>
      </c>
      <c r="BM191" s="8">
        <f t="shared" si="169"/>
        <v>13</v>
      </c>
      <c r="BN191" s="8" cm="1">
        <f t="array" ref="BN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72.331256150292859</v>
      </c>
      <c r="BO191" s="8">
        <f>IF(W191="No","No",IF(_xlfn.XLOOKUP(E191,Groups!A:A,Groups!BD:BD)=1,(AM191*5%),EXP(0.7354*LN(C191)^0.4078)*2/IF(_xlfn.XLOOKUP(E191,Groups!A:A,Groups!BL:BL)=1,1000,100)))</f>
        <v>9.2010030010980084E-2</v>
      </c>
      <c r="BP191" s="8" t="str">
        <f>IF(BH191="No","No",IF(_xlfn.XLOOKUP(E191,Groups!A:A,Groups!BF:BF)=1,(0.0315*C191+2.1825)*2,(0.7354*C191^0.4078)*2)/IF(_xlfn.XLOOKUP(E191,Groups!A:A,Groups!BM:BM)=1,1000,100))</f>
        <v>No</v>
      </c>
      <c r="BQ191" s="8">
        <f t="shared" si="170"/>
        <v>0.16714010039703997</v>
      </c>
      <c r="BR191" s="8">
        <f t="shared" si="171"/>
        <v>7.3399121027331669</v>
      </c>
      <c r="BS191" s="8">
        <f t="shared" si="172"/>
        <v>6924.093762735276</v>
      </c>
      <c r="BT191" s="8" t="str">
        <f t="shared" si="173"/>
        <v>No</v>
      </c>
      <c r="BU191" s="4">
        <v>0</v>
      </c>
      <c r="BV191" s="4">
        <v>1</v>
      </c>
    </row>
    <row r="192" spans="1:74" s="16" customFormat="1" x14ac:dyDescent="0.25">
      <c r="A192" s="26"/>
      <c r="B192" s="6"/>
      <c r="C192" s="7"/>
      <c r="D192" s="7"/>
      <c r="E192" s="7"/>
      <c r="F192" s="7"/>
      <c r="G192" s="7"/>
      <c r="H192" s="7"/>
      <c r="I192" s="4"/>
      <c r="J192" s="7"/>
      <c r="K192" s="7"/>
      <c r="L192" s="7"/>
      <c r="M192" s="7"/>
      <c r="N192" s="4"/>
      <c r="O192" s="4"/>
      <c r="P192" s="4"/>
      <c r="Q192" s="4"/>
      <c r="R192" s="4"/>
      <c r="S192" s="7"/>
      <c r="T192" s="7"/>
      <c r="U192" s="7"/>
      <c r="V192" s="7"/>
      <c r="W192" s="7"/>
      <c r="X192" s="7"/>
      <c r="Y192" s="4"/>
      <c r="Z192" s="4"/>
      <c r="AA192" s="4"/>
      <c r="AB192" s="4"/>
      <c r="AC192" s="4"/>
      <c r="AD192" s="4"/>
      <c r="AE192" s="28"/>
      <c r="AF192" s="4"/>
      <c r="AG192" s="4"/>
      <c r="AH192" s="4"/>
      <c r="AI192" s="4"/>
      <c r="AJ192" s="4"/>
      <c r="AK192" s="4"/>
      <c r="AL192" s="44"/>
      <c r="AM192" s="8"/>
      <c r="AN192" s="8"/>
      <c r="AO192" s="8"/>
      <c r="AP192" s="8"/>
      <c r="AQ192" s="8"/>
      <c r="AR192" s="8"/>
      <c r="AS192" s="8"/>
      <c r="AT192" s="46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4"/>
      <c r="BV192" s="4"/>
    </row>
    <row r="193" spans="1:74" s="16" customFormat="1" x14ac:dyDescent="0.25">
      <c r="A193" s="26"/>
      <c r="B193" s="6"/>
      <c r="C193" s="7"/>
      <c r="D193" s="7"/>
      <c r="E193" s="7"/>
      <c r="F193" s="7"/>
      <c r="G193" s="7"/>
      <c r="H193" s="7"/>
      <c r="I193" s="4"/>
      <c r="J193" s="7"/>
      <c r="K193" s="7"/>
      <c r="L193" s="7"/>
      <c r="M193" s="7"/>
      <c r="N193" s="4"/>
      <c r="O193" s="4"/>
      <c r="P193" s="4"/>
      <c r="Q193" s="4"/>
      <c r="R193" s="4"/>
      <c r="S193" s="7"/>
      <c r="T193" s="7"/>
      <c r="U193" s="7"/>
      <c r="V193" s="7"/>
      <c r="W193" s="7"/>
      <c r="X193" s="7"/>
      <c r="Y193" s="4"/>
      <c r="Z193" s="4"/>
      <c r="AA193" s="4"/>
      <c r="AB193" s="4"/>
      <c r="AC193" s="4"/>
      <c r="AD193" s="4"/>
      <c r="AE193" s="28"/>
      <c r="AF193" s="4"/>
      <c r="AG193" s="4"/>
      <c r="AH193" s="4"/>
      <c r="AI193" s="4"/>
      <c r="AJ193" s="4"/>
      <c r="AK193" s="4"/>
      <c r="AL193" s="44"/>
      <c r="AM193" s="8"/>
      <c r="AN193" s="8"/>
      <c r="AO193" s="8"/>
      <c r="AP193" s="8"/>
      <c r="AQ193" s="8"/>
      <c r="AR193" s="8"/>
      <c r="AS193" s="8"/>
      <c r="AT193" s="46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4"/>
      <c r="BV193" s="4"/>
    </row>
    <row r="194" spans="1:74" s="16" customFormat="1" x14ac:dyDescent="0.25">
      <c r="A194" s="26"/>
      <c r="B194" s="6"/>
      <c r="C194" s="7"/>
      <c r="D194" s="7"/>
      <c r="E194" s="7"/>
      <c r="F194" s="7"/>
      <c r="G194" s="7"/>
      <c r="H194" s="7"/>
      <c r="I194" s="4"/>
      <c r="J194" s="7"/>
      <c r="K194" s="7"/>
      <c r="L194" s="7"/>
      <c r="M194" s="7"/>
      <c r="N194" s="4"/>
      <c r="O194" s="4"/>
      <c r="P194" s="4"/>
      <c r="Q194" s="4"/>
      <c r="R194" s="4"/>
      <c r="S194" s="7"/>
      <c r="T194" s="7"/>
      <c r="U194" s="7"/>
      <c r="V194" s="7"/>
      <c r="W194" s="7"/>
      <c r="X194" s="7"/>
      <c r="Y194" s="4"/>
      <c r="Z194" s="4"/>
      <c r="AA194" s="4"/>
      <c r="AB194" s="4"/>
      <c r="AC194" s="4"/>
      <c r="AD194" s="4"/>
      <c r="AE194" s="28"/>
      <c r="AF194" s="4"/>
      <c r="AG194" s="4"/>
      <c r="AH194" s="4"/>
      <c r="AI194" s="4"/>
      <c r="AJ194" s="4"/>
      <c r="AK194" s="4"/>
      <c r="AL194" s="44"/>
      <c r="AM194" s="8"/>
      <c r="AN194" s="8"/>
      <c r="AO194" s="8"/>
      <c r="AP194" s="8"/>
      <c r="AQ194" s="8"/>
      <c r="AR194" s="8"/>
      <c r="AS194" s="8"/>
      <c r="AT194" s="46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4"/>
      <c r="BV194" s="4"/>
    </row>
    <row r="195" spans="1:74" s="16" customFormat="1" x14ac:dyDescent="0.25">
      <c r="A195" s="26"/>
      <c r="B195" s="6"/>
      <c r="C195" s="7"/>
      <c r="D195" s="7"/>
      <c r="E195" s="7"/>
      <c r="F195" s="7"/>
      <c r="G195" s="7"/>
      <c r="H195" s="7"/>
      <c r="I195" s="4"/>
      <c r="J195" s="7"/>
      <c r="K195" s="7"/>
      <c r="L195" s="7"/>
      <c r="M195" s="7"/>
      <c r="N195" s="4"/>
      <c r="O195" s="4"/>
      <c r="P195" s="4"/>
      <c r="Q195" s="4"/>
      <c r="R195" s="4"/>
      <c r="S195" s="7"/>
      <c r="T195" s="7"/>
      <c r="U195" s="7"/>
      <c r="V195" s="7"/>
      <c r="W195" s="7"/>
      <c r="X195" s="7"/>
      <c r="Y195" s="4"/>
      <c r="Z195" s="4"/>
      <c r="AA195" s="4"/>
      <c r="AB195" s="4"/>
      <c r="AC195" s="4"/>
      <c r="AD195" s="4"/>
      <c r="AE195" s="28"/>
      <c r="AF195" s="4"/>
      <c r="AG195" s="4"/>
      <c r="AH195" s="4"/>
      <c r="AI195" s="4"/>
      <c r="AJ195" s="4"/>
      <c r="AK195" s="4"/>
      <c r="AL195" s="44"/>
      <c r="AM195" s="8"/>
      <c r="AN195" s="8"/>
      <c r="AO195" s="8"/>
      <c r="AP195" s="8"/>
      <c r="AQ195" s="8"/>
      <c r="AR195" s="8"/>
      <c r="AS195" s="8"/>
      <c r="AT195" s="46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4"/>
      <c r="BV195" s="4"/>
    </row>
    <row r="196" spans="1:74" s="16" customFormat="1" x14ac:dyDescent="0.25">
      <c r="A196" s="26"/>
      <c r="B196" s="6"/>
      <c r="C196" s="7"/>
      <c r="D196" s="7"/>
      <c r="E196" s="7"/>
      <c r="F196" s="7"/>
      <c r="G196" s="7"/>
      <c r="H196" s="7"/>
      <c r="I196" s="4"/>
      <c r="J196" s="7"/>
      <c r="K196" s="7"/>
      <c r="L196" s="7"/>
      <c r="M196" s="7"/>
      <c r="N196" s="4"/>
      <c r="O196" s="4"/>
      <c r="P196" s="4"/>
      <c r="Q196" s="4"/>
      <c r="R196" s="4"/>
      <c r="S196" s="7"/>
      <c r="T196" s="7"/>
      <c r="U196" s="7"/>
      <c r="V196" s="7"/>
      <c r="W196" s="7"/>
      <c r="X196" s="7"/>
      <c r="Y196" s="4"/>
      <c r="Z196" s="4"/>
      <c r="AA196" s="4"/>
      <c r="AB196" s="4"/>
      <c r="AC196" s="4"/>
      <c r="AD196" s="4"/>
      <c r="AE196" s="28"/>
      <c r="AF196" s="4"/>
      <c r="AG196" s="4"/>
      <c r="AH196" s="4"/>
      <c r="AI196" s="4"/>
      <c r="AJ196" s="4"/>
      <c r="AK196" s="4"/>
      <c r="AL196" s="44"/>
      <c r="AM196" s="8"/>
      <c r="AN196" s="8"/>
      <c r="AO196" s="8"/>
      <c r="AP196" s="8"/>
      <c r="AQ196" s="8"/>
      <c r="AR196" s="8"/>
      <c r="AS196" s="8"/>
      <c r="AT196" s="46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4"/>
      <c r="BV196" s="4"/>
    </row>
    <row r="197" spans="1:74" s="16" customFormat="1" x14ac:dyDescent="0.25">
      <c r="A197" s="26"/>
      <c r="B197" s="6"/>
      <c r="C197" s="7"/>
      <c r="D197" s="7"/>
      <c r="E197" s="7"/>
      <c r="F197" s="7"/>
      <c r="G197" s="7"/>
      <c r="H197" s="7"/>
      <c r="I197" s="4"/>
      <c r="J197" s="7"/>
      <c r="K197" s="7"/>
      <c r="L197" s="7"/>
      <c r="M197" s="7"/>
      <c r="N197" s="4"/>
      <c r="O197" s="4"/>
      <c r="P197" s="4"/>
      <c r="Q197" s="4"/>
      <c r="R197" s="4"/>
      <c r="S197" s="7"/>
      <c r="T197" s="7"/>
      <c r="U197" s="7"/>
      <c r="V197" s="7"/>
      <c r="W197" s="7"/>
      <c r="X197" s="7"/>
      <c r="Y197" s="4"/>
      <c r="Z197" s="4"/>
      <c r="AA197" s="4"/>
      <c r="AB197" s="4"/>
      <c r="AC197" s="4"/>
      <c r="AD197" s="4"/>
      <c r="AE197" s="28"/>
      <c r="AF197" s="4"/>
      <c r="AG197" s="4"/>
      <c r="AH197" s="4"/>
      <c r="AI197" s="4"/>
      <c r="AJ197" s="4"/>
      <c r="AK197" s="4"/>
      <c r="AL197" s="44"/>
      <c r="AM197" s="8"/>
      <c r="AN197" s="8"/>
      <c r="AO197" s="8"/>
      <c r="AP197" s="8"/>
      <c r="AQ197" s="8"/>
      <c r="AR197" s="8"/>
      <c r="AS197" s="8"/>
      <c r="AT197" s="46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4"/>
      <c r="BV197" s="4"/>
    </row>
    <row r="198" spans="1:74" s="16" customFormat="1" x14ac:dyDescent="0.25">
      <c r="A198" s="26"/>
      <c r="B198" s="6"/>
      <c r="C198" s="7"/>
      <c r="D198" s="7"/>
      <c r="E198" s="7"/>
      <c r="F198" s="7"/>
      <c r="G198" s="7"/>
      <c r="H198" s="7"/>
      <c r="I198" s="4"/>
      <c r="J198" s="7"/>
      <c r="K198" s="7"/>
      <c r="L198" s="7"/>
      <c r="M198" s="7"/>
      <c r="N198" s="4"/>
      <c r="O198" s="4"/>
      <c r="P198" s="4"/>
      <c r="Q198" s="4"/>
      <c r="R198" s="4"/>
      <c r="S198" s="7"/>
      <c r="T198" s="7"/>
      <c r="U198" s="7"/>
      <c r="V198" s="7"/>
      <c r="W198" s="7"/>
      <c r="X198" s="7"/>
      <c r="Y198" s="4"/>
      <c r="Z198" s="4"/>
      <c r="AA198" s="4"/>
      <c r="AB198" s="4"/>
      <c r="AC198" s="4"/>
      <c r="AD198" s="4"/>
      <c r="AE198" s="28"/>
      <c r="AF198" s="4"/>
      <c r="AG198" s="4"/>
      <c r="AH198" s="4"/>
      <c r="AI198" s="4"/>
      <c r="AJ198" s="4"/>
      <c r="AK198" s="4"/>
      <c r="AL198" s="44"/>
      <c r="AM198" s="8"/>
      <c r="AN198" s="8"/>
      <c r="AO198" s="8"/>
      <c r="AP198" s="8"/>
      <c r="AQ198" s="8"/>
      <c r="AR198" s="8"/>
      <c r="AS198" s="8"/>
      <c r="AT198" s="46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4"/>
      <c r="BV198" s="4"/>
    </row>
    <row r="199" spans="1:74" s="16" customFormat="1" x14ac:dyDescent="0.25">
      <c r="A199" s="26"/>
      <c r="B199" s="6"/>
      <c r="C199" s="7"/>
      <c r="D199" s="7"/>
      <c r="E199" s="7"/>
      <c r="F199" s="7"/>
      <c r="G199" s="7"/>
      <c r="H199" s="7"/>
      <c r="I199" s="4"/>
      <c r="J199" s="7"/>
      <c r="K199" s="7"/>
      <c r="L199" s="7"/>
      <c r="M199" s="7"/>
      <c r="N199" s="4"/>
      <c r="O199" s="4"/>
      <c r="P199" s="4"/>
      <c r="Q199" s="4"/>
      <c r="R199" s="4"/>
      <c r="S199" s="7"/>
      <c r="T199" s="7"/>
      <c r="U199" s="7"/>
      <c r="V199" s="7"/>
      <c r="W199" s="7"/>
      <c r="X199" s="7"/>
      <c r="Y199" s="4"/>
      <c r="Z199" s="4"/>
      <c r="AA199" s="4"/>
      <c r="AB199" s="4"/>
      <c r="AC199" s="4"/>
      <c r="AD199" s="4"/>
      <c r="AE199" s="28"/>
      <c r="AF199" s="4"/>
      <c r="AG199" s="4"/>
      <c r="AH199" s="4"/>
      <c r="AI199" s="4"/>
      <c r="AJ199" s="4"/>
      <c r="AK199" s="4"/>
      <c r="AL199" s="44"/>
      <c r="AM199" s="8"/>
      <c r="AN199" s="8"/>
      <c r="AO199" s="8"/>
      <c r="AP199" s="8"/>
      <c r="AQ199" s="8"/>
      <c r="AR199" s="8"/>
      <c r="AS199" s="8"/>
      <c r="AT199" s="46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4"/>
      <c r="BV199" s="4"/>
    </row>
    <row r="200" spans="1:74" s="16" customFormat="1" x14ac:dyDescent="0.25">
      <c r="A200" s="26"/>
      <c r="B200" s="6"/>
      <c r="C200" s="7"/>
      <c r="D200" s="7"/>
      <c r="E200" s="7"/>
      <c r="F200" s="7"/>
      <c r="G200" s="7"/>
      <c r="H200" s="7"/>
      <c r="I200" s="4"/>
      <c r="J200" s="7"/>
      <c r="K200" s="7"/>
      <c r="L200" s="7"/>
      <c r="M200" s="7"/>
      <c r="N200" s="4"/>
      <c r="O200" s="4"/>
      <c r="P200" s="4"/>
      <c r="Q200" s="4"/>
      <c r="R200" s="4"/>
      <c r="S200" s="7"/>
      <c r="T200" s="7"/>
      <c r="U200" s="7"/>
      <c r="V200" s="7"/>
      <c r="W200" s="7"/>
      <c r="X200" s="7"/>
      <c r="Y200" s="4"/>
      <c r="Z200" s="4"/>
      <c r="AA200" s="4"/>
      <c r="AB200" s="4"/>
      <c r="AC200" s="4"/>
      <c r="AD200" s="4"/>
      <c r="AE200" s="28"/>
      <c r="AF200" s="4"/>
      <c r="AG200" s="4"/>
      <c r="AH200" s="4"/>
      <c r="AI200" s="4"/>
      <c r="AJ200" s="4"/>
      <c r="AK200" s="4"/>
      <c r="AL200" s="44"/>
      <c r="AM200" s="8"/>
      <c r="AN200" s="8"/>
      <c r="AO200" s="8"/>
      <c r="AP200" s="8"/>
      <c r="AQ200" s="8"/>
      <c r="AR200" s="8"/>
      <c r="AS200" s="8"/>
      <c r="AT200" s="46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4"/>
      <c r="BV200" s="4"/>
    </row>
    <row r="201" spans="1:74" s="16" customFormat="1" x14ac:dyDescent="0.25">
      <c r="A201" s="26"/>
      <c r="B201" s="6"/>
      <c r="C201" s="7"/>
      <c r="D201" s="7"/>
      <c r="E201" s="7"/>
      <c r="F201" s="7"/>
      <c r="G201" s="7"/>
      <c r="H201" s="7"/>
      <c r="I201" s="4"/>
      <c r="J201" s="7"/>
      <c r="K201" s="7"/>
      <c r="L201" s="7"/>
      <c r="M201" s="7"/>
      <c r="N201" s="4"/>
      <c r="O201" s="4"/>
      <c r="P201" s="4"/>
      <c r="Q201" s="4"/>
      <c r="R201" s="4"/>
      <c r="S201" s="7"/>
      <c r="T201" s="7"/>
      <c r="U201" s="7"/>
      <c r="V201" s="7"/>
      <c r="W201" s="7"/>
      <c r="X201" s="7"/>
      <c r="Y201" s="4"/>
      <c r="Z201" s="4"/>
      <c r="AA201" s="4"/>
      <c r="AB201" s="4"/>
      <c r="AC201" s="4"/>
      <c r="AD201" s="4"/>
      <c r="AE201" s="28"/>
      <c r="AF201" s="4"/>
      <c r="AG201" s="4"/>
      <c r="AH201" s="4"/>
      <c r="AI201" s="4"/>
      <c r="AJ201" s="4"/>
      <c r="AK201" s="4"/>
      <c r="AL201" s="44"/>
      <c r="AM201" s="8"/>
      <c r="AN201" s="8"/>
      <c r="AO201" s="8"/>
      <c r="AP201" s="8"/>
      <c r="AQ201" s="8"/>
      <c r="AR201" s="8"/>
      <c r="AS201" s="8"/>
      <c r="AT201" s="46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4"/>
      <c r="BV201" s="4"/>
    </row>
    <row r="202" spans="1:74" s="16" customFormat="1" x14ac:dyDescent="0.25">
      <c r="A202" s="26"/>
      <c r="B202" s="6"/>
      <c r="C202" s="7"/>
      <c r="D202" s="7"/>
      <c r="E202" s="7"/>
      <c r="F202" s="7"/>
      <c r="G202" s="7"/>
      <c r="H202" s="7"/>
      <c r="I202" s="4"/>
      <c r="J202" s="7"/>
      <c r="K202" s="7"/>
      <c r="L202" s="7"/>
      <c r="M202" s="7"/>
      <c r="N202" s="4"/>
      <c r="O202" s="4"/>
      <c r="P202" s="4"/>
      <c r="Q202" s="4"/>
      <c r="R202" s="4"/>
      <c r="S202" s="7"/>
      <c r="T202" s="7"/>
      <c r="U202" s="7"/>
      <c r="V202" s="7"/>
      <c r="W202" s="7"/>
      <c r="X202" s="7"/>
      <c r="Y202" s="4"/>
      <c r="Z202" s="4"/>
      <c r="AA202" s="4"/>
      <c r="AB202" s="4"/>
      <c r="AC202" s="4"/>
      <c r="AD202" s="4"/>
      <c r="AE202" s="28"/>
      <c r="AF202" s="4"/>
      <c r="AG202" s="4"/>
      <c r="AH202" s="4"/>
      <c r="AI202" s="4"/>
      <c r="AJ202" s="4"/>
      <c r="AK202" s="4"/>
      <c r="AL202" s="44"/>
      <c r="AM202" s="8"/>
      <c r="AN202" s="8"/>
      <c r="AO202" s="8"/>
      <c r="AP202" s="8"/>
      <c r="AQ202" s="8"/>
      <c r="AR202" s="8"/>
      <c r="AS202" s="8"/>
      <c r="AT202" s="46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4"/>
      <c r="BV202" s="4"/>
    </row>
    <row r="203" spans="1:74" s="16" customFormat="1" x14ac:dyDescent="0.25">
      <c r="A203" s="26"/>
      <c r="B203" s="6"/>
      <c r="C203" s="7"/>
      <c r="D203" s="7"/>
      <c r="E203" s="7"/>
      <c r="F203" s="7"/>
      <c r="G203" s="7"/>
      <c r="H203" s="7"/>
      <c r="I203" s="4"/>
      <c r="J203" s="7"/>
      <c r="K203" s="7"/>
      <c r="L203" s="7"/>
      <c r="M203" s="7"/>
      <c r="N203" s="4"/>
      <c r="O203" s="4"/>
      <c r="P203" s="4"/>
      <c r="Q203" s="4"/>
      <c r="R203" s="4"/>
      <c r="S203" s="7"/>
      <c r="T203" s="7"/>
      <c r="U203" s="7"/>
      <c r="V203" s="7"/>
      <c r="W203" s="7"/>
      <c r="X203" s="7"/>
      <c r="Y203" s="4"/>
      <c r="Z203" s="4"/>
      <c r="AA203" s="4"/>
      <c r="AB203" s="4"/>
      <c r="AC203" s="4"/>
      <c r="AD203" s="4"/>
      <c r="AE203" s="28"/>
      <c r="AF203" s="4"/>
      <c r="AG203" s="4"/>
      <c r="AH203" s="4"/>
      <c r="AI203" s="4"/>
      <c r="AJ203" s="4"/>
      <c r="AK203" s="4"/>
      <c r="AL203" s="44"/>
      <c r="AM203" s="8"/>
      <c r="AN203" s="8"/>
      <c r="AO203" s="8"/>
      <c r="AP203" s="8"/>
      <c r="AQ203" s="8"/>
      <c r="AR203" s="8"/>
      <c r="AS203" s="8"/>
      <c r="AT203" s="46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4"/>
      <c r="BV203" s="4"/>
    </row>
    <row r="204" spans="1:74" s="16" customFormat="1" x14ac:dyDescent="0.25">
      <c r="A204" s="26"/>
      <c r="B204" s="6"/>
      <c r="C204" s="7"/>
      <c r="D204" s="7"/>
      <c r="E204" s="7"/>
      <c r="F204" s="7"/>
      <c r="G204" s="7"/>
      <c r="H204" s="7"/>
      <c r="I204" s="4"/>
      <c r="J204" s="7"/>
      <c r="K204" s="7"/>
      <c r="L204" s="7"/>
      <c r="M204" s="7"/>
      <c r="N204" s="4"/>
      <c r="O204" s="4"/>
      <c r="P204" s="4"/>
      <c r="Q204" s="4"/>
      <c r="R204" s="4"/>
      <c r="S204" s="7"/>
      <c r="T204" s="7"/>
      <c r="U204" s="7"/>
      <c r="V204" s="7"/>
      <c r="W204" s="7"/>
      <c r="X204" s="7"/>
      <c r="Y204" s="4"/>
      <c r="Z204" s="4"/>
      <c r="AA204" s="4"/>
      <c r="AB204" s="4"/>
      <c r="AC204" s="4"/>
      <c r="AD204" s="4"/>
      <c r="AE204" s="28"/>
      <c r="AF204" s="4"/>
      <c r="AG204" s="4"/>
      <c r="AH204" s="4"/>
      <c r="AI204" s="4"/>
      <c r="AJ204" s="4"/>
      <c r="AK204" s="4"/>
      <c r="AL204" s="44"/>
      <c r="AM204" s="8"/>
      <c r="AN204" s="8"/>
      <c r="AO204" s="8"/>
      <c r="AP204" s="8"/>
      <c r="AQ204" s="8"/>
      <c r="AR204" s="8"/>
      <c r="AS204" s="8"/>
      <c r="AT204" s="46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4"/>
      <c r="BV204" s="4"/>
    </row>
    <row r="205" spans="1:74" s="16" customFormat="1" x14ac:dyDescent="0.25">
      <c r="A205" s="26"/>
      <c r="B205" s="6"/>
      <c r="C205" s="7"/>
      <c r="D205" s="7"/>
      <c r="E205" s="7"/>
      <c r="F205" s="7"/>
      <c r="G205" s="7"/>
      <c r="H205" s="7"/>
      <c r="I205" s="4"/>
      <c r="J205" s="7"/>
      <c r="K205" s="7"/>
      <c r="L205" s="7"/>
      <c r="M205" s="7"/>
      <c r="N205" s="4"/>
      <c r="O205" s="4"/>
      <c r="P205" s="4"/>
      <c r="Q205" s="4"/>
      <c r="R205" s="4"/>
      <c r="S205" s="7"/>
      <c r="T205" s="7"/>
      <c r="U205" s="7"/>
      <c r="V205" s="7"/>
      <c r="W205" s="7"/>
      <c r="X205" s="7"/>
      <c r="Y205" s="4"/>
      <c r="Z205" s="4"/>
      <c r="AA205" s="4"/>
      <c r="AB205" s="4"/>
      <c r="AC205" s="4"/>
      <c r="AD205" s="4"/>
      <c r="AE205" s="28"/>
      <c r="AF205" s="4"/>
      <c r="AG205" s="4"/>
      <c r="AH205" s="4"/>
      <c r="AI205" s="4"/>
      <c r="AJ205" s="4"/>
      <c r="AK205" s="4"/>
      <c r="AL205" s="44"/>
      <c r="AM205" s="8"/>
      <c r="AN205" s="8"/>
      <c r="AO205" s="8"/>
      <c r="AP205" s="8"/>
      <c r="AQ205" s="8"/>
      <c r="AR205" s="8"/>
      <c r="AS205" s="8"/>
      <c r="AT205" s="46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4"/>
      <c r="BV205" s="4"/>
    </row>
    <row r="206" spans="1:74" s="16" customFormat="1" x14ac:dyDescent="0.25">
      <c r="A206" s="26"/>
      <c r="B206" s="6"/>
      <c r="C206" s="7"/>
      <c r="D206" s="7"/>
      <c r="E206" s="7"/>
      <c r="F206" s="7"/>
      <c r="G206" s="7"/>
      <c r="H206" s="7"/>
      <c r="I206" s="4"/>
      <c r="J206" s="7"/>
      <c r="K206" s="7"/>
      <c r="L206" s="7"/>
      <c r="M206" s="7"/>
      <c r="N206" s="4"/>
      <c r="O206" s="4"/>
      <c r="P206" s="4"/>
      <c r="Q206" s="4"/>
      <c r="R206" s="4"/>
      <c r="S206" s="7"/>
      <c r="T206" s="7"/>
      <c r="U206" s="7"/>
      <c r="V206" s="7"/>
      <c r="W206" s="7"/>
      <c r="X206" s="7"/>
      <c r="Y206" s="4"/>
      <c r="Z206" s="4"/>
      <c r="AA206" s="4"/>
      <c r="AB206" s="4"/>
      <c r="AC206" s="4"/>
      <c r="AD206" s="4"/>
      <c r="AE206" s="28"/>
      <c r="AF206" s="4"/>
      <c r="AG206" s="4"/>
      <c r="AH206" s="4"/>
      <c r="AI206" s="4"/>
      <c r="AJ206" s="4"/>
      <c r="AK206" s="4"/>
      <c r="AL206" s="44"/>
      <c r="AM206" s="8"/>
      <c r="AN206" s="8"/>
      <c r="AO206" s="8"/>
      <c r="AP206" s="8"/>
      <c r="AQ206" s="8"/>
      <c r="AR206" s="8"/>
      <c r="AS206" s="8"/>
      <c r="AT206" s="46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4"/>
      <c r="BV206" s="4"/>
    </row>
    <row r="207" spans="1:74" s="16" customFormat="1" x14ac:dyDescent="0.25">
      <c r="A207" s="26"/>
      <c r="B207" s="6"/>
      <c r="C207" s="7"/>
      <c r="D207" s="7"/>
      <c r="E207" s="7"/>
      <c r="F207" s="7"/>
      <c r="G207" s="7"/>
      <c r="H207" s="7"/>
      <c r="I207" s="4"/>
      <c r="J207" s="7"/>
      <c r="K207" s="7"/>
      <c r="L207" s="7"/>
      <c r="M207" s="7"/>
      <c r="N207" s="4"/>
      <c r="O207" s="4"/>
      <c r="P207" s="4"/>
      <c r="Q207" s="4"/>
      <c r="R207" s="4"/>
      <c r="S207" s="7"/>
      <c r="T207" s="7"/>
      <c r="U207" s="7"/>
      <c r="V207" s="7"/>
      <c r="W207" s="7"/>
      <c r="X207" s="7"/>
      <c r="Y207" s="4"/>
      <c r="Z207" s="4"/>
      <c r="AA207" s="4"/>
      <c r="AB207" s="4"/>
      <c r="AC207" s="4"/>
      <c r="AD207" s="4"/>
      <c r="AE207" s="28"/>
      <c r="AF207" s="4"/>
      <c r="AG207" s="4"/>
      <c r="AH207" s="4"/>
      <c r="AI207" s="4"/>
      <c r="AJ207" s="4"/>
      <c r="AK207" s="4"/>
      <c r="AL207" s="44"/>
      <c r="AM207" s="8"/>
      <c r="AN207" s="8"/>
      <c r="AO207" s="8"/>
      <c r="AP207" s="8"/>
      <c r="AQ207" s="8"/>
      <c r="AR207" s="8"/>
      <c r="AS207" s="8"/>
      <c r="AT207" s="46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4"/>
      <c r="BV207" s="4"/>
    </row>
    <row r="208" spans="1:74" s="16" customFormat="1" x14ac:dyDescent="0.25">
      <c r="A208" s="26"/>
      <c r="B208" s="6"/>
      <c r="C208" s="7"/>
      <c r="D208" s="7"/>
      <c r="E208" s="7"/>
      <c r="F208" s="7"/>
      <c r="G208" s="7"/>
      <c r="H208" s="7"/>
      <c r="I208" s="4"/>
      <c r="J208" s="7"/>
      <c r="K208" s="7"/>
      <c r="L208" s="7"/>
      <c r="M208" s="7"/>
      <c r="N208" s="4"/>
      <c r="O208" s="4"/>
      <c r="P208" s="4"/>
      <c r="Q208" s="4"/>
      <c r="R208" s="4"/>
      <c r="S208" s="7"/>
      <c r="T208" s="7"/>
      <c r="U208" s="7"/>
      <c r="V208" s="7"/>
      <c r="W208" s="7"/>
      <c r="X208" s="7"/>
      <c r="Y208" s="4"/>
      <c r="Z208" s="4"/>
      <c r="AA208" s="4"/>
      <c r="AB208" s="4"/>
      <c r="AC208" s="4"/>
      <c r="AD208" s="4"/>
      <c r="AE208" s="28"/>
      <c r="AF208" s="4"/>
      <c r="AG208" s="4"/>
      <c r="AH208" s="4"/>
      <c r="AI208" s="4"/>
      <c r="AJ208" s="4"/>
      <c r="AK208" s="4"/>
      <c r="AL208" s="44"/>
      <c r="AM208" s="8"/>
      <c r="AN208" s="8"/>
      <c r="AO208" s="8"/>
      <c r="AP208" s="8"/>
      <c r="AQ208" s="8"/>
      <c r="AR208" s="8"/>
      <c r="AS208" s="8"/>
      <c r="AT208" s="46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4"/>
      <c r="BV208" s="4"/>
    </row>
    <row r="209" spans="1:74" s="16" customFormat="1" x14ac:dyDescent="0.25">
      <c r="A209" s="26"/>
      <c r="B209" s="6"/>
      <c r="C209" s="7"/>
      <c r="D209" s="7"/>
      <c r="E209" s="7"/>
      <c r="F209" s="7"/>
      <c r="G209" s="7"/>
      <c r="H209" s="7"/>
      <c r="I209" s="4"/>
      <c r="J209" s="7"/>
      <c r="K209" s="7"/>
      <c r="L209" s="7"/>
      <c r="M209" s="7"/>
      <c r="N209" s="4"/>
      <c r="O209" s="4"/>
      <c r="P209" s="4"/>
      <c r="Q209" s="4"/>
      <c r="R209" s="4"/>
      <c r="S209" s="7"/>
      <c r="T209" s="7"/>
      <c r="U209" s="7"/>
      <c r="V209" s="7"/>
      <c r="W209" s="7"/>
      <c r="X209" s="7"/>
      <c r="Y209" s="4"/>
      <c r="Z209" s="4"/>
      <c r="AA209" s="4"/>
      <c r="AB209" s="4"/>
      <c r="AC209" s="4"/>
      <c r="AD209" s="4"/>
      <c r="AE209" s="28"/>
      <c r="AF209" s="4"/>
      <c r="AG209" s="4"/>
      <c r="AH209" s="4"/>
      <c r="AI209" s="4"/>
      <c r="AJ209" s="4"/>
      <c r="AK209" s="4"/>
      <c r="AL209" s="44"/>
      <c r="AM209" s="8"/>
      <c r="AN209" s="8"/>
      <c r="AO209" s="8"/>
      <c r="AP209" s="8"/>
      <c r="AQ209" s="8"/>
      <c r="AR209" s="8"/>
      <c r="AS209" s="8"/>
      <c r="AT209" s="46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4"/>
      <c r="BV209" s="4"/>
    </row>
    <row r="210" spans="1:74" s="16" customFormat="1" x14ac:dyDescent="0.25">
      <c r="A210" s="26"/>
      <c r="B210" s="6"/>
      <c r="C210" s="7"/>
      <c r="D210" s="7"/>
      <c r="E210" s="7"/>
      <c r="F210" s="7"/>
      <c r="G210" s="7"/>
      <c r="H210" s="7"/>
      <c r="I210" s="4"/>
      <c r="J210" s="7"/>
      <c r="K210" s="7"/>
      <c r="L210" s="7"/>
      <c r="M210" s="7"/>
      <c r="N210" s="4"/>
      <c r="O210" s="4"/>
      <c r="P210" s="4"/>
      <c r="Q210" s="4"/>
      <c r="R210" s="4"/>
      <c r="S210" s="7"/>
      <c r="T210" s="7"/>
      <c r="U210" s="7"/>
      <c r="V210" s="7"/>
      <c r="W210" s="7"/>
      <c r="X210" s="7"/>
      <c r="Y210" s="4"/>
      <c r="Z210" s="4"/>
      <c r="AA210" s="4"/>
      <c r="AB210" s="4"/>
      <c r="AC210" s="4"/>
      <c r="AD210" s="4"/>
      <c r="AE210" s="28"/>
      <c r="AF210" s="4"/>
      <c r="AG210" s="4"/>
      <c r="AH210" s="4"/>
      <c r="AI210" s="4"/>
      <c r="AJ210" s="4"/>
      <c r="AK210" s="4"/>
      <c r="AL210" s="44"/>
      <c r="AM210" s="8"/>
      <c r="AN210" s="8"/>
      <c r="AO210" s="8"/>
      <c r="AP210" s="8"/>
      <c r="AQ210" s="8"/>
      <c r="AR210" s="8"/>
      <c r="AS210" s="8"/>
      <c r="AT210" s="46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4"/>
      <c r="BV210" s="4"/>
    </row>
    <row r="211" spans="1:74" s="16" customFormat="1" x14ac:dyDescent="0.25">
      <c r="A211" s="26"/>
      <c r="B211" s="6"/>
      <c r="C211" s="7"/>
      <c r="D211" s="7"/>
      <c r="E211" s="7"/>
      <c r="F211" s="7"/>
      <c r="G211" s="7"/>
      <c r="H211" s="7"/>
      <c r="I211" s="4"/>
      <c r="J211" s="7"/>
      <c r="K211" s="7"/>
      <c r="L211" s="7"/>
      <c r="M211" s="7"/>
      <c r="N211" s="4"/>
      <c r="O211" s="4"/>
      <c r="P211" s="4"/>
      <c r="Q211" s="4"/>
      <c r="R211" s="4"/>
      <c r="S211" s="7"/>
      <c r="T211" s="7"/>
      <c r="U211" s="7"/>
      <c r="V211" s="7"/>
      <c r="W211" s="7"/>
      <c r="X211" s="7"/>
      <c r="Y211" s="4"/>
      <c r="Z211" s="4"/>
      <c r="AA211" s="4"/>
      <c r="AB211" s="4"/>
      <c r="AC211" s="4"/>
      <c r="AD211" s="4"/>
      <c r="AE211" s="28"/>
      <c r="AF211" s="4"/>
      <c r="AG211" s="4"/>
      <c r="AH211" s="4"/>
      <c r="AI211" s="4"/>
      <c r="AJ211" s="4"/>
      <c r="AK211" s="4"/>
      <c r="AL211" s="44"/>
      <c r="AM211" s="8"/>
      <c r="AN211" s="8"/>
      <c r="AO211" s="8"/>
      <c r="AP211" s="8"/>
      <c r="AQ211" s="8"/>
      <c r="AR211" s="8"/>
      <c r="AS211" s="8"/>
      <c r="AT211" s="46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4"/>
      <c r="BV211" s="4"/>
    </row>
    <row r="212" spans="1:74" s="16" customFormat="1" x14ac:dyDescent="0.25">
      <c r="A212" s="26"/>
      <c r="B212" s="6"/>
      <c r="C212" s="7"/>
      <c r="D212" s="7"/>
      <c r="E212" s="7"/>
      <c r="F212" s="7"/>
      <c r="G212" s="7"/>
      <c r="H212" s="7"/>
      <c r="I212" s="4"/>
      <c r="J212" s="7"/>
      <c r="K212" s="7"/>
      <c r="L212" s="7"/>
      <c r="M212" s="7"/>
      <c r="N212" s="4"/>
      <c r="O212" s="4"/>
      <c r="P212" s="4"/>
      <c r="Q212" s="4"/>
      <c r="R212" s="4"/>
      <c r="S212" s="7"/>
      <c r="T212" s="7"/>
      <c r="U212" s="7"/>
      <c r="V212" s="7"/>
      <c r="W212" s="7"/>
      <c r="X212" s="7"/>
      <c r="Y212" s="4"/>
      <c r="Z212" s="4"/>
      <c r="AA212" s="4"/>
      <c r="AB212" s="4"/>
      <c r="AC212" s="4"/>
      <c r="AD212" s="4"/>
      <c r="AE212" s="28"/>
      <c r="AF212" s="4"/>
      <c r="AG212" s="4"/>
      <c r="AH212" s="4"/>
      <c r="AI212" s="4"/>
      <c r="AJ212" s="4"/>
      <c r="AK212" s="4"/>
      <c r="AL212" s="44"/>
      <c r="AM212" s="8"/>
      <c r="AN212" s="8"/>
      <c r="AO212" s="8"/>
      <c r="AP212" s="8"/>
      <c r="AQ212" s="8"/>
      <c r="AR212" s="8"/>
      <c r="AS212" s="8"/>
      <c r="AT212" s="46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4"/>
      <c r="BV212" s="4"/>
    </row>
    <row r="213" spans="1:74" s="16" customFormat="1" x14ac:dyDescent="0.25">
      <c r="A213" s="26"/>
      <c r="B213" s="6"/>
      <c r="C213" s="7"/>
      <c r="D213" s="7"/>
      <c r="E213" s="7"/>
      <c r="F213" s="7"/>
      <c r="G213" s="7"/>
      <c r="H213" s="7"/>
      <c r="I213" s="4"/>
      <c r="J213" s="7"/>
      <c r="K213" s="7"/>
      <c r="L213" s="7"/>
      <c r="M213" s="7"/>
      <c r="N213" s="4"/>
      <c r="O213" s="4"/>
      <c r="P213" s="4"/>
      <c r="Q213" s="4"/>
      <c r="R213" s="4"/>
      <c r="S213" s="7"/>
      <c r="T213" s="7"/>
      <c r="U213" s="7"/>
      <c r="V213" s="7"/>
      <c r="W213" s="7"/>
      <c r="X213" s="7"/>
      <c r="Y213" s="4"/>
      <c r="Z213" s="4"/>
      <c r="AA213" s="4"/>
      <c r="AB213" s="4"/>
      <c r="AC213" s="4"/>
      <c r="AD213" s="4"/>
      <c r="AE213" s="28"/>
      <c r="AF213" s="4"/>
      <c r="AG213" s="4"/>
      <c r="AH213" s="4"/>
      <c r="AI213" s="4"/>
      <c r="AJ213" s="4"/>
      <c r="AK213" s="4"/>
      <c r="AL213" s="44"/>
      <c r="AM213" s="8"/>
      <c r="AN213" s="8"/>
      <c r="AO213" s="8"/>
      <c r="AP213" s="8"/>
      <c r="AQ213" s="8"/>
      <c r="AR213" s="8"/>
      <c r="AS213" s="8"/>
      <c r="AT213" s="46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4"/>
      <c r="BV213" s="4"/>
    </row>
    <row r="214" spans="1:74" s="16" customFormat="1" x14ac:dyDescent="0.25">
      <c r="A214" s="26"/>
      <c r="B214" s="6"/>
      <c r="C214" s="7"/>
      <c r="D214" s="7"/>
      <c r="E214" s="7"/>
      <c r="F214" s="7"/>
      <c r="G214" s="7"/>
      <c r="H214" s="7"/>
      <c r="I214" s="4"/>
      <c r="J214" s="7"/>
      <c r="K214" s="7"/>
      <c r="L214" s="7"/>
      <c r="M214" s="7"/>
      <c r="N214" s="4"/>
      <c r="O214" s="4"/>
      <c r="P214" s="4"/>
      <c r="Q214" s="4"/>
      <c r="R214" s="4"/>
      <c r="S214" s="7"/>
      <c r="T214" s="7"/>
      <c r="U214" s="7"/>
      <c r="V214" s="7"/>
      <c r="W214" s="7"/>
      <c r="X214" s="7"/>
      <c r="Y214" s="4"/>
      <c r="Z214" s="4"/>
      <c r="AA214" s="4"/>
      <c r="AB214" s="4"/>
      <c r="AC214" s="4"/>
      <c r="AD214" s="4"/>
      <c r="AE214" s="28"/>
      <c r="AF214" s="4"/>
      <c r="AG214" s="4"/>
      <c r="AH214" s="4"/>
      <c r="AI214" s="4"/>
      <c r="AJ214" s="4"/>
      <c r="AK214" s="4"/>
      <c r="AL214" s="44"/>
      <c r="AM214" s="8"/>
      <c r="AN214" s="8"/>
      <c r="AO214" s="8"/>
      <c r="AP214" s="8"/>
      <c r="AQ214" s="8"/>
      <c r="AR214" s="8"/>
      <c r="AS214" s="8"/>
      <c r="AT214" s="46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4"/>
      <c r="BV214" s="4"/>
    </row>
    <row r="215" spans="1:74" s="16" customFormat="1" x14ac:dyDescent="0.25">
      <c r="A215" s="26"/>
      <c r="B215" s="6"/>
      <c r="C215" s="7"/>
      <c r="D215" s="7"/>
      <c r="E215" s="7"/>
      <c r="F215" s="7"/>
      <c r="G215" s="7"/>
      <c r="H215" s="7"/>
      <c r="I215" s="4"/>
      <c r="J215" s="7"/>
      <c r="K215" s="7"/>
      <c r="L215" s="7"/>
      <c r="M215" s="7"/>
      <c r="N215" s="4"/>
      <c r="O215" s="4"/>
      <c r="P215" s="4"/>
      <c r="Q215" s="4"/>
      <c r="R215" s="4"/>
      <c r="S215" s="7"/>
      <c r="T215" s="7"/>
      <c r="U215" s="7"/>
      <c r="V215" s="7"/>
      <c r="W215" s="7"/>
      <c r="X215" s="7"/>
      <c r="Y215" s="4"/>
      <c r="Z215" s="4"/>
      <c r="AA215" s="4"/>
      <c r="AB215" s="4"/>
      <c r="AC215" s="4"/>
      <c r="AD215" s="4"/>
      <c r="AE215" s="28"/>
      <c r="AF215" s="4"/>
      <c r="AG215" s="4"/>
      <c r="AH215" s="4"/>
      <c r="AI215" s="4"/>
      <c r="AJ215" s="4"/>
      <c r="AK215" s="4"/>
      <c r="AL215" s="44"/>
      <c r="AM215" s="8"/>
      <c r="AN215" s="8"/>
      <c r="AO215" s="8"/>
      <c r="AP215" s="8"/>
      <c r="AQ215" s="8"/>
      <c r="AR215" s="8"/>
      <c r="AS215" s="8"/>
      <c r="AT215" s="46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4"/>
      <c r="BV215" s="4"/>
    </row>
    <row r="216" spans="1:74" s="16" customFormat="1" x14ac:dyDescent="0.25">
      <c r="A216" s="26"/>
      <c r="B216" s="6"/>
      <c r="C216" s="7"/>
      <c r="D216" s="7"/>
      <c r="E216" s="7"/>
      <c r="F216" s="7"/>
      <c r="G216" s="7"/>
      <c r="H216" s="7"/>
      <c r="I216" s="4"/>
      <c r="J216" s="7"/>
      <c r="K216" s="7"/>
      <c r="L216" s="7"/>
      <c r="M216" s="7"/>
      <c r="N216" s="4"/>
      <c r="O216" s="4"/>
      <c r="P216" s="4"/>
      <c r="Q216" s="4"/>
      <c r="R216" s="4"/>
      <c r="S216" s="7"/>
      <c r="T216" s="7"/>
      <c r="U216" s="7"/>
      <c r="V216" s="7"/>
      <c r="W216" s="7"/>
      <c r="X216" s="7"/>
      <c r="Y216" s="4"/>
      <c r="Z216" s="4"/>
      <c r="AA216" s="4"/>
      <c r="AB216" s="4"/>
      <c r="AC216" s="4"/>
      <c r="AD216" s="4"/>
      <c r="AE216" s="28"/>
      <c r="AF216" s="4"/>
      <c r="AG216" s="4"/>
      <c r="AH216" s="4"/>
      <c r="AI216" s="4"/>
      <c r="AJ216" s="4"/>
      <c r="AK216" s="4"/>
      <c r="AL216" s="44"/>
      <c r="AM216" s="8"/>
      <c r="AN216" s="8"/>
      <c r="AO216" s="8"/>
      <c r="AP216" s="8"/>
      <c r="AQ216" s="8"/>
      <c r="AR216" s="8"/>
      <c r="AS216" s="8"/>
      <c r="AT216" s="46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4"/>
      <c r="BV216" s="4"/>
    </row>
    <row r="217" spans="1:74" s="16" customFormat="1" x14ac:dyDescent="0.25">
      <c r="A217" s="26"/>
      <c r="B217" s="6"/>
      <c r="C217" s="7"/>
      <c r="D217" s="7"/>
      <c r="E217" s="7"/>
      <c r="F217" s="7"/>
      <c r="G217" s="7"/>
      <c r="H217" s="7"/>
      <c r="I217" s="4"/>
      <c r="J217" s="7"/>
      <c r="K217" s="7"/>
      <c r="L217" s="7"/>
      <c r="M217" s="7"/>
      <c r="N217" s="4"/>
      <c r="O217" s="4"/>
      <c r="P217" s="4"/>
      <c r="Q217" s="4"/>
      <c r="R217" s="4"/>
      <c r="S217" s="7"/>
      <c r="T217" s="7"/>
      <c r="U217" s="7"/>
      <c r="V217" s="7"/>
      <c r="W217" s="7"/>
      <c r="X217" s="7"/>
      <c r="Y217" s="4"/>
      <c r="Z217" s="4"/>
      <c r="AA217" s="4"/>
      <c r="AB217" s="4"/>
      <c r="AC217" s="4"/>
      <c r="AD217" s="4"/>
      <c r="AE217" s="28"/>
      <c r="AF217" s="4"/>
      <c r="AG217" s="4"/>
      <c r="AH217" s="4"/>
      <c r="AI217" s="4"/>
      <c r="AJ217" s="4"/>
      <c r="AK217" s="4"/>
      <c r="AL217" s="44"/>
      <c r="AM217" s="8"/>
      <c r="AN217" s="8"/>
      <c r="AO217" s="8"/>
      <c r="AP217" s="8"/>
      <c r="AQ217" s="8"/>
      <c r="AR217" s="8"/>
      <c r="AS217" s="8"/>
      <c r="AT217" s="46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4"/>
      <c r="BV217" s="4"/>
    </row>
    <row r="218" spans="1:74" s="16" customFormat="1" x14ac:dyDescent="0.25">
      <c r="A218" s="26"/>
      <c r="B218" s="6"/>
      <c r="C218" s="7"/>
      <c r="D218" s="7"/>
      <c r="E218" s="7"/>
      <c r="F218" s="7"/>
      <c r="G218" s="7"/>
      <c r="H218" s="7"/>
      <c r="I218" s="4"/>
      <c r="J218" s="7"/>
      <c r="K218" s="7"/>
      <c r="L218" s="7"/>
      <c r="M218" s="7"/>
      <c r="N218" s="4"/>
      <c r="O218" s="4"/>
      <c r="P218" s="4"/>
      <c r="Q218" s="4"/>
      <c r="R218" s="4"/>
      <c r="S218" s="7"/>
      <c r="T218" s="7"/>
      <c r="U218" s="7"/>
      <c r="V218" s="7"/>
      <c r="W218" s="7"/>
      <c r="X218" s="7"/>
      <c r="Y218" s="4"/>
      <c r="Z218" s="4"/>
      <c r="AA218" s="4"/>
      <c r="AB218" s="4"/>
      <c r="AC218" s="4"/>
      <c r="AD218" s="4"/>
      <c r="AE218" s="28"/>
      <c r="AF218" s="4"/>
      <c r="AG218" s="4"/>
      <c r="AH218" s="4"/>
      <c r="AI218" s="4"/>
      <c r="AJ218" s="4"/>
      <c r="AK218" s="4"/>
      <c r="AL218" s="44"/>
      <c r="AM218" s="8"/>
      <c r="AN218" s="8"/>
      <c r="AO218" s="8"/>
      <c r="AP218" s="8"/>
      <c r="AQ218" s="8"/>
      <c r="AR218" s="8"/>
      <c r="AS218" s="8"/>
      <c r="AT218" s="46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4"/>
      <c r="BV218" s="4"/>
    </row>
    <row r="219" spans="1:74" s="16" customFormat="1" x14ac:dyDescent="0.25">
      <c r="A219" s="26"/>
      <c r="B219" s="6"/>
      <c r="C219" s="7"/>
      <c r="D219" s="7"/>
      <c r="E219" s="7"/>
      <c r="F219" s="7"/>
      <c r="G219" s="7"/>
      <c r="H219" s="7"/>
      <c r="I219" s="4"/>
      <c r="J219" s="7"/>
      <c r="K219" s="7"/>
      <c r="L219" s="7"/>
      <c r="M219" s="7"/>
      <c r="N219" s="4"/>
      <c r="O219" s="4"/>
      <c r="P219" s="4"/>
      <c r="Q219" s="4"/>
      <c r="R219" s="4"/>
      <c r="S219" s="7"/>
      <c r="T219" s="7"/>
      <c r="U219" s="7"/>
      <c r="V219" s="7"/>
      <c r="W219" s="7"/>
      <c r="X219" s="7"/>
      <c r="Y219" s="4"/>
      <c r="Z219" s="4"/>
      <c r="AA219" s="4"/>
      <c r="AB219" s="4"/>
      <c r="AC219" s="4"/>
      <c r="AD219" s="4"/>
      <c r="AE219" s="28"/>
      <c r="AF219" s="4"/>
      <c r="AG219" s="4"/>
      <c r="AH219" s="4"/>
      <c r="AI219" s="4"/>
      <c r="AJ219" s="4"/>
      <c r="AK219" s="4"/>
      <c r="AL219" s="44"/>
      <c r="AM219" s="8"/>
      <c r="AN219" s="8"/>
      <c r="AO219" s="8"/>
      <c r="AP219" s="8"/>
      <c r="AQ219" s="8"/>
      <c r="AR219" s="8"/>
      <c r="AS219" s="8"/>
      <c r="AT219" s="46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4"/>
      <c r="BV219" s="4"/>
    </row>
    <row r="220" spans="1:74" s="16" customFormat="1" x14ac:dyDescent="0.25">
      <c r="A220" s="26"/>
      <c r="B220" s="6"/>
      <c r="C220" s="7"/>
      <c r="D220" s="7"/>
      <c r="E220" s="7"/>
      <c r="F220" s="7"/>
      <c r="G220" s="7"/>
      <c r="H220" s="7"/>
      <c r="I220" s="4"/>
      <c r="J220" s="7"/>
      <c r="K220" s="7"/>
      <c r="L220" s="7"/>
      <c r="M220" s="7"/>
      <c r="N220" s="4"/>
      <c r="O220" s="4"/>
      <c r="P220" s="4"/>
      <c r="Q220" s="4"/>
      <c r="R220" s="4"/>
      <c r="S220" s="7"/>
      <c r="T220" s="7"/>
      <c r="U220" s="7"/>
      <c r="V220" s="7"/>
      <c r="W220" s="7"/>
      <c r="X220" s="7"/>
      <c r="Y220" s="4"/>
      <c r="Z220" s="4"/>
      <c r="AA220" s="4"/>
      <c r="AB220" s="4"/>
      <c r="AC220" s="4"/>
      <c r="AD220" s="4"/>
      <c r="AE220" s="28"/>
      <c r="AF220" s="4"/>
      <c r="AG220" s="4"/>
      <c r="AH220" s="4"/>
      <c r="AI220" s="4"/>
      <c r="AJ220" s="4"/>
      <c r="AK220" s="4"/>
      <c r="AL220" s="44"/>
      <c r="AM220" s="8"/>
      <c r="AN220" s="8"/>
      <c r="AO220" s="8"/>
      <c r="AP220" s="8"/>
      <c r="AQ220" s="8"/>
      <c r="AR220" s="8"/>
      <c r="AS220" s="8"/>
      <c r="AT220" s="46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4"/>
      <c r="BV220" s="4"/>
    </row>
    <row r="221" spans="1:74" s="16" customFormat="1" x14ac:dyDescent="0.25">
      <c r="A221" s="26"/>
      <c r="B221" s="6"/>
      <c r="C221" s="7"/>
      <c r="D221" s="7"/>
      <c r="E221" s="7"/>
      <c r="F221" s="7"/>
      <c r="G221" s="7"/>
      <c r="H221" s="7"/>
      <c r="I221" s="4"/>
      <c r="J221" s="7"/>
      <c r="K221" s="7"/>
      <c r="L221" s="7"/>
      <c r="M221" s="7"/>
      <c r="N221" s="4"/>
      <c r="O221" s="4"/>
      <c r="P221" s="4"/>
      <c r="Q221" s="4"/>
      <c r="R221" s="4"/>
      <c r="S221" s="7"/>
      <c r="T221" s="7"/>
      <c r="U221" s="7"/>
      <c r="V221" s="7"/>
      <c r="W221" s="7"/>
      <c r="X221" s="7"/>
      <c r="Y221" s="4"/>
      <c r="Z221" s="4"/>
      <c r="AA221" s="4"/>
      <c r="AB221" s="4"/>
      <c r="AC221" s="4"/>
      <c r="AD221" s="4"/>
      <c r="AE221" s="28"/>
      <c r="AF221" s="4"/>
      <c r="AG221" s="4"/>
      <c r="AH221" s="4"/>
      <c r="AI221" s="4"/>
      <c r="AJ221" s="4"/>
      <c r="AK221" s="4"/>
      <c r="AL221" s="44"/>
      <c r="AM221" s="8"/>
      <c r="AN221" s="8"/>
      <c r="AO221" s="8"/>
      <c r="AP221" s="8"/>
      <c r="AQ221" s="8"/>
      <c r="AR221" s="8"/>
      <c r="AS221" s="8"/>
      <c r="AT221" s="46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4"/>
      <c r="BV221" s="4"/>
    </row>
    <row r="222" spans="1:74" s="16" customFormat="1" x14ac:dyDescent="0.25">
      <c r="A222" s="26"/>
      <c r="B222" s="6"/>
      <c r="C222" s="7"/>
      <c r="D222" s="7"/>
      <c r="E222" s="7"/>
      <c r="F222" s="7"/>
      <c r="G222" s="7"/>
      <c r="H222" s="7"/>
      <c r="I222" s="4"/>
      <c r="J222" s="7"/>
      <c r="K222" s="7"/>
      <c r="L222" s="7"/>
      <c r="M222" s="7"/>
      <c r="N222" s="4"/>
      <c r="O222" s="4"/>
      <c r="P222" s="4"/>
      <c r="Q222" s="4"/>
      <c r="R222" s="4"/>
      <c r="S222" s="7"/>
      <c r="T222" s="7"/>
      <c r="U222" s="7"/>
      <c r="V222" s="7"/>
      <c r="W222" s="7"/>
      <c r="X222" s="7"/>
      <c r="Y222" s="4"/>
      <c r="Z222" s="4"/>
      <c r="AA222" s="4"/>
      <c r="AB222" s="4"/>
      <c r="AC222" s="4"/>
      <c r="AD222" s="4"/>
      <c r="AE222" s="28"/>
      <c r="AF222" s="4"/>
      <c r="AG222" s="4"/>
      <c r="AH222" s="4"/>
      <c r="AI222" s="4"/>
      <c r="AJ222" s="4"/>
      <c r="AK222" s="4"/>
      <c r="AL222" s="44"/>
      <c r="AM222" s="8"/>
      <c r="AN222" s="8"/>
      <c r="AO222" s="8"/>
      <c r="AP222" s="8"/>
      <c r="AQ222" s="8"/>
      <c r="AR222" s="8"/>
      <c r="AS222" s="8"/>
      <c r="AT222" s="46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4"/>
      <c r="BV222" s="4"/>
    </row>
    <row r="223" spans="1:74" s="16" customFormat="1" x14ac:dyDescent="0.25">
      <c r="A223" s="26"/>
      <c r="B223" s="6"/>
      <c r="C223" s="7"/>
      <c r="D223" s="7"/>
      <c r="E223" s="7"/>
      <c r="F223" s="7"/>
      <c r="G223" s="7"/>
      <c r="H223" s="7"/>
      <c r="I223" s="4"/>
      <c r="J223" s="7"/>
      <c r="K223" s="7"/>
      <c r="L223" s="7"/>
      <c r="M223" s="7"/>
      <c r="N223" s="4"/>
      <c r="O223" s="4"/>
      <c r="P223" s="4"/>
      <c r="Q223" s="4"/>
      <c r="R223" s="4"/>
      <c r="S223" s="7"/>
      <c r="T223" s="7"/>
      <c r="U223" s="7"/>
      <c r="V223" s="7"/>
      <c r="W223" s="7"/>
      <c r="X223" s="7"/>
      <c r="Y223" s="4"/>
      <c r="Z223" s="4"/>
      <c r="AA223" s="4"/>
      <c r="AB223" s="4"/>
      <c r="AC223" s="4"/>
      <c r="AD223" s="4"/>
      <c r="AE223" s="28"/>
      <c r="AF223" s="4"/>
      <c r="AG223" s="4"/>
      <c r="AH223" s="4"/>
      <c r="AI223" s="4"/>
      <c r="AJ223" s="4"/>
      <c r="AK223" s="4"/>
      <c r="AL223" s="44"/>
      <c r="AM223" s="8"/>
      <c r="AN223" s="8"/>
      <c r="AO223" s="8"/>
      <c r="AP223" s="8"/>
      <c r="AQ223" s="8"/>
      <c r="AR223" s="8"/>
      <c r="AS223" s="8"/>
      <c r="AT223" s="46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4"/>
      <c r="BV223" s="4"/>
    </row>
    <row r="224" spans="1:74" s="16" customFormat="1" x14ac:dyDescent="0.25">
      <c r="A224" s="26"/>
      <c r="B224" s="6"/>
      <c r="C224" s="7"/>
      <c r="D224" s="7"/>
      <c r="E224" s="7"/>
      <c r="F224" s="7"/>
      <c r="G224" s="7"/>
      <c r="H224" s="7"/>
      <c r="I224" s="4"/>
      <c r="J224" s="7"/>
      <c r="K224" s="7"/>
      <c r="L224" s="7"/>
      <c r="M224" s="7"/>
      <c r="N224" s="4"/>
      <c r="O224" s="4"/>
      <c r="P224" s="4"/>
      <c r="Q224" s="4"/>
      <c r="R224" s="4"/>
      <c r="S224" s="7"/>
      <c r="T224" s="7"/>
      <c r="U224" s="7"/>
      <c r="V224" s="7"/>
      <c r="W224" s="7"/>
      <c r="X224" s="7"/>
      <c r="Y224" s="4"/>
      <c r="Z224" s="4"/>
      <c r="AA224" s="4"/>
      <c r="AB224" s="4"/>
      <c r="AC224" s="4"/>
      <c r="AD224" s="4"/>
      <c r="AE224" s="28"/>
      <c r="AF224" s="4"/>
      <c r="AG224" s="4"/>
      <c r="AH224" s="4"/>
      <c r="AI224" s="4"/>
      <c r="AJ224" s="4"/>
      <c r="AK224" s="4"/>
      <c r="AL224" s="44"/>
      <c r="AM224" s="8"/>
      <c r="AN224" s="8"/>
      <c r="AO224" s="8"/>
      <c r="AP224" s="8"/>
      <c r="AQ224" s="8"/>
      <c r="AR224" s="8"/>
      <c r="AS224" s="8"/>
      <c r="AT224" s="46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4"/>
      <c r="BV224" s="4"/>
    </row>
    <row r="225" spans="1:74" s="16" customFormat="1" x14ac:dyDescent="0.25">
      <c r="A225" s="26"/>
      <c r="B225" s="6"/>
      <c r="C225" s="7"/>
      <c r="D225" s="7"/>
      <c r="E225" s="7"/>
      <c r="F225" s="7"/>
      <c r="G225" s="7"/>
      <c r="H225" s="7"/>
      <c r="I225" s="4"/>
      <c r="J225" s="7"/>
      <c r="K225" s="7"/>
      <c r="L225" s="7"/>
      <c r="M225" s="7"/>
      <c r="N225" s="4"/>
      <c r="O225" s="4"/>
      <c r="P225" s="4"/>
      <c r="Q225" s="4"/>
      <c r="R225" s="4"/>
      <c r="S225" s="7"/>
      <c r="T225" s="7"/>
      <c r="U225" s="7"/>
      <c r="V225" s="7"/>
      <c r="W225" s="7"/>
      <c r="X225" s="7"/>
      <c r="Y225" s="4"/>
      <c r="Z225" s="4"/>
      <c r="AA225" s="4"/>
      <c r="AB225" s="4"/>
      <c r="AC225" s="4"/>
      <c r="AD225" s="4"/>
      <c r="AE225" s="28"/>
      <c r="AF225" s="4"/>
      <c r="AG225" s="4"/>
      <c r="AH225" s="4"/>
      <c r="AI225" s="4"/>
      <c r="AJ225" s="4"/>
      <c r="AK225" s="4"/>
      <c r="AL225" s="44"/>
      <c r="AM225" s="8"/>
      <c r="AN225" s="8"/>
      <c r="AO225" s="8"/>
      <c r="AP225" s="8"/>
      <c r="AQ225" s="8"/>
      <c r="AR225" s="8"/>
      <c r="AS225" s="8"/>
      <c r="AT225" s="46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4"/>
      <c r="BV225" s="4"/>
    </row>
    <row r="226" spans="1:74" s="16" customFormat="1" x14ac:dyDescent="0.25">
      <c r="A226" s="26"/>
      <c r="B226" s="6"/>
      <c r="C226" s="7"/>
      <c r="D226" s="7"/>
      <c r="E226" s="7"/>
      <c r="F226" s="7"/>
      <c r="G226" s="7"/>
      <c r="H226" s="7"/>
      <c r="I226" s="4"/>
      <c r="J226" s="7"/>
      <c r="K226" s="7"/>
      <c r="L226" s="7"/>
      <c r="M226" s="7"/>
      <c r="N226" s="4"/>
      <c r="O226" s="4"/>
      <c r="P226" s="4"/>
      <c r="Q226" s="4"/>
      <c r="R226" s="4"/>
      <c r="S226" s="7"/>
      <c r="T226" s="7"/>
      <c r="U226" s="7"/>
      <c r="V226" s="7"/>
      <c r="W226" s="7"/>
      <c r="X226" s="7"/>
      <c r="Y226" s="4"/>
      <c r="Z226" s="4"/>
      <c r="AA226" s="4"/>
      <c r="AB226" s="4"/>
      <c r="AC226" s="4"/>
      <c r="AD226" s="4"/>
      <c r="AE226" s="28"/>
      <c r="AF226" s="4"/>
      <c r="AG226" s="4"/>
      <c r="AH226" s="4"/>
      <c r="AI226" s="4"/>
      <c r="AJ226" s="4"/>
      <c r="AK226" s="4"/>
      <c r="AL226" s="44"/>
      <c r="AM226" s="8"/>
      <c r="AN226" s="8"/>
      <c r="AO226" s="8"/>
      <c r="AP226" s="8"/>
      <c r="AQ226" s="8"/>
      <c r="AR226" s="8"/>
      <c r="AS226" s="8"/>
      <c r="AT226" s="46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4"/>
      <c r="BV226" s="4"/>
    </row>
    <row r="227" spans="1:74" s="16" customFormat="1" x14ac:dyDescent="0.25">
      <c r="A227" s="26"/>
      <c r="B227" s="6"/>
      <c r="C227" s="7"/>
      <c r="D227" s="7"/>
      <c r="E227" s="7"/>
      <c r="F227" s="7"/>
      <c r="G227" s="7"/>
      <c r="H227" s="7"/>
      <c r="I227" s="4"/>
      <c r="J227" s="7"/>
      <c r="K227" s="7"/>
      <c r="L227" s="7"/>
      <c r="M227" s="7"/>
      <c r="N227" s="4"/>
      <c r="O227" s="4"/>
      <c r="P227" s="4"/>
      <c r="Q227" s="4"/>
      <c r="R227" s="4"/>
      <c r="S227" s="7"/>
      <c r="T227" s="7"/>
      <c r="U227" s="7"/>
      <c r="V227" s="7"/>
      <c r="W227" s="7"/>
      <c r="X227" s="7"/>
      <c r="Y227" s="4"/>
      <c r="Z227" s="4"/>
      <c r="AA227" s="4"/>
      <c r="AB227" s="4"/>
      <c r="AC227" s="4"/>
      <c r="AD227" s="4"/>
      <c r="AE227" s="28"/>
      <c r="AF227" s="4"/>
      <c r="AG227" s="4"/>
      <c r="AH227" s="4"/>
      <c r="AI227" s="4"/>
      <c r="AJ227" s="4"/>
      <c r="AK227" s="4"/>
      <c r="AL227" s="44"/>
      <c r="AM227" s="8"/>
      <c r="AN227" s="8"/>
      <c r="AO227" s="8"/>
      <c r="AP227" s="8"/>
      <c r="AQ227" s="8"/>
      <c r="AR227" s="8"/>
      <c r="AS227" s="8"/>
      <c r="AT227" s="46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4"/>
      <c r="BV227" s="4"/>
    </row>
    <row r="228" spans="1:74" s="16" customFormat="1" x14ac:dyDescent="0.25">
      <c r="A228" s="26"/>
      <c r="B228" s="6"/>
      <c r="C228" s="7"/>
      <c r="D228" s="7"/>
      <c r="E228" s="7"/>
      <c r="F228" s="7"/>
      <c r="G228" s="7"/>
      <c r="H228" s="7"/>
      <c r="I228" s="4"/>
      <c r="J228" s="7"/>
      <c r="K228" s="7"/>
      <c r="L228" s="7"/>
      <c r="M228" s="7"/>
      <c r="N228" s="4"/>
      <c r="O228" s="4"/>
      <c r="P228" s="4"/>
      <c r="Q228" s="4"/>
      <c r="R228" s="4"/>
      <c r="S228" s="7"/>
      <c r="T228" s="7"/>
      <c r="U228" s="7"/>
      <c r="V228" s="7"/>
      <c r="W228" s="7"/>
      <c r="X228" s="7"/>
      <c r="Y228" s="4"/>
      <c r="Z228" s="4"/>
      <c r="AA228" s="4"/>
      <c r="AB228" s="4"/>
      <c r="AC228" s="4"/>
      <c r="AD228" s="4"/>
      <c r="AE228" s="28"/>
      <c r="AF228" s="4"/>
      <c r="AG228" s="4"/>
      <c r="AH228" s="4"/>
      <c r="AI228" s="4"/>
      <c r="AJ228" s="4"/>
      <c r="AK228" s="4"/>
      <c r="AL228" s="44"/>
      <c r="AM228" s="8"/>
      <c r="AN228" s="8"/>
      <c r="AO228" s="8"/>
      <c r="AP228" s="8"/>
      <c r="AQ228" s="8"/>
      <c r="AR228" s="8"/>
      <c r="AS228" s="8"/>
      <c r="AT228" s="46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4"/>
      <c r="BV228" s="4"/>
    </row>
    <row r="229" spans="1:74" s="16" customFormat="1" x14ac:dyDescent="0.25">
      <c r="A229" s="26"/>
      <c r="B229" s="6"/>
      <c r="C229" s="7"/>
      <c r="D229" s="7"/>
      <c r="E229" s="7"/>
      <c r="F229" s="7"/>
      <c r="G229" s="7"/>
      <c r="H229" s="7"/>
      <c r="I229" s="4"/>
      <c r="J229" s="7"/>
      <c r="K229" s="7"/>
      <c r="L229" s="7"/>
      <c r="M229" s="7"/>
      <c r="N229" s="4"/>
      <c r="O229" s="4"/>
      <c r="P229" s="4"/>
      <c r="Q229" s="4"/>
      <c r="R229" s="4"/>
      <c r="S229" s="7"/>
      <c r="T229" s="7"/>
      <c r="U229" s="7"/>
      <c r="V229" s="7"/>
      <c r="W229" s="7"/>
      <c r="X229" s="7"/>
      <c r="Y229" s="4"/>
      <c r="Z229" s="4"/>
      <c r="AA229" s="4"/>
      <c r="AB229" s="4"/>
      <c r="AC229" s="4"/>
      <c r="AD229" s="4"/>
      <c r="AE229" s="28"/>
      <c r="AF229" s="4"/>
      <c r="AG229" s="4"/>
      <c r="AH229" s="4"/>
      <c r="AI229" s="4"/>
      <c r="AJ229" s="4"/>
      <c r="AK229" s="4"/>
      <c r="AL229" s="44"/>
      <c r="AM229" s="8"/>
      <c r="AN229" s="8"/>
      <c r="AO229" s="8"/>
      <c r="AP229" s="8"/>
      <c r="AQ229" s="8"/>
      <c r="AR229" s="8"/>
      <c r="AS229" s="8"/>
      <c r="AT229" s="46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4"/>
      <c r="BV229" s="4"/>
    </row>
    <row r="230" spans="1:74" s="16" customFormat="1" x14ac:dyDescent="0.25">
      <c r="A230" s="26"/>
      <c r="B230" s="6"/>
      <c r="C230" s="7"/>
      <c r="D230" s="7"/>
      <c r="E230" s="7"/>
      <c r="F230" s="7"/>
      <c r="G230" s="7"/>
      <c r="H230" s="7"/>
      <c r="I230" s="4"/>
      <c r="J230" s="7"/>
      <c r="K230" s="7"/>
      <c r="L230" s="7"/>
      <c r="M230" s="7"/>
      <c r="N230" s="4"/>
      <c r="O230" s="4"/>
      <c r="P230" s="4"/>
      <c r="Q230" s="4"/>
      <c r="R230" s="4"/>
      <c r="S230" s="7"/>
      <c r="T230" s="7"/>
      <c r="U230" s="7"/>
      <c r="V230" s="7"/>
      <c r="W230" s="7"/>
      <c r="X230" s="7"/>
      <c r="Y230" s="4"/>
      <c r="Z230" s="4"/>
      <c r="AA230" s="4"/>
      <c r="AB230" s="4"/>
      <c r="AC230" s="4"/>
      <c r="AD230" s="4"/>
      <c r="AE230" s="28"/>
      <c r="AF230" s="4"/>
      <c r="AG230" s="4"/>
      <c r="AH230" s="4"/>
      <c r="AI230" s="4"/>
      <c r="AJ230" s="4"/>
      <c r="AK230" s="4"/>
      <c r="AL230" s="44"/>
      <c r="AM230" s="8"/>
      <c r="AN230" s="8"/>
      <c r="AO230" s="8"/>
      <c r="AP230" s="8"/>
      <c r="AQ230" s="8"/>
      <c r="AR230" s="8"/>
      <c r="AS230" s="8"/>
      <c r="AT230" s="46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4"/>
      <c r="BV230" s="4"/>
    </row>
    <row r="231" spans="1:74" s="16" customFormat="1" x14ac:dyDescent="0.25">
      <c r="A231" s="26"/>
      <c r="B231" s="6"/>
      <c r="C231" s="7"/>
      <c r="D231" s="7"/>
      <c r="E231" s="7"/>
      <c r="F231" s="7"/>
      <c r="G231" s="7"/>
      <c r="H231" s="7"/>
      <c r="I231" s="4"/>
      <c r="J231" s="7"/>
      <c r="K231" s="7"/>
      <c r="L231" s="7"/>
      <c r="M231" s="7"/>
      <c r="N231" s="4"/>
      <c r="O231" s="4"/>
      <c r="P231" s="4"/>
      <c r="Q231" s="4"/>
      <c r="R231" s="4"/>
      <c r="S231" s="7"/>
      <c r="T231" s="7"/>
      <c r="U231" s="7"/>
      <c r="V231" s="7"/>
      <c r="W231" s="7"/>
      <c r="X231" s="7"/>
      <c r="Y231" s="4"/>
      <c r="Z231" s="4"/>
      <c r="AA231" s="4"/>
      <c r="AB231" s="4"/>
      <c r="AC231" s="4"/>
      <c r="AD231" s="4"/>
      <c r="AE231" s="28"/>
      <c r="AF231" s="4"/>
      <c r="AG231" s="4"/>
      <c r="AH231" s="4"/>
      <c r="AI231" s="4"/>
      <c r="AJ231" s="4"/>
      <c r="AK231" s="4"/>
      <c r="AL231" s="44"/>
      <c r="AM231" s="8"/>
      <c r="AN231" s="8"/>
      <c r="AO231" s="8"/>
      <c r="AP231" s="8"/>
      <c r="AQ231" s="8"/>
      <c r="AR231" s="8"/>
      <c r="AS231" s="8"/>
      <c r="AT231" s="46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4"/>
      <c r="BV231" s="4"/>
    </row>
    <row r="232" spans="1:74" s="16" customFormat="1" x14ac:dyDescent="0.25">
      <c r="A232" s="26"/>
      <c r="B232" s="6"/>
      <c r="C232" s="7"/>
      <c r="D232" s="7"/>
      <c r="E232" s="7"/>
      <c r="F232" s="7"/>
      <c r="G232" s="7"/>
      <c r="H232" s="7"/>
      <c r="I232" s="4"/>
      <c r="J232" s="7"/>
      <c r="K232" s="7"/>
      <c r="L232" s="7"/>
      <c r="M232" s="7"/>
      <c r="N232" s="4"/>
      <c r="O232" s="4"/>
      <c r="P232" s="4"/>
      <c r="Q232" s="4"/>
      <c r="R232" s="4"/>
      <c r="S232" s="7"/>
      <c r="T232" s="7"/>
      <c r="U232" s="7"/>
      <c r="V232" s="7"/>
      <c r="W232" s="7"/>
      <c r="X232" s="7"/>
      <c r="Y232" s="4"/>
      <c r="Z232" s="4"/>
      <c r="AA232" s="4"/>
      <c r="AB232" s="4"/>
      <c r="AC232" s="4"/>
      <c r="AD232" s="4"/>
      <c r="AE232" s="28"/>
      <c r="AF232" s="4"/>
      <c r="AG232" s="4"/>
      <c r="AH232" s="4"/>
      <c r="AI232" s="4"/>
      <c r="AJ232" s="4"/>
      <c r="AK232" s="4"/>
      <c r="AL232" s="44"/>
      <c r="AM232" s="8"/>
      <c r="AN232" s="8"/>
      <c r="AO232" s="8"/>
      <c r="AP232" s="8"/>
      <c r="AQ232" s="8"/>
      <c r="AR232" s="8"/>
      <c r="AS232" s="8"/>
      <c r="AT232" s="46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4"/>
      <c r="BV232" s="4"/>
    </row>
    <row r="233" spans="1:74" s="16" customFormat="1" x14ac:dyDescent="0.25">
      <c r="A233" s="26"/>
      <c r="B233" s="6"/>
      <c r="C233" s="7"/>
      <c r="D233" s="7"/>
      <c r="E233" s="7"/>
      <c r="F233" s="7"/>
      <c r="G233" s="7"/>
      <c r="H233" s="7"/>
      <c r="I233" s="4"/>
      <c r="J233" s="7"/>
      <c r="K233" s="7"/>
      <c r="L233" s="7"/>
      <c r="M233" s="7"/>
      <c r="N233" s="4"/>
      <c r="O233" s="4"/>
      <c r="P233" s="4"/>
      <c r="Q233" s="4"/>
      <c r="R233" s="4"/>
      <c r="S233" s="7"/>
      <c r="T233" s="7"/>
      <c r="U233" s="7"/>
      <c r="V233" s="7"/>
      <c r="W233" s="7"/>
      <c r="X233" s="7"/>
      <c r="Y233" s="4"/>
      <c r="Z233" s="4"/>
      <c r="AA233" s="4"/>
      <c r="AB233" s="4"/>
      <c r="AC233" s="4"/>
      <c r="AD233" s="4"/>
      <c r="AE233" s="28"/>
      <c r="AF233" s="4"/>
      <c r="AG233" s="4"/>
      <c r="AH233" s="4"/>
      <c r="AI233" s="4"/>
      <c r="AJ233" s="4"/>
      <c r="AK233" s="4"/>
      <c r="AL233" s="44"/>
      <c r="AM233" s="8"/>
      <c r="AN233" s="8"/>
      <c r="AO233" s="8"/>
      <c r="AP233" s="8"/>
      <c r="AQ233" s="8"/>
      <c r="AR233" s="8"/>
      <c r="AS233" s="8"/>
      <c r="AT233" s="46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4"/>
      <c r="BV233" s="4"/>
    </row>
    <row r="234" spans="1:74" s="16" customFormat="1" x14ac:dyDescent="0.25">
      <c r="A234" s="26"/>
      <c r="B234" s="6"/>
      <c r="C234" s="7"/>
      <c r="D234" s="7"/>
      <c r="E234" s="7"/>
      <c r="F234" s="7"/>
      <c r="G234" s="7"/>
      <c r="H234" s="7"/>
      <c r="I234" s="4"/>
      <c r="J234" s="7"/>
      <c r="K234" s="7"/>
      <c r="L234" s="7"/>
      <c r="M234" s="7"/>
      <c r="N234" s="4"/>
      <c r="O234" s="4"/>
      <c r="P234" s="4"/>
      <c r="Q234" s="4"/>
      <c r="R234" s="4"/>
      <c r="S234" s="7"/>
      <c r="T234" s="7"/>
      <c r="U234" s="7"/>
      <c r="V234" s="7"/>
      <c r="W234" s="7"/>
      <c r="X234" s="7"/>
      <c r="Y234" s="4"/>
      <c r="Z234" s="4"/>
      <c r="AA234" s="4"/>
      <c r="AB234" s="4"/>
      <c r="AC234" s="4"/>
      <c r="AD234" s="4"/>
      <c r="AE234" s="28"/>
      <c r="AF234" s="4"/>
      <c r="AG234" s="4"/>
      <c r="AH234" s="4"/>
      <c r="AI234" s="4"/>
      <c r="AJ234" s="4"/>
      <c r="AK234" s="4"/>
      <c r="AL234" s="44"/>
      <c r="AM234" s="8"/>
      <c r="AN234" s="8"/>
      <c r="AO234" s="8"/>
      <c r="AP234" s="8"/>
      <c r="AQ234" s="8"/>
      <c r="AR234" s="8"/>
      <c r="AS234" s="8"/>
      <c r="AT234" s="46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4"/>
      <c r="BV234" s="4"/>
    </row>
    <row r="235" spans="1:74" s="16" customFormat="1" x14ac:dyDescent="0.25">
      <c r="A235" s="26"/>
      <c r="B235" s="6"/>
      <c r="C235" s="7"/>
      <c r="D235" s="7"/>
      <c r="E235" s="7"/>
      <c r="F235" s="7"/>
      <c r="G235" s="7"/>
      <c r="H235" s="7"/>
      <c r="I235" s="4"/>
      <c r="J235" s="7"/>
      <c r="K235" s="7"/>
      <c r="L235" s="7"/>
      <c r="M235" s="7"/>
      <c r="N235" s="4"/>
      <c r="O235" s="4"/>
      <c r="P235" s="4"/>
      <c r="Q235" s="4"/>
      <c r="R235" s="4"/>
      <c r="S235" s="7"/>
      <c r="T235" s="7"/>
      <c r="U235" s="7"/>
      <c r="V235" s="7"/>
      <c r="W235" s="7"/>
      <c r="X235" s="7"/>
      <c r="Y235" s="4"/>
      <c r="Z235" s="4"/>
      <c r="AA235" s="4"/>
      <c r="AB235" s="4"/>
      <c r="AC235" s="4"/>
      <c r="AD235" s="4"/>
      <c r="AE235" s="28"/>
      <c r="AF235" s="4"/>
      <c r="AG235" s="4"/>
      <c r="AH235" s="4"/>
      <c r="AI235" s="4"/>
      <c r="AJ235" s="4"/>
      <c r="AK235" s="4"/>
      <c r="AL235" s="44"/>
      <c r="AM235" s="8"/>
      <c r="AN235" s="8"/>
      <c r="AO235" s="8"/>
      <c r="AP235" s="8"/>
      <c r="AQ235" s="8"/>
      <c r="AR235" s="8"/>
      <c r="AS235" s="8"/>
      <c r="AT235" s="46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4"/>
      <c r="BV235" s="4"/>
    </row>
    <row r="236" spans="1:74" s="16" customFormat="1" x14ac:dyDescent="0.25">
      <c r="A236" s="26"/>
      <c r="B236" s="6"/>
      <c r="C236" s="7"/>
      <c r="D236" s="7"/>
      <c r="E236" s="7"/>
      <c r="F236" s="7"/>
      <c r="G236" s="7"/>
      <c r="H236" s="7"/>
      <c r="I236" s="4"/>
      <c r="J236" s="7"/>
      <c r="K236" s="7"/>
      <c r="L236" s="7"/>
      <c r="M236" s="7"/>
      <c r="N236" s="4"/>
      <c r="O236" s="4"/>
      <c r="P236" s="4"/>
      <c r="Q236" s="4"/>
      <c r="R236" s="4"/>
      <c r="S236" s="7"/>
      <c r="T236" s="7"/>
      <c r="U236" s="7"/>
      <c r="V236" s="7"/>
      <c r="W236" s="7"/>
      <c r="X236" s="7"/>
      <c r="Y236" s="4"/>
      <c r="Z236" s="4"/>
      <c r="AA236" s="4"/>
      <c r="AB236" s="4"/>
      <c r="AC236" s="4"/>
      <c r="AD236" s="4"/>
      <c r="AE236" s="28"/>
      <c r="AF236" s="4"/>
      <c r="AG236" s="4"/>
      <c r="AH236" s="4"/>
      <c r="AI236" s="4"/>
      <c r="AJ236" s="4"/>
      <c r="AK236" s="4"/>
      <c r="AL236" s="44"/>
      <c r="AM236" s="8"/>
      <c r="AN236" s="8"/>
      <c r="AO236" s="8"/>
      <c r="AP236" s="8"/>
      <c r="AQ236" s="8"/>
      <c r="AR236" s="8"/>
      <c r="AS236" s="8"/>
      <c r="AT236" s="46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4"/>
      <c r="BV236" s="4"/>
    </row>
    <row r="237" spans="1:74" s="16" customFormat="1" x14ac:dyDescent="0.25">
      <c r="A237" s="26"/>
      <c r="B237" s="6"/>
      <c r="C237" s="7"/>
      <c r="D237" s="7"/>
      <c r="E237" s="7"/>
      <c r="F237" s="7"/>
      <c r="G237" s="7"/>
      <c r="H237" s="7"/>
      <c r="I237" s="4"/>
      <c r="J237" s="7"/>
      <c r="K237" s="7"/>
      <c r="L237" s="7"/>
      <c r="M237" s="7"/>
      <c r="N237" s="4"/>
      <c r="O237" s="4"/>
      <c r="P237" s="4"/>
      <c r="Q237" s="4"/>
      <c r="R237" s="4"/>
      <c r="S237" s="7"/>
      <c r="T237" s="7"/>
      <c r="U237" s="7"/>
      <c r="V237" s="7"/>
      <c r="W237" s="7"/>
      <c r="X237" s="7"/>
      <c r="Y237" s="4"/>
      <c r="Z237" s="4"/>
      <c r="AA237" s="4"/>
      <c r="AB237" s="4"/>
      <c r="AC237" s="4"/>
      <c r="AD237" s="4"/>
      <c r="AE237" s="28"/>
      <c r="AF237" s="4"/>
      <c r="AG237" s="4"/>
      <c r="AH237" s="4"/>
      <c r="AI237" s="4"/>
      <c r="AJ237" s="4"/>
      <c r="AK237" s="4"/>
      <c r="AL237" s="44"/>
      <c r="AM237" s="8"/>
      <c r="AN237" s="8"/>
      <c r="AO237" s="8"/>
      <c r="AP237" s="8"/>
      <c r="AQ237" s="8"/>
      <c r="AR237" s="8"/>
      <c r="AS237" s="8"/>
      <c r="AT237" s="46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4"/>
      <c r="BV237" s="4"/>
    </row>
    <row r="238" spans="1:74" s="16" customFormat="1" x14ac:dyDescent="0.25">
      <c r="A238" s="26"/>
      <c r="B238" s="6"/>
      <c r="C238" s="7"/>
      <c r="D238" s="7"/>
      <c r="E238" s="7"/>
      <c r="F238" s="7"/>
      <c r="G238" s="7"/>
      <c r="H238" s="7"/>
      <c r="I238" s="4"/>
      <c r="J238" s="7"/>
      <c r="K238" s="7"/>
      <c r="L238" s="7"/>
      <c r="M238" s="7"/>
      <c r="N238" s="4"/>
      <c r="O238" s="4"/>
      <c r="P238" s="4"/>
      <c r="Q238" s="4"/>
      <c r="R238" s="4"/>
      <c r="S238" s="7"/>
      <c r="T238" s="7"/>
      <c r="U238" s="7"/>
      <c r="V238" s="7"/>
      <c r="W238" s="7"/>
      <c r="X238" s="7"/>
      <c r="Y238" s="4"/>
      <c r="Z238" s="4"/>
      <c r="AA238" s="4"/>
      <c r="AB238" s="4"/>
      <c r="AC238" s="4"/>
      <c r="AD238" s="4"/>
      <c r="AE238" s="28"/>
      <c r="AF238" s="4"/>
      <c r="AG238" s="4"/>
      <c r="AH238" s="4"/>
      <c r="AI238" s="4"/>
      <c r="AJ238" s="4"/>
      <c r="AK238" s="4"/>
      <c r="AL238" s="44"/>
      <c r="AM238" s="8"/>
      <c r="AN238" s="8"/>
      <c r="AO238" s="8"/>
      <c r="AP238" s="8"/>
      <c r="AQ238" s="8"/>
      <c r="AR238" s="8"/>
      <c r="AS238" s="8"/>
      <c r="AT238" s="46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4"/>
      <c r="BV238" s="4"/>
    </row>
    <row r="239" spans="1:74" s="16" customFormat="1" x14ac:dyDescent="0.25">
      <c r="A239" s="26"/>
      <c r="B239" s="6"/>
      <c r="C239" s="7"/>
      <c r="D239" s="7"/>
      <c r="E239" s="7"/>
      <c r="F239" s="7"/>
      <c r="G239" s="7"/>
      <c r="H239" s="7"/>
      <c r="I239" s="4"/>
      <c r="J239" s="7"/>
      <c r="K239" s="7"/>
      <c r="L239" s="7"/>
      <c r="M239" s="7"/>
      <c r="N239" s="4"/>
      <c r="O239" s="4"/>
      <c r="P239" s="4"/>
      <c r="Q239" s="4"/>
      <c r="R239" s="4"/>
      <c r="S239" s="7"/>
      <c r="T239" s="7"/>
      <c r="U239" s="7"/>
      <c r="V239" s="7"/>
      <c r="W239" s="7"/>
      <c r="X239" s="7"/>
      <c r="Y239" s="4"/>
      <c r="Z239" s="4"/>
      <c r="AA239" s="4"/>
      <c r="AB239" s="4"/>
      <c r="AC239" s="4"/>
      <c r="AD239" s="4"/>
      <c r="AE239" s="28"/>
      <c r="AF239" s="4"/>
      <c r="AG239" s="4"/>
      <c r="AH239" s="4"/>
      <c r="AI239" s="4"/>
      <c r="AJ239" s="4"/>
      <c r="AK239" s="4"/>
      <c r="AL239" s="44"/>
      <c r="AM239" s="8"/>
      <c r="AN239" s="8"/>
      <c r="AO239" s="8"/>
      <c r="AP239" s="8"/>
      <c r="AQ239" s="8"/>
      <c r="AR239" s="8"/>
      <c r="AS239" s="8"/>
      <c r="AT239" s="46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4"/>
      <c r="BV239" s="4"/>
    </row>
    <row r="240" spans="1:74" s="16" customFormat="1" x14ac:dyDescent="0.25">
      <c r="A240" s="26"/>
      <c r="B240" s="6"/>
      <c r="C240" s="7"/>
      <c r="D240" s="7"/>
      <c r="E240" s="7"/>
      <c r="F240" s="7"/>
      <c r="G240" s="7"/>
      <c r="H240" s="7"/>
      <c r="I240" s="4"/>
      <c r="J240" s="7"/>
      <c r="K240" s="7"/>
      <c r="L240" s="7"/>
      <c r="M240" s="7"/>
      <c r="N240" s="4"/>
      <c r="O240" s="4"/>
      <c r="P240" s="4"/>
      <c r="Q240" s="4"/>
      <c r="R240" s="4"/>
      <c r="S240" s="7"/>
      <c r="T240" s="7"/>
      <c r="U240" s="7"/>
      <c r="V240" s="7"/>
      <c r="W240" s="7"/>
      <c r="X240" s="7"/>
      <c r="Y240" s="4"/>
      <c r="Z240" s="4"/>
      <c r="AA240" s="4"/>
      <c r="AB240" s="4"/>
      <c r="AC240" s="4"/>
      <c r="AD240" s="4"/>
      <c r="AE240" s="28"/>
      <c r="AF240" s="4"/>
      <c r="AG240" s="4"/>
      <c r="AH240" s="4"/>
      <c r="AI240" s="4"/>
      <c r="AJ240" s="4"/>
      <c r="AK240" s="4"/>
      <c r="AL240" s="44"/>
      <c r="AM240" s="8"/>
      <c r="AN240" s="8"/>
      <c r="AO240" s="8"/>
      <c r="AP240" s="8"/>
      <c r="AQ240" s="8"/>
      <c r="AR240" s="8"/>
      <c r="AS240" s="8"/>
      <c r="AT240" s="46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4"/>
      <c r="BV240" s="4"/>
    </row>
    <row r="241" spans="1:74" s="16" customFormat="1" x14ac:dyDescent="0.25">
      <c r="A241" s="26"/>
      <c r="B241" s="6"/>
      <c r="C241" s="7"/>
      <c r="D241" s="7"/>
      <c r="E241" s="7"/>
      <c r="F241" s="7"/>
      <c r="G241" s="7"/>
      <c r="H241" s="7"/>
      <c r="I241" s="4"/>
      <c r="J241" s="7"/>
      <c r="K241" s="7"/>
      <c r="L241" s="7"/>
      <c r="M241" s="7"/>
      <c r="N241" s="4"/>
      <c r="O241" s="4"/>
      <c r="P241" s="4"/>
      <c r="Q241" s="4"/>
      <c r="R241" s="4"/>
      <c r="S241" s="7"/>
      <c r="T241" s="7"/>
      <c r="U241" s="7"/>
      <c r="V241" s="7"/>
      <c r="W241" s="7"/>
      <c r="X241" s="7"/>
      <c r="Y241" s="4"/>
      <c r="Z241" s="4"/>
      <c r="AA241" s="4"/>
      <c r="AB241" s="4"/>
      <c r="AC241" s="4"/>
      <c r="AD241" s="4"/>
      <c r="AE241" s="28"/>
      <c r="AF241" s="4"/>
      <c r="AG241" s="4"/>
      <c r="AH241" s="4"/>
      <c r="AI241" s="4"/>
      <c r="AJ241" s="4"/>
      <c r="AK241" s="4"/>
      <c r="AL241" s="44"/>
      <c r="AM241" s="8"/>
      <c r="AN241" s="8"/>
      <c r="AO241" s="8"/>
      <c r="AP241" s="8"/>
      <c r="AQ241" s="8"/>
      <c r="AR241" s="8"/>
      <c r="AS241" s="8"/>
      <c r="AT241" s="46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4"/>
      <c r="BV241" s="4"/>
    </row>
    <row r="242" spans="1:74" s="16" customFormat="1" x14ac:dyDescent="0.25">
      <c r="A242" s="26"/>
      <c r="B242" s="6"/>
      <c r="C242" s="7"/>
      <c r="D242" s="7"/>
      <c r="E242" s="7"/>
      <c r="F242" s="7"/>
      <c r="G242" s="7"/>
      <c r="H242" s="7"/>
      <c r="I242" s="4"/>
      <c r="J242" s="7"/>
      <c r="K242" s="7"/>
      <c r="L242" s="7"/>
      <c r="M242" s="7"/>
      <c r="N242" s="4"/>
      <c r="O242" s="4"/>
      <c r="P242" s="4"/>
      <c r="Q242" s="4"/>
      <c r="R242" s="4"/>
      <c r="S242" s="7"/>
      <c r="T242" s="7"/>
      <c r="U242" s="7"/>
      <c r="V242" s="7"/>
      <c r="W242" s="7"/>
      <c r="X242" s="7"/>
      <c r="Y242" s="4"/>
      <c r="Z242" s="4"/>
      <c r="AA242" s="4"/>
      <c r="AB242" s="4"/>
      <c r="AC242" s="4"/>
      <c r="AD242" s="4"/>
      <c r="AE242" s="28"/>
      <c r="AF242" s="4"/>
      <c r="AG242" s="4"/>
      <c r="AH242" s="4"/>
      <c r="AI242" s="4"/>
      <c r="AJ242" s="4"/>
      <c r="AK242" s="4"/>
      <c r="AL242" s="44"/>
      <c r="AM242" s="8"/>
      <c r="AN242" s="8"/>
      <c r="AO242" s="8"/>
      <c r="AP242" s="8"/>
      <c r="AQ242" s="8"/>
      <c r="AR242" s="8"/>
      <c r="AS242" s="8"/>
      <c r="AT242" s="46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4"/>
      <c r="BV242" s="4"/>
    </row>
    <row r="243" spans="1:74" s="16" customFormat="1" x14ac:dyDescent="0.25">
      <c r="A243" s="26"/>
      <c r="B243" s="6"/>
      <c r="C243" s="7"/>
      <c r="D243" s="7"/>
      <c r="E243" s="7"/>
      <c r="F243" s="7"/>
      <c r="G243" s="7"/>
      <c r="H243" s="7"/>
      <c r="I243" s="4"/>
      <c r="J243" s="7"/>
      <c r="K243" s="7"/>
      <c r="L243" s="7"/>
      <c r="M243" s="7"/>
      <c r="N243" s="4"/>
      <c r="O243" s="4"/>
      <c r="P243" s="4"/>
      <c r="Q243" s="4"/>
      <c r="R243" s="4"/>
      <c r="S243" s="7"/>
      <c r="T243" s="7"/>
      <c r="U243" s="7"/>
      <c r="V243" s="7"/>
      <c r="W243" s="7"/>
      <c r="X243" s="7"/>
      <c r="Y243" s="4"/>
      <c r="Z243" s="4"/>
      <c r="AA243" s="4"/>
      <c r="AB243" s="4"/>
      <c r="AC243" s="4"/>
      <c r="AD243" s="4"/>
      <c r="AE243" s="28"/>
      <c r="AF243" s="4"/>
      <c r="AG243" s="4"/>
      <c r="AH243" s="4"/>
      <c r="AI243" s="4"/>
      <c r="AJ243" s="4"/>
      <c r="AK243" s="4"/>
      <c r="AL243" s="44"/>
      <c r="AM243" s="8"/>
      <c r="AN243" s="8"/>
      <c r="AO243" s="8"/>
      <c r="AP243" s="8"/>
      <c r="AQ243" s="8"/>
      <c r="AR243" s="8"/>
      <c r="AS243" s="8"/>
      <c r="AT243" s="46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4"/>
      <c r="BV243" s="4"/>
    </row>
    <row r="244" spans="1:74" s="16" customFormat="1" x14ac:dyDescent="0.25">
      <c r="A244" s="26"/>
      <c r="B244" s="6"/>
      <c r="C244" s="7"/>
      <c r="D244" s="7"/>
      <c r="E244" s="7"/>
      <c r="F244" s="7"/>
      <c r="G244" s="7"/>
      <c r="H244" s="7"/>
      <c r="I244" s="4"/>
      <c r="J244" s="7"/>
      <c r="K244" s="7"/>
      <c r="L244" s="7"/>
      <c r="M244" s="7"/>
      <c r="N244" s="4"/>
      <c r="O244" s="4"/>
      <c r="P244" s="4"/>
      <c r="Q244" s="4"/>
      <c r="R244" s="4"/>
      <c r="S244" s="7"/>
      <c r="T244" s="7"/>
      <c r="U244" s="7"/>
      <c r="V244" s="7"/>
      <c r="W244" s="7"/>
      <c r="X244" s="7"/>
      <c r="Y244" s="4"/>
      <c r="Z244" s="4"/>
      <c r="AA244" s="4"/>
      <c r="AB244" s="4"/>
      <c r="AC244" s="4"/>
      <c r="AD244" s="4"/>
      <c r="AE244" s="28"/>
      <c r="AF244" s="4"/>
      <c r="AG244" s="4"/>
      <c r="AH244" s="4"/>
      <c r="AI244" s="4"/>
      <c r="AJ244" s="4"/>
      <c r="AK244" s="4"/>
      <c r="AL244" s="44"/>
      <c r="AM244" s="8"/>
      <c r="AN244" s="8"/>
      <c r="AO244" s="8"/>
      <c r="AP244" s="8"/>
      <c r="AQ244" s="8"/>
      <c r="AR244" s="8"/>
      <c r="AS244" s="8"/>
      <c r="AT244" s="46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4"/>
      <c r="BV244" s="4"/>
    </row>
    <row r="245" spans="1:74" s="16" customFormat="1" x14ac:dyDescent="0.25">
      <c r="A245" s="26"/>
      <c r="B245" s="6"/>
      <c r="C245" s="7"/>
      <c r="D245" s="7"/>
      <c r="E245" s="7"/>
      <c r="F245" s="7"/>
      <c r="G245" s="7"/>
      <c r="H245" s="7"/>
      <c r="I245" s="4"/>
      <c r="J245" s="7"/>
      <c r="K245" s="7"/>
      <c r="L245" s="7"/>
      <c r="M245" s="7"/>
      <c r="N245" s="4"/>
      <c r="O245" s="4"/>
      <c r="P245" s="4"/>
      <c r="Q245" s="4"/>
      <c r="R245" s="4"/>
      <c r="S245" s="7"/>
      <c r="T245" s="7"/>
      <c r="U245" s="7"/>
      <c r="V245" s="7"/>
      <c r="W245" s="7"/>
      <c r="X245" s="7"/>
      <c r="Y245" s="4"/>
      <c r="Z245" s="4"/>
      <c r="AA245" s="4"/>
      <c r="AB245" s="4"/>
      <c r="AC245" s="4"/>
      <c r="AD245" s="4"/>
      <c r="AE245" s="28"/>
      <c r="AF245" s="4"/>
      <c r="AG245" s="4"/>
      <c r="AH245" s="4"/>
      <c r="AI245" s="4"/>
      <c r="AJ245" s="4"/>
      <c r="AK245" s="4"/>
      <c r="AL245" s="44"/>
      <c r="AM245" s="8"/>
      <c r="AN245" s="8"/>
      <c r="AO245" s="8"/>
      <c r="AP245" s="8"/>
      <c r="AQ245" s="8"/>
      <c r="AR245" s="8"/>
      <c r="AS245" s="8"/>
      <c r="AT245" s="46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4"/>
      <c r="BV245" s="4"/>
    </row>
    <row r="246" spans="1:74" s="16" customFormat="1" x14ac:dyDescent="0.25">
      <c r="A246" s="26"/>
      <c r="B246" s="6"/>
      <c r="C246" s="7"/>
      <c r="D246" s="7"/>
      <c r="E246" s="7"/>
      <c r="F246" s="7"/>
      <c r="G246" s="7"/>
      <c r="H246" s="7"/>
      <c r="I246" s="4"/>
      <c r="J246" s="7"/>
      <c r="K246" s="7"/>
      <c r="L246" s="7"/>
      <c r="M246" s="7"/>
      <c r="N246" s="4"/>
      <c r="O246" s="4"/>
      <c r="P246" s="4"/>
      <c r="Q246" s="4"/>
      <c r="R246" s="4"/>
      <c r="S246" s="7"/>
      <c r="T246" s="7"/>
      <c r="U246" s="7"/>
      <c r="V246" s="7"/>
      <c r="W246" s="7"/>
      <c r="X246" s="7"/>
      <c r="Y246" s="4"/>
      <c r="Z246" s="4"/>
      <c r="AA246" s="4"/>
      <c r="AB246" s="4"/>
      <c r="AC246" s="4"/>
      <c r="AD246" s="4"/>
      <c r="AE246" s="28"/>
      <c r="AF246" s="4"/>
      <c r="AG246" s="4"/>
      <c r="AH246" s="4"/>
      <c r="AI246" s="4"/>
      <c r="AJ246" s="4"/>
      <c r="AK246" s="4"/>
      <c r="AL246" s="44"/>
      <c r="AM246" s="8"/>
      <c r="AN246" s="8"/>
      <c r="AO246" s="8"/>
      <c r="AP246" s="8"/>
      <c r="AQ246" s="8"/>
      <c r="AR246" s="8"/>
      <c r="AS246" s="8"/>
      <c r="AT246" s="46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4"/>
      <c r="BV246" s="4"/>
    </row>
    <row r="247" spans="1:74" s="16" customFormat="1" x14ac:dyDescent="0.25">
      <c r="A247" s="26"/>
      <c r="B247" s="6"/>
      <c r="C247" s="7"/>
      <c r="D247" s="7"/>
      <c r="E247" s="7"/>
      <c r="F247" s="7"/>
      <c r="G247" s="7"/>
      <c r="H247" s="7"/>
      <c r="I247" s="4"/>
      <c r="J247" s="7"/>
      <c r="K247" s="7"/>
      <c r="L247" s="7"/>
      <c r="M247" s="7"/>
      <c r="N247" s="4"/>
      <c r="O247" s="4"/>
      <c r="P247" s="4"/>
      <c r="Q247" s="4"/>
      <c r="R247" s="4"/>
      <c r="S247" s="7"/>
      <c r="T247" s="7"/>
      <c r="U247" s="7"/>
      <c r="V247" s="7"/>
      <c r="W247" s="7"/>
      <c r="X247" s="7"/>
      <c r="Y247" s="4"/>
      <c r="Z247" s="4"/>
      <c r="AA247" s="4"/>
      <c r="AB247" s="4"/>
      <c r="AC247" s="4"/>
      <c r="AD247" s="4"/>
      <c r="AE247" s="28"/>
      <c r="AF247" s="4"/>
      <c r="AG247" s="4"/>
      <c r="AH247" s="4"/>
      <c r="AI247" s="4"/>
      <c r="AJ247" s="4"/>
      <c r="AK247" s="4"/>
      <c r="AL247" s="44"/>
      <c r="AM247" s="8"/>
      <c r="AN247" s="8"/>
      <c r="AO247" s="8"/>
      <c r="AP247" s="8"/>
      <c r="AQ247" s="8"/>
      <c r="AR247" s="8"/>
      <c r="AS247" s="8"/>
      <c r="AT247" s="46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4"/>
      <c r="BV247" s="4"/>
    </row>
    <row r="248" spans="1:74" s="16" customFormat="1" x14ac:dyDescent="0.25">
      <c r="A248" s="26"/>
      <c r="B248" s="6"/>
      <c r="C248" s="7"/>
      <c r="D248" s="7"/>
      <c r="E248" s="7"/>
      <c r="F248" s="7"/>
      <c r="G248" s="7"/>
      <c r="H248" s="7"/>
      <c r="I248" s="4"/>
      <c r="J248" s="7"/>
      <c r="K248" s="7"/>
      <c r="L248" s="7"/>
      <c r="M248" s="7"/>
      <c r="N248" s="4"/>
      <c r="O248" s="4"/>
      <c r="P248" s="4"/>
      <c r="Q248" s="4"/>
      <c r="R248" s="4"/>
      <c r="S248" s="7"/>
      <c r="T248" s="7"/>
      <c r="U248" s="7"/>
      <c r="V248" s="7"/>
      <c r="W248" s="7"/>
      <c r="X248" s="7"/>
      <c r="Y248" s="4"/>
      <c r="Z248" s="4"/>
      <c r="AA248" s="4"/>
      <c r="AB248" s="4"/>
      <c r="AC248" s="4"/>
      <c r="AD248" s="4"/>
      <c r="AE248" s="28"/>
      <c r="AF248" s="4"/>
      <c r="AG248" s="4"/>
      <c r="AH248" s="4"/>
      <c r="AI248" s="4"/>
      <c r="AJ248" s="4"/>
      <c r="AK248" s="4"/>
      <c r="AL248" s="44"/>
      <c r="AM248" s="8"/>
      <c r="AN248" s="8"/>
      <c r="AO248" s="8"/>
      <c r="AP248" s="8"/>
      <c r="AQ248" s="8"/>
      <c r="AR248" s="8"/>
      <c r="AS248" s="8"/>
      <c r="AT248" s="46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4"/>
      <c r="BV248" s="4"/>
    </row>
    <row r="249" spans="1:74" s="16" customFormat="1" x14ac:dyDescent="0.25">
      <c r="A249" s="26"/>
      <c r="B249" s="6"/>
      <c r="C249" s="7"/>
      <c r="D249" s="7"/>
      <c r="E249" s="7"/>
      <c r="F249" s="7"/>
      <c r="G249" s="7"/>
      <c r="H249" s="7"/>
      <c r="I249" s="4"/>
      <c r="J249" s="7"/>
      <c r="K249" s="7"/>
      <c r="L249" s="7"/>
      <c r="M249" s="7"/>
      <c r="N249" s="4"/>
      <c r="O249" s="4"/>
      <c r="P249" s="4"/>
      <c r="Q249" s="4"/>
      <c r="R249" s="4"/>
      <c r="S249" s="7"/>
      <c r="T249" s="7"/>
      <c r="U249" s="7"/>
      <c r="V249" s="7"/>
      <c r="W249" s="7"/>
      <c r="X249" s="7"/>
      <c r="Y249" s="4"/>
      <c r="Z249" s="4"/>
      <c r="AA249" s="4"/>
      <c r="AB249" s="4"/>
      <c r="AC249" s="4"/>
      <c r="AD249" s="4"/>
      <c r="AE249" s="28"/>
      <c r="AF249" s="4"/>
      <c r="AG249" s="4"/>
      <c r="AH249" s="4"/>
      <c r="AI249" s="4"/>
      <c r="AJ249" s="4"/>
      <c r="AK249" s="4"/>
      <c r="AL249" s="44"/>
      <c r="AM249" s="8"/>
      <c r="AN249" s="8"/>
      <c r="AO249" s="8"/>
      <c r="AP249" s="8"/>
      <c r="AQ249" s="8"/>
      <c r="AR249" s="8"/>
      <c r="AS249" s="8"/>
      <c r="AT249" s="46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4"/>
      <c r="BV249" s="4"/>
    </row>
    <row r="250" spans="1:74" s="16" customFormat="1" x14ac:dyDescent="0.25">
      <c r="A250" s="26"/>
      <c r="B250" s="6"/>
      <c r="C250" s="7"/>
      <c r="D250" s="7"/>
      <c r="E250" s="7"/>
      <c r="F250" s="7"/>
      <c r="G250" s="7"/>
      <c r="H250" s="7"/>
      <c r="I250" s="4"/>
      <c r="J250" s="7"/>
      <c r="K250" s="7"/>
      <c r="L250" s="7"/>
      <c r="M250" s="7"/>
      <c r="N250" s="4"/>
      <c r="O250" s="4"/>
      <c r="P250" s="4"/>
      <c r="Q250" s="4"/>
      <c r="R250" s="4"/>
      <c r="S250" s="7"/>
      <c r="T250" s="7"/>
      <c r="U250" s="7"/>
      <c r="V250" s="7"/>
      <c r="W250" s="7"/>
      <c r="X250" s="7"/>
      <c r="Y250" s="4"/>
      <c r="Z250" s="4"/>
      <c r="AA250" s="4"/>
      <c r="AB250" s="4"/>
      <c r="AC250" s="4"/>
      <c r="AD250" s="4"/>
      <c r="AE250" s="28"/>
      <c r="AF250" s="4"/>
      <c r="AG250" s="4"/>
      <c r="AH250" s="4"/>
      <c r="AI250" s="4"/>
      <c r="AJ250" s="4"/>
      <c r="AK250" s="4"/>
      <c r="AL250" s="44"/>
      <c r="AM250" s="8"/>
      <c r="AN250" s="8"/>
      <c r="AO250" s="8"/>
      <c r="AP250" s="8"/>
      <c r="AQ250" s="8"/>
      <c r="AR250" s="8"/>
      <c r="AS250" s="8"/>
      <c r="AT250" s="46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4"/>
      <c r="BV250" s="4"/>
    </row>
    <row r="251" spans="1:74" s="16" customFormat="1" x14ac:dyDescent="0.25">
      <c r="A251" s="26"/>
      <c r="B251" s="6"/>
      <c r="C251" s="7"/>
      <c r="D251" s="7"/>
      <c r="E251" s="7"/>
      <c r="F251" s="7"/>
      <c r="G251" s="7"/>
      <c r="H251" s="7"/>
      <c r="I251" s="4"/>
      <c r="J251" s="7"/>
      <c r="K251" s="7"/>
      <c r="L251" s="7"/>
      <c r="M251" s="7"/>
      <c r="N251" s="4"/>
      <c r="O251" s="4"/>
      <c r="P251" s="4"/>
      <c r="Q251" s="4"/>
      <c r="R251" s="4"/>
      <c r="S251" s="7"/>
      <c r="T251" s="7"/>
      <c r="U251" s="7"/>
      <c r="V251" s="7"/>
      <c r="W251" s="7"/>
      <c r="X251" s="7"/>
      <c r="Y251" s="4"/>
      <c r="Z251" s="4"/>
      <c r="AA251" s="4"/>
      <c r="AB251" s="4"/>
      <c r="AC251" s="4"/>
      <c r="AD251" s="4"/>
      <c r="AE251" s="28"/>
      <c r="AF251" s="4"/>
      <c r="AG251" s="4"/>
      <c r="AH251" s="4"/>
      <c r="AI251" s="4"/>
      <c r="AJ251" s="4"/>
      <c r="AK251" s="4"/>
      <c r="AL251" s="44"/>
      <c r="AM251" s="8"/>
      <c r="AN251" s="8"/>
      <c r="AO251" s="8"/>
      <c r="AP251" s="8"/>
      <c r="AQ251" s="8"/>
      <c r="AR251" s="8"/>
      <c r="AS251" s="8"/>
      <c r="AT251" s="46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4"/>
      <c r="BV251" s="4"/>
    </row>
    <row r="252" spans="1:74" s="16" customFormat="1" x14ac:dyDescent="0.25">
      <c r="A252" s="26"/>
      <c r="B252" s="6"/>
      <c r="C252" s="7"/>
      <c r="D252" s="7"/>
      <c r="E252" s="7"/>
      <c r="F252" s="7"/>
      <c r="G252" s="7"/>
      <c r="H252" s="7"/>
      <c r="I252" s="4"/>
      <c r="J252" s="7"/>
      <c r="K252" s="7"/>
      <c r="L252" s="7"/>
      <c r="M252" s="7"/>
      <c r="N252" s="4"/>
      <c r="O252" s="4"/>
      <c r="P252" s="4"/>
      <c r="Q252" s="4"/>
      <c r="R252" s="4"/>
      <c r="S252" s="7"/>
      <c r="T252" s="7"/>
      <c r="U252" s="7"/>
      <c r="V252" s="7"/>
      <c r="W252" s="7"/>
      <c r="X252" s="7"/>
      <c r="Y252" s="4"/>
      <c r="Z252" s="4"/>
      <c r="AA252" s="4"/>
      <c r="AB252" s="4"/>
      <c r="AC252" s="4"/>
      <c r="AD252" s="4"/>
      <c r="AE252" s="28"/>
      <c r="AF252" s="4"/>
      <c r="AG252" s="4"/>
      <c r="AH252" s="4"/>
      <c r="AI252" s="4"/>
      <c r="AJ252" s="4"/>
      <c r="AK252" s="4"/>
      <c r="AL252" s="44"/>
      <c r="AM252" s="8"/>
      <c r="AN252" s="8"/>
      <c r="AO252" s="8"/>
      <c r="AP252" s="8"/>
      <c r="AQ252" s="8"/>
      <c r="AR252" s="8"/>
      <c r="AS252" s="8"/>
      <c r="AT252" s="46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4"/>
      <c r="BV252" s="4"/>
    </row>
    <row r="253" spans="1:74" s="16" customFormat="1" x14ac:dyDescent="0.25">
      <c r="A253" s="26"/>
      <c r="B253" s="6"/>
      <c r="C253" s="7"/>
      <c r="D253" s="7"/>
      <c r="E253" s="7"/>
      <c r="F253" s="7"/>
      <c r="G253" s="7"/>
      <c r="H253" s="7"/>
      <c r="I253" s="4"/>
      <c r="J253" s="7"/>
      <c r="K253" s="7"/>
      <c r="L253" s="7"/>
      <c r="M253" s="7"/>
      <c r="N253" s="4"/>
      <c r="O253" s="4"/>
      <c r="P253" s="4"/>
      <c r="Q253" s="4"/>
      <c r="R253" s="4"/>
      <c r="S253" s="7"/>
      <c r="T253" s="7"/>
      <c r="U253" s="7"/>
      <c r="V253" s="7"/>
      <c r="W253" s="7"/>
      <c r="X253" s="7"/>
      <c r="Y253" s="4"/>
      <c r="Z253" s="4"/>
      <c r="AA253" s="4"/>
      <c r="AB253" s="4"/>
      <c r="AC253" s="4"/>
      <c r="AD253" s="4"/>
      <c r="AE253" s="28"/>
      <c r="AF253" s="4"/>
      <c r="AG253" s="4"/>
      <c r="AH253" s="4"/>
      <c r="AI253" s="4"/>
      <c r="AJ253" s="4"/>
      <c r="AK253" s="4"/>
      <c r="AL253" s="44"/>
      <c r="AM253" s="8"/>
      <c r="AN253" s="8"/>
      <c r="AO253" s="8"/>
      <c r="AP253" s="8"/>
      <c r="AQ253" s="8"/>
      <c r="AR253" s="8"/>
      <c r="AS253" s="8"/>
      <c r="AT253" s="46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4"/>
      <c r="BV253" s="4"/>
    </row>
    <row r="254" spans="1:74" s="16" customFormat="1" x14ac:dyDescent="0.25">
      <c r="A254" s="26"/>
      <c r="B254" s="6"/>
      <c r="C254" s="7"/>
      <c r="D254" s="7"/>
      <c r="E254" s="7"/>
      <c r="F254" s="7"/>
      <c r="G254" s="7"/>
      <c r="H254" s="7"/>
      <c r="I254" s="4"/>
      <c r="J254" s="7"/>
      <c r="K254" s="7"/>
      <c r="L254" s="7"/>
      <c r="M254" s="7"/>
      <c r="N254" s="4"/>
      <c r="O254" s="4"/>
      <c r="P254" s="4"/>
      <c r="Q254" s="4"/>
      <c r="R254" s="4"/>
      <c r="S254" s="7"/>
      <c r="T254" s="7"/>
      <c r="U254" s="7"/>
      <c r="V254" s="7"/>
      <c r="W254" s="7"/>
      <c r="X254" s="7"/>
      <c r="Y254" s="4"/>
      <c r="Z254" s="4"/>
      <c r="AA254" s="4"/>
      <c r="AB254" s="4"/>
      <c r="AC254" s="4"/>
      <c r="AD254" s="4"/>
      <c r="AE254" s="28"/>
      <c r="AF254" s="4"/>
      <c r="AG254" s="4"/>
      <c r="AH254" s="4"/>
      <c r="AI254" s="4"/>
      <c r="AJ254" s="4"/>
      <c r="AK254" s="4"/>
      <c r="AL254" s="44"/>
      <c r="AM254" s="8"/>
      <c r="AN254" s="8"/>
      <c r="AO254" s="8"/>
      <c r="AP254" s="8"/>
      <c r="AQ254" s="8"/>
      <c r="AR254" s="8"/>
      <c r="AS254" s="8"/>
      <c r="AT254" s="46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4"/>
      <c r="BV254" s="4"/>
    </row>
    <row r="255" spans="1:74" s="16" customFormat="1" x14ac:dyDescent="0.25">
      <c r="A255" s="26"/>
      <c r="B255" s="6"/>
      <c r="C255" s="7"/>
      <c r="D255" s="7"/>
      <c r="E255" s="7"/>
      <c r="F255" s="7"/>
      <c r="G255" s="7"/>
      <c r="H255" s="7"/>
      <c r="I255" s="4"/>
      <c r="J255" s="7"/>
      <c r="K255" s="7"/>
      <c r="L255" s="7"/>
      <c r="M255" s="7"/>
      <c r="N255" s="4"/>
      <c r="O255" s="4"/>
      <c r="P255" s="4"/>
      <c r="Q255" s="4"/>
      <c r="R255" s="4"/>
      <c r="S255" s="7"/>
      <c r="T255" s="7"/>
      <c r="U255" s="7"/>
      <c r="V255" s="7"/>
      <c r="W255" s="7"/>
      <c r="X255" s="7"/>
      <c r="Y255" s="4"/>
      <c r="Z255" s="4"/>
      <c r="AA255" s="4"/>
      <c r="AB255" s="4"/>
      <c r="AC255" s="4"/>
      <c r="AD255" s="4"/>
      <c r="AE255" s="28"/>
      <c r="AF255" s="4"/>
      <c r="AG255" s="4"/>
      <c r="AH255" s="4"/>
      <c r="AI255" s="4"/>
      <c r="AJ255" s="4"/>
      <c r="AK255" s="4"/>
      <c r="AL255" s="44"/>
      <c r="AM255" s="8"/>
      <c r="AN255" s="8"/>
      <c r="AO255" s="8"/>
      <c r="AP255" s="8"/>
      <c r="AQ255" s="8"/>
      <c r="AR255" s="8"/>
      <c r="AS255" s="8"/>
      <c r="AT255" s="46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4"/>
      <c r="BV255" s="4"/>
    </row>
    <row r="256" spans="1:74" s="16" customFormat="1" x14ac:dyDescent="0.25">
      <c r="A256" s="26"/>
      <c r="B256" s="6"/>
      <c r="C256" s="7"/>
      <c r="D256" s="7"/>
      <c r="E256" s="7"/>
      <c r="F256" s="7"/>
      <c r="G256" s="7"/>
      <c r="H256" s="7"/>
      <c r="I256" s="4"/>
      <c r="J256" s="7"/>
      <c r="K256" s="7"/>
      <c r="L256" s="7"/>
      <c r="M256" s="7"/>
      <c r="N256" s="4"/>
      <c r="O256" s="4"/>
      <c r="P256" s="4"/>
      <c r="Q256" s="4"/>
      <c r="R256" s="4"/>
      <c r="S256" s="7"/>
      <c r="T256" s="7"/>
      <c r="U256" s="7"/>
      <c r="V256" s="7"/>
      <c r="W256" s="7"/>
      <c r="X256" s="7"/>
      <c r="Y256" s="4"/>
      <c r="Z256" s="4"/>
      <c r="AA256" s="4"/>
      <c r="AB256" s="4"/>
      <c r="AC256" s="4"/>
      <c r="AD256" s="4"/>
      <c r="AE256" s="28"/>
      <c r="AF256" s="4"/>
      <c r="AG256" s="4"/>
      <c r="AH256" s="4"/>
      <c r="AI256" s="4"/>
      <c r="AJ256" s="4"/>
      <c r="AK256" s="4"/>
      <c r="AL256" s="44"/>
      <c r="AM256" s="8"/>
      <c r="AN256" s="8"/>
      <c r="AO256" s="8"/>
      <c r="AP256" s="8"/>
      <c r="AQ256" s="8"/>
      <c r="AR256" s="8"/>
      <c r="AS256" s="8"/>
      <c r="AT256" s="46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4"/>
      <c r="BV256" s="4"/>
    </row>
    <row r="257" spans="1:74" s="16" customFormat="1" x14ac:dyDescent="0.25">
      <c r="A257" s="26"/>
      <c r="B257" s="6"/>
      <c r="C257" s="7"/>
      <c r="D257" s="7"/>
      <c r="E257" s="7"/>
      <c r="F257" s="7"/>
      <c r="G257" s="7"/>
      <c r="H257" s="7"/>
      <c r="I257" s="4"/>
      <c r="J257" s="7"/>
      <c r="K257" s="7"/>
      <c r="L257" s="7"/>
      <c r="M257" s="7"/>
      <c r="N257" s="4"/>
      <c r="O257" s="4"/>
      <c r="P257" s="4"/>
      <c r="Q257" s="4"/>
      <c r="R257" s="4"/>
      <c r="S257" s="7"/>
      <c r="T257" s="7"/>
      <c r="U257" s="7"/>
      <c r="V257" s="7"/>
      <c r="W257" s="7"/>
      <c r="X257" s="7"/>
      <c r="Y257" s="4"/>
      <c r="Z257" s="4"/>
      <c r="AA257" s="4"/>
      <c r="AB257" s="4"/>
      <c r="AC257" s="4"/>
      <c r="AD257" s="4"/>
      <c r="AE257" s="28"/>
      <c r="AF257" s="4"/>
      <c r="AG257" s="4"/>
      <c r="AH257" s="4"/>
      <c r="AI257" s="4"/>
      <c r="AJ257" s="4"/>
      <c r="AK257" s="4"/>
      <c r="AL257" s="44"/>
      <c r="AM257" s="8"/>
      <c r="AN257" s="8"/>
      <c r="AO257" s="8"/>
      <c r="AP257" s="8"/>
      <c r="AQ257" s="8"/>
      <c r="AR257" s="8"/>
      <c r="AS257" s="8"/>
      <c r="AT257" s="46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4"/>
      <c r="BV257" s="4"/>
    </row>
    <row r="258" spans="1:74" s="16" customFormat="1" x14ac:dyDescent="0.25">
      <c r="A258" s="26"/>
      <c r="B258" s="6"/>
      <c r="C258" s="7"/>
      <c r="D258" s="7"/>
      <c r="E258" s="7"/>
      <c r="F258" s="7"/>
      <c r="G258" s="7"/>
      <c r="H258" s="7"/>
      <c r="I258" s="4"/>
      <c r="J258" s="7"/>
      <c r="K258" s="7"/>
      <c r="L258" s="7"/>
      <c r="M258" s="7"/>
      <c r="N258" s="4"/>
      <c r="O258" s="4"/>
      <c r="P258" s="4"/>
      <c r="Q258" s="4"/>
      <c r="R258" s="4"/>
      <c r="S258" s="7"/>
      <c r="T258" s="7"/>
      <c r="U258" s="7"/>
      <c r="V258" s="7"/>
      <c r="W258" s="7"/>
      <c r="X258" s="7"/>
      <c r="Y258" s="4"/>
      <c r="Z258" s="4"/>
      <c r="AA258" s="4"/>
      <c r="AB258" s="4"/>
      <c r="AC258" s="4"/>
      <c r="AD258" s="4"/>
      <c r="AE258" s="28"/>
      <c r="AF258" s="4"/>
      <c r="AG258" s="4"/>
      <c r="AH258" s="4"/>
      <c r="AI258" s="4"/>
      <c r="AJ258" s="4"/>
      <c r="AK258" s="4"/>
      <c r="AL258" s="44"/>
      <c r="AM258" s="8"/>
      <c r="AN258" s="8"/>
      <c r="AO258" s="8"/>
      <c r="AP258" s="8"/>
      <c r="AQ258" s="8"/>
      <c r="AR258" s="8"/>
      <c r="AS258" s="8"/>
      <c r="AT258" s="46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4"/>
      <c r="BV258" s="4"/>
    </row>
    <row r="259" spans="1:74" s="16" customFormat="1" x14ac:dyDescent="0.25">
      <c r="A259" s="26"/>
      <c r="B259" s="6"/>
      <c r="C259" s="7"/>
      <c r="D259" s="7"/>
      <c r="E259" s="7"/>
      <c r="F259" s="7"/>
      <c r="G259" s="7"/>
      <c r="H259" s="7"/>
      <c r="I259" s="4"/>
      <c r="J259" s="7"/>
      <c r="K259" s="7"/>
      <c r="L259" s="7"/>
      <c r="M259" s="7"/>
      <c r="N259" s="4"/>
      <c r="O259" s="4"/>
      <c r="P259" s="4"/>
      <c r="Q259" s="4"/>
      <c r="R259" s="4"/>
      <c r="S259" s="7"/>
      <c r="T259" s="7"/>
      <c r="U259" s="7"/>
      <c r="V259" s="7"/>
      <c r="W259" s="7"/>
      <c r="X259" s="7"/>
      <c r="Y259" s="4"/>
      <c r="Z259" s="4"/>
      <c r="AA259" s="4"/>
      <c r="AB259" s="4"/>
      <c r="AC259" s="4"/>
      <c r="AD259" s="4"/>
      <c r="AE259" s="28"/>
      <c r="AF259" s="4"/>
      <c r="AG259" s="4"/>
      <c r="AH259" s="4"/>
      <c r="AI259" s="4"/>
      <c r="AJ259" s="4"/>
      <c r="AK259" s="4"/>
      <c r="AL259" s="44"/>
      <c r="AM259" s="8"/>
      <c r="AN259" s="8"/>
      <c r="AO259" s="8"/>
      <c r="AP259" s="8"/>
      <c r="AQ259" s="8"/>
      <c r="AR259" s="8"/>
      <c r="AS259" s="8"/>
      <c r="AT259" s="46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4"/>
      <c r="BV259" s="4"/>
    </row>
    <row r="260" spans="1:74" s="16" customFormat="1" x14ac:dyDescent="0.25">
      <c r="A260" s="26"/>
      <c r="B260" s="6"/>
      <c r="C260" s="7"/>
      <c r="D260" s="7"/>
      <c r="E260" s="7"/>
      <c r="F260" s="7"/>
      <c r="G260" s="7"/>
      <c r="H260" s="7"/>
      <c r="I260" s="4"/>
      <c r="J260" s="7"/>
      <c r="K260" s="7"/>
      <c r="L260" s="7"/>
      <c r="M260" s="7"/>
      <c r="N260" s="4"/>
      <c r="O260" s="4"/>
      <c r="P260" s="4"/>
      <c r="Q260" s="4"/>
      <c r="R260" s="4"/>
      <c r="S260" s="7"/>
      <c r="T260" s="7"/>
      <c r="U260" s="7"/>
      <c r="V260" s="7"/>
      <c r="W260" s="7"/>
      <c r="X260" s="7"/>
      <c r="Y260" s="4"/>
      <c r="Z260" s="4"/>
      <c r="AA260" s="4"/>
      <c r="AB260" s="4"/>
      <c r="AC260" s="4"/>
      <c r="AD260" s="4"/>
      <c r="AE260" s="28"/>
      <c r="AF260" s="4"/>
      <c r="AG260" s="4"/>
      <c r="AH260" s="4"/>
      <c r="AI260" s="4"/>
      <c r="AJ260" s="4"/>
      <c r="AK260" s="4"/>
      <c r="AL260" s="44"/>
      <c r="AM260" s="8"/>
      <c r="AN260" s="8"/>
      <c r="AO260" s="8"/>
      <c r="AP260" s="8"/>
      <c r="AQ260" s="8"/>
      <c r="AR260" s="8"/>
      <c r="AS260" s="8"/>
      <c r="AT260" s="46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4"/>
      <c r="BV260" s="4"/>
    </row>
    <row r="261" spans="1:74" s="16" customFormat="1" x14ac:dyDescent="0.25">
      <c r="A261" s="26"/>
      <c r="B261" s="6"/>
      <c r="C261" s="7"/>
      <c r="D261" s="7"/>
      <c r="E261" s="7"/>
      <c r="F261" s="7"/>
      <c r="G261" s="7"/>
      <c r="H261" s="7"/>
      <c r="I261" s="4"/>
      <c r="J261" s="7"/>
      <c r="K261" s="7"/>
      <c r="L261" s="7"/>
      <c r="M261" s="7"/>
      <c r="N261" s="4"/>
      <c r="O261" s="4"/>
      <c r="P261" s="4"/>
      <c r="Q261" s="4"/>
      <c r="R261" s="4"/>
      <c r="S261" s="7"/>
      <c r="T261" s="7"/>
      <c r="U261" s="7"/>
      <c r="V261" s="7"/>
      <c r="W261" s="7"/>
      <c r="X261" s="7"/>
      <c r="Y261" s="4"/>
      <c r="Z261" s="4"/>
      <c r="AA261" s="4"/>
      <c r="AB261" s="4"/>
      <c r="AC261" s="4"/>
      <c r="AD261" s="4"/>
      <c r="AE261" s="28"/>
      <c r="AF261" s="4"/>
      <c r="AG261" s="4"/>
      <c r="AH261" s="4"/>
      <c r="AI261" s="4"/>
      <c r="AJ261" s="4"/>
      <c r="AK261" s="4"/>
      <c r="AL261" s="44"/>
      <c r="AM261" s="8"/>
      <c r="AN261" s="8"/>
      <c r="AO261" s="8"/>
      <c r="AP261" s="8"/>
      <c r="AQ261" s="8"/>
      <c r="AR261" s="8"/>
      <c r="AS261" s="8"/>
      <c r="AT261" s="46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4"/>
      <c r="BV261" s="4"/>
    </row>
    <row r="262" spans="1:74" s="16" customFormat="1" x14ac:dyDescent="0.25">
      <c r="A262" s="26"/>
      <c r="B262" s="6"/>
      <c r="C262" s="7"/>
      <c r="D262" s="7"/>
      <c r="E262" s="7"/>
      <c r="F262" s="7"/>
      <c r="G262" s="7"/>
      <c r="H262" s="7"/>
      <c r="I262" s="4"/>
      <c r="J262" s="7"/>
      <c r="K262" s="7"/>
      <c r="L262" s="7"/>
      <c r="M262" s="7"/>
      <c r="N262" s="4"/>
      <c r="O262" s="4"/>
      <c r="P262" s="4"/>
      <c r="Q262" s="4"/>
      <c r="R262" s="4"/>
      <c r="S262" s="7"/>
      <c r="T262" s="7"/>
      <c r="U262" s="7"/>
      <c r="V262" s="7"/>
      <c r="W262" s="7"/>
      <c r="X262" s="7"/>
      <c r="Y262" s="4"/>
      <c r="Z262" s="4"/>
      <c r="AA262" s="4"/>
      <c r="AB262" s="4"/>
      <c r="AC262" s="4"/>
      <c r="AD262" s="4"/>
      <c r="AE262" s="28"/>
      <c r="AF262" s="4"/>
      <c r="AG262" s="4"/>
      <c r="AH262" s="4"/>
      <c r="AI262" s="4"/>
      <c r="AJ262" s="4"/>
      <c r="AK262" s="4"/>
      <c r="AL262" s="44"/>
      <c r="AM262" s="8"/>
      <c r="AN262" s="8"/>
      <c r="AO262" s="8"/>
      <c r="AP262" s="8"/>
      <c r="AQ262" s="8"/>
      <c r="AR262" s="8"/>
      <c r="AS262" s="8"/>
      <c r="AT262" s="46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4"/>
      <c r="BV262" s="4"/>
    </row>
    <row r="263" spans="1:74" s="16" customFormat="1" x14ac:dyDescent="0.25">
      <c r="A263" s="26"/>
      <c r="B263" s="6"/>
      <c r="C263" s="7"/>
      <c r="D263" s="7"/>
      <c r="E263" s="7"/>
      <c r="F263" s="7"/>
      <c r="G263" s="7"/>
      <c r="H263" s="7"/>
      <c r="I263" s="4"/>
      <c r="J263" s="7"/>
      <c r="K263" s="7"/>
      <c r="L263" s="7"/>
      <c r="M263" s="7"/>
      <c r="N263" s="4"/>
      <c r="O263" s="4"/>
      <c r="P263" s="4"/>
      <c r="Q263" s="4"/>
      <c r="R263" s="4"/>
      <c r="S263" s="7"/>
      <c r="T263" s="7"/>
      <c r="U263" s="7"/>
      <c r="V263" s="7"/>
      <c r="W263" s="7"/>
      <c r="X263" s="7"/>
      <c r="Y263" s="4"/>
      <c r="Z263" s="4"/>
      <c r="AA263" s="4"/>
      <c r="AB263" s="4"/>
      <c r="AC263" s="4"/>
      <c r="AD263" s="4"/>
      <c r="AE263" s="28"/>
      <c r="AF263" s="4"/>
      <c r="AG263" s="4"/>
      <c r="AH263" s="4"/>
      <c r="AI263" s="4"/>
      <c r="AJ263" s="4"/>
      <c r="AK263" s="4"/>
      <c r="AL263" s="44"/>
      <c r="AM263" s="8"/>
      <c r="AN263" s="8"/>
      <c r="AO263" s="8"/>
      <c r="AP263" s="8"/>
      <c r="AQ263" s="8"/>
      <c r="AR263" s="8"/>
      <c r="AS263" s="8"/>
      <c r="AT263" s="46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4"/>
      <c r="BV263" s="4"/>
    </row>
    <row r="264" spans="1:74" s="16" customFormat="1" x14ac:dyDescent="0.25">
      <c r="A264" s="26"/>
      <c r="B264" s="6"/>
      <c r="C264" s="7"/>
      <c r="D264" s="7"/>
      <c r="E264" s="7"/>
      <c r="F264" s="7"/>
      <c r="G264" s="7"/>
      <c r="H264" s="7"/>
      <c r="I264" s="4"/>
      <c r="J264" s="7"/>
      <c r="K264" s="7"/>
      <c r="L264" s="7"/>
      <c r="M264" s="7"/>
      <c r="N264" s="4"/>
      <c r="O264" s="4"/>
      <c r="P264" s="4"/>
      <c r="Q264" s="4"/>
      <c r="R264" s="4"/>
      <c r="S264" s="7"/>
      <c r="T264" s="7"/>
      <c r="U264" s="7"/>
      <c r="V264" s="7"/>
      <c r="W264" s="7"/>
      <c r="X264" s="7"/>
      <c r="Y264" s="4"/>
      <c r="Z264" s="4"/>
      <c r="AA264" s="4"/>
      <c r="AB264" s="4"/>
      <c r="AC264" s="4"/>
      <c r="AD264" s="4"/>
      <c r="AE264" s="28"/>
      <c r="AF264" s="4"/>
      <c r="AG264" s="4"/>
      <c r="AH264" s="4"/>
      <c r="AI264" s="4"/>
      <c r="AJ264" s="4"/>
      <c r="AK264" s="4"/>
      <c r="AL264" s="44"/>
      <c r="AM264" s="8"/>
      <c r="AN264" s="8"/>
      <c r="AO264" s="8"/>
      <c r="AP264" s="8"/>
      <c r="AQ264" s="8"/>
      <c r="AR264" s="8"/>
      <c r="AS264" s="8"/>
      <c r="AT264" s="46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4"/>
      <c r="BV264" s="4"/>
    </row>
    <row r="265" spans="1:74" s="16" customFormat="1" x14ac:dyDescent="0.25">
      <c r="A265" s="26"/>
      <c r="B265" s="6"/>
      <c r="C265" s="7"/>
      <c r="D265" s="7"/>
      <c r="E265" s="7"/>
      <c r="F265" s="7"/>
      <c r="G265" s="7"/>
      <c r="H265" s="7"/>
      <c r="I265" s="4"/>
      <c r="J265" s="7"/>
      <c r="K265" s="7"/>
      <c r="L265" s="7"/>
      <c r="M265" s="7"/>
      <c r="N265" s="4"/>
      <c r="O265" s="4"/>
      <c r="P265" s="4"/>
      <c r="Q265" s="4"/>
      <c r="R265" s="4"/>
      <c r="S265" s="7"/>
      <c r="T265" s="7"/>
      <c r="U265" s="7"/>
      <c r="V265" s="7"/>
      <c r="W265" s="7"/>
      <c r="X265" s="7"/>
      <c r="Y265" s="4"/>
      <c r="Z265" s="4"/>
      <c r="AA265" s="4"/>
      <c r="AB265" s="4"/>
      <c r="AC265" s="4"/>
      <c r="AD265" s="4"/>
      <c r="AE265" s="28"/>
      <c r="AF265" s="4"/>
      <c r="AG265" s="4"/>
      <c r="AH265" s="4"/>
      <c r="AI265" s="4"/>
      <c r="AJ265" s="4"/>
      <c r="AK265" s="4"/>
      <c r="AL265" s="44"/>
      <c r="AM265" s="8"/>
      <c r="AN265" s="8"/>
      <c r="AO265" s="8"/>
      <c r="AP265" s="8"/>
      <c r="AQ265" s="8"/>
      <c r="AR265" s="8"/>
      <c r="AS265" s="8"/>
      <c r="AT265" s="46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4"/>
      <c r="BV265" s="4"/>
    </row>
    <row r="266" spans="1:74" s="16" customFormat="1" x14ac:dyDescent="0.25">
      <c r="A266" s="26"/>
      <c r="B266" s="6"/>
      <c r="C266" s="7"/>
      <c r="D266" s="7"/>
      <c r="E266" s="7"/>
      <c r="F266" s="7"/>
      <c r="G266" s="7"/>
      <c r="H266" s="7"/>
      <c r="I266" s="4"/>
      <c r="J266" s="7"/>
      <c r="K266" s="7"/>
      <c r="L266" s="7"/>
      <c r="M266" s="7"/>
      <c r="N266" s="4"/>
      <c r="O266" s="4"/>
      <c r="P266" s="4"/>
      <c r="Q266" s="4"/>
      <c r="R266" s="4"/>
      <c r="S266" s="7"/>
      <c r="T266" s="7"/>
      <c r="U266" s="7"/>
      <c r="V266" s="7"/>
      <c r="W266" s="7"/>
      <c r="X266" s="7"/>
      <c r="Y266" s="4"/>
      <c r="Z266" s="4"/>
      <c r="AA266" s="4"/>
      <c r="AB266" s="4"/>
      <c r="AC266" s="4"/>
      <c r="AD266" s="4"/>
      <c r="AE266" s="28"/>
      <c r="AF266" s="4"/>
      <c r="AG266" s="4"/>
      <c r="AH266" s="4"/>
      <c r="AI266" s="4"/>
      <c r="AJ266" s="4"/>
      <c r="AK266" s="4"/>
      <c r="AL266" s="44"/>
      <c r="AM266" s="8"/>
      <c r="AN266" s="8"/>
      <c r="AO266" s="8"/>
      <c r="AP266" s="8"/>
      <c r="AQ266" s="8"/>
      <c r="AR266" s="8"/>
      <c r="AS266" s="8"/>
      <c r="AT266" s="46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4"/>
      <c r="BV266" s="4"/>
    </row>
    <row r="267" spans="1:74" s="16" customFormat="1" x14ac:dyDescent="0.25">
      <c r="A267" s="26"/>
      <c r="B267" s="6"/>
      <c r="C267" s="7"/>
      <c r="D267" s="7"/>
      <c r="E267" s="7"/>
      <c r="F267" s="7"/>
      <c r="G267" s="7"/>
      <c r="H267" s="7"/>
      <c r="I267" s="4"/>
      <c r="J267" s="7"/>
      <c r="K267" s="7"/>
      <c r="L267" s="7"/>
      <c r="M267" s="7"/>
      <c r="N267" s="4"/>
      <c r="O267" s="4"/>
      <c r="P267" s="4"/>
      <c r="Q267" s="4"/>
      <c r="R267" s="4"/>
      <c r="S267" s="7"/>
      <c r="T267" s="7"/>
      <c r="U267" s="7"/>
      <c r="V267" s="7"/>
      <c r="W267" s="7"/>
      <c r="X267" s="7"/>
      <c r="Y267" s="4"/>
      <c r="Z267" s="4"/>
      <c r="AA267" s="4"/>
      <c r="AB267" s="4"/>
      <c r="AC267" s="4"/>
      <c r="AD267" s="4"/>
      <c r="AE267" s="28"/>
      <c r="AF267" s="4"/>
      <c r="AG267" s="4"/>
      <c r="AH267" s="4"/>
      <c r="AI267" s="4"/>
      <c r="AJ267" s="4"/>
      <c r="AK267" s="4"/>
      <c r="AL267" s="44"/>
      <c r="AM267" s="8"/>
      <c r="AN267" s="8"/>
      <c r="AO267" s="8"/>
      <c r="AP267" s="8"/>
      <c r="AQ267" s="8"/>
      <c r="AR267" s="8"/>
      <c r="AS267" s="8"/>
      <c r="AT267" s="46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4"/>
      <c r="BV267" s="4"/>
    </row>
    <row r="268" spans="1:74" s="16" customFormat="1" x14ac:dyDescent="0.25">
      <c r="A268" s="26"/>
      <c r="B268" s="6"/>
      <c r="C268" s="7"/>
      <c r="D268" s="7"/>
      <c r="E268" s="7"/>
      <c r="F268" s="7"/>
      <c r="G268" s="7"/>
      <c r="H268" s="7"/>
      <c r="I268" s="4"/>
      <c r="J268" s="7"/>
      <c r="K268" s="7"/>
      <c r="L268" s="7"/>
      <c r="M268" s="7"/>
      <c r="N268" s="4"/>
      <c r="O268" s="4"/>
      <c r="P268" s="4"/>
      <c r="Q268" s="4"/>
      <c r="R268" s="4"/>
      <c r="S268" s="7"/>
      <c r="T268" s="7"/>
      <c r="U268" s="7"/>
      <c r="V268" s="7"/>
      <c r="W268" s="7"/>
      <c r="X268" s="7"/>
      <c r="Y268" s="4"/>
      <c r="Z268" s="4"/>
      <c r="AA268" s="4"/>
      <c r="AB268" s="4"/>
      <c r="AC268" s="4"/>
      <c r="AD268" s="4"/>
      <c r="AE268" s="28"/>
      <c r="AF268" s="4"/>
      <c r="AG268" s="4"/>
      <c r="AH268" s="4"/>
      <c r="AI268" s="4"/>
      <c r="AJ268" s="4"/>
      <c r="AK268" s="4"/>
      <c r="AL268" s="44"/>
      <c r="AM268" s="8"/>
      <c r="AN268" s="8"/>
      <c r="AO268" s="8"/>
      <c r="AP268" s="8"/>
      <c r="AQ268" s="8"/>
      <c r="AR268" s="8"/>
      <c r="AS268" s="8"/>
      <c r="AT268" s="46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4"/>
      <c r="BV268" s="4"/>
    </row>
    <row r="269" spans="1:74" s="16" customFormat="1" x14ac:dyDescent="0.25">
      <c r="A269" s="26"/>
      <c r="B269" s="6"/>
      <c r="C269" s="7"/>
      <c r="D269" s="7"/>
      <c r="E269" s="7"/>
      <c r="F269" s="7"/>
      <c r="G269" s="7"/>
      <c r="H269" s="7"/>
      <c r="I269" s="4"/>
      <c r="J269" s="7"/>
      <c r="K269" s="7"/>
      <c r="L269" s="7"/>
      <c r="M269" s="7"/>
      <c r="N269" s="4"/>
      <c r="O269" s="4"/>
      <c r="P269" s="4"/>
      <c r="Q269" s="4"/>
      <c r="R269" s="4"/>
      <c r="S269" s="7"/>
      <c r="T269" s="7"/>
      <c r="U269" s="7"/>
      <c r="V269" s="7"/>
      <c r="W269" s="7"/>
      <c r="X269" s="7"/>
      <c r="Y269" s="4"/>
      <c r="Z269" s="4"/>
      <c r="AA269" s="4"/>
      <c r="AB269" s="4"/>
      <c r="AC269" s="4"/>
      <c r="AD269" s="4"/>
      <c r="AE269" s="28"/>
      <c r="AF269" s="4"/>
      <c r="AG269" s="4"/>
      <c r="AH269" s="4"/>
      <c r="AI269" s="4"/>
      <c r="AJ269" s="4"/>
      <c r="AK269" s="4"/>
      <c r="AL269" s="44"/>
      <c r="AM269" s="8"/>
      <c r="AN269" s="8"/>
      <c r="AO269" s="8"/>
      <c r="AP269" s="8"/>
      <c r="AQ269" s="8"/>
      <c r="AR269" s="8"/>
      <c r="AS269" s="8"/>
      <c r="AT269" s="46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4"/>
      <c r="BV269" s="4"/>
    </row>
    <row r="270" spans="1:74" s="16" customFormat="1" x14ac:dyDescent="0.25">
      <c r="A270" s="26"/>
      <c r="B270" s="6"/>
      <c r="C270" s="7"/>
      <c r="D270" s="7"/>
      <c r="E270" s="7"/>
      <c r="F270" s="7"/>
      <c r="G270" s="7"/>
      <c r="H270" s="7"/>
      <c r="I270" s="4"/>
      <c r="J270" s="7"/>
      <c r="K270" s="7"/>
      <c r="L270" s="7"/>
      <c r="M270" s="7"/>
      <c r="N270" s="4"/>
      <c r="O270" s="4"/>
      <c r="P270" s="4"/>
      <c r="Q270" s="4"/>
      <c r="R270" s="4"/>
      <c r="S270" s="7"/>
      <c r="T270" s="7"/>
      <c r="U270" s="7"/>
      <c r="V270" s="7"/>
      <c r="W270" s="7"/>
      <c r="X270" s="7"/>
      <c r="Y270" s="4"/>
      <c r="Z270" s="4"/>
      <c r="AA270" s="4"/>
      <c r="AB270" s="4"/>
      <c r="AC270" s="4"/>
      <c r="AD270" s="4"/>
      <c r="AE270" s="28"/>
      <c r="AF270" s="4"/>
      <c r="AG270" s="4"/>
      <c r="AH270" s="4"/>
      <c r="AI270" s="4"/>
      <c r="AJ270" s="4"/>
      <c r="AK270" s="4"/>
      <c r="AL270" s="44"/>
      <c r="AM270" s="8"/>
      <c r="AN270" s="8"/>
      <c r="AO270" s="8"/>
      <c r="AP270" s="8"/>
      <c r="AQ270" s="8"/>
      <c r="AR270" s="8"/>
      <c r="AS270" s="8"/>
      <c r="AT270" s="46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4"/>
      <c r="BV270" s="4"/>
    </row>
    <row r="271" spans="1:74" s="16" customFormat="1" x14ac:dyDescent="0.25">
      <c r="A271" s="26"/>
      <c r="B271" s="6"/>
      <c r="C271" s="7"/>
      <c r="D271" s="7"/>
      <c r="E271" s="7"/>
      <c r="F271" s="7"/>
      <c r="G271" s="7"/>
      <c r="H271" s="7"/>
      <c r="I271" s="4"/>
      <c r="J271" s="7"/>
      <c r="K271" s="7"/>
      <c r="L271" s="7"/>
      <c r="M271" s="7"/>
      <c r="N271" s="4"/>
      <c r="O271" s="4"/>
      <c r="P271" s="4"/>
      <c r="Q271" s="4"/>
      <c r="R271" s="4"/>
      <c r="S271" s="7"/>
      <c r="T271" s="7"/>
      <c r="U271" s="7"/>
      <c r="V271" s="7"/>
      <c r="W271" s="7"/>
      <c r="X271" s="7"/>
      <c r="Y271" s="4"/>
      <c r="Z271" s="4"/>
      <c r="AA271" s="4"/>
      <c r="AB271" s="4"/>
      <c r="AC271" s="4"/>
      <c r="AD271" s="4"/>
      <c r="AE271" s="28"/>
      <c r="AF271" s="4"/>
      <c r="AG271" s="4"/>
      <c r="AH271" s="4"/>
      <c r="AI271" s="4"/>
      <c r="AJ271" s="4"/>
      <c r="AK271" s="4"/>
      <c r="AL271" s="44"/>
      <c r="AM271" s="8"/>
      <c r="AN271" s="8"/>
      <c r="AO271" s="8"/>
      <c r="AP271" s="8"/>
      <c r="AQ271" s="8"/>
      <c r="AR271" s="8"/>
      <c r="AS271" s="8"/>
      <c r="AT271" s="46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4"/>
      <c r="BV271" s="4"/>
    </row>
    <row r="272" spans="1:74" s="16" customFormat="1" x14ac:dyDescent="0.25">
      <c r="A272" s="26"/>
      <c r="B272" s="6"/>
      <c r="C272" s="7"/>
      <c r="D272" s="7"/>
      <c r="E272" s="7"/>
      <c r="F272" s="7"/>
      <c r="G272" s="7"/>
      <c r="H272" s="7"/>
      <c r="I272" s="4"/>
      <c r="J272" s="7"/>
      <c r="K272" s="7"/>
      <c r="L272" s="7"/>
      <c r="M272" s="7"/>
      <c r="N272" s="4"/>
      <c r="O272" s="4"/>
      <c r="P272" s="4"/>
      <c r="Q272" s="4"/>
      <c r="R272" s="4"/>
      <c r="S272" s="7"/>
      <c r="T272" s="7"/>
      <c r="U272" s="7"/>
      <c r="V272" s="7"/>
      <c r="W272" s="7"/>
      <c r="X272" s="7"/>
      <c r="Y272" s="4"/>
      <c r="Z272" s="4"/>
      <c r="AA272" s="4"/>
      <c r="AB272" s="4"/>
      <c r="AC272" s="4"/>
      <c r="AD272" s="4"/>
      <c r="AE272" s="28"/>
      <c r="AF272" s="4"/>
      <c r="AG272" s="4"/>
      <c r="AH272" s="4"/>
      <c r="AI272" s="4"/>
      <c r="AJ272" s="4"/>
      <c r="AK272" s="4"/>
      <c r="AL272" s="44"/>
      <c r="AM272" s="8"/>
      <c r="AN272" s="8"/>
      <c r="AO272" s="8"/>
      <c r="AP272" s="8"/>
      <c r="AQ272" s="8"/>
      <c r="AR272" s="8"/>
      <c r="AS272" s="8"/>
      <c r="AT272" s="46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4"/>
      <c r="BV272" s="4"/>
    </row>
    <row r="273" spans="1:74" s="16" customFormat="1" x14ac:dyDescent="0.25">
      <c r="A273" s="26"/>
      <c r="B273" s="6"/>
      <c r="C273" s="7"/>
      <c r="D273" s="7"/>
      <c r="E273" s="7"/>
      <c r="F273" s="7"/>
      <c r="G273" s="7"/>
      <c r="H273" s="7"/>
      <c r="I273" s="4"/>
      <c r="J273" s="7"/>
      <c r="K273" s="7"/>
      <c r="L273" s="7"/>
      <c r="M273" s="7"/>
      <c r="N273" s="4"/>
      <c r="O273" s="4"/>
      <c r="P273" s="4"/>
      <c r="Q273" s="4"/>
      <c r="R273" s="4"/>
      <c r="S273" s="7"/>
      <c r="T273" s="7"/>
      <c r="U273" s="7"/>
      <c r="V273" s="7"/>
      <c r="W273" s="7"/>
      <c r="X273" s="7"/>
      <c r="Y273" s="4"/>
      <c r="Z273" s="4"/>
      <c r="AA273" s="4"/>
      <c r="AB273" s="4"/>
      <c r="AC273" s="4"/>
      <c r="AD273" s="4"/>
      <c r="AE273" s="28"/>
      <c r="AF273" s="4"/>
      <c r="AG273" s="4"/>
      <c r="AH273" s="4"/>
      <c r="AI273" s="4"/>
      <c r="AJ273" s="4"/>
      <c r="AK273" s="4"/>
      <c r="AL273" s="44"/>
      <c r="AM273" s="8"/>
      <c r="AN273" s="8"/>
      <c r="AO273" s="8"/>
      <c r="AP273" s="8"/>
      <c r="AQ273" s="8"/>
      <c r="AR273" s="8"/>
      <c r="AS273" s="8"/>
      <c r="AT273" s="46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4"/>
      <c r="BV273" s="4"/>
    </row>
    <row r="274" spans="1:74" s="16" customFormat="1" x14ac:dyDescent="0.25">
      <c r="A274" s="26"/>
      <c r="B274" s="6"/>
      <c r="C274" s="7"/>
      <c r="D274" s="7"/>
      <c r="E274" s="7"/>
      <c r="F274" s="7"/>
      <c r="G274" s="7"/>
      <c r="H274" s="7"/>
      <c r="I274" s="4"/>
      <c r="J274" s="7"/>
      <c r="K274" s="7"/>
      <c r="L274" s="7"/>
      <c r="M274" s="7"/>
      <c r="N274" s="4"/>
      <c r="O274" s="4"/>
      <c r="P274" s="4"/>
      <c r="Q274" s="4"/>
      <c r="R274" s="4"/>
      <c r="S274" s="7"/>
      <c r="T274" s="7"/>
      <c r="U274" s="7"/>
      <c r="V274" s="7"/>
      <c r="W274" s="7"/>
      <c r="X274" s="7"/>
      <c r="Y274" s="4"/>
      <c r="Z274" s="4"/>
      <c r="AA274" s="4"/>
      <c r="AB274" s="4"/>
      <c r="AC274" s="4"/>
      <c r="AD274" s="4"/>
      <c r="AE274" s="28"/>
      <c r="AF274" s="4"/>
      <c r="AG274" s="4"/>
      <c r="AH274" s="4"/>
      <c r="AI274" s="4"/>
      <c r="AJ274" s="4"/>
      <c r="AK274" s="4"/>
      <c r="AL274" s="44"/>
      <c r="AM274" s="8"/>
      <c r="AN274" s="8"/>
      <c r="AO274" s="8"/>
      <c r="AP274" s="8"/>
      <c r="AQ274" s="8"/>
      <c r="AR274" s="8"/>
      <c r="AS274" s="8"/>
      <c r="AT274" s="46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4"/>
      <c r="BV274" s="4"/>
    </row>
    <row r="275" spans="1:74" s="16" customFormat="1" x14ac:dyDescent="0.25">
      <c r="A275" s="26"/>
      <c r="B275" s="6"/>
      <c r="C275" s="7"/>
      <c r="D275" s="7"/>
      <c r="E275" s="7"/>
      <c r="F275" s="7"/>
      <c r="G275" s="7"/>
      <c r="H275" s="7"/>
      <c r="I275" s="4"/>
      <c r="J275" s="7"/>
      <c r="K275" s="7"/>
      <c r="L275" s="7"/>
      <c r="M275" s="7"/>
      <c r="N275" s="4"/>
      <c r="O275" s="4"/>
      <c r="P275" s="4"/>
      <c r="Q275" s="4"/>
      <c r="R275" s="4"/>
      <c r="S275" s="7"/>
      <c r="T275" s="7"/>
      <c r="U275" s="7"/>
      <c r="V275" s="7"/>
      <c r="W275" s="7"/>
      <c r="X275" s="7"/>
      <c r="Y275" s="4"/>
      <c r="Z275" s="4"/>
      <c r="AA275" s="4"/>
      <c r="AB275" s="4"/>
      <c r="AC275" s="4"/>
      <c r="AD275" s="4"/>
      <c r="AE275" s="28"/>
      <c r="AF275" s="4"/>
      <c r="AG275" s="4"/>
      <c r="AH275" s="4"/>
      <c r="AI275" s="4"/>
      <c r="AJ275" s="4"/>
      <c r="AK275" s="4"/>
      <c r="AL275" s="44"/>
      <c r="AM275" s="8"/>
      <c r="AN275" s="8"/>
      <c r="AO275" s="8"/>
      <c r="AP275" s="8"/>
      <c r="AQ275" s="8"/>
      <c r="AR275" s="8"/>
      <c r="AS275" s="8"/>
      <c r="AT275" s="46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4"/>
      <c r="BV275" s="4"/>
    </row>
    <row r="276" spans="1:74" s="16" customFormat="1" x14ac:dyDescent="0.25">
      <c r="A276" s="26"/>
      <c r="B276" s="6"/>
      <c r="C276" s="7"/>
      <c r="D276" s="7"/>
      <c r="E276" s="7"/>
      <c r="F276" s="7"/>
      <c r="G276" s="7"/>
      <c r="H276" s="7"/>
      <c r="I276" s="4"/>
      <c r="J276" s="7"/>
      <c r="K276" s="7"/>
      <c r="L276" s="7"/>
      <c r="M276" s="7"/>
      <c r="N276" s="4"/>
      <c r="O276" s="4"/>
      <c r="P276" s="4"/>
      <c r="Q276" s="4"/>
      <c r="R276" s="4"/>
      <c r="S276" s="7"/>
      <c r="T276" s="7"/>
      <c r="U276" s="7"/>
      <c r="V276" s="7"/>
      <c r="W276" s="7"/>
      <c r="X276" s="7"/>
      <c r="Y276" s="4"/>
      <c r="Z276" s="4"/>
      <c r="AA276" s="4"/>
      <c r="AB276" s="4"/>
      <c r="AC276" s="4"/>
      <c r="AD276" s="4"/>
      <c r="AE276" s="28"/>
      <c r="AF276" s="4"/>
      <c r="AG276" s="4"/>
      <c r="AH276" s="4"/>
      <c r="AI276" s="4"/>
      <c r="AJ276" s="4"/>
      <c r="AK276" s="4"/>
      <c r="AL276" s="44"/>
      <c r="AM276" s="8"/>
      <c r="AN276" s="8"/>
      <c r="AO276" s="8"/>
      <c r="AP276" s="8"/>
      <c r="AQ276" s="8"/>
      <c r="AR276" s="8"/>
      <c r="AS276" s="8"/>
      <c r="AT276" s="46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4"/>
      <c r="BV276" s="4"/>
    </row>
    <row r="277" spans="1:74" s="16" customFormat="1" x14ac:dyDescent="0.25">
      <c r="A277" s="26"/>
      <c r="B277" s="6"/>
      <c r="C277" s="7"/>
      <c r="D277" s="7"/>
      <c r="E277" s="7"/>
      <c r="F277" s="7"/>
      <c r="G277" s="7"/>
      <c r="H277" s="7"/>
      <c r="I277" s="4"/>
      <c r="J277" s="7"/>
      <c r="K277" s="7"/>
      <c r="L277" s="7"/>
      <c r="M277" s="7"/>
      <c r="N277" s="4"/>
      <c r="O277" s="4"/>
      <c r="P277" s="4"/>
      <c r="Q277" s="4"/>
      <c r="R277" s="4"/>
      <c r="S277" s="7"/>
      <c r="T277" s="7"/>
      <c r="U277" s="7"/>
      <c r="V277" s="7"/>
      <c r="W277" s="7"/>
      <c r="X277" s="7"/>
      <c r="Y277" s="4"/>
      <c r="Z277" s="4"/>
      <c r="AA277" s="4"/>
      <c r="AB277" s="4"/>
      <c r="AC277" s="4"/>
      <c r="AD277" s="4"/>
      <c r="AE277" s="28"/>
      <c r="AF277" s="4"/>
      <c r="AG277" s="4"/>
      <c r="AH277" s="4"/>
      <c r="AI277" s="4"/>
      <c r="AJ277" s="4"/>
      <c r="AK277" s="4"/>
      <c r="AL277" s="44"/>
      <c r="AM277" s="8"/>
      <c r="AN277" s="8"/>
      <c r="AO277" s="8"/>
      <c r="AP277" s="8"/>
      <c r="AQ277" s="8"/>
      <c r="AR277" s="8"/>
      <c r="AS277" s="8"/>
      <c r="AT277" s="46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4"/>
      <c r="BV277" s="4"/>
    </row>
    <row r="278" spans="1:74" s="16" customFormat="1" x14ac:dyDescent="0.25">
      <c r="A278" s="26"/>
      <c r="B278" s="6"/>
      <c r="C278" s="7"/>
      <c r="D278" s="7"/>
      <c r="E278" s="7"/>
      <c r="F278" s="7"/>
      <c r="G278" s="7"/>
      <c r="H278" s="7"/>
      <c r="I278" s="4"/>
      <c r="J278" s="7"/>
      <c r="K278" s="7"/>
      <c r="L278" s="7"/>
      <c r="M278" s="7"/>
      <c r="N278" s="4"/>
      <c r="O278" s="4"/>
      <c r="P278" s="4"/>
      <c r="Q278" s="4"/>
      <c r="R278" s="4"/>
      <c r="S278" s="7"/>
      <c r="T278" s="7"/>
      <c r="U278" s="7"/>
      <c r="V278" s="7"/>
      <c r="W278" s="7"/>
      <c r="X278" s="7"/>
      <c r="Y278" s="4"/>
      <c r="Z278" s="4"/>
      <c r="AA278" s="4"/>
      <c r="AB278" s="4"/>
      <c r="AC278" s="4"/>
      <c r="AD278" s="4"/>
      <c r="AE278" s="28"/>
      <c r="AF278" s="4"/>
      <c r="AG278" s="4"/>
      <c r="AH278" s="4"/>
      <c r="AI278" s="4"/>
      <c r="AJ278" s="4"/>
      <c r="AK278" s="4"/>
      <c r="AL278" s="44"/>
      <c r="AM278" s="8"/>
      <c r="AN278" s="8"/>
      <c r="AO278" s="8"/>
      <c r="AP278" s="8"/>
      <c r="AQ278" s="8"/>
      <c r="AR278" s="8"/>
      <c r="AS278" s="8"/>
      <c r="AT278" s="46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4"/>
      <c r="BV278" s="4"/>
    </row>
    <row r="279" spans="1:74" s="16" customFormat="1" x14ac:dyDescent="0.25">
      <c r="A279" s="26"/>
      <c r="B279" s="6"/>
      <c r="C279" s="7"/>
      <c r="D279" s="7"/>
      <c r="E279" s="7"/>
      <c r="F279" s="7"/>
      <c r="G279" s="7"/>
      <c r="H279" s="7"/>
      <c r="I279" s="4"/>
      <c r="J279" s="7"/>
      <c r="K279" s="7"/>
      <c r="L279" s="7"/>
      <c r="M279" s="7"/>
      <c r="N279" s="4"/>
      <c r="O279" s="4"/>
      <c r="P279" s="4"/>
      <c r="Q279" s="4"/>
      <c r="R279" s="4"/>
      <c r="S279" s="7"/>
      <c r="T279" s="7"/>
      <c r="U279" s="7"/>
      <c r="V279" s="7"/>
      <c r="W279" s="7"/>
      <c r="X279" s="7"/>
      <c r="Y279" s="4"/>
      <c r="Z279" s="4"/>
      <c r="AA279" s="4"/>
      <c r="AB279" s="4"/>
      <c r="AC279" s="4"/>
      <c r="AD279" s="4"/>
      <c r="AE279" s="28"/>
      <c r="AF279" s="4"/>
      <c r="AG279" s="4"/>
      <c r="AH279" s="4"/>
      <c r="AI279" s="4"/>
      <c r="AJ279" s="4"/>
      <c r="AK279" s="4"/>
      <c r="AL279" s="44"/>
      <c r="AM279" s="8"/>
      <c r="AN279" s="8"/>
      <c r="AO279" s="8"/>
      <c r="AP279" s="8"/>
      <c r="AQ279" s="8"/>
      <c r="AR279" s="8"/>
      <c r="AS279" s="8"/>
      <c r="AT279" s="46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4"/>
      <c r="BV279" s="4"/>
    </row>
    <row r="280" spans="1:74" s="16" customFormat="1" x14ac:dyDescent="0.25">
      <c r="A280" s="26"/>
      <c r="B280" s="6"/>
      <c r="C280" s="7"/>
      <c r="D280" s="7"/>
      <c r="E280" s="7"/>
      <c r="F280" s="7"/>
      <c r="G280" s="7"/>
      <c r="H280" s="7"/>
      <c r="I280" s="4"/>
      <c r="J280" s="7"/>
      <c r="K280" s="7"/>
      <c r="L280" s="7"/>
      <c r="M280" s="7"/>
      <c r="N280" s="4"/>
      <c r="O280" s="4"/>
      <c r="P280" s="4"/>
      <c r="Q280" s="4"/>
      <c r="R280" s="4"/>
      <c r="S280" s="7"/>
      <c r="T280" s="7"/>
      <c r="U280" s="7"/>
      <c r="V280" s="7"/>
      <c r="W280" s="7"/>
      <c r="X280" s="7"/>
      <c r="Y280" s="4"/>
      <c r="Z280" s="4"/>
      <c r="AA280" s="4"/>
      <c r="AB280" s="4"/>
      <c r="AC280" s="4"/>
      <c r="AD280" s="4"/>
      <c r="AE280" s="28"/>
      <c r="AF280" s="4"/>
      <c r="AG280" s="4"/>
      <c r="AH280" s="4"/>
      <c r="AI280" s="4"/>
      <c r="AJ280" s="4"/>
      <c r="AK280" s="4"/>
      <c r="AL280" s="44"/>
      <c r="AM280" s="8"/>
      <c r="AN280" s="8"/>
      <c r="AO280" s="8"/>
      <c r="AP280" s="8"/>
      <c r="AQ280" s="8"/>
      <c r="AR280" s="8"/>
      <c r="AS280" s="8"/>
      <c r="AT280" s="46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4"/>
      <c r="BV280" s="4"/>
    </row>
    <row r="281" spans="1:74" s="16" customFormat="1" x14ac:dyDescent="0.25">
      <c r="A281" s="26"/>
      <c r="B281" s="6"/>
      <c r="C281" s="7"/>
      <c r="D281" s="7"/>
      <c r="E281" s="7"/>
      <c r="F281" s="7"/>
      <c r="G281" s="7"/>
      <c r="H281" s="7"/>
      <c r="I281" s="4"/>
      <c r="J281" s="7"/>
      <c r="K281" s="7"/>
      <c r="L281" s="7"/>
      <c r="M281" s="7"/>
      <c r="N281" s="4"/>
      <c r="O281" s="4"/>
      <c r="P281" s="4"/>
      <c r="Q281" s="4"/>
      <c r="R281" s="4"/>
      <c r="S281" s="7"/>
      <c r="T281" s="7"/>
      <c r="U281" s="7"/>
      <c r="V281" s="7"/>
      <c r="W281" s="7"/>
      <c r="X281" s="7"/>
      <c r="Y281" s="4"/>
      <c r="Z281" s="4"/>
      <c r="AA281" s="4"/>
      <c r="AB281" s="4"/>
      <c r="AC281" s="4"/>
      <c r="AD281" s="4"/>
      <c r="AE281" s="28"/>
      <c r="AF281" s="4"/>
      <c r="AG281" s="4"/>
      <c r="AH281" s="4"/>
      <c r="AI281" s="4"/>
      <c r="AJ281" s="4"/>
      <c r="AK281" s="4"/>
      <c r="AL281" s="44"/>
      <c r="AM281" s="8"/>
      <c r="AN281" s="8"/>
      <c r="AO281" s="8"/>
      <c r="AP281" s="8"/>
      <c r="AQ281" s="8"/>
      <c r="AR281" s="8"/>
      <c r="AS281" s="8"/>
      <c r="AT281" s="46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4"/>
      <c r="BV281" s="4"/>
    </row>
    <row r="282" spans="1:74" s="16" customFormat="1" x14ac:dyDescent="0.25">
      <c r="A282" s="26"/>
      <c r="B282" s="6"/>
      <c r="C282" s="7"/>
      <c r="D282" s="7"/>
      <c r="E282" s="7"/>
      <c r="F282" s="7"/>
      <c r="G282" s="7"/>
      <c r="H282" s="7"/>
      <c r="I282" s="4"/>
      <c r="J282" s="7"/>
      <c r="K282" s="7"/>
      <c r="L282" s="7"/>
      <c r="M282" s="7"/>
      <c r="N282" s="4"/>
      <c r="O282" s="4"/>
      <c r="P282" s="4"/>
      <c r="Q282" s="4"/>
      <c r="R282" s="4"/>
      <c r="S282" s="7"/>
      <c r="T282" s="7"/>
      <c r="U282" s="7"/>
      <c r="V282" s="7"/>
      <c r="W282" s="7"/>
      <c r="X282" s="7"/>
      <c r="Y282" s="4"/>
      <c r="Z282" s="4"/>
      <c r="AA282" s="4"/>
      <c r="AB282" s="4"/>
      <c r="AC282" s="4"/>
      <c r="AD282" s="4"/>
      <c r="AE282" s="28"/>
      <c r="AF282" s="4"/>
      <c r="AG282" s="4"/>
      <c r="AH282" s="4"/>
      <c r="AI282" s="4"/>
      <c r="AJ282" s="4"/>
      <c r="AK282" s="4"/>
      <c r="AL282" s="44"/>
      <c r="AM282" s="8"/>
      <c r="AN282" s="8"/>
      <c r="AO282" s="8"/>
      <c r="AP282" s="8"/>
      <c r="AQ282" s="8"/>
      <c r="AR282" s="8"/>
      <c r="AS282" s="8"/>
      <c r="AT282" s="46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4"/>
      <c r="BV282" s="4"/>
    </row>
    <row r="283" spans="1:74" s="16" customFormat="1" x14ac:dyDescent="0.25">
      <c r="A283" s="26"/>
      <c r="B283" s="6"/>
      <c r="C283" s="7"/>
      <c r="D283" s="7"/>
      <c r="E283" s="7"/>
      <c r="F283" s="7"/>
      <c r="G283" s="7"/>
      <c r="H283" s="7"/>
      <c r="I283" s="4"/>
      <c r="J283" s="7"/>
      <c r="K283" s="7"/>
      <c r="L283" s="7"/>
      <c r="M283" s="7"/>
      <c r="N283" s="4"/>
      <c r="O283" s="4"/>
      <c r="P283" s="4"/>
      <c r="Q283" s="4"/>
      <c r="R283" s="4"/>
      <c r="S283" s="7"/>
      <c r="T283" s="7"/>
      <c r="U283" s="7"/>
      <c r="V283" s="7"/>
      <c r="W283" s="7"/>
      <c r="X283" s="7"/>
      <c r="Y283" s="4"/>
      <c r="Z283" s="4"/>
      <c r="AA283" s="4"/>
      <c r="AB283" s="4"/>
      <c r="AC283" s="4"/>
      <c r="AD283" s="4"/>
      <c r="AE283" s="28"/>
      <c r="AF283" s="4"/>
      <c r="AG283" s="4"/>
      <c r="AH283" s="4"/>
      <c r="AI283" s="4"/>
      <c r="AJ283" s="4"/>
      <c r="AK283" s="4"/>
      <c r="AL283" s="44"/>
      <c r="AM283" s="8"/>
      <c r="AN283" s="8"/>
      <c r="AO283" s="8"/>
      <c r="AP283" s="8"/>
      <c r="AQ283" s="8"/>
      <c r="AR283" s="8"/>
      <c r="AS283" s="8"/>
      <c r="AT283" s="46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4"/>
      <c r="BV283" s="4"/>
    </row>
    <row r="284" spans="1:74" s="16" customFormat="1" x14ac:dyDescent="0.25">
      <c r="A284" s="26"/>
      <c r="B284" s="6"/>
      <c r="C284" s="7"/>
      <c r="D284" s="7"/>
      <c r="E284" s="7"/>
      <c r="F284" s="7"/>
      <c r="G284" s="7"/>
      <c r="H284" s="7"/>
      <c r="I284" s="4"/>
      <c r="J284" s="7"/>
      <c r="K284" s="7"/>
      <c r="L284" s="7"/>
      <c r="M284" s="7"/>
      <c r="N284" s="4"/>
      <c r="O284" s="4"/>
      <c r="P284" s="4"/>
      <c r="Q284" s="4"/>
      <c r="R284" s="4"/>
      <c r="S284" s="7"/>
      <c r="T284" s="7"/>
      <c r="U284" s="7"/>
      <c r="V284" s="7"/>
      <c r="W284" s="7"/>
      <c r="X284" s="7"/>
      <c r="Y284" s="4"/>
      <c r="Z284" s="4"/>
      <c r="AA284" s="4"/>
      <c r="AB284" s="4"/>
      <c r="AC284" s="4"/>
      <c r="AD284" s="4"/>
      <c r="AE284" s="28"/>
      <c r="AF284" s="4"/>
      <c r="AG284" s="4"/>
      <c r="AH284" s="4"/>
      <c r="AI284" s="4"/>
      <c r="AJ284" s="4"/>
      <c r="AK284" s="4"/>
      <c r="AL284" s="44"/>
      <c r="AM284" s="8"/>
      <c r="AN284" s="8"/>
      <c r="AO284" s="8"/>
      <c r="AP284" s="8"/>
      <c r="AQ284" s="8"/>
      <c r="AR284" s="8"/>
      <c r="AS284" s="8"/>
      <c r="AT284" s="46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4"/>
      <c r="BV284" s="4"/>
    </row>
    <row r="285" spans="1:74" s="16" customFormat="1" x14ac:dyDescent="0.25">
      <c r="A285" s="26"/>
      <c r="B285" s="6"/>
      <c r="C285" s="7"/>
      <c r="D285" s="7"/>
      <c r="E285" s="7"/>
      <c r="F285" s="7"/>
      <c r="G285" s="7"/>
      <c r="H285" s="7"/>
      <c r="I285" s="4"/>
      <c r="J285" s="7"/>
      <c r="K285" s="7"/>
      <c r="L285" s="7"/>
      <c r="M285" s="7"/>
      <c r="N285" s="4"/>
      <c r="O285" s="4"/>
      <c r="P285" s="4"/>
      <c r="Q285" s="4"/>
      <c r="R285" s="4"/>
      <c r="S285" s="7"/>
      <c r="T285" s="7"/>
      <c r="U285" s="7"/>
      <c r="V285" s="7"/>
      <c r="W285" s="7"/>
      <c r="X285" s="7"/>
      <c r="Y285" s="4"/>
      <c r="Z285" s="4"/>
      <c r="AA285" s="4"/>
      <c r="AB285" s="4"/>
      <c r="AC285" s="4"/>
      <c r="AD285" s="4"/>
      <c r="AE285" s="28"/>
      <c r="AF285" s="4"/>
      <c r="AG285" s="4"/>
      <c r="AH285" s="4"/>
      <c r="AI285" s="4"/>
      <c r="AJ285" s="4"/>
      <c r="AK285" s="4"/>
      <c r="AL285" s="44"/>
      <c r="AM285" s="8"/>
      <c r="AN285" s="8"/>
      <c r="AO285" s="8"/>
      <c r="AP285" s="8"/>
      <c r="AQ285" s="8"/>
      <c r="AR285" s="8"/>
      <c r="AS285" s="8"/>
      <c r="AT285" s="46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4"/>
      <c r="BV285" s="4"/>
    </row>
    <row r="286" spans="1:74" s="16" customFormat="1" x14ac:dyDescent="0.25">
      <c r="A286" s="26"/>
      <c r="B286" s="6"/>
      <c r="C286" s="7"/>
      <c r="D286" s="7"/>
      <c r="E286" s="7"/>
      <c r="F286" s="7"/>
      <c r="G286" s="7"/>
      <c r="H286" s="7"/>
      <c r="I286" s="4"/>
      <c r="J286" s="7"/>
      <c r="K286" s="7"/>
      <c r="L286" s="7"/>
      <c r="M286" s="7"/>
      <c r="N286" s="4"/>
      <c r="O286" s="4"/>
      <c r="P286" s="4"/>
      <c r="Q286" s="4"/>
      <c r="R286" s="4"/>
      <c r="S286" s="7"/>
      <c r="T286" s="7"/>
      <c r="U286" s="7"/>
      <c r="V286" s="7"/>
      <c r="W286" s="7"/>
      <c r="X286" s="7"/>
      <c r="Y286" s="4"/>
      <c r="Z286" s="4"/>
      <c r="AA286" s="4"/>
      <c r="AB286" s="4"/>
      <c r="AC286" s="4"/>
      <c r="AD286" s="4"/>
      <c r="AE286" s="28"/>
      <c r="AF286" s="4"/>
      <c r="AG286" s="4"/>
      <c r="AH286" s="4"/>
      <c r="AI286" s="4"/>
      <c r="AJ286" s="4"/>
      <c r="AK286" s="4"/>
      <c r="AL286" s="44"/>
      <c r="AM286" s="8"/>
      <c r="AN286" s="8"/>
      <c r="AO286" s="8"/>
      <c r="AP286" s="8"/>
      <c r="AQ286" s="8"/>
      <c r="AR286" s="8"/>
      <c r="AS286" s="8"/>
      <c r="AT286" s="46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4"/>
      <c r="BV286" s="4"/>
    </row>
    <row r="287" spans="1:74" s="16" customFormat="1" x14ac:dyDescent="0.25">
      <c r="A287" s="26"/>
      <c r="B287" s="6"/>
      <c r="C287" s="7"/>
      <c r="D287" s="7"/>
      <c r="E287" s="7"/>
      <c r="F287" s="7"/>
      <c r="G287" s="7"/>
      <c r="H287" s="7"/>
      <c r="I287" s="4"/>
      <c r="J287" s="7"/>
      <c r="K287" s="7"/>
      <c r="L287" s="7"/>
      <c r="M287" s="7"/>
      <c r="N287" s="4"/>
      <c r="O287" s="4"/>
      <c r="P287" s="4"/>
      <c r="Q287" s="4"/>
      <c r="R287" s="4"/>
      <c r="S287" s="7"/>
      <c r="T287" s="7"/>
      <c r="U287" s="7"/>
      <c r="V287" s="7"/>
      <c r="W287" s="7"/>
      <c r="X287" s="7"/>
      <c r="Y287" s="4"/>
      <c r="Z287" s="4"/>
      <c r="AA287" s="4"/>
      <c r="AB287" s="4"/>
      <c r="AC287" s="4"/>
      <c r="AD287" s="4"/>
      <c r="AE287" s="28"/>
      <c r="AF287" s="4"/>
      <c r="AG287" s="4"/>
      <c r="AH287" s="4"/>
      <c r="AI287" s="4"/>
      <c r="AJ287" s="4"/>
      <c r="AK287" s="4"/>
      <c r="AL287" s="44"/>
      <c r="AM287" s="8"/>
      <c r="AN287" s="8"/>
      <c r="AO287" s="8"/>
      <c r="AP287" s="8"/>
      <c r="AQ287" s="8"/>
      <c r="AR287" s="8"/>
      <c r="AS287" s="8"/>
      <c r="AT287" s="46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4"/>
      <c r="BV287" s="4"/>
    </row>
    <row r="288" spans="1:74" s="16" customFormat="1" x14ac:dyDescent="0.25">
      <c r="A288" s="26"/>
      <c r="B288" s="6"/>
      <c r="C288" s="7"/>
      <c r="D288" s="7"/>
      <c r="E288" s="7"/>
      <c r="F288" s="7"/>
      <c r="G288" s="7"/>
      <c r="H288" s="7"/>
      <c r="I288" s="4"/>
      <c r="J288" s="7"/>
      <c r="K288" s="7"/>
      <c r="L288" s="7"/>
      <c r="M288" s="7"/>
      <c r="N288" s="4"/>
      <c r="O288" s="4"/>
      <c r="P288" s="4"/>
      <c r="Q288" s="4"/>
      <c r="R288" s="4"/>
      <c r="S288" s="7"/>
      <c r="T288" s="7"/>
      <c r="U288" s="7"/>
      <c r="V288" s="7"/>
      <c r="W288" s="7"/>
      <c r="X288" s="7"/>
      <c r="Y288" s="4"/>
      <c r="Z288" s="4"/>
      <c r="AA288" s="4"/>
      <c r="AB288" s="4"/>
      <c r="AC288" s="4"/>
      <c r="AD288" s="4"/>
      <c r="AE288" s="28"/>
      <c r="AF288" s="4"/>
      <c r="AG288" s="4"/>
      <c r="AH288" s="4"/>
      <c r="AI288" s="4"/>
      <c r="AJ288" s="4"/>
      <c r="AK288" s="4"/>
      <c r="AL288" s="44"/>
      <c r="AM288" s="8"/>
      <c r="AN288" s="8"/>
      <c r="AO288" s="8"/>
      <c r="AP288" s="8"/>
      <c r="AQ288" s="8"/>
      <c r="AR288" s="8"/>
      <c r="AS288" s="8"/>
      <c r="AT288" s="46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4"/>
      <c r="BV288" s="4"/>
    </row>
    <row r="289" spans="1:74" s="16" customFormat="1" x14ac:dyDescent="0.25">
      <c r="A289" s="26"/>
      <c r="B289" s="6"/>
      <c r="C289" s="7"/>
      <c r="D289" s="7"/>
      <c r="E289" s="7"/>
      <c r="F289" s="7"/>
      <c r="G289" s="7"/>
      <c r="H289" s="7"/>
      <c r="I289" s="4"/>
      <c r="J289" s="7"/>
      <c r="K289" s="7"/>
      <c r="L289" s="7"/>
      <c r="M289" s="7"/>
      <c r="N289" s="4"/>
      <c r="O289" s="4"/>
      <c r="P289" s="4"/>
      <c r="Q289" s="4"/>
      <c r="R289" s="4"/>
      <c r="S289" s="7"/>
      <c r="T289" s="7"/>
      <c r="U289" s="7"/>
      <c r="V289" s="7"/>
      <c r="W289" s="7"/>
      <c r="X289" s="7"/>
      <c r="Y289" s="4"/>
      <c r="Z289" s="4"/>
      <c r="AA289" s="4"/>
      <c r="AB289" s="4"/>
      <c r="AC289" s="4"/>
      <c r="AD289" s="4"/>
      <c r="AE289" s="28"/>
      <c r="AF289" s="4"/>
      <c r="AG289" s="4"/>
      <c r="AH289" s="4"/>
      <c r="AI289" s="4"/>
      <c r="AJ289" s="4"/>
      <c r="AK289" s="4"/>
      <c r="AL289" s="44"/>
      <c r="AM289" s="8"/>
      <c r="AN289" s="8"/>
      <c r="AO289" s="8"/>
      <c r="AP289" s="8"/>
      <c r="AQ289" s="8"/>
      <c r="AR289" s="8"/>
      <c r="AS289" s="8"/>
      <c r="AT289" s="46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4"/>
      <c r="BV289" s="4"/>
    </row>
    <row r="290" spans="1:74" s="16" customFormat="1" x14ac:dyDescent="0.25">
      <c r="A290" s="26"/>
      <c r="B290" s="6"/>
      <c r="C290" s="7"/>
      <c r="D290" s="7"/>
      <c r="E290" s="7"/>
      <c r="F290" s="7"/>
      <c r="G290" s="7"/>
      <c r="H290" s="7"/>
      <c r="I290" s="4"/>
      <c r="J290" s="7"/>
      <c r="K290" s="7"/>
      <c r="L290" s="7"/>
      <c r="M290" s="7"/>
      <c r="N290" s="4"/>
      <c r="O290" s="4"/>
      <c r="P290" s="4"/>
      <c r="Q290" s="4"/>
      <c r="R290" s="4"/>
      <c r="S290" s="7"/>
      <c r="T290" s="7"/>
      <c r="U290" s="7"/>
      <c r="V290" s="7"/>
      <c r="W290" s="7"/>
      <c r="X290" s="7"/>
      <c r="Y290" s="4"/>
      <c r="Z290" s="4"/>
      <c r="AA290" s="4"/>
      <c r="AB290" s="4"/>
      <c r="AC290" s="4"/>
      <c r="AD290" s="4"/>
      <c r="AE290" s="28"/>
      <c r="AF290" s="4"/>
      <c r="AG290" s="4"/>
      <c r="AH290" s="4"/>
      <c r="AI290" s="4"/>
      <c r="AJ290" s="4"/>
      <c r="AK290" s="4"/>
      <c r="AL290" s="44"/>
      <c r="AM290" s="8"/>
      <c r="AN290" s="8"/>
      <c r="AO290" s="8"/>
      <c r="AP290" s="8"/>
      <c r="AQ290" s="8"/>
      <c r="AR290" s="8"/>
      <c r="AS290" s="8"/>
      <c r="AT290" s="46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4"/>
      <c r="BV290" s="4"/>
    </row>
    <row r="291" spans="1:74" s="16" customFormat="1" x14ac:dyDescent="0.25">
      <c r="A291" s="26"/>
      <c r="B291" s="6"/>
      <c r="C291" s="7"/>
      <c r="D291" s="7"/>
      <c r="E291" s="7"/>
      <c r="F291" s="7"/>
      <c r="G291" s="7"/>
      <c r="H291" s="7"/>
      <c r="I291" s="4"/>
      <c r="J291" s="7"/>
      <c r="K291" s="7"/>
      <c r="L291" s="7"/>
      <c r="M291" s="7"/>
      <c r="N291" s="4"/>
      <c r="O291" s="4"/>
      <c r="P291" s="4"/>
      <c r="Q291" s="4"/>
      <c r="R291" s="4"/>
      <c r="S291" s="7"/>
      <c r="T291" s="7"/>
      <c r="U291" s="7"/>
      <c r="V291" s="7"/>
      <c r="W291" s="7"/>
      <c r="X291" s="7"/>
      <c r="Y291" s="4"/>
      <c r="Z291" s="4"/>
      <c r="AA291" s="4"/>
      <c r="AB291" s="4"/>
      <c r="AC291" s="4"/>
      <c r="AD291" s="4"/>
      <c r="AE291" s="28"/>
      <c r="AF291" s="4"/>
      <c r="AG291" s="4"/>
      <c r="AH291" s="4"/>
      <c r="AI291" s="4"/>
      <c r="AJ291" s="4"/>
      <c r="AK291" s="4"/>
      <c r="AL291" s="44"/>
      <c r="AM291" s="8"/>
      <c r="AN291" s="8"/>
      <c r="AO291" s="8"/>
      <c r="AP291" s="8"/>
      <c r="AQ291" s="8"/>
      <c r="AR291" s="8"/>
      <c r="AS291" s="8"/>
      <c r="AT291" s="46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4"/>
      <c r="BV291" s="4"/>
    </row>
    <row r="292" spans="1:74" s="16" customFormat="1" x14ac:dyDescent="0.25">
      <c r="A292" s="26"/>
      <c r="B292" s="6"/>
      <c r="C292" s="7"/>
      <c r="D292" s="7"/>
      <c r="E292" s="7"/>
      <c r="F292" s="7"/>
      <c r="G292" s="7"/>
      <c r="H292" s="7"/>
      <c r="I292" s="4"/>
      <c r="J292" s="7"/>
      <c r="K292" s="7"/>
      <c r="L292" s="7"/>
      <c r="M292" s="7"/>
      <c r="N292" s="4"/>
      <c r="O292" s="4"/>
      <c r="P292" s="4"/>
      <c r="Q292" s="4"/>
      <c r="R292" s="4"/>
      <c r="S292" s="7"/>
      <c r="T292" s="7"/>
      <c r="U292" s="7"/>
      <c r="V292" s="7"/>
      <c r="W292" s="7"/>
      <c r="X292" s="7"/>
      <c r="Y292" s="4"/>
      <c r="Z292" s="4"/>
      <c r="AA292" s="4"/>
      <c r="AB292" s="4"/>
      <c r="AC292" s="4"/>
      <c r="AD292" s="4"/>
      <c r="AE292" s="28"/>
      <c r="AF292" s="4"/>
      <c r="AG292" s="4"/>
      <c r="AH292" s="4"/>
      <c r="AI292" s="4"/>
      <c r="AJ292" s="4"/>
      <c r="AK292" s="4"/>
      <c r="AL292" s="44"/>
      <c r="AM292" s="8"/>
      <c r="AN292" s="8"/>
      <c r="AO292" s="8"/>
      <c r="AP292" s="8"/>
      <c r="AQ292" s="8"/>
      <c r="AR292" s="8"/>
      <c r="AS292" s="8"/>
      <c r="AT292" s="46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4"/>
      <c r="BV292" s="4"/>
    </row>
    <row r="293" spans="1:74" s="16" customFormat="1" x14ac:dyDescent="0.25">
      <c r="A293" s="26"/>
      <c r="B293" s="6"/>
      <c r="C293" s="7"/>
      <c r="D293" s="7"/>
      <c r="E293" s="7"/>
      <c r="F293" s="7"/>
      <c r="G293" s="7"/>
      <c r="H293" s="7"/>
      <c r="I293" s="4"/>
      <c r="J293" s="7"/>
      <c r="K293" s="7"/>
      <c r="L293" s="7"/>
      <c r="M293" s="7"/>
      <c r="N293" s="4"/>
      <c r="O293" s="4"/>
      <c r="P293" s="4"/>
      <c r="Q293" s="4"/>
      <c r="R293" s="4"/>
      <c r="S293" s="7"/>
      <c r="T293" s="7"/>
      <c r="U293" s="7"/>
      <c r="V293" s="7"/>
      <c r="W293" s="7"/>
      <c r="X293" s="7"/>
      <c r="Y293" s="4"/>
      <c r="Z293" s="4"/>
      <c r="AA293" s="4"/>
      <c r="AB293" s="4"/>
      <c r="AC293" s="4"/>
      <c r="AD293" s="4"/>
      <c r="AE293" s="28"/>
      <c r="AF293" s="4"/>
      <c r="AG293" s="4"/>
      <c r="AH293" s="4"/>
      <c r="AI293" s="4"/>
      <c r="AJ293" s="4"/>
      <c r="AK293" s="4"/>
      <c r="AL293" s="44"/>
      <c r="AM293" s="8"/>
      <c r="AN293" s="8"/>
      <c r="AO293" s="8"/>
      <c r="AP293" s="8"/>
      <c r="AQ293" s="8"/>
      <c r="AR293" s="8"/>
      <c r="AS293" s="8"/>
      <c r="AT293" s="46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4"/>
      <c r="BV293" s="4"/>
    </row>
    <row r="294" spans="1:74" s="16" customFormat="1" x14ac:dyDescent="0.25">
      <c r="A294" s="26"/>
      <c r="B294" s="6"/>
      <c r="C294" s="7"/>
      <c r="D294" s="7"/>
      <c r="E294" s="7"/>
      <c r="F294" s="7"/>
      <c r="G294" s="7"/>
      <c r="H294" s="7"/>
      <c r="I294" s="4"/>
      <c r="J294" s="7"/>
      <c r="K294" s="7"/>
      <c r="L294" s="7"/>
      <c r="M294" s="7"/>
      <c r="N294" s="4"/>
      <c r="O294" s="4"/>
      <c r="P294" s="4"/>
      <c r="Q294" s="4"/>
      <c r="R294" s="4"/>
      <c r="S294" s="7"/>
      <c r="T294" s="7"/>
      <c r="U294" s="7"/>
      <c r="V294" s="7"/>
      <c r="W294" s="7"/>
      <c r="X294" s="7"/>
      <c r="Y294" s="4"/>
      <c r="Z294" s="4"/>
      <c r="AA294" s="4"/>
      <c r="AB294" s="4"/>
      <c r="AC294" s="4"/>
      <c r="AD294" s="4"/>
      <c r="AE294" s="28"/>
      <c r="AF294" s="4"/>
      <c r="AG294" s="4"/>
      <c r="AH294" s="4"/>
      <c r="AI294" s="4"/>
      <c r="AJ294" s="4"/>
      <c r="AK294" s="4"/>
      <c r="AL294" s="44"/>
      <c r="AM294" s="8"/>
      <c r="AN294" s="8"/>
      <c r="AO294" s="8"/>
      <c r="AP294" s="8"/>
      <c r="AQ294" s="8"/>
      <c r="AR294" s="8"/>
      <c r="AS294" s="8"/>
      <c r="AT294" s="46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4"/>
      <c r="BV294" s="4"/>
    </row>
    <row r="295" spans="1:74" s="16" customFormat="1" x14ac:dyDescent="0.25">
      <c r="A295" s="26"/>
      <c r="B295" s="6"/>
      <c r="C295" s="7"/>
      <c r="D295" s="7"/>
      <c r="E295" s="7"/>
      <c r="F295" s="7"/>
      <c r="G295" s="7"/>
      <c r="H295" s="7"/>
      <c r="I295" s="4"/>
      <c r="J295" s="7"/>
      <c r="K295" s="7"/>
      <c r="L295" s="7"/>
      <c r="M295" s="7"/>
      <c r="N295" s="4"/>
      <c r="O295" s="4"/>
      <c r="P295" s="4"/>
      <c r="Q295" s="4"/>
      <c r="R295" s="4"/>
      <c r="S295" s="7"/>
      <c r="T295" s="7"/>
      <c r="U295" s="7"/>
      <c r="V295" s="7"/>
      <c r="W295" s="7"/>
      <c r="X295" s="7"/>
      <c r="Y295" s="4"/>
      <c r="Z295" s="4"/>
      <c r="AA295" s="4"/>
      <c r="AB295" s="4"/>
      <c r="AC295" s="4"/>
      <c r="AD295" s="4"/>
      <c r="AE295" s="28"/>
      <c r="AF295" s="4"/>
      <c r="AG295" s="4"/>
      <c r="AH295" s="4"/>
      <c r="AI295" s="4"/>
      <c r="AJ295" s="4"/>
      <c r="AK295" s="4"/>
      <c r="AL295" s="44"/>
      <c r="AM295" s="8"/>
      <c r="AN295" s="8"/>
      <c r="AO295" s="8"/>
      <c r="AP295" s="8"/>
      <c r="AQ295" s="8"/>
      <c r="AR295" s="8"/>
      <c r="AS295" s="8"/>
      <c r="AT295" s="46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4"/>
      <c r="BV295" s="4"/>
    </row>
    <row r="296" spans="1:74" s="16" customFormat="1" x14ac:dyDescent="0.25">
      <c r="A296" s="26"/>
      <c r="B296" s="6"/>
      <c r="C296" s="7"/>
      <c r="D296" s="7"/>
      <c r="E296" s="7"/>
      <c r="F296" s="7"/>
      <c r="G296" s="7"/>
      <c r="H296" s="7"/>
      <c r="I296" s="4"/>
      <c r="J296" s="7"/>
      <c r="K296" s="7"/>
      <c r="L296" s="7"/>
      <c r="M296" s="7"/>
      <c r="N296" s="4"/>
      <c r="O296" s="4"/>
      <c r="P296" s="4"/>
      <c r="Q296" s="4"/>
      <c r="R296" s="4"/>
      <c r="S296" s="7"/>
      <c r="T296" s="7"/>
      <c r="U296" s="7"/>
      <c r="V296" s="7"/>
      <c r="W296" s="7"/>
      <c r="X296" s="7"/>
      <c r="Y296" s="4"/>
      <c r="Z296" s="4"/>
      <c r="AA296" s="4"/>
      <c r="AB296" s="4"/>
      <c r="AC296" s="4"/>
      <c r="AD296" s="4"/>
      <c r="AE296" s="28"/>
      <c r="AF296" s="4"/>
      <c r="AG296" s="4"/>
      <c r="AH296" s="4"/>
      <c r="AI296" s="4"/>
      <c r="AJ296" s="4"/>
      <c r="AK296" s="4"/>
      <c r="AL296" s="44"/>
      <c r="AM296" s="8"/>
      <c r="AN296" s="8"/>
      <c r="AO296" s="8"/>
      <c r="AP296" s="8"/>
      <c r="AQ296" s="8"/>
      <c r="AR296" s="8"/>
      <c r="AS296" s="8"/>
      <c r="AT296" s="46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4"/>
      <c r="BV296" s="4"/>
    </row>
    <row r="297" spans="1:74" s="16" customFormat="1" x14ac:dyDescent="0.25">
      <c r="A297" s="26"/>
      <c r="B297" s="6"/>
      <c r="C297" s="7"/>
      <c r="D297" s="7"/>
      <c r="E297" s="7"/>
      <c r="F297" s="7"/>
      <c r="G297" s="7"/>
      <c r="H297" s="7"/>
      <c r="I297" s="4"/>
      <c r="J297" s="7"/>
      <c r="K297" s="7"/>
      <c r="L297" s="7"/>
      <c r="M297" s="7"/>
      <c r="N297" s="4"/>
      <c r="O297" s="4"/>
      <c r="P297" s="4"/>
      <c r="Q297" s="4"/>
      <c r="R297" s="4"/>
      <c r="S297" s="7"/>
      <c r="T297" s="7"/>
      <c r="U297" s="7"/>
      <c r="V297" s="7"/>
      <c r="W297" s="7"/>
      <c r="X297" s="7"/>
      <c r="Y297" s="4"/>
      <c r="Z297" s="4"/>
      <c r="AA297" s="4"/>
      <c r="AB297" s="4"/>
      <c r="AC297" s="4"/>
      <c r="AD297" s="4"/>
      <c r="AE297" s="28"/>
      <c r="AF297" s="4"/>
      <c r="AG297" s="4"/>
      <c r="AH297" s="4"/>
      <c r="AI297" s="4"/>
      <c r="AJ297" s="4"/>
      <c r="AK297" s="4"/>
      <c r="AL297" s="44"/>
      <c r="AM297" s="8"/>
      <c r="AN297" s="8"/>
      <c r="AO297" s="8"/>
      <c r="AP297" s="8"/>
      <c r="AQ297" s="8"/>
      <c r="AR297" s="8"/>
      <c r="AS297" s="8"/>
      <c r="AT297" s="46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4"/>
      <c r="BV297" s="4"/>
    </row>
    <row r="298" spans="1:74" s="16" customFormat="1" x14ac:dyDescent="0.25">
      <c r="A298" s="26"/>
      <c r="B298" s="6"/>
      <c r="C298" s="7"/>
      <c r="D298" s="7"/>
      <c r="E298" s="7"/>
      <c r="F298" s="7"/>
      <c r="G298" s="7"/>
      <c r="H298" s="7"/>
      <c r="I298" s="4"/>
      <c r="J298" s="7"/>
      <c r="K298" s="7"/>
      <c r="L298" s="7"/>
      <c r="M298" s="7"/>
      <c r="N298" s="4"/>
      <c r="O298" s="4"/>
      <c r="P298" s="4"/>
      <c r="Q298" s="4"/>
      <c r="R298" s="4"/>
      <c r="S298" s="7"/>
      <c r="T298" s="7"/>
      <c r="U298" s="7"/>
      <c r="V298" s="7"/>
      <c r="W298" s="7"/>
      <c r="X298" s="7"/>
      <c r="Y298" s="4"/>
      <c r="Z298" s="4"/>
      <c r="AA298" s="4"/>
      <c r="AB298" s="4"/>
      <c r="AC298" s="4"/>
      <c r="AD298" s="4"/>
      <c r="AE298" s="28"/>
      <c r="AF298" s="4"/>
      <c r="AG298" s="4"/>
      <c r="AH298" s="4"/>
      <c r="AI298" s="4"/>
      <c r="AJ298" s="4"/>
      <c r="AK298" s="4"/>
      <c r="AL298" s="44"/>
      <c r="AM298" s="8"/>
      <c r="AN298" s="8"/>
      <c r="AO298" s="8"/>
      <c r="AP298" s="8"/>
      <c r="AQ298" s="8"/>
      <c r="AR298" s="8"/>
      <c r="AS298" s="8"/>
      <c r="AT298" s="46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4"/>
      <c r="BV298" s="4"/>
    </row>
    <row r="299" spans="1:74" s="16" customFormat="1" x14ac:dyDescent="0.25">
      <c r="A299" s="26"/>
      <c r="B299" s="6"/>
      <c r="C299" s="7"/>
      <c r="D299" s="7"/>
      <c r="E299" s="7"/>
      <c r="F299" s="7"/>
      <c r="G299" s="7"/>
      <c r="H299" s="7"/>
      <c r="I299" s="4"/>
      <c r="J299" s="7"/>
      <c r="K299" s="7"/>
      <c r="L299" s="7"/>
      <c r="M299" s="7"/>
      <c r="N299" s="4"/>
      <c r="O299" s="4"/>
      <c r="P299" s="4"/>
      <c r="Q299" s="4"/>
      <c r="R299" s="4"/>
      <c r="S299" s="7"/>
      <c r="T299" s="7"/>
      <c r="U299" s="7"/>
      <c r="V299" s="7"/>
      <c r="W299" s="7"/>
      <c r="X299" s="7"/>
      <c r="Y299" s="4"/>
      <c r="Z299" s="4"/>
      <c r="AA299" s="4"/>
      <c r="AB299" s="4"/>
      <c r="AC299" s="4"/>
      <c r="AD299" s="4"/>
      <c r="AE299" s="28"/>
      <c r="AF299" s="4"/>
      <c r="AG299" s="4"/>
      <c r="AH299" s="4"/>
      <c r="AI299" s="4"/>
      <c r="AJ299" s="4"/>
      <c r="AK299" s="4"/>
      <c r="AL299" s="44"/>
      <c r="AM299" s="8"/>
      <c r="AN299" s="8"/>
      <c r="AO299" s="8"/>
      <c r="AP299" s="8"/>
      <c r="AQ299" s="8"/>
      <c r="AR299" s="8"/>
      <c r="AS299" s="8"/>
      <c r="AT299" s="46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4"/>
      <c r="BV299" s="4"/>
    </row>
    <row r="300" spans="1:74" s="16" customFormat="1" x14ac:dyDescent="0.25">
      <c r="A300" s="26"/>
      <c r="B300" s="6"/>
      <c r="C300" s="7"/>
      <c r="D300" s="7"/>
      <c r="E300" s="7"/>
      <c r="F300" s="7"/>
      <c r="G300" s="7"/>
      <c r="H300" s="7"/>
      <c r="I300" s="4"/>
      <c r="J300" s="7"/>
      <c r="K300" s="7"/>
      <c r="L300" s="7"/>
      <c r="M300" s="7"/>
      <c r="N300" s="4"/>
      <c r="O300" s="4"/>
      <c r="P300" s="4"/>
      <c r="Q300" s="4"/>
      <c r="R300" s="4"/>
      <c r="S300" s="7"/>
      <c r="T300" s="7"/>
      <c r="U300" s="7"/>
      <c r="V300" s="7"/>
      <c r="W300" s="7"/>
      <c r="X300" s="7"/>
      <c r="Y300" s="4"/>
      <c r="Z300" s="4"/>
      <c r="AA300" s="4"/>
      <c r="AB300" s="4"/>
      <c r="AC300" s="4"/>
      <c r="AD300" s="4"/>
      <c r="AE300" s="28"/>
      <c r="AF300" s="4"/>
      <c r="AG300" s="4"/>
      <c r="AH300" s="4"/>
      <c r="AI300" s="4"/>
      <c r="AJ300" s="4"/>
      <c r="AK300" s="4"/>
      <c r="AL300" s="44"/>
      <c r="AM300" s="8"/>
      <c r="AN300" s="8"/>
      <c r="AO300" s="8"/>
      <c r="AP300" s="8"/>
      <c r="AQ300" s="8"/>
      <c r="AR300" s="8"/>
      <c r="AS300" s="8"/>
      <c r="AT300" s="46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4"/>
      <c r="BV300" s="4"/>
    </row>
    <row r="301" spans="1:74" s="16" customFormat="1" x14ac:dyDescent="0.25">
      <c r="A301" s="26"/>
      <c r="B301" s="6"/>
      <c r="C301" s="7"/>
      <c r="D301" s="7"/>
      <c r="E301" s="7"/>
      <c r="F301" s="7"/>
      <c r="G301" s="7"/>
      <c r="H301" s="7"/>
      <c r="I301" s="4"/>
      <c r="J301" s="7"/>
      <c r="K301" s="7"/>
      <c r="L301" s="7"/>
      <c r="M301" s="7"/>
      <c r="N301" s="4"/>
      <c r="O301" s="4"/>
      <c r="P301" s="4"/>
      <c r="Q301" s="4"/>
      <c r="R301" s="4"/>
      <c r="S301" s="7"/>
      <c r="T301" s="7"/>
      <c r="U301" s="7"/>
      <c r="V301" s="7"/>
      <c r="W301" s="7"/>
      <c r="X301" s="7"/>
      <c r="Y301" s="4"/>
      <c r="Z301" s="4"/>
      <c r="AA301" s="4"/>
      <c r="AB301" s="4"/>
      <c r="AC301" s="4"/>
      <c r="AD301" s="4"/>
      <c r="AE301" s="28"/>
      <c r="AF301" s="4"/>
      <c r="AG301" s="4"/>
      <c r="AH301" s="4"/>
      <c r="AI301" s="4"/>
      <c r="AJ301" s="4"/>
      <c r="AK301" s="4"/>
      <c r="AL301" s="44"/>
      <c r="AM301" s="8"/>
      <c r="AN301" s="8"/>
      <c r="AO301" s="8"/>
      <c r="AP301" s="8"/>
      <c r="AQ301" s="8"/>
      <c r="AR301" s="8"/>
      <c r="AS301" s="8"/>
      <c r="AT301" s="46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4"/>
      <c r="BV301" s="4"/>
    </row>
    <row r="302" spans="1:74" s="16" customFormat="1" x14ac:dyDescent="0.25">
      <c r="A302" s="26"/>
      <c r="B302" s="6"/>
      <c r="C302" s="7"/>
      <c r="D302" s="7"/>
      <c r="E302" s="7"/>
      <c r="F302" s="7"/>
      <c r="G302" s="7"/>
      <c r="H302" s="7"/>
      <c r="I302" s="4"/>
      <c r="J302" s="7"/>
      <c r="K302" s="7"/>
      <c r="L302" s="7"/>
      <c r="M302" s="7"/>
      <c r="N302" s="4"/>
      <c r="O302" s="4"/>
      <c r="P302" s="4"/>
      <c r="Q302" s="4"/>
      <c r="R302" s="4"/>
      <c r="S302" s="7"/>
      <c r="T302" s="7"/>
      <c r="U302" s="7"/>
      <c r="V302" s="7"/>
      <c r="W302" s="7"/>
      <c r="X302" s="7"/>
      <c r="Y302" s="4"/>
      <c r="Z302" s="4"/>
      <c r="AA302" s="4"/>
      <c r="AB302" s="4"/>
      <c r="AC302" s="4"/>
      <c r="AD302" s="4"/>
      <c r="AE302" s="28"/>
      <c r="AF302" s="4"/>
      <c r="AG302" s="4"/>
      <c r="AH302" s="4"/>
      <c r="AI302" s="4"/>
      <c r="AJ302" s="4"/>
      <c r="AK302" s="4"/>
      <c r="AL302" s="44"/>
      <c r="AM302" s="8"/>
      <c r="AN302" s="8"/>
      <c r="AO302" s="8"/>
      <c r="AP302" s="8"/>
      <c r="AQ302" s="8"/>
      <c r="AR302" s="8"/>
      <c r="AS302" s="8"/>
      <c r="AT302" s="46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4"/>
      <c r="BV302" s="4"/>
    </row>
    <row r="303" spans="1:74" s="16" customFormat="1" x14ac:dyDescent="0.25">
      <c r="A303" s="26"/>
      <c r="B303" s="6"/>
      <c r="C303" s="7"/>
      <c r="D303" s="7"/>
      <c r="E303" s="7"/>
      <c r="F303" s="7"/>
      <c r="G303" s="7"/>
      <c r="H303" s="7"/>
      <c r="I303" s="4"/>
      <c r="J303" s="7"/>
      <c r="K303" s="7"/>
      <c r="L303" s="7"/>
      <c r="M303" s="7"/>
      <c r="N303" s="4"/>
      <c r="O303" s="4"/>
      <c r="P303" s="4"/>
      <c r="Q303" s="4"/>
      <c r="R303" s="4"/>
      <c r="S303" s="7"/>
      <c r="T303" s="7"/>
      <c r="U303" s="7"/>
      <c r="V303" s="7"/>
      <c r="W303" s="7"/>
      <c r="X303" s="7"/>
      <c r="Y303" s="4"/>
      <c r="Z303" s="4"/>
      <c r="AA303" s="4"/>
      <c r="AB303" s="4"/>
      <c r="AC303" s="4"/>
      <c r="AD303" s="4"/>
      <c r="AE303" s="28"/>
      <c r="AF303" s="4"/>
      <c r="AG303" s="4"/>
      <c r="AH303" s="4"/>
      <c r="AI303" s="4"/>
      <c r="AJ303" s="4"/>
      <c r="AK303" s="4"/>
      <c r="AL303" s="44"/>
      <c r="AM303" s="8"/>
      <c r="AN303" s="8"/>
      <c r="AO303" s="8"/>
      <c r="AP303" s="8"/>
      <c r="AQ303" s="8"/>
      <c r="AR303" s="8"/>
      <c r="AS303" s="8"/>
      <c r="AT303" s="46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4"/>
      <c r="BV303" s="4"/>
    </row>
    <row r="304" spans="1:74" s="16" customFormat="1" x14ac:dyDescent="0.25">
      <c r="A304" s="26"/>
      <c r="B304" s="6"/>
      <c r="C304" s="7"/>
      <c r="D304" s="7"/>
      <c r="E304" s="7"/>
      <c r="F304" s="7"/>
      <c r="G304" s="7"/>
      <c r="H304" s="7"/>
      <c r="I304" s="4"/>
      <c r="J304" s="7"/>
      <c r="K304" s="7"/>
      <c r="L304" s="7"/>
      <c r="M304" s="7"/>
      <c r="N304" s="4"/>
      <c r="O304" s="4"/>
      <c r="P304" s="4"/>
      <c r="Q304" s="4"/>
      <c r="R304" s="4"/>
      <c r="S304" s="7"/>
      <c r="T304" s="7"/>
      <c r="U304" s="7"/>
      <c r="V304" s="7"/>
      <c r="W304" s="7"/>
      <c r="X304" s="7"/>
      <c r="Y304" s="4"/>
      <c r="Z304" s="4"/>
      <c r="AA304" s="4"/>
      <c r="AB304" s="4"/>
      <c r="AC304" s="4"/>
      <c r="AD304" s="4"/>
      <c r="AE304" s="28"/>
      <c r="AF304" s="4"/>
      <c r="AG304" s="4"/>
      <c r="AH304" s="4"/>
      <c r="AI304" s="4"/>
      <c r="AJ304" s="4"/>
      <c r="AK304" s="4"/>
      <c r="AL304" s="44"/>
      <c r="AM304" s="8"/>
      <c r="AN304" s="8"/>
      <c r="AO304" s="8"/>
      <c r="AP304" s="8"/>
      <c r="AQ304" s="8"/>
      <c r="AR304" s="8"/>
      <c r="AS304" s="8"/>
      <c r="AT304" s="46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4"/>
      <c r="BV304" s="4"/>
    </row>
    <row r="305" spans="1:74" s="16" customFormat="1" x14ac:dyDescent="0.25">
      <c r="A305" s="26"/>
      <c r="B305" s="6"/>
      <c r="C305" s="7"/>
      <c r="D305" s="7"/>
      <c r="E305" s="7"/>
      <c r="F305" s="7"/>
      <c r="G305" s="7"/>
      <c r="H305" s="7"/>
      <c r="I305" s="4"/>
      <c r="J305" s="7"/>
      <c r="K305" s="7"/>
      <c r="L305" s="7"/>
      <c r="M305" s="7"/>
      <c r="N305" s="4"/>
      <c r="O305" s="4"/>
      <c r="P305" s="4"/>
      <c r="Q305" s="4"/>
      <c r="R305" s="4"/>
      <c r="S305" s="7"/>
      <c r="T305" s="7"/>
      <c r="U305" s="7"/>
      <c r="V305" s="7"/>
      <c r="W305" s="7"/>
      <c r="X305" s="7"/>
      <c r="Y305" s="4"/>
      <c r="Z305" s="4"/>
      <c r="AA305" s="4"/>
      <c r="AB305" s="4"/>
      <c r="AC305" s="4"/>
      <c r="AD305" s="4"/>
      <c r="AE305" s="28"/>
      <c r="AF305" s="4"/>
      <c r="AG305" s="4"/>
      <c r="AH305" s="4"/>
      <c r="AI305" s="4"/>
      <c r="AJ305" s="4"/>
      <c r="AK305" s="4"/>
      <c r="AL305" s="44"/>
      <c r="AM305" s="8"/>
      <c r="AN305" s="8"/>
      <c r="AO305" s="8"/>
      <c r="AP305" s="8"/>
      <c r="AQ305" s="8"/>
      <c r="AR305" s="8"/>
      <c r="AS305" s="8"/>
      <c r="AT305" s="46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4"/>
      <c r="BV305" s="4"/>
    </row>
    <row r="306" spans="1:74" s="16" customFormat="1" x14ac:dyDescent="0.25">
      <c r="A306" s="26"/>
      <c r="B306" s="6"/>
      <c r="C306" s="7"/>
      <c r="D306" s="7"/>
      <c r="E306" s="7"/>
      <c r="F306" s="7"/>
      <c r="G306" s="7"/>
      <c r="H306" s="7"/>
      <c r="I306" s="4"/>
      <c r="J306" s="7"/>
      <c r="K306" s="7"/>
      <c r="L306" s="7"/>
      <c r="M306" s="7"/>
      <c r="N306" s="4"/>
      <c r="O306" s="4"/>
      <c r="P306" s="4"/>
      <c r="Q306" s="4"/>
      <c r="R306" s="4"/>
      <c r="S306" s="7"/>
      <c r="T306" s="7"/>
      <c r="U306" s="7"/>
      <c r="V306" s="7"/>
      <c r="W306" s="7"/>
      <c r="X306" s="7"/>
      <c r="Y306" s="4"/>
      <c r="Z306" s="4"/>
      <c r="AA306" s="4"/>
      <c r="AB306" s="4"/>
      <c r="AC306" s="4"/>
      <c r="AD306" s="4"/>
      <c r="AE306" s="28"/>
      <c r="AF306" s="4"/>
      <c r="AG306" s="4"/>
      <c r="AH306" s="4"/>
      <c r="AI306" s="4"/>
      <c r="AJ306" s="4"/>
      <c r="AK306" s="4"/>
      <c r="AL306" s="44"/>
      <c r="AM306" s="8"/>
      <c r="AN306" s="8"/>
      <c r="AO306" s="8"/>
      <c r="AP306" s="8"/>
      <c r="AQ306" s="8"/>
      <c r="AR306" s="8"/>
      <c r="AS306" s="8"/>
      <c r="AT306" s="46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4"/>
      <c r="BV306" s="4"/>
    </row>
    <row r="307" spans="1:74" s="16" customFormat="1" x14ac:dyDescent="0.25">
      <c r="A307" s="26"/>
      <c r="B307" s="6"/>
      <c r="C307" s="7"/>
      <c r="D307" s="7"/>
      <c r="E307" s="7"/>
      <c r="F307" s="7"/>
      <c r="G307" s="7"/>
      <c r="H307" s="7"/>
      <c r="I307" s="4"/>
      <c r="J307" s="7"/>
      <c r="K307" s="7"/>
      <c r="L307" s="7"/>
      <c r="M307" s="7"/>
      <c r="N307" s="4"/>
      <c r="O307" s="4"/>
      <c r="P307" s="4"/>
      <c r="Q307" s="4"/>
      <c r="R307" s="4"/>
      <c r="S307" s="7"/>
      <c r="T307" s="7"/>
      <c r="U307" s="7"/>
      <c r="V307" s="7"/>
      <c r="W307" s="7"/>
      <c r="X307" s="7"/>
      <c r="Y307" s="4"/>
      <c r="Z307" s="4"/>
      <c r="AA307" s="4"/>
      <c r="AB307" s="4"/>
      <c r="AC307" s="4"/>
      <c r="AD307" s="4"/>
      <c r="AE307" s="28"/>
      <c r="AF307" s="4"/>
      <c r="AG307" s="4"/>
      <c r="AH307" s="4"/>
      <c r="AI307" s="4"/>
      <c r="AJ307" s="4"/>
      <c r="AK307" s="4"/>
      <c r="AL307" s="44"/>
      <c r="AM307" s="8"/>
      <c r="AN307" s="8"/>
      <c r="AO307" s="8"/>
      <c r="AP307" s="8"/>
      <c r="AQ307" s="8"/>
      <c r="AR307" s="8"/>
      <c r="AS307" s="8"/>
      <c r="AT307" s="46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4"/>
      <c r="BV307" s="4"/>
    </row>
    <row r="308" spans="1:74" s="16" customFormat="1" x14ac:dyDescent="0.25">
      <c r="A308" s="26"/>
      <c r="B308" s="6"/>
      <c r="C308" s="7"/>
      <c r="D308" s="7"/>
      <c r="E308" s="7"/>
      <c r="F308" s="7"/>
      <c r="G308" s="7"/>
      <c r="H308" s="7"/>
      <c r="I308" s="4"/>
      <c r="J308" s="7"/>
      <c r="K308" s="7"/>
      <c r="L308" s="7"/>
      <c r="M308" s="7"/>
      <c r="N308" s="4"/>
      <c r="O308" s="4"/>
      <c r="P308" s="4"/>
      <c r="Q308" s="4"/>
      <c r="R308" s="4"/>
      <c r="S308" s="7"/>
      <c r="T308" s="7"/>
      <c r="U308" s="7"/>
      <c r="V308" s="7"/>
      <c r="W308" s="7"/>
      <c r="X308" s="7"/>
      <c r="Y308" s="4"/>
      <c r="Z308" s="4"/>
      <c r="AA308" s="4"/>
      <c r="AB308" s="4"/>
      <c r="AC308" s="4"/>
      <c r="AD308" s="4"/>
      <c r="AE308" s="28"/>
      <c r="AF308" s="4"/>
      <c r="AG308" s="4"/>
      <c r="AH308" s="4"/>
      <c r="AI308" s="4"/>
      <c r="AJ308" s="4"/>
      <c r="AK308" s="4"/>
      <c r="AL308" s="44"/>
      <c r="AM308" s="8"/>
      <c r="AN308" s="8"/>
      <c r="AO308" s="8"/>
      <c r="AP308" s="8"/>
      <c r="AQ308" s="8"/>
      <c r="AR308" s="8"/>
      <c r="AS308" s="8"/>
      <c r="AT308" s="46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4"/>
      <c r="BV308" s="4"/>
    </row>
    <row r="309" spans="1:74" s="16" customFormat="1" x14ac:dyDescent="0.25">
      <c r="A309" s="26"/>
      <c r="B309" s="6"/>
      <c r="C309" s="7"/>
      <c r="D309" s="7"/>
      <c r="E309" s="7"/>
      <c r="F309" s="7"/>
      <c r="G309" s="7"/>
      <c r="H309" s="7"/>
      <c r="I309" s="4"/>
      <c r="J309" s="7"/>
      <c r="K309" s="7"/>
      <c r="L309" s="7"/>
      <c r="M309" s="7"/>
      <c r="N309" s="4"/>
      <c r="O309" s="4"/>
      <c r="P309" s="4"/>
      <c r="Q309" s="4"/>
      <c r="R309" s="4"/>
      <c r="S309" s="7"/>
      <c r="T309" s="7"/>
      <c r="U309" s="7"/>
      <c r="V309" s="7"/>
      <c r="W309" s="7"/>
      <c r="X309" s="7"/>
      <c r="Y309" s="4"/>
      <c r="Z309" s="4"/>
      <c r="AA309" s="4"/>
      <c r="AB309" s="4"/>
      <c r="AC309" s="4"/>
      <c r="AD309" s="4"/>
      <c r="AE309" s="28"/>
      <c r="AF309" s="4"/>
      <c r="AG309" s="4"/>
      <c r="AH309" s="4"/>
      <c r="AI309" s="4"/>
      <c r="AJ309" s="4"/>
      <c r="AK309" s="4"/>
      <c r="AL309" s="44"/>
      <c r="AM309" s="8"/>
      <c r="AN309" s="8"/>
      <c r="AO309" s="8"/>
      <c r="AP309" s="8"/>
      <c r="AQ309" s="8"/>
      <c r="AR309" s="8"/>
      <c r="AS309" s="8"/>
      <c r="AT309" s="46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4"/>
      <c r="BV309" s="4"/>
    </row>
    <row r="310" spans="1:74" s="16" customFormat="1" x14ac:dyDescent="0.25">
      <c r="A310" s="26"/>
      <c r="B310" s="6"/>
      <c r="C310" s="7"/>
      <c r="D310" s="7"/>
      <c r="E310" s="7"/>
      <c r="F310" s="7"/>
      <c r="G310" s="7"/>
      <c r="H310" s="7"/>
      <c r="I310" s="4"/>
      <c r="J310" s="7"/>
      <c r="K310" s="7"/>
      <c r="L310" s="7"/>
      <c r="M310" s="7"/>
      <c r="N310" s="4"/>
      <c r="O310" s="4"/>
      <c r="P310" s="4"/>
      <c r="Q310" s="4"/>
      <c r="R310" s="4"/>
      <c r="S310" s="7"/>
      <c r="T310" s="7"/>
      <c r="U310" s="7"/>
      <c r="V310" s="7"/>
      <c r="W310" s="7"/>
      <c r="X310" s="7"/>
      <c r="Y310" s="4"/>
      <c r="Z310" s="4"/>
      <c r="AA310" s="4"/>
      <c r="AB310" s="4"/>
      <c r="AC310" s="4"/>
      <c r="AD310" s="4"/>
      <c r="AE310" s="28"/>
      <c r="AF310" s="4"/>
      <c r="AG310" s="4"/>
      <c r="AH310" s="4"/>
      <c r="AI310" s="4"/>
      <c r="AJ310" s="4"/>
      <c r="AK310" s="4"/>
      <c r="AL310" s="44"/>
      <c r="AM310" s="8"/>
      <c r="AN310" s="8"/>
      <c r="AO310" s="8"/>
      <c r="AP310" s="8"/>
      <c r="AQ310" s="8"/>
      <c r="AR310" s="8"/>
      <c r="AS310" s="8"/>
      <c r="AT310" s="46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4"/>
      <c r="BV310" s="4"/>
    </row>
    <row r="311" spans="1:74" s="16" customFormat="1" x14ac:dyDescent="0.25">
      <c r="A311" s="26"/>
      <c r="B311" s="6"/>
      <c r="C311" s="7"/>
      <c r="D311" s="7"/>
      <c r="E311" s="7"/>
      <c r="F311" s="7"/>
      <c r="G311" s="7"/>
      <c r="H311" s="7"/>
      <c r="I311" s="4"/>
      <c r="J311" s="7"/>
      <c r="K311" s="7"/>
      <c r="L311" s="7"/>
      <c r="M311" s="7"/>
      <c r="N311" s="4"/>
      <c r="O311" s="4"/>
      <c r="P311" s="4"/>
      <c r="Q311" s="4"/>
      <c r="R311" s="4"/>
      <c r="S311" s="7"/>
      <c r="T311" s="7"/>
      <c r="U311" s="7"/>
      <c r="V311" s="7"/>
      <c r="W311" s="7"/>
      <c r="X311" s="7"/>
      <c r="Y311" s="4"/>
      <c r="Z311" s="4"/>
      <c r="AA311" s="4"/>
      <c r="AB311" s="4"/>
      <c r="AC311" s="4"/>
      <c r="AD311" s="4"/>
      <c r="AE311" s="28"/>
      <c r="AF311" s="4"/>
      <c r="AG311" s="4"/>
      <c r="AH311" s="4"/>
      <c r="AI311" s="4"/>
      <c r="AJ311" s="4"/>
      <c r="AK311" s="4"/>
      <c r="AL311" s="44"/>
      <c r="AM311" s="8"/>
      <c r="AN311" s="8"/>
      <c r="AO311" s="8"/>
      <c r="AP311" s="8"/>
      <c r="AQ311" s="8"/>
      <c r="AR311" s="8"/>
      <c r="AS311" s="8"/>
      <c r="AT311" s="46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4"/>
      <c r="BV311" s="4"/>
    </row>
    <row r="312" spans="1:74" s="16" customFormat="1" x14ac:dyDescent="0.25">
      <c r="A312" s="26"/>
      <c r="B312" s="6"/>
      <c r="C312" s="7"/>
      <c r="D312" s="7"/>
      <c r="E312" s="7"/>
      <c r="F312" s="7"/>
      <c r="G312" s="7"/>
      <c r="H312" s="7"/>
      <c r="I312" s="4"/>
      <c r="J312" s="7"/>
      <c r="K312" s="7"/>
      <c r="L312" s="7"/>
      <c r="M312" s="7"/>
      <c r="N312" s="4"/>
      <c r="O312" s="4"/>
      <c r="P312" s="4"/>
      <c r="Q312" s="4"/>
      <c r="R312" s="4"/>
      <c r="S312" s="7"/>
      <c r="T312" s="7"/>
      <c r="U312" s="7"/>
      <c r="V312" s="7"/>
      <c r="W312" s="7"/>
      <c r="X312" s="7"/>
      <c r="Y312" s="4"/>
      <c r="Z312" s="4"/>
      <c r="AA312" s="4"/>
      <c r="AB312" s="4"/>
      <c r="AC312" s="4"/>
      <c r="AD312" s="4"/>
      <c r="AE312" s="28"/>
      <c r="AF312" s="4"/>
      <c r="AG312" s="4"/>
      <c r="AH312" s="4"/>
      <c r="AI312" s="4"/>
      <c r="AJ312" s="4"/>
      <c r="AK312" s="4"/>
      <c r="AL312" s="44"/>
      <c r="AM312" s="8"/>
      <c r="AN312" s="8"/>
      <c r="AO312" s="8"/>
      <c r="AP312" s="8"/>
      <c r="AQ312" s="8"/>
      <c r="AR312" s="8"/>
      <c r="AS312" s="8"/>
      <c r="AT312" s="46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4"/>
      <c r="BV312" s="4"/>
    </row>
    <row r="313" spans="1:74" s="16" customFormat="1" x14ac:dyDescent="0.25">
      <c r="A313" s="26"/>
      <c r="B313" s="6"/>
      <c r="C313" s="7"/>
      <c r="D313" s="7"/>
      <c r="E313" s="7"/>
      <c r="F313" s="7"/>
      <c r="G313" s="7"/>
      <c r="H313" s="7"/>
      <c r="I313" s="4"/>
      <c r="J313" s="7"/>
      <c r="K313" s="7"/>
      <c r="L313" s="7"/>
      <c r="M313" s="7"/>
      <c r="N313" s="4"/>
      <c r="O313" s="4"/>
      <c r="P313" s="4"/>
      <c r="Q313" s="4"/>
      <c r="R313" s="4"/>
      <c r="S313" s="7"/>
      <c r="T313" s="7"/>
      <c r="U313" s="7"/>
      <c r="V313" s="7"/>
      <c r="W313" s="7"/>
      <c r="X313" s="7"/>
      <c r="Y313" s="4"/>
      <c r="Z313" s="4"/>
      <c r="AA313" s="4"/>
      <c r="AB313" s="4"/>
      <c r="AC313" s="4"/>
      <c r="AD313" s="4"/>
      <c r="AE313" s="28"/>
      <c r="AF313" s="4"/>
      <c r="AG313" s="4"/>
      <c r="AH313" s="4"/>
      <c r="AI313" s="4"/>
      <c r="AJ313" s="4"/>
      <c r="AK313" s="4"/>
      <c r="AL313" s="44"/>
      <c r="AM313" s="8"/>
      <c r="AN313" s="8"/>
      <c r="AO313" s="8"/>
      <c r="AP313" s="8"/>
      <c r="AQ313" s="8"/>
      <c r="AR313" s="8"/>
      <c r="AS313" s="8"/>
      <c r="AT313" s="46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4"/>
      <c r="BV313" s="4"/>
    </row>
    <row r="314" spans="1:74" s="16" customFormat="1" x14ac:dyDescent="0.25">
      <c r="A314" s="26"/>
      <c r="B314" s="6"/>
      <c r="C314" s="7"/>
      <c r="D314" s="7"/>
      <c r="E314" s="7"/>
      <c r="F314" s="7"/>
      <c r="G314" s="7"/>
      <c r="H314" s="7"/>
      <c r="I314" s="4"/>
      <c r="J314" s="7"/>
      <c r="K314" s="7"/>
      <c r="L314" s="7"/>
      <c r="M314" s="7"/>
      <c r="N314" s="4"/>
      <c r="O314" s="4"/>
      <c r="P314" s="4"/>
      <c r="Q314" s="4"/>
      <c r="R314" s="4"/>
      <c r="S314" s="7"/>
      <c r="T314" s="7"/>
      <c r="U314" s="7"/>
      <c r="V314" s="7"/>
      <c r="W314" s="7"/>
      <c r="X314" s="7"/>
      <c r="Y314" s="4"/>
      <c r="Z314" s="4"/>
      <c r="AA314" s="4"/>
      <c r="AB314" s="4"/>
      <c r="AC314" s="4"/>
      <c r="AD314" s="4"/>
      <c r="AE314" s="28"/>
      <c r="AF314" s="4"/>
      <c r="AG314" s="4"/>
      <c r="AH314" s="4"/>
      <c r="AI314" s="4"/>
      <c r="AJ314" s="4"/>
      <c r="AK314" s="4"/>
      <c r="AL314" s="44"/>
      <c r="AM314" s="8"/>
      <c r="AN314" s="8"/>
      <c r="AO314" s="8"/>
      <c r="AP314" s="8"/>
      <c r="AQ314" s="8"/>
      <c r="AR314" s="8"/>
      <c r="AS314" s="8"/>
      <c r="AT314" s="46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4"/>
      <c r="BV314" s="4"/>
    </row>
    <row r="315" spans="1:74" s="16" customFormat="1" x14ac:dyDescent="0.25">
      <c r="A315" s="26"/>
      <c r="B315" s="6"/>
      <c r="C315" s="7"/>
      <c r="D315" s="7"/>
      <c r="E315" s="7"/>
      <c r="F315" s="7"/>
      <c r="G315" s="7"/>
      <c r="H315" s="7"/>
      <c r="I315" s="4"/>
      <c r="J315" s="7"/>
      <c r="K315" s="7"/>
      <c r="L315" s="7"/>
      <c r="M315" s="7"/>
      <c r="N315" s="4"/>
      <c r="O315" s="4"/>
      <c r="P315" s="4"/>
      <c r="Q315" s="4"/>
      <c r="R315" s="4"/>
      <c r="S315" s="7"/>
      <c r="T315" s="7"/>
      <c r="U315" s="7"/>
      <c r="V315" s="7"/>
      <c r="W315" s="7"/>
      <c r="X315" s="7"/>
      <c r="Y315" s="4"/>
      <c r="Z315" s="4"/>
      <c r="AA315" s="4"/>
      <c r="AB315" s="4"/>
      <c r="AC315" s="4"/>
      <c r="AD315" s="4"/>
      <c r="AE315" s="28"/>
      <c r="AF315" s="4"/>
      <c r="AG315" s="4"/>
      <c r="AH315" s="4"/>
      <c r="AI315" s="4"/>
      <c r="AJ315" s="4"/>
      <c r="AK315" s="4"/>
      <c r="AL315" s="44"/>
      <c r="AM315" s="8"/>
      <c r="AN315" s="8"/>
      <c r="AO315" s="8"/>
      <c r="AP315" s="8"/>
      <c r="AQ315" s="8"/>
      <c r="AR315" s="8"/>
      <c r="AS315" s="8"/>
      <c r="AT315" s="46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4"/>
      <c r="BV315" s="4"/>
    </row>
    <row r="316" spans="1:74" s="16" customFormat="1" x14ac:dyDescent="0.25">
      <c r="A316" s="26"/>
      <c r="B316" s="6"/>
      <c r="C316" s="7"/>
      <c r="D316" s="7"/>
      <c r="E316" s="7"/>
      <c r="F316" s="7"/>
      <c r="G316" s="7"/>
      <c r="H316" s="7"/>
      <c r="I316" s="4"/>
      <c r="J316" s="7"/>
      <c r="K316" s="7"/>
      <c r="L316" s="7"/>
      <c r="M316" s="7"/>
      <c r="N316" s="4"/>
      <c r="O316" s="4"/>
      <c r="P316" s="4"/>
      <c r="Q316" s="4"/>
      <c r="R316" s="4"/>
      <c r="S316" s="7"/>
      <c r="T316" s="7"/>
      <c r="U316" s="7"/>
      <c r="V316" s="7"/>
      <c r="W316" s="7"/>
      <c r="X316" s="7"/>
      <c r="Y316" s="4"/>
      <c r="Z316" s="4"/>
      <c r="AA316" s="4"/>
      <c r="AB316" s="4"/>
      <c r="AC316" s="4"/>
      <c r="AD316" s="4"/>
      <c r="AE316" s="28"/>
      <c r="AF316" s="4"/>
      <c r="AG316" s="4"/>
      <c r="AH316" s="4"/>
      <c r="AI316" s="4"/>
      <c r="AJ316" s="4"/>
      <c r="AK316" s="4"/>
      <c r="AL316" s="44"/>
      <c r="AM316" s="8"/>
      <c r="AN316" s="8"/>
      <c r="AO316" s="8"/>
      <c r="AP316" s="8"/>
      <c r="AQ316" s="8"/>
      <c r="AR316" s="8"/>
      <c r="AS316" s="8"/>
      <c r="AT316" s="46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4"/>
      <c r="BV316" s="4"/>
    </row>
    <row r="317" spans="1:74" s="16" customFormat="1" x14ac:dyDescent="0.25">
      <c r="A317" s="26"/>
      <c r="B317" s="6"/>
      <c r="C317" s="7"/>
      <c r="D317" s="7"/>
      <c r="E317" s="7"/>
      <c r="F317" s="7"/>
      <c r="G317" s="7"/>
      <c r="H317" s="7"/>
      <c r="I317" s="4"/>
      <c r="J317" s="7"/>
      <c r="K317" s="7"/>
      <c r="L317" s="7"/>
      <c r="M317" s="7"/>
      <c r="N317" s="4"/>
      <c r="O317" s="4"/>
      <c r="P317" s="4"/>
      <c r="Q317" s="4"/>
      <c r="R317" s="4"/>
      <c r="S317" s="7"/>
      <c r="T317" s="7"/>
      <c r="U317" s="7"/>
      <c r="V317" s="7"/>
      <c r="W317" s="7"/>
      <c r="X317" s="7"/>
      <c r="Y317" s="4"/>
      <c r="Z317" s="4"/>
      <c r="AA317" s="4"/>
      <c r="AB317" s="4"/>
      <c r="AC317" s="4"/>
      <c r="AD317" s="4"/>
      <c r="AE317" s="28"/>
      <c r="AF317" s="4"/>
      <c r="AG317" s="4"/>
      <c r="AH317" s="4"/>
      <c r="AI317" s="4"/>
      <c r="AJ317" s="4"/>
      <c r="AK317" s="4"/>
      <c r="AL317" s="44"/>
      <c r="AM317" s="8"/>
      <c r="AN317" s="8"/>
      <c r="AO317" s="8"/>
      <c r="AP317" s="8"/>
      <c r="AQ317" s="8"/>
      <c r="AR317" s="8"/>
      <c r="AS317" s="8"/>
      <c r="AT317" s="46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4"/>
      <c r="BV317" s="4"/>
    </row>
    <row r="318" spans="1:74" s="16" customFormat="1" x14ac:dyDescent="0.25">
      <c r="A318" s="26"/>
      <c r="B318" s="6"/>
      <c r="C318" s="7"/>
      <c r="D318" s="7"/>
      <c r="E318" s="7"/>
      <c r="F318" s="7"/>
      <c r="G318" s="7"/>
      <c r="H318" s="7"/>
      <c r="I318" s="4"/>
      <c r="J318" s="7"/>
      <c r="K318" s="7"/>
      <c r="L318" s="7"/>
      <c r="M318" s="7"/>
      <c r="N318" s="4"/>
      <c r="O318" s="4"/>
      <c r="P318" s="4"/>
      <c r="Q318" s="4"/>
      <c r="R318" s="4"/>
      <c r="S318" s="7"/>
      <c r="T318" s="7"/>
      <c r="U318" s="7"/>
      <c r="V318" s="7"/>
      <c r="W318" s="7"/>
      <c r="X318" s="7"/>
      <c r="Y318" s="4"/>
      <c r="Z318" s="4"/>
      <c r="AA318" s="4"/>
      <c r="AB318" s="4"/>
      <c r="AC318" s="4"/>
      <c r="AD318" s="4"/>
      <c r="AE318" s="28"/>
      <c r="AF318" s="4"/>
      <c r="AG318" s="4"/>
      <c r="AH318" s="4"/>
      <c r="AI318" s="4"/>
      <c r="AJ318" s="4"/>
      <c r="AK318" s="4"/>
      <c r="AL318" s="44"/>
      <c r="AM318" s="8"/>
      <c r="AN318" s="8"/>
      <c r="AO318" s="8"/>
      <c r="AP318" s="8"/>
      <c r="AQ318" s="8"/>
      <c r="AR318" s="8"/>
      <c r="AS318" s="8"/>
      <c r="AT318" s="46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4"/>
      <c r="BV318" s="4"/>
    </row>
    <row r="319" spans="1:74" s="16" customFormat="1" x14ac:dyDescent="0.25">
      <c r="A319" s="26"/>
      <c r="B319" s="6"/>
      <c r="C319" s="7"/>
      <c r="D319" s="7"/>
      <c r="E319" s="7"/>
      <c r="F319" s="7"/>
      <c r="G319" s="7"/>
      <c r="H319" s="7"/>
      <c r="I319" s="4"/>
      <c r="J319" s="7"/>
      <c r="K319" s="7"/>
      <c r="L319" s="7"/>
      <c r="M319" s="7"/>
      <c r="N319" s="4"/>
      <c r="O319" s="4"/>
      <c r="P319" s="4"/>
      <c r="Q319" s="4"/>
      <c r="R319" s="4"/>
      <c r="S319" s="7"/>
      <c r="T319" s="7"/>
      <c r="U319" s="7"/>
      <c r="V319" s="7"/>
      <c r="W319" s="7"/>
      <c r="X319" s="7"/>
      <c r="Y319" s="4"/>
      <c r="Z319" s="4"/>
      <c r="AA319" s="4"/>
      <c r="AB319" s="4"/>
      <c r="AC319" s="4"/>
      <c r="AD319" s="4"/>
      <c r="AE319" s="28"/>
      <c r="AF319" s="4"/>
      <c r="AG319" s="4"/>
      <c r="AH319" s="4"/>
      <c r="AI319" s="4"/>
      <c r="AJ319" s="4"/>
      <c r="AK319" s="4"/>
      <c r="AL319" s="44"/>
      <c r="AM319" s="8"/>
      <c r="AN319" s="8"/>
      <c r="AO319" s="8"/>
      <c r="AP319" s="8"/>
      <c r="AQ319" s="8"/>
      <c r="AR319" s="8"/>
      <c r="AS319" s="8"/>
      <c r="AT319" s="46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4"/>
      <c r="BV319" s="4"/>
    </row>
    <row r="320" spans="1:74" s="16" customFormat="1" x14ac:dyDescent="0.25">
      <c r="A320" s="26"/>
      <c r="B320" s="6"/>
      <c r="C320" s="7"/>
      <c r="D320" s="7"/>
      <c r="E320" s="7"/>
      <c r="F320" s="7"/>
      <c r="G320" s="7"/>
      <c r="H320" s="7"/>
      <c r="I320" s="4"/>
      <c r="J320" s="7"/>
      <c r="K320" s="7"/>
      <c r="L320" s="7"/>
      <c r="M320" s="7"/>
      <c r="N320" s="4"/>
      <c r="O320" s="4"/>
      <c r="P320" s="4"/>
      <c r="Q320" s="4"/>
      <c r="R320" s="4"/>
      <c r="S320" s="7"/>
      <c r="T320" s="7"/>
      <c r="U320" s="7"/>
      <c r="V320" s="7"/>
      <c r="W320" s="7"/>
      <c r="X320" s="7"/>
      <c r="Y320" s="4"/>
      <c r="Z320" s="4"/>
      <c r="AA320" s="4"/>
      <c r="AB320" s="4"/>
      <c r="AC320" s="4"/>
      <c r="AD320" s="4"/>
      <c r="AE320" s="28"/>
      <c r="AF320" s="4"/>
      <c r="AG320" s="4"/>
      <c r="AH320" s="4"/>
      <c r="AI320" s="4"/>
      <c r="AJ320" s="4"/>
      <c r="AK320" s="4"/>
      <c r="AL320" s="44"/>
      <c r="AM320" s="8"/>
      <c r="AN320" s="8"/>
      <c r="AO320" s="8"/>
      <c r="AP320" s="8"/>
      <c r="AQ320" s="8"/>
      <c r="AR320" s="8"/>
      <c r="AS320" s="8"/>
      <c r="AT320" s="46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4"/>
      <c r="BV320" s="4"/>
    </row>
    <row r="321" spans="1:74" s="16" customFormat="1" x14ac:dyDescent="0.25">
      <c r="A321" s="26"/>
      <c r="B321" s="6"/>
      <c r="C321" s="7"/>
      <c r="D321" s="7"/>
      <c r="E321" s="7"/>
      <c r="F321" s="7"/>
      <c r="G321" s="7"/>
      <c r="H321" s="7"/>
      <c r="I321" s="4"/>
      <c r="J321" s="7"/>
      <c r="K321" s="7"/>
      <c r="L321" s="7"/>
      <c r="M321" s="7"/>
      <c r="N321" s="4"/>
      <c r="O321" s="4"/>
      <c r="P321" s="4"/>
      <c r="Q321" s="4"/>
      <c r="R321" s="4"/>
      <c r="S321" s="7"/>
      <c r="T321" s="7"/>
      <c r="U321" s="7"/>
      <c r="V321" s="7"/>
      <c r="W321" s="7"/>
      <c r="X321" s="7"/>
      <c r="Y321" s="4"/>
      <c r="Z321" s="4"/>
      <c r="AA321" s="4"/>
      <c r="AB321" s="4"/>
      <c r="AC321" s="4"/>
      <c r="AD321" s="4"/>
      <c r="AE321" s="28"/>
      <c r="AF321" s="4"/>
      <c r="AG321" s="4"/>
      <c r="AH321" s="4"/>
      <c r="AI321" s="4"/>
      <c r="AJ321" s="4"/>
      <c r="AK321" s="4"/>
      <c r="AL321" s="44"/>
      <c r="AM321" s="8"/>
      <c r="AN321" s="8"/>
      <c r="AO321" s="8"/>
      <c r="AP321" s="8"/>
      <c r="AQ321" s="8"/>
      <c r="AR321" s="8"/>
      <c r="AS321" s="8"/>
      <c r="AT321" s="46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4"/>
      <c r="BV321" s="4"/>
    </row>
    <row r="322" spans="1:74" s="16" customFormat="1" x14ac:dyDescent="0.25">
      <c r="A322" s="26"/>
      <c r="B322" s="6"/>
      <c r="C322" s="7"/>
      <c r="D322" s="7"/>
      <c r="E322" s="7"/>
      <c r="F322" s="7"/>
      <c r="G322" s="7"/>
      <c r="H322" s="7"/>
      <c r="I322" s="4"/>
      <c r="J322" s="7"/>
      <c r="K322" s="7"/>
      <c r="L322" s="7"/>
      <c r="M322" s="7"/>
      <c r="N322" s="4"/>
      <c r="O322" s="4"/>
      <c r="P322" s="4"/>
      <c r="Q322" s="4"/>
      <c r="R322" s="4"/>
      <c r="S322" s="7"/>
      <c r="T322" s="7"/>
      <c r="U322" s="7"/>
      <c r="V322" s="7"/>
      <c r="W322" s="7"/>
      <c r="X322" s="7"/>
      <c r="Y322" s="4"/>
      <c r="Z322" s="4"/>
      <c r="AA322" s="4"/>
      <c r="AB322" s="4"/>
      <c r="AC322" s="4"/>
      <c r="AD322" s="4"/>
      <c r="AE322" s="28"/>
      <c r="AF322" s="4"/>
      <c r="AG322" s="4"/>
      <c r="AH322" s="4"/>
      <c r="AI322" s="4"/>
      <c r="AJ322" s="4"/>
      <c r="AK322" s="4"/>
      <c r="AL322" s="44"/>
      <c r="AM322" s="8"/>
      <c r="AN322" s="8"/>
      <c r="AO322" s="8"/>
      <c r="AP322" s="8"/>
      <c r="AQ322" s="8"/>
      <c r="AR322" s="8"/>
      <c r="AS322" s="8"/>
      <c r="AT322" s="46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4"/>
      <c r="BV322" s="4"/>
    </row>
    <row r="323" spans="1:74" s="16" customFormat="1" x14ac:dyDescent="0.25">
      <c r="A323" s="26"/>
      <c r="B323" s="6"/>
      <c r="C323" s="7"/>
      <c r="D323" s="7"/>
      <c r="E323" s="7"/>
      <c r="F323" s="7"/>
      <c r="G323" s="7"/>
      <c r="H323" s="7"/>
      <c r="I323" s="4"/>
      <c r="J323" s="7"/>
      <c r="K323" s="7"/>
      <c r="L323" s="7"/>
      <c r="M323" s="7"/>
      <c r="N323" s="4"/>
      <c r="O323" s="4"/>
      <c r="P323" s="4"/>
      <c r="Q323" s="4"/>
      <c r="R323" s="4"/>
      <c r="S323" s="7"/>
      <c r="T323" s="7"/>
      <c r="U323" s="7"/>
      <c r="V323" s="7"/>
      <c r="W323" s="7"/>
      <c r="X323" s="7"/>
      <c r="Y323" s="4"/>
      <c r="Z323" s="4"/>
      <c r="AA323" s="4"/>
      <c r="AB323" s="4"/>
      <c r="AC323" s="4"/>
      <c r="AD323" s="4"/>
      <c r="AE323" s="28"/>
      <c r="AF323" s="4"/>
      <c r="AG323" s="4"/>
      <c r="AH323" s="4"/>
      <c r="AI323" s="4"/>
      <c r="AJ323" s="4"/>
      <c r="AK323" s="4"/>
      <c r="AL323" s="44"/>
      <c r="AM323" s="8"/>
      <c r="AN323" s="8"/>
      <c r="AO323" s="8"/>
      <c r="AP323" s="8"/>
      <c r="AQ323" s="8"/>
      <c r="AR323" s="8"/>
      <c r="AS323" s="8"/>
      <c r="AT323" s="46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4"/>
      <c r="BV323" s="4"/>
    </row>
    <row r="324" spans="1:74" s="16" customFormat="1" x14ac:dyDescent="0.25">
      <c r="A324" s="26"/>
      <c r="B324" s="6"/>
      <c r="C324" s="7"/>
      <c r="D324" s="7"/>
      <c r="E324" s="7"/>
      <c r="F324" s="7"/>
      <c r="G324" s="7"/>
      <c r="H324" s="7"/>
      <c r="I324" s="4"/>
      <c r="J324" s="7"/>
      <c r="K324" s="7"/>
      <c r="L324" s="7"/>
      <c r="M324" s="7"/>
      <c r="N324" s="4"/>
      <c r="O324" s="4"/>
      <c r="P324" s="4"/>
      <c r="Q324" s="4"/>
      <c r="R324" s="4"/>
      <c r="S324" s="7"/>
      <c r="T324" s="7"/>
      <c r="U324" s="7"/>
      <c r="V324" s="7"/>
      <c r="W324" s="7"/>
      <c r="X324" s="7"/>
      <c r="Y324" s="4"/>
      <c r="Z324" s="4"/>
      <c r="AA324" s="4"/>
      <c r="AB324" s="4"/>
      <c r="AC324" s="4"/>
      <c r="AD324" s="4"/>
      <c r="AE324" s="28"/>
      <c r="AF324" s="4"/>
      <c r="AG324" s="4"/>
      <c r="AH324" s="4"/>
      <c r="AI324" s="4"/>
      <c r="AJ324" s="4"/>
      <c r="AK324" s="4"/>
      <c r="AL324" s="44"/>
      <c r="AM324" s="8"/>
      <c r="AN324" s="8"/>
      <c r="AO324" s="8"/>
      <c r="AP324" s="8"/>
      <c r="AQ324" s="8"/>
      <c r="AR324" s="8"/>
      <c r="AS324" s="8"/>
      <c r="AT324" s="46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4"/>
      <c r="BV324" s="4"/>
    </row>
    <row r="325" spans="1:74" s="16" customFormat="1" x14ac:dyDescent="0.25">
      <c r="A325" s="26"/>
      <c r="B325" s="6"/>
      <c r="C325" s="7"/>
      <c r="D325" s="7"/>
      <c r="E325" s="7"/>
      <c r="F325" s="7"/>
      <c r="G325" s="7"/>
      <c r="H325" s="7"/>
      <c r="I325" s="4"/>
      <c r="J325" s="7"/>
      <c r="K325" s="7"/>
      <c r="L325" s="7"/>
      <c r="M325" s="7"/>
      <c r="N325" s="4"/>
      <c r="O325" s="4"/>
      <c r="P325" s="4"/>
      <c r="Q325" s="4"/>
      <c r="R325" s="4"/>
      <c r="S325" s="7"/>
      <c r="T325" s="7"/>
      <c r="U325" s="7"/>
      <c r="V325" s="7"/>
      <c r="W325" s="7"/>
      <c r="X325" s="7"/>
      <c r="Y325" s="4"/>
      <c r="Z325" s="4"/>
      <c r="AA325" s="4"/>
      <c r="AB325" s="4"/>
      <c r="AC325" s="4"/>
      <c r="AD325" s="4"/>
      <c r="AE325" s="28"/>
      <c r="AF325" s="4"/>
      <c r="AG325" s="4"/>
      <c r="AH325" s="4"/>
      <c r="AI325" s="4"/>
      <c r="AJ325" s="4"/>
      <c r="AK325" s="4"/>
      <c r="AL325" s="44"/>
      <c r="AM325" s="8"/>
      <c r="AN325" s="8"/>
      <c r="AO325" s="8"/>
      <c r="AP325" s="8"/>
      <c r="AQ325" s="8"/>
      <c r="AR325" s="8"/>
      <c r="AS325" s="8"/>
      <c r="AT325" s="46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4"/>
      <c r="BV325" s="4"/>
    </row>
    <row r="326" spans="1:74" s="16" customFormat="1" x14ac:dyDescent="0.25">
      <c r="A326" s="26"/>
      <c r="B326" s="6"/>
      <c r="C326" s="7"/>
      <c r="D326" s="7"/>
      <c r="E326" s="7"/>
      <c r="F326" s="7"/>
      <c r="G326" s="7"/>
      <c r="H326" s="7"/>
      <c r="I326" s="4"/>
      <c r="J326" s="7"/>
      <c r="K326" s="7"/>
      <c r="L326" s="7"/>
      <c r="M326" s="7"/>
      <c r="N326" s="4"/>
      <c r="O326" s="4"/>
      <c r="P326" s="4"/>
      <c r="Q326" s="4"/>
      <c r="R326" s="4"/>
      <c r="S326" s="7"/>
      <c r="T326" s="7"/>
      <c r="U326" s="7"/>
      <c r="V326" s="7"/>
      <c r="W326" s="7"/>
      <c r="X326" s="7"/>
      <c r="Y326" s="4"/>
      <c r="Z326" s="4"/>
      <c r="AA326" s="4"/>
      <c r="AB326" s="4"/>
      <c r="AC326" s="4"/>
      <c r="AD326" s="4"/>
      <c r="AE326" s="28"/>
      <c r="AF326" s="4"/>
      <c r="AG326" s="4"/>
      <c r="AH326" s="4"/>
      <c r="AI326" s="4"/>
      <c r="AJ326" s="4"/>
      <c r="AK326" s="4"/>
      <c r="AL326" s="44"/>
      <c r="AM326" s="8"/>
      <c r="AN326" s="8"/>
      <c r="AO326" s="8"/>
      <c r="AP326" s="8"/>
      <c r="AQ326" s="8"/>
      <c r="AR326" s="8"/>
      <c r="AS326" s="8"/>
      <c r="AT326" s="46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4"/>
      <c r="BV326" s="4"/>
    </row>
    <row r="327" spans="1:74" s="16" customFormat="1" x14ac:dyDescent="0.25">
      <c r="A327" s="26"/>
      <c r="B327" s="6"/>
      <c r="C327" s="7"/>
      <c r="D327" s="7"/>
      <c r="E327" s="7"/>
      <c r="F327" s="7"/>
      <c r="G327" s="7"/>
      <c r="H327" s="7"/>
      <c r="I327" s="4"/>
      <c r="J327" s="7"/>
      <c r="K327" s="7"/>
      <c r="L327" s="7"/>
      <c r="M327" s="7"/>
      <c r="N327" s="4"/>
      <c r="O327" s="4"/>
      <c r="P327" s="4"/>
      <c r="Q327" s="4"/>
      <c r="R327" s="4"/>
      <c r="S327" s="7"/>
      <c r="T327" s="7"/>
      <c r="U327" s="7"/>
      <c r="V327" s="7"/>
      <c r="W327" s="7"/>
      <c r="X327" s="7"/>
      <c r="Y327" s="4"/>
      <c r="Z327" s="4"/>
      <c r="AA327" s="4"/>
      <c r="AB327" s="4"/>
      <c r="AC327" s="4"/>
      <c r="AD327" s="4"/>
      <c r="AE327" s="28"/>
      <c r="AF327" s="4"/>
      <c r="AG327" s="4"/>
      <c r="AH327" s="4"/>
      <c r="AI327" s="4"/>
      <c r="AJ327" s="4"/>
      <c r="AK327" s="4"/>
      <c r="AL327" s="44"/>
      <c r="AM327" s="8"/>
      <c r="AN327" s="8"/>
      <c r="AO327" s="8"/>
      <c r="AP327" s="8"/>
      <c r="AQ327" s="8"/>
      <c r="AR327" s="8"/>
      <c r="AS327" s="8"/>
      <c r="AT327" s="46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4"/>
      <c r="BV327" s="4"/>
    </row>
    <row r="328" spans="1:74" s="16" customFormat="1" x14ac:dyDescent="0.25">
      <c r="A328" s="26"/>
      <c r="B328" s="6"/>
      <c r="C328" s="7"/>
      <c r="D328" s="7"/>
      <c r="E328" s="7"/>
      <c r="F328" s="7"/>
      <c r="G328" s="7"/>
      <c r="H328" s="7"/>
      <c r="I328" s="4"/>
      <c r="J328" s="7"/>
      <c r="K328" s="7"/>
      <c r="L328" s="7"/>
      <c r="M328" s="7"/>
      <c r="N328" s="4"/>
      <c r="O328" s="4"/>
      <c r="P328" s="4"/>
      <c r="Q328" s="4"/>
      <c r="R328" s="4"/>
      <c r="S328" s="7"/>
      <c r="T328" s="7"/>
      <c r="U328" s="7"/>
      <c r="V328" s="7"/>
      <c r="W328" s="7"/>
      <c r="X328" s="7"/>
      <c r="Y328" s="4"/>
      <c r="Z328" s="4"/>
      <c r="AA328" s="4"/>
      <c r="AB328" s="4"/>
      <c r="AC328" s="4"/>
      <c r="AD328" s="4"/>
      <c r="AE328" s="28"/>
      <c r="AF328" s="4"/>
      <c r="AG328" s="4"/>
      <c r="AH328" s="4"/>
      <c r="AI328" s="4"/>
      <c r="AJ328" s="4"/>
      <c r="AK328" s="4"/>
      <c r="AL328" s="44"/>
      <c r="AM328" s="8"/>
      <c r="AN328" s="8"/>
      <c r="AO328" s="8"/>
      <c r="AP328" s="8"/>
      <c r="AQ328" s="8"/>
      <c r="AR328" s="8"/>
      <c r="AS328" s="8"/>
      <c r="AT328" s="46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4"/>
      <c r="BV328" s="4"/>
    </row>
    <row r="329" spans="1:74" s="16" customFormat="1" x14ac:dyDescent="0.25">
      <c r="A329" s="26"/>
      <c r="B329" s="6"/>
      <c r="C329" s="7"/>
      <c r="D329" s="7"/>
      <c r="E329" s="7"/>
      <c r="F329" s="7"/>
      <c r="G329" s="7"/>
      <c r="H329" s="7"/>
      <c r="I329" s="4"/>
      <c r="J329" s="7"/>
      <c r="K329" s="7"/>
      <c r="L329" s="7"/>
      <c r="M329" s="7"/>
      <c r="N329" s="4"/>
      <c r="O329" s="4"/>
      <c r="P329" s="4"/>
      <c r="Q329" s="4"/>
      <c r="R329" s="4"/>
      <c r="S329" s="7"/>
      <c r="T329" s="7"/>
      <c r="U329" s="7"/>
      <c r="V329" s="7"/>
      <c r="W329" s="7"/>
      <c r="X329" s="7"/>
      <c r="Y329" s="4"/>
      <c r="Z329" s="4"/>
      <c r="AA329" s="4"/>
      <c r="AB329" s="4"/>
      <c r="AC329" s="4"/>
      <c r="AD329" s="4"/>
      <c r="AE329" s="28"/>
      <c r="AF329" s="4"/>
      <c r="AG329" s="4"/>
      <c r="AH329" s="4"/>
      <c r="AI329" s="4"/>
      <c r="AJ329" s="4"/>
      <c r="AK329" s="4"/>
      <c r="AL329" s="44"/>
      <c r="AM329" s="8"/>
      <c r="AN329" s="8"/>
      <c r="AO329" s="8"/>
      <c r="AP329" s="8"/>
      <c r="AQ329" s="8"/>
      <c r="AR329" s="8"/>
      <c r="AS329" s="8"/>
      <c r="AT329" s="46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4"/>
      <c r="BV329" s="4"/>
    </row>
    <row r="330" spans="1:74" s="16" customFormat="1" x14ac:dyDescent="0.25">
      <c r="A330" s="26"/>
      <c r="B330" s="6"/>
      <c r="C330" s="7"/>
      <c r="D330" s="7"/>
      <c r="E330" s="7"/>
      <c r="F330" s="7"/>
      <c r="G330" s="7"/>
      <c r="H330" s="7"/>
      <c r="I330" s="4"/>
      <c r="J330" s="7"/>
      <c r="K330" s="7"/>
      <c r="L330" s="7"/>
      <c r="M330" s="7"/>
      <c r="N330" s="4"/>
      <c r="O330" s="4"/>
      <c r="P330" s="4"/>
      <c r="Q330" s="4"/>
      <c r="R330" s="4"/>
      <c r="S330" s="7"/>
      <c r="T330" s="7"/>
      <c r="U330" s="7"/>
      <c r="V330" s="7"/>
      <c r="W330" s="7"/>
      <c r="X330" s="7"/>
      <c r="Y330" s="4"/>
      <c r="Z330" s="4"/>
      <c r="AA330" s="4"/>
      <c r="AB330" s="4"/>
      <c r="AC330" s="4"/>
      <c r="AD330" s="4"/>
      <c r="AE330" s="28"/>
      <c r="AF330" s="4"/>
      <c r="AG330" s="4"/>
      <c r="AH330" s="4"/>
      <c r="AI330" s="4"/>
      <c r="AJ330" s="4"/>
      <c r="AK330" s="4"/>
      <c r="AL330" s="44"/>
      <c r="AM330" s="8"/>
      <c r="AN330" s="8"/>
      <c r="AO330" s="8"/>
      <c r="AP330" s="8"/>
      <c r="AQ330" s="8"/>
      <c r="AR330" s="8"/>
      <c r="AS330" s="8"/>
      <c r="AT330" s="46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4"/>
      <c r="BV330" s="4"/>
    </row>
    <row r="331" spans="1:74" s="16" customFormat="1" x14ac:dyDescent="0.25">
      <c r="A331" s="26"/>
      <c r="B331" s="6"/>
      <c r="C331" s="7"/>
      <c r="D331" s="7"/>
      <c r="E331" s="7"/>
      <c r="F331" s="7"/>
      <c r="G331" s="7"/>
      <c r="H331" s="7"/>
      <c r="I331" s="4"/>
      <c r="J331" s="7"/>
      <c r="K331" s="7"/>
      <c r="L331" s="7"/>
      <c r="M331" s="7"/>
      <c r="N331" s="4"/>
      <c r="O331" s="4"/>
      <c r="P331" s="4"/>
      <c r="Q331" s="4"/>
      <c r="R331" s="4"/>
      <c r="S331" s="7"/>
      <c r="T331" s="7"/>
      <c r="U331" s="7"/>
      <c r="V331" s="7"/>
      <c r="W331" s="7"/>
      <c r="X331" s="7"/>
      <c r="Y331" s="4"/>
      <c r="Z331" s="4"/>
      <c r="AA331" s="4"/>
      <c r="AB331" s="4"/>
      <c r="AC331" s="4"/>
      <c r="AD331" s="4"/>
      <c r="AE331" s="28"/>
      <c r="AF331" s="4"/>
      <c r="AG331" s="4"/>
      <c r="AH331" s="4"/>
      <c r="AI331" s="4"/>
      <c r="AJ331" s="4"/>
      <c r="AK331" s="4"/>
      <c r="AL331" s="44"/>
      <c r="AM331" s="8"/>
      <c r="AN331" s="8"/>
      <c r="AO331" s="8"/>
      <c r="AP331" s="8"/>
      <c r="AQ331" s="8"/>
      <c r="AR331" s="8"/>
      <c r="AS331" s="8"/>
      <c r="AT331" s="46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4"/>
      <c r="BV331" s="4"/>
    </row>
    <row r="332" spans="1:74" s="16" customFormat="1" x14ac:dyDescent="0.25">
      <c r="A332" s="26"/>
      <c r="B332" s="6"/>
      <c r="C332" s="7"/>
      <c r="D332" s="7"/>
      <c r="E332" s="7"/>
      <c r="F332" s="7"/>
      <c r="G332" s="7"/>
      <c r="H332" s="7"/>
      <c r="I332" s="4"/>
      <c r="J332" s="7"/>
      <c r="K332" s="7"/>
      <c r="L332" s="7"/>
      <c r="M332" s="7"/>
      <c r="N332" s="4"/>
      <c r="O332" s="4"/>
      <c r="P332" s="4"/>
      <c r="Q332" s="4"/>
      <c r="R332" s="4"/>
      <c r="S332" s="7"/>
      <c r="T332" s="7"/>
      <c r="U332" s="7"/>
      <c r="V332" s="7"/>
      <c r="W332" s="7"/>
      <c r="X332" s="7"/>
      <c r="Y332" s="4"/>
      <c r="Z332" s="4"/>
      <c r="AA332" s="4"/>
      <c r="AB332" s="4"/>
      <c r="AC332" s="4"/>
      <c r="AD332" s="4"/>
      <c r="AE332" s="28"/>
      <c r="AF332" s="4"/>
      <c r="AG332" s="4"/>
      <c r="AH332" s="4"/>
      <c r="AI332" s="4"/>
      <c r="AJ332" s="4"/>
      <c r="AK332" s="4"/>
      <c r="AL332" s="44"/>
      <c r="AM332" s="8"/>
      <c r="AN332" s="8"/>
      <c r="AO332" s="8"/>
      <c r="AP332" s="8"/>
      <c r="AQ332" s="8"/>
      <c r="AR332" s="8"/>
      <c r="AS332" s="8"/>
      <c r="AT332" s="46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4"/>
      <c r="BV332" s="4"/>
    </row>
    <row r="333" spans="1:74" s="16" customFormat="1" x14ac:dyDescent="0.25">
      <c r="A333" s="26"/>
      <c r="B333" s="6"/>
      <c r="C333" s="7"/>
      <c r="D333" s="7"/>
      <c r="E333" s="7"/>
      <c r="F333" s="7"/>
      <c r="G333" s="7"/>
      <c r="H333" s="7"/>
      <c r="I333" s="4"/>
      <c r="J333" s="7"/>
      <c r="K333" s="7"/>
      <c r="L333" s="7"/>
      <c r="M333" s="7"/>
      <c r="N333" s="4"/>
      <c r="O333" s="4"/>
      <c r="P333" s="4"/>
      <c r="Q333" s="4"/>
      <c r="R333" s="4"/>
      <c r="S333" s="7"/>
      <c r="T333" s="7"/>
      <c r="U333" s="7"/>
      <c r="V333" s="7"/>
      <c r="W333" s="7"/>
      <c r="X333" s="7"/>
      <c r="Y333" s="4"/>
      <c r="Z333" s="4"/>
      <c r="AA333" s="4"/>
      <c r="AB333" s="4"/>
      <c r="AC333" s="4"/>
      <c r="AD333" s="4"/>
      <c r="AE333" s="28"/>
      <c r="AF333" s="4"/>
      <c r="AG333" s="4"/>
      <c r="AH333" s="4"/>
      <c r="AI333" s="4"/>
      <c r="AJ333" s="4"/>
      <c r="AK333" s="4"/>
      <c r="AL333" s="44"/>
      <c r="AM333" s="8"/>
      <c r="AN333" s="8"/>
      <c r="AO333" s="8"/>
      <c r="AP333" s="8"/>
      <c r="AQ333" s="8"/>
      <c r="AR333" s="8"/>
      <c r="AS333" s="8"/>
      <c r="AT333" s="46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4"/>
      <c r="BV333" s="4"/>
    </row>
    <row r="334" spans="1:74" s="16" customFormat="1" x14ac:dyDescent="0.25">
      <c r="A334" s="26"/>
      <c r="B334" s="6"/>
      <c r="C334" s="7"/>
      <c r="D334" s="7"/>
      <c r="E334" s="7"/>
      <c r="F334" s="7"/>
      <c r="G334" s="7"/>
      <c r="H334" s="7"/>
      <c r="I334" s="4"/>
      <c r="J334" s="7"/>
      <c r="K334" s="7"/>
      <c r="L334" s="7"/>
      <c r="M334" s="7"/>
      <c r="N334" s="4"/>
      <c r="O334" s="4"/>
      <c r="P334" s="4"/>
      <c r="Q334" s="4"/>
      <c r="R334" s="4"/>
      <c r="S334" s="7"/>
      <c r="T334" s="7"/>
      <c r="U334" s="7"/>
      <c r="V334" s="7"/>
      <c r="W334" s="7"/>
      <c r="X334" s="7"/>
      <c r="Y334" s="4"/>
      <c r="Z334" s="4"/>
      <c r="AA334" s="4"/>
      <c r="AB334" s="4"/>
      <c r="AC334" s="4"/>
      <c r="AD334" s="4"/>
      <c r="AE334" s="28"/>
      <c r="AF334" s="4"/>
      <c r="AG334" s="4"/>
      <c r="AH334" s="4"/>
      <c r="AI334" s="4"/>
      <c r="AJ334" s="4"/>
      <c r="AK334" s="4"/>
      <c r="AL334" s="44"/>
      <c r="AM334" s="8"/>
      <c r="AN334" s="8"/>
      <c r="AO334" s="8"/>
      <c r="AP334" s="8"/>
      <c r="AQ334" s="8"/>
      <c r="AR334" s="8"/>
      <c r="AS334" s="8"/>
      <c r="AT334" s="46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4"/>
      <c r="BV334" s="4"/>
    </row>
    <row r="335" spans="1:74" s="16" customFormat="1" x14ac:dyDescent="0.25">
      <c r="A335" s="26"/>
      <c r="B335" s="6"/>
      <c r="C335" s="7"/>
      <c r="D335" s="7"/>
      <c r="E335" s="7"/>
      <c r="F335" s="7"/>
      <c r="G335" s="7"/>
      <c r="H335" s="7"/>
      <c r="I335" s="4"/>
      <c r="J335" s="7"/>
      <c r="K335" s="7"/>
      <c r="L335" s="7"/>
      <c r="M335" s="7"/>
      <c r="N335" s="4"/>
      <c r="O335" s="4"/>
      <c r="P335" s="4"/>
      <c r="Q335" s="4"/>
      <c r="R335" s="4"/>
      <c r="S335" s="7"/>
      <c r="T335" s="7"/>
      <c r="U335" s="7"/>
      <c r="V335" s="7"/>
      <c r="W335" s="7"/>
      <c r="X335" s="7"/>
      <c r="Y335" s="4"/>
      <c r="Z335" s="4"/>
      <c r="AA335" s="4"/>
      <c r="AB335" s="4"/>
      <c r="AC335" s="4"/>
      <c r="AD335" s="4"/>
      <c r="AE335" s="28"/>
      <c r="AF335" s="4"/>
      <c r="AG335" s="4"/>
      <c r="AH335" s="4"/>
      <c r="AI335" s="4"/>
      <c r="AJ335" s="4"/>
      <c r="AK335" s="4"/>
      <c r="AL335" s="44"/>
      <c r="AM335" s="8"/>
      <c r="AN335" s="8"/>
      <c r="AO335" s="8"/>
      <c r="AP335" s="8"/>
      <c r="AQ335" s="8"/>
      <c r="AR335" s="8"/>
      <c r="AS335" s="8"/>
      <c r="AT335" s="46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4"/>
      <c r="BV335" s="4"/>
    </row>
    <row r="336" spans="1:74" s="16" customFormat="1" x14ac:dyDescent="0.25">
      <c r="A336" s="26"/>
      <c r="B336" s="6"/>
      <c r="C336" s="7"/>
      <c r="D336" s="7"/>
      <c r="E336" s="7"/>
      <c r="F336" s="7"/>
      <c r="G336" s="7"/>
      <c r="H336" s="7"/>
      <c r="I336" s="4"/>
      <c r="J336" s="7"/>
      <c r="K336" s="7"/>
      <c r="L336" s="7"/>
      <c r="M336" s="7"/>
      <c r="N336" s="4"/>
      <c r="O336" s="4"/>
      <c r="P336" s="4"/>
      <c r="Q336" s="4"/>
      <c r="R336" s="4"/>
      <c r="S336" s="7"/>
      <c r="T336" s="7"/>
      <c r="U336" s="7"/>
      <c r="V336" s="7"/>
      <c r="W336" s="7"/>
      <c r="X336" s="7"/>
      <c r="Y336" s="4"/>
      <c r="Z336" s="4"/>
      <c r="AA336" s="4"/>
      <c r="AB336" s="4"/>
      <c r="AC336" s="4"/>
      <c r="AD336" s="4"/>
      <c r="AE336" s="28"/>
      <c r="AF336" s="4"/>
      <c r="AG336" s="4"/>
      <c r="AH336" s="4"/>
      <c r="AI336" s="4"/>
      <c r="AJ336" s="4"/>
      <c r="AK336" s="4"/>
      <c r="AL336" s="44"/>
      <c r="AM336" s="8"/>
      <c r="AN336" s="8"/>
      <c r="AO336" s="8"/>
      <c r="AP336" s="8"/>
      <c r="AQ336" s="8"/>
      <c r="AR336" s="8"/>
      <c r="AS336" s="8"/>
      <c r="AT336" s="46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4"/>
      <c r="BV336" s="4"/>
    </row>
    <row r="337" spans="1:74" s="16" customFormat="1" x14ac:dyDescent="0.25">
      <c r="A337" s="26"/>
      <c r="B337" s="6"/>
      <c r="C337" s="7"/>
      <c r="D337" s="7"/>
      <c r="E337" s="7"/>
      <c r="F337" s="7"/>
      <c r="G337" s="7"/>
      <c r="H337" s="7"/>
      <c r="I337" s="4"/>
      <c r="J337" s="7"/>
      <c r="K337" s="7"/>
      <c r="L337" s="7"/>
      <c r="M337" s="7"/>
      <c r="N337" s="4"/>
      <c r="O337" s="4"/>
      <c r="P337" s="4"/>
      <c r="Q337" s="4"/>
      <c r="R337" s="4"/>
      <c r="S337" s="7"/>
      <c r="T337" s="7"/>
      <c r="U337" s="7"/>
      <c r="V337" s="7"/>
      <c r="W337" s="7"/>
      <c r="X337" s="7"/>
      <c r="Y337" s="4"/>
      <c r="Z337" s="4"/>
      <c r="AA337" s="4"/>
      <c r="AB337" s="4"/>
      <c r="AC337" s="4"/>
      <c r="AD337" s="4"/>
      <c r="AE337" s="28"/>
      <c r="AF337" s="4"/>
      <c r="AG337" s="4"/>
      <c r="AH337" s="4"/>
      <c r="AI337" s="4"/>
      <c r="AJ337" s="4"/>
      <c r="AK337" s="4"/>
      <c r="AL337" s="44"/>
      <c r="AM337" s="8"/>
      <c r="AN337" s="8"/>
      <c r="AO337" s="8"/>
      <c r="AP337" s="8"/>
      <c r="AQ337" s="8"/>
      <c r="AR337" s="8"/>
      <c r="AS337" s="8"/>
      <c r="AT337" s="46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4"/>
      <c r="BV337" s="4"/>
    </row>
    <row r="338" spans="1:74" s="16" customFormat="1" x14ac:dyDescent="0.25">
      <c r="A338" s="26"/>
      <c r="B338" s="6"/>
      <c r="C338" s="7"/>
      <c r="D338" s="7"/>
      <c r="E338" s="7"/>
      <c r="F338" s="7"/>
      <c r="G338" s="7"/>
      <c r="H338" s="7"/>
      <c r="I338" s="4"/>
      <c r="J338" s="7"/>
      <c r="K338" s="7"/>
      <c r="L338" s="7"/>
      <c r="M338" s="7"/>
      <c r="N338" s="4"/>
      <c r="O338" s="4"/>
      <c r="P338" s="4"/>
      <c r="Q338" s="4"/>
      <c r="R338" s="4"/>
      <c r="S338" s="7"/>
      <c r="T338" s="7"/>
      <c r="U338" s="7"/>
      <c r="V338" s="7"/>
      <c r="W338" s="7"/>
      <c r="X338" s="7"/>
      <c r="Y338" s="4"/>
      <c r="Z338" s="4"/>
      <c r="AA338" s="4"/>
      <c r="AB338" s="4"/>
      <c r="AC338" s="4"/>
      <c r="AD338" s="4"/>
      <c r="AE338" s="28"/>
      <c r="AF338" s="4"/>
      <c r="AG338" s="4"/>
      <c r="AH338" s="4"/>
      <c r="AI338" s="4"/>
      <c r="AJ338" s="4"/>
      <c r="AK338" s="4"/>
      <c r="AL338" s="44"/>
      <c r="AM338" s="8"/>
      <c r="AN338" s="8"/>
      <c r="AO338" s="8"/>
      <c r="AP338" s="8"/>
      <c r="AQ338" s="8"/>
      <c r="AR338" s="8"/>
      <c r="AS338" s="8"/>
      <c r="AT338" s="46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4"/>
      <c r="BV338" s="4"/>
    </row>
    <row r="339" spans="1:74" s="16" customFormat="1" x14ac:dyDescent="0.25">
      <c r="A339" s="26"/>
      <c r="B339" s="6"/>
      <c r="C339" s="7"/>
      <c r="D339" s="7"/>
      <c r="E339" s="7"/>
      <c r="F339" s="7"/>
      <c r="G339" s="7"/>
      <c r="H339" s="7"/>
      <c r="I339" s="4"/>
      <c r="J339" s="7"/>
      <c r="K339" s="7"/>
      <c r="L339" s="7"/>
      <c r="M339" s="7"/>
      <c r="N339" s="4"/>
      <c r="O339" s="4"/>
      <c r="P339" s="4"/>
      <c r="Q339" s="4"/>
      <c r="R339" s="4"/>
      <c r="S339" s="7"/>
      <c r="T339" s="7"/>
      <c r="U339" s="7"/>
      <c r="V339" s="7"/>
      <c r="W339" s="7"/>
      <c r="X339" s="7"/>
      <c r="Y339" s="4"/>
      <c r="Z339" s="4"/>
      <c r="AA339" s="4"/>
      <c r="AB339" s="4"/>
      <c r="AC339" s="4"/>
      <c r="AD339" s="4"/>
      <c r="AE339" s="28"/>
      <c r="AF339" s="4"/>
      <c r="AG339" s="4"/>
      <c r="AH339" s="4"/>
      <c r="AI339" s="4"/>
      <c r="AJ339" s="4"/>
      <c r="AK339" s="4"/>
      <c r="AL339" s="44"/>
      <c r="AM339" s="8"/>
      <c r="AN339" s="8"/>
      <c r="AO339" s="8"/>
      <c r="AP339" s="8"/>
      <c r="AQ339" s="8"/>
      <c r="AR339" s="8"/>
      <c r="AS339" s="8"/>
      <c r="AT339" s="46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4"/>
      <c r="BV339" s="4"/>
    </row>
    <row r="340" spans="1:74" s="16" customFormat="1" x14ac:dyDescent="0.25">
      <c r="A340" s="26"/>
      <c r="B340" s="6"/>
      <c r="C340" s="7"/>
      <c r="D340" s="7"/>
      <c r="E340" s="7"/>
      <c r="F340" s="7"/>
      <c r="G340" s="7"/>
      <c r="H340" s="7"/>
      <c r="I340" s="4"/>
      <c r="J340" s="7"/>
      <c r="K340" s="7"/>
      <c r="L340" s="7"/>
      <c r="M340" s="7"/>
      <c r="N340" s="4"/>
      <c r="O340" s="4"/>
      <c r="P340" s="4"/>
      <c r="Q340" s="4"/>
      <c r="R340" s="4"/>
      <c r="S340" s="7"/>
      <c r="T340" s="7"/>
      <c r="U340" s="7"/>
      <c r="V340" s="7"/>
      <c r="W340" s="7"/>
      <c r="X340" s="7"/>
      <c r="Y340" s="4"/>
      <c r="Z340" s="4"/>
      <c r="AA340" s="4"/>
      <c r="AB340" s="4"/>
      <c r="AC340" s="4"/>
      <c r="AD340" s="4"/>
      <c r="AE340" s="28"/>
      <c r="AF340" s="4"/>
      <c r="AG340" s="4"/>
      <c r="AH340" s="4"/>
      <c r="AI340" s="4"/>
      <c r="AJ340" s="4"/>
      <c r="AK340" s="4"/>
      <c r="AL340" s="44"/>
      <c r="AM340" s="8"/>
      <c r="AN340" s="8"/>
      <c r="AO340" s="8"/>
      <c r="AP340" s="8"/>
      <c r="AQ340" s="8"/>
      <c r="AR340" s="8"/>
      <c r="AS340" s="8"/>
      <c r="AT340" s="46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4"/>
      <c r="BV340" s="4"/>
    </row>
    <row r="341" spans="1:74" s="16" customFormat="1" x14ac:dyDescent="0.25">
      <c r="A341" s="26"/>
      <c r="B341" s="6"/>
      <c r="C341" s="7"/>
      <c r="D341" s="7"/>
      <c r="E341" s="7"/>
      <c r="F341" s="7"/>
      <c r="G341" s="7"/>
      <c r="H341" s="7"/>
      <c r="I341" s="4"/>
      <c r="J341" s="7"/>
      <c r="K341" s="7"/>
      <c r="L341" s="7"/>
      <c r="M341" s="7"/>
      <c r="N341" s="4"/>
      <c r="O341" s="4"/>
      <c r="P341" s="4"/>
      <c r="Q341" s="4"/>
      <c r="R341" s="4"/>
      <c r="S341" s="7"/>
      <c r="T341" s="7"/>
      <c r="U341" s="7"/>
      <c r="V341" s="7"/>
      <c r="W341" s="7"/>
      <c r="X341" s="7"/>
      <c r="Y341" s="4"/>
      <c r="Z341" s="4"/>
      <c r="AA341" s="4"/>
      <c r="AB341" s="4"/>
      <c r="AC341" s="4"/>
      <c r="AD341" s="4"/>
      <c r="AE341" s="28"/>
      <c r="AF341" s="4"/>
      <c r="AG341" s="4"/>
      <c r="AH341" s="4"/>
      <c r="AI341" s="4"/>
      <c r="AJ341" s="4"/>
      <c r="AK341" s="4"/>
      <c r="AL341" s="44"/>
      <c r="AM341" s="8"/>
      <c r="AN341" s="8"/>
      <c r="AO341" s="8"/>
      <c r="AP341" s="8"/>
      <c r="AQ341" s="8"/>
      <c r="AR341" s="8"/>
      <c r="AS341" s="8"/>
      <c r="AT341" s="46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4"/>
      <c r="BV341" s="4"/>
    </row>
    <row r="342" spans="1:74" s="16" customFormat="1" x14ac:dyDescent="0.25">
      <c r="A342" s="26"/>
      <c r="B342" s="6"/>
      <c r="C342" s="7"/>
      <c r="D342" s="7"/>
      <c r="E342" s="7"/>
      <c r="F342" s="7"/>
      <c r="G342" s="7"/>
      <c r="H342" s="7"/>
      <c r="I342" s="4"/>
      <c r="J342" s="7"/>
      <c r="K342" s="7"/>
      <c r="L342" s="7"/>
      <c r="M342" s="7"/>
      <c r="N342" s="4"/>
      <c r="O342" s="4"/>
      <c r="P342" s="4"/>
      <c r="Q342" s="4"/>
      <c r="R342" s="4"/>
      <c r="S342" s="7"/>
      <c r="T342" s="7"/>
      <c r="U342" s="7"/>
      <c r="V342" s="7"/>
      <c r="W342" s="7"/>
      <c r="X342" s="7"/>
      <c r="Y342" s="4"/>
      <c r="Z342" s="4"/>
      <c r="AA342" s="4"/>
      <c r="AB342" s="4"/>
      <c r="AC342" s="4"/>
      <c r="AD342" s="4"/>
      <c r="AE342" s="28"/>
      <c r="AF342" s="4"/>
      <c r="AG342" s="4"/>
      <c r="AH342" s="4"/>
      <c r="AI342" s="4"/>
      <c r="AJ342" s="4"/>
      <c r="AK342" s="4"/>
      <c r="AL342" s="44"/>
      <c r="AM342" s="8"/>
      <c r="AN342" s="8"/>
      <c r="AO342" s="8"/>
      <c r="AP342" s="8"/>
      <c r="AQ342" s="8"/>
      <c r="AR342" s="8"/>
      <c r="AS342" s="8"/>
      <c r="AT342" s="46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4"/>
      <c r="BV342" s="4"/>
    </row>
    <row r="343" spans="1:74" s="16" customFormat="1" x14ac:dyDescent="0.25">
      <c r="A343" s="26"/>
      <c r="B343" s="6"/>
      <c r="C343" s="7"/>
      <c r="D343" s="7"/>
      <c r="E343" s="7"/>
      <c r="F343" s="7"/>
      <c r="G343" s="7"/>
      <c r="H343" s="7"/>
      <c r="I343" s="4"/>
      <c r="J343" s="7"/>
      <c r="K343" s="7"/>
      <c r="L343" s="7"/>
      <c r="M343" s="7"/>
      <c r="N343" s="4"/>
      <c r="O343" s="4"/>
      <c r="P343" s="4"/>
      <c r="Q343" s="4"/>
      <c r="R343" s="4"/>
      <c r="S343" s="7"/>
      <c r="T343" s="7"/>
      <c r="U343" s="7"/>
      <c r="V343" s="7"/>
      <c r="W343" s="7"/>
      <c r="X343" s="7"/>
      <c r="Y343" s="4"/>
      <c r="Z343" s="4"/>
      <c r="AA343" s="4"/>
      <c r="AB343" s="4"/>
      <c r="AC343" s="4"/>
      <c r="AD343" s="4"/>
      <c r="AE343" s="28"/>
      <c r="AF343" s="4"/>
      <c r="AG343" s="4"/>
      <c r="AH343" s="4"/>
      <c r="AI343" s="4"/>
      <c r="AJ343" s="4"/>
      <c r="AK343" s="4"/>
      <c r="AL343" s="44"/>
      <c r="AM343" s="8"/>
      <c r="AN343" s="8"/>
      <c r="AO343" s="8"/>
      <c r="AP343" s="8"/>
      <c r="AQ343" s="8"/>
      <c r="AR343" s="8"/>
      <c r="AS343" s="8"/>
      <c r="AT343" s="46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4"/>
      <c r="BV343" s="4"/>
    </row>
    <row r="344" spans="1:74" s="16" customFormat="1" x14ac:dyDescent="0.25">
      <c r="A344" s="26"/>
      <c r="B344" s="6"/>
      <c r="C344" s="7"/>
      <c r="D344" s="7"/>
      <c r="E344" s="7"/>
      <c r="F344" s="7"/>
      <c r="G344" s="7"/>
      <c r="H344" s="7"/>
      <c r="I344" s="4"/>
      <c r="J344" s="7"/>
      <c r="K344" s="7"/>
      <c r="L344" s="7"/>
      <c r="M344" s="7"/>
      <c r="N344" s="4"/>
      <c r="O344" s="4"/>
      <c r="P344" s="4"/>
      <c r="Q344" s="4"/>
      <c r="R344" s="4"/>
      <c r="S344" s="7"/>
      <c r="T344" s="7"/>
      <c r="U344" s="7"/>
      <c r="V344" s="7"/>
      <c r="W344" s="7"/>
      <c r="X344" s="7"/>
      <c r="Y344" s="4"/>
      <c r="Z344" s="4"/>
      <c r="AA344" s="4"/>
      <c r="AB344" s="4"/>
      <c r="AC344" s="4"/>
      <c r="AD344" s="4"/>
      <c r="AE344" s="28"/>
      <c r="AF344" s="4"/>
      <c r="AG344" s="4"/>
      <c r="AH344" s="4"/>
      <c r="AI344" s="4"/>
      <c r="AJ344" s="4"/>
      <c r="AK344" s="4"/>
      <c r="AL344" s="44"/>
      <c r="AM344" s="8"/>
      <c r="AN344" s="8"/>
      <c r="AO344" s="8"/>
      <c r="AP344" s="8"/>
      <c r="AQ344" s="8"/>
      <c r="AR344" s="8"/>
      <c r="AS344" s="8"/>
      <c r="AT344" s="46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4"/>
      <c r="BV344" s="4"/>
    </row>
    <row r="345" spans="1:74" s="16" customFormat="1" x14ac:dyDescent="0.25">
      <c r="A345" s="26"/>
      <c r="B345" s="6"/>
      <c r="C345" s="7"/>
      <c r="D345" s="7"/>
      <c r="E345" s="7"/>
      <c r="F345" s="7"/>
      <c r="G345" s="7"/>
      <c r="H345" s="7"/>
      <c r="I345" s="4"/>
      <c r="J345" s="7"/>
      <c r="K345" s="7"/>
      <c r="L345" s="7"/>
      <c r="M345" s="7"/>
      <c r="N345" s="4"/>
      <c r="O345" s="4"/>
      <c r="P345" s="4"/>
      <c r="Q345" s="4"/>
      <c r="R345" s="4"/>
      <c r="S345" s="7"/>
      <c r="T345" s="7"/>
      <c r="U345" s="7"/>
      <c r="V345" s="7"/>
      <c r="W345" s="7"/>
      <c r="X345" s="7"/>
      <c r="Y345" s="4"/>
      <c r="Z345" s="4"/>
      <c r="AA345" s="4"/>
      <c r="AB345" s="4"/>
      <c r="AC345" s="4"/>
      <c r="AD345" s="4"/>
      <c r="AE345" s="28"/>
      <c r="AF345" s="4"/>
      <c r="AG345" s="4"/>
      <c r="AH345" s="4"/>
      <c r="AI345" s="4"/>
      <c r="AJ345" s="4"/>
      <c r="AK345" s="4"/>
      <c r="AL345" s="44"/>
      <c r="AM345" s="8"/>
      <c r="AN345" s="8"/>
      <c r="AO345" s="8"/>
      <c r="AP345" s="8"/>
      <c r="AQ345" s="8"/>
      <c r="AR345" s="8"/>
      <c r="AS345" s="8"/>
      <c r="AT345" s="46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4"/>
      <c r="BV345" s="4"/>
    </row>
    <row r="346" spans="1:74" s="16" customFormat="1" x14ac:dyDescent="0.25">
      <c r="A346" s="26"/>
      <c r="B346" s="6"/>
      <c r="C346" s="7"/>
      <c r="D346" s="7"/>
      <c r="E346" s="7"/>
      <c r="F346" s="7"/>
      <c r="G346" s="7"/>
      <c r="H346" s="7"/>
      <c r="I346" s="4"/>
      <c r="J346" s="7"/>
      <c r="K346" s="7"/>
      <c r="L346" s="7"/>
      <c r="M346" s="7"/>
      <c r="N346" s="4"/>
      <c r="O346" s="4"/>
      <c r="P346" s="4"/>
      <c r="Q346" s="4"/>
      <c r="R346" s="4"/>
      <c r="S346" s="7"/>
      <c r="T346" s="7"/>
      <c r="U346" s="7"/>
      <c r="V346" s="7"/>
      <c r="W346" s="7"/>
      <c r="X346" s="7"/>
      <c r="Y346" s="4"/>
      <c r="Z346" s="4"/>
      <c r="AA346" s="4"/>
      <c r="AB346" s="4"/>
      <c r="AC346" s="4"/>
      <c r="AD346" s="4"/>
      <c r="AE346" s="28"/>
      <c r="AF346" s="4"/>
      <c r="AG346" s="4"/>
      <c r="AH346" s="4"/>
      <c r="AI346" s="4"/>
      <c r="AJ346" s="4"/>
      <c r="AK346" s="4"/>
      <c r="AL346" s="44"/>
      <c r="AM346" s="8"/>
      <c r="AN346" s="8"/>
      <c r="AO346" s="8"/>
      <c r="AP346" s="8"/>
      <c r="AQ346" s="8"/>
      <c r="AR346" s="8"/>
      <c r="AS346" s="8"/>
      <c r="AT346" s="46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4"/>
      <c r="BV346" s="4"/>
    </row>
    <row r="347" spans="1:74" s="16" customFormat="1" x14ac:dyDescent="0.25">
      <c r="A347" s="26"/>
      <c r="B347" s="6"/>
      <c r="C347" s="7"/>
      <c r="D347" s="7"/>
      <c r="E347" s="7"/>
      <c r="F347" s="7"/>
      <c r="G347" s="7"/>
      <c r="H347" s="7"/>
      <c r="I347" s="4"/>
      <c r="J347" s="7"/>
      <c r="K347" s="7"/>
      <c r="L347" s="7"/>
      <c r="M347" s="7"/>
      <c r="N347" s="4"/>
      <c r="O347" s="4"/>
      <c r="P347" s="4"/>
      <c r="Q347" s="4"/>
      <c r="R347" s="4"/>
      <c r="S347" s="7"/>
      <c r="T347" s="7"/>
      <c r="U347" s="7"/>
      <c r="V347" s="7"/>
      <c r="W347" s="7"/>
      <c r="X347" s="7"/>
      <c r="Y347" s="4"/>
      <c r="Z347" s="4"/>
      <c r="AA347" s="4"/>
      <c r="AB347" s="4"/>
      <c r="AC347" s="4"/>
      <c r="AD347" s="4"/>
      <c r="AE347" s="28"/>
      <c r="AF347" s="4"/>
      <c r="AG347" s="4"/>
      <c r="AH347" s="4"/>
      <c r="AI347" s="4"/>
      <c r="AJ347" s="4"/>
      <c r="AK347" s="4"/>
      <c r="AL347" s="44"/>
      <c r="AM347" s="8"/>
      <c r="AN347" s="8"/>
      <c r="AO347" s="8"/>
      <c r="AP347" s="8"/>
      <c r="AQ347" s="8"/>
      <c r="AR347" s="8"/>
      <c r="AS347" s="8"/>
      <c r="AT347" s="46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4"/>
      <c r="BV347" s="4"/>
    </row>
    <row r="348" spans="1:74" s="16" customFormat="1" x14ac:dyDescent="0.25">
      <c r="A348" s="26"/>
      <c r="B348" s="6"/>
      <c r="C348" s="7"/>
      <c r="D348" s="7"/>
      <c r="E348" s="7"/>
      <c r="F348" s="7"/>
      <c r="G348" s="7"/>
      <c r="H348" s="7"/>
      <c r="I348" s="4"/>
      <c r="J348" s="7"/>
      <c r="K348" s="7"/>
      <c r="L348" s="7"/>
      <c r="M348" s="7"/>
      <c r="N348" s="4"/>
      <c r="O348" s="4"/>
      <c r="P348" s="4"/>
      <c r="Q348" s="4"/>
      <c r="R348" s="4"/>
      <c r="S348" s="7"/>
      <c r="T348" s="7"/>
      <c r="U348" s="7"/>
      <c r="V348" s="7"/>
      <c r="W348" s="7"/>
      <c r="X348" s="7"/>
      <c r="Y348" s="4"/>
      <c r="Z348" s="4"/>
      <c r="AA348" s="4"/>
      <c r="AB348" s="4"/>
      <c r="AC348" s="4"/>
      <c r="AD348" s="4"/>
      <c r="AE348" s="28"/>
      <c r="AF348" s="4"/>
      <c r="AG348" s="4"/>
      <c r="AH348" s="4"/>
      <c r="AI348" s="4"/>
      <c r="AJ348" s="4"/>
      <c r="AK348" s="4"/>
      <c r="AL348" s="44"/>
      <c r="AM348" s="8"/>
      <c r="AN348" s="8"/>
      <c r="AO348" s="8"/>
      <c r="AP348" s="8"/>
      <c r="AQ348" s="8"/>
      <c r="AR348" s="8"/>
      <c r="AS348" s="8"/>
      <c r="AT348" s="46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4"/>
      <c r="BV348" s="4"/>
    </row>
    <row r="349" spans="1:74" s="16" customFormat="1" x14ac:dyDescent="0.25">
      <c r="A349" s="26"/>
      <c r="B349" s="6"/>
      <c r="C349" s="7"/>
      <c r="D349" s="7"/>
      <c r="E349" s="7"/>
      <c r="F349" s="7"/>
      <c r="G349" s="7"/>
      <c r="H349" s="7"/>
      <c r="I349" s="4"/>
      <c r="J349" s="7"/>
      <c r="K349" s="7"/>
      <c r="L349" s="7"/>
      <c r="M349" s="7"/>
      <c r="N349" s="4"/>
      <c r="O349" s="4"/>
      <c r="P349" s="4"/>
      <c r="Q349" s="4"/>
      <c r="R349" s="4"/>
      <c r="S349" s="7"/>
      <c r="T349" s="7"/>
      <c r="U349" s="7"/>
      <c r="V349" s="7"/>
      <c r="W349" s="7"/>
      <c r="X349" s="7"/>
      <c r="Y349" s="4"/>
      <c r="Z349" s="4"/>
      <c r="AA349" s="4"/>
      <c r="AB349" s="4"/>
      <c r="AC349" s="4"/>
      <c r="AD349" s="4"/>
      <c r="AE349" s="28"/>
      <c r="AF349" s="4"/>
      <c r="AG349" s="4"/>
      <c r="AH349" s="4"/>
      <c r="AI349" s="4"/>
      <c r="AJ349" s="4"/>
      <c r="AK349" s="4"/>
      <c r="AL349" s="44"/>
      <c r="AM349" s="8"/>
      <c r="AN349" s="8"/>
      <c r="AO349" s="8"/>
      <c r="AP349" s="8"/>
      <c r="AQ349" s="8"/>
      <c r="AR349" s="8"/>
      <c r="AS349" s="8"/>
      <c r="AT349" s="46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4"/>
      <c r="BV349" s="4"/>
    </row>
    <row r="350" spans="1:74" s="16" customFormat="1" x14ac:dyDescent="0.25">
      <c r="A350" s="26"/>
      <c r="B350" s="6"/>
      <c r="C350" s="7"/>
      <c r="D350" s="7"/>
      <c r="E350" s="7"/>
      <c r="F350" s="7"/>
      <c r="G350" s="7"/>
      <c r="H350" s="7"/>
      <c r="I350" s="4"/>
      <c r="J350" s="7"/>
      <c r="K350" s="7"/>
      <c r="L350" s="7"/>
      <c r="M350" s="7"/>
      <c r="N350" s="4"/>
      <c r="O350" s="4"/>
      <c r="P350" s="4"/>
      <c r="Q350" s="4"/>
      <c r="R350" s="4"/>
      <c r="S350" s="7"/>
      <c r="T350" s="7"/>
      <c r="U350" s="7"/>
      <c r="V350" s="7"/>
      <c r="W350" s="7"/>
      <c r="X350" s="7"/>
      <c r="Y350" s="4"/>
      <c r="Z350" s="4"/>
      <c r="AA350" s="4"/>
      <c r="AB350" s="4"/>
      <c r="AC350" s="4"/>
      <c r="AD350" s="4"/>
      <c r="AE350" s="28"/>
      <c r="AF350" s="4"/>
      <c r="AG350" s="4"/>
      <c r="AH350" s="4"/>
      <c r="AI350" s="4"/>
      <c r="AJ350" s="4"/>
      <c r="AK350" s="4"/>
      <c r="AL350" s="44"/>
      <c r="AM350" s="8"/>
      <c r="AN350" s="8"/>
      <c r="AO350" s="8"/>
      <c r="AP350" s="8"/>
      <c r="AQ350" s="8"/>
      <c r="AR350" s="8"/>
      <c r="AS350" s="8"/>
      <c r="AT350" s="46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4"/>
      <c r="BV350" s="4"/>
    </row>
    <row r="351" spans="1:74" s="16" customFormat="1" x14ac:dyDescent="0.25">
      <c r="A351" s="26"/>
      <c r="B351" s="6"/>
      <c r="C351" s="7"/>
      <c r="D351" s="7"/>
      <c r="E351" s="7"/>
      <c r="F351" s="7"/>
      <c r="G351" s="7"/>
      <c r="H351" s="7"/>
      <c r="I351" s="4"/>
      <c r="J351" s="7"/>
      <c r="K351" s="7"/>
      <c r="L351" s="7"/>
      <c r="M351" s="7"/>
      <c r="N351" s="4"/>
      <c r="O351" s="4"/>
      <c r="P351" s="4"/>
      <c r="Q351" s="4"/>
      <c r="R351" s="4"/>
      <c r="S351" s="7"/>
      <c r="T351" s="7"/>
      <c r="U351" s="7"/>
      <c r="V351" s="7"/>
      <c r="W351" s="7"/>
      <c r="X351" s="7"/>
      <c r="Y351" s="4"/>
      <c r="Z351" s="4"/>
      <c r="AA351" s="4"/>
      <c r="AB351" s="4"/>
      <c r="AC351" s="4"/>
      <c r="AD351" s="4"/>
      <c r="AE351" s="28"/>
      <c r="AF351" s="4"/>
      <c r="AG351" s="4"/>
      <c r="AH351" s="4"/>
      <c r="AI351" s="4"/>
      <c r="AJ351" s="4"/>
      <c r="AK351" s="4"/>
      <c r="AL351" s="44"/>
      <c r="AM351" s="8"/>
      <c r="AN351" s="8"/>
      <c r="AO351" s="8"/>
      <c r="AP351" s="8"/>
      <c r="AQ351" s="8"/>
      <c r="AR351" s="8"/>
      <c r="AS351" s="8"/>
      <c r="AT351" s="46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4"/>
      <c r="BV351" s="4"/>
    </row>
    <row r="352" spans="1:74" s="16" customFormat="1" x14ac:dyDescent="0.25">
      <c r="A352" s="26"/>
      <c r="B352" s="6"/>
      <c r="C352" s="7"/>
      <c r="D352" s="7"/>
      <c r="E352" s="7"/>
      <c r="F352" s="7"/>
      <c r="G352" s="7"/>
      <c r="H352" s="7"/>
      <c r="I352" s="4"/>
      <c r="J352" s="7"/>
      <c r="K352" s="7"/>
      <c r="L352" s="7"/>
      <c r="M352" s="7"/>
      <c r="N352" s="4"/>
      <c r="O352" s="4"/>
      <c r="P352" s="4"/>
      <c r="Q352" s="4"/>
      <c r="R352" s="4"/>
      <c r="S352" s="7"/>
      <c r="T352" s="7"/>
      <c r="U352" s="7"/>
      <c r="V352" s="7"/>
      <c r="W352" s="7"/>
      <c r="X352" s="7"/>
      <c r="Y352" s="4"/>
      <c r="Z352" s="4"/>
      <c r="AA352" s="4"/>
      <c r="AB352" s="4"/>
      <c r="AC352" s="4"/>
      <c r="AD352" s="4"/>
      <c r="AE352" s="28"/>
      <c r="AF352" s="4"/>
      <c r="AG352" s="4"/>
      <c r="AH352" s="4"/>
      <c r="AI352" s="4"/>
      <c r="AJ352" s="4"/>
      <c r="AK352" s="4"/>
      <c r="AL352" s="44"/>
      <c r="AM352" s="8"/>
      <c r="AN352" s="8"/>
      <c r="AO352" s="8"/>
      <c r="AP352" s="8"/>
      <c r="AQ352" s="8"/>
      <c r="AR352" s="8"/>
      <c r="AS352" s="8"/>
      <c r="AT352" s="46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4"/>
      <c r="BV352" s="4"/>
    </row>
    <row r="353" spans="1:74" s="16" customFormat="1" x14ac:dyDescent="0.25">
      <c r="A353" s="26"/>
      <c r="B353" s="6"/>
      <c r="C353" s="7"/>
      <c r="D353" s="7"/>
      <c r="E353" s="7"/>
      <c r="F353" s="7"/>
      <c r="G353" s="7"/>
      <c r="H353" s="7"/>
      <c r="I353" s="4"/>
      <c r="J353" s="7"/>
      <c r="K353" s="7"/>
      <c r="L353" s="7"/>
      <c r="M353" s="7"/>
      <c r="N353" s="4"/>
      <c r="O353" s="4"/>
      <c r="P353" s="4"/>
      <c r="Q353" s="4"/>
      <c r="R353" s="4"/>
      <c r="S353" s="7"/>
      <c r="T353" s="7"/>
      <c r="U353" s="7"/>
      <c r="V353" s="7"/>
      <c r="W353" s="7"/>
      <c r="X353" s="7"/>
      <c r="Y353" s="4"/>
      <c r="Z353" s="4"/>
      <c r="AA353" s="4"/>
      <c r="AB353" s="4"/>
      <c r="AC353" s="4"/>
      <c r="AD353" s="4"/>
      <c r="AE353" s="28"/>
      <c r="AF353" s="4"/>
      <c r="AG353" s="4"/>
      <c r="AH353" s="4"/>
      <c r="AI353" s="4"/>
      <c r="AJ353" s="4"/>
      <c r="AK353" s="4"/>
      <c r="AL353" s="44"/>
      <c r="AM353" s="8"/>
      <c r="AN353" s="8"/>
      <c r="AO353" s="8"/>
      <c r="AP353" s="8"/>
      <c r="AQ353" s="8"/>
      <c r="AR353" s="8"/>
      <c r="AS353" s="8"/>
      <c r="AT353" s="46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4"/>
      <c r="BV353" s="4"/>
    </row>
    <row r="354" spans="1:74" s="16" customFormat="1" x14ac:dyDescent="0.25">
      <c r="A354" s="26"/>
      <c r="B354" s="6"/>
      <c r="C354" s="7"/>
      <c r="D354" s="7"/>
      <c r="E354" s="7"/>
      <c r="F354" s="7"/>
      <c r="G354" s="7"/>
      <c r="H354" s="7"/>
      <c r="I354" s="4"/>
      <c r="J354" s="7"/>
      <c r="K354" s="7"/>
      <c r="L354" s="7"/>
      <c r="M354" s="7"/>
      <c r="N354" s="4"/>
      <c r="O354" s="4"/>
      <c r="P354" s="4"/>
      <c r="Q354" s="4"/>
      <c r="R354" s="4"/>
      <c r="S354" s="7"/>
      <c r="T354" s="7"/>
      <c r="U354" s="7"/>
      <c r="V354" s="7"/>
      <c r="W354" s="7"/>
      <c r="X354" s="7"/>
      <c r="Y354" s="4"/>
      <c r="Z354" s="4"/>
      <c r="AA354" s="4"/>
      <c r="AB354" s="4"/>
      <c r="AC354" s="4"/>
      <c r="AD354" s="4"/>
      <c r="AE354" s="28"/>
      <c r="AF354" s="4"/>
      <c r="AG354" s="4"/>
      <c r="AH354" s="4"/>
      <c r="AI354" s="4"/>
      <c r="AJ354" s="4"/>
      <c r="AK354" s="4"/>
      <c r="AL354" s="44"/>
      <c r="AM354" s="8"/>
      <c r="AN354" s="8"/>
      <c r="AO354" s="8"/>
      <c r="AP354" s="8"/>
      <c r="AQ354" s="8"/>
      <c r="AR354" s="8"/>
      <c r="AS354" s="8"/>
      <c r="AT354" s="46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4"/>
      <c r="BV354" s="4"/>
    </row>
    <row r="355" spans="1:74" s="16" customFormat="1" x14ac:dyDescent="0.25">
      <c r="A355" s="26"/>
      <c r="B355" s="6"/>
      <c r="C355" s="7"/>
      <c r="D355" s="7"/>
      <c r="E355" s="7"/>
      <c r="F355" s="7"/>
      <c r="G355" s="7"/>
      <c r="H355" s="7"/>
      <c r="I355" s="4"/>
      <c r="J355" s="7"/>
      <c r="K355" s="7"/>
      <c r="L355" s="7"/>
      <c r="M355" s="7"/>
      <c r="N355" s="4"/>
      <c r="O355" s="4"/>
      <c r="P355" s="4"/>
      <c r="Q355" s="4"/>
      <c r="R355" s="4"/>
      <c r="S355" s="7"/>
      <c r="T355" s="7"/>
      <c r="U355" s="7"/>
      <c r="V355" s="7"/>
      <c r="W355" s="7"/>
      <c r="X355" s="7"/>
      <c r="Y355" s="4"/>
      <c r="Z355" s="4"/>
      <c r="AA355" s="4"/>
      <c r="AB355" s="4"/>
      <c r="AC355" s="4"/>
      <c r="AD355" s="4"/>
      <c r="AE355" s="28"/>
      <c r="AF355" s="4"/>
      <c r="AG355" s="4"/>
      <c r="AH355" s="4"/>
      <c r="AI355" s="4"/>
      <c r="AJ355" s="4"/>
      <c r="AK355" s="4"/>
      <c r="AL355" s="44"/>
      <c r="AM355" s="8"/>
      <c r="AN355" s="8"/>
      <c r="AO355" s="8"/>
      <c r="AP355" s="8"/>
      <c r="AQ355" s="8"/>
      <c r="AR355" s="8"/>
      <c r="AS355" s="8"/>
      <c r="AT355" s="46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4"/>
      <c r="BV355" s="4"/>
    </row>
    <row r="356" spans="1:74" s="16" customFormat="1" x14ac:dyDescent="0.25">
      <c r="A356" s="26"/>
      <c r="B356" s="6"/>
      <c r="C356" s="7"/>
      <c r="D356" s="7"/>
      <c r="E356" s="7"/>
      <c r="F356" s="7"/>
      <c r="G356" s="7"/>
      <c r="H356" s="7"/>
      <c r="I356" s="4"/>
      <c r="J356" s="7"/>
      <c r="K356" s="7"/>
      <c r="L356" s="7"/>
      <c r="M356" s="7"/>
      <c r="N356" s="4"/>
      <c r="O356" s="4"/>
      <c r="P356" s="4"/>
      <c r="Q356" s="4"/>
      <c r="R356" s="4"/>
      <c r="S356" s="7"/>
      <c r="T356" s="7"/>
      <c r="U356" s="7"/>
      <c r="V356" s="7"/>
      <c r="W356" s="7"/>
      <c r="X356" s="7"/>
      <c r="Y356" s="4"/>
      <c r="Z356" s="4"/>
      <c r="AA356" s="4"/>
      <c r="AB356" s="4"/>
      <c r="AC356" s="4"/>
      <c r="AD356" s="4"/>
      <c r="AE356" s="28"/>
      <c r="AF356" s="4"/>
      <c r="AG356" s="4"/>
      <c r="AH356" s="4"/>
      <c r="AI356" s="4"/>
      <c r="AJ356" s="4"/>
      <c r="AK356" s="4"/>
      <c r="AL356" s="44"/>
      <c r="AM356" s="8"/>
      <c r="AN356" s="8"/>
      <c r="AO356" s="8"/>
      <c r="AP356" s="8"/>
      <c r="AQ356" s="8"/>
      <c r="AR356" s="8"/>
      <c r="AS356" s="8"/>
      <c r="AT356" s="46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4"/>
      <c r="BV356" s="4"/>
    </row>
    <row r="357" spans="1:74" s="16" customFormat="1" x14ac:dyDescent="0.25">
      <c r="A357" s="26"/>
      <c r="B357" s="6"/>
      <c r="C357" s="7"/>
      <c r="D357" s="7"/>
      <c r="E357" s="7"/>
      <c r="F357" s="7"/>
      <c r="G357" s="7"/>
      <c r="H357" s="7"/>
      <c r="I357" s="4"/>
      <c r="J357" s="7"/>
      <c r="K357" s="7"/>
      <c r="L357" s="7"/>
      <c r="M357" s="7"/>
      <c r="N357" s="4"/>
      <c r="O357" s="4"/>
      <c r="P357" s="4"/>
      <c r="Q357" s="4"/>
      <c r="R357" s="4"/>
      <c r="S357" s="7"/>
      <c r="T357" s="7"/>
      <c r="U357" s="7"/>
      <c r="V357" s="7"/>
      <c r="W357" s="7"/>
      <c r="X357" s="7"/>
      <c r="Y357" s="4"/>
      <c r="Z357" s="4"/>
      <c r="AA357" s="4"/>
      <c r="AB357" s="4"/>
      <c r="AC357" s="4"/>
      <c r="AD357" s="4"/>
      <c r="AE357" s="28"/>
      <c r="AF357" s="4"/>
      <c r="AG357" s="4"/>
      <c r="AH357" s="4"/>
      <c r="AI357" s="4"/>
      <c r="AJ357" s="4"/>
      <c r="AK357" s="4"/>
      <c r="AL357" s="44"/>
      <c r="AM357" s="8"/>
      <c r="AN357" s="8"/>
      <c r="AO357" s="8"/>
      <c r="AP357" s="8"/>
      <c r="AQ357" s="8"/>
      <c r="AR357" s="8"/>
      <c r="AS357" s="8"/>
      <c r="AT357" s="46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4"/>
      <c r="BV357" s="4"/>
    </row>
    <row r="358" spans="1:74" s="16" customFormat="1" x14ac:dyDescent="0.25">
      <c r="A358" s="26"/>
      <c r="B358" s="6"/>
      <c r="C358" s="7"/>
      <c r="D358" s="7"/>
      <c r="E358" s="7"/>
      <c r="F358" s="7"/>
      <c r="G358" s="7"/>
      <c r="H358" s="7"/>
      <c r="I358" s="4"/>
      <c r="J358" s="7"/>
      <c r="K358" s="7"/>
      <c r="L358" s="7"/>
      <c r="M358" s="7"/>
      <c r="N358" s="4"/>
      <c r="O358" s="4"/>
      <c r="P358" s="4"/>
      <c r="Q358" s="4"/>
      <c r="R358" s="4"/>
      <c r="S358" s="7"/>
      <c r="T358" s="7"/>
      <c r="U358" s="7"/>
      <c r="V358" s="7"/>
      <c r="W358" s="7"/>
      <c r="X358" s="7"/>
      <c r="Y358" s="4"/>
      <c r="Z358" s="4"/>
      <c r="AA358" s="4"/>
      <c r="AB358" s="4"/>
      <c r="AC358" s="4"/>
      <c r="AD358" s="4"/>
      <c r="AE358" s="28"/>
      <c r="AF358" s="4"/>
      <c r="AG358" s="4"/>
      <c r="AH358" s="4"/>
      <c r="AI358" s="4"/>
      <c r="AJ358" s="4"/>
      <c r="AK358" s="4"/>
      <c r="AL358" s="44"/>
      <c r="AM358" s="8"/>
      <c r="AN358" s="8"/>
      <c r="AO358" s="8"/>
      <c r="AP358" s="8"/>
      <c r="AQ358" s="8"/>
      <c r="AR358" s="8"/>
      <c r="AS358" s="8"/>
      <c r="AT358" s="46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4"/>
      <c r="BV358" s="4"/>
    </row>
    <row r="359" spans="1:74" s="16" customFormat="1" x14ac:dyDescent="0.25">
      <c r="A359" s="26"/>
      <c r="B359" s="6"/>
      <c r="C359" s="7"/>
      <c r="D359" s="7"/>
      <c r="E359" s="7"/>
      <c r="F359" s="7"/>
      <c r="G359" s="7"/>
      <c r="H359" s="7"/>
      <c r="I359" s="4"/>
      <c r="J359" s="7"/>
      <c r="K359" s="7"/>
      <c r="L359" s="7"/>
      <c r="M359" s="7"/>
      <c r="N359" s="4"/>
      <c r="O359" s="4"/>
      <c r="P359" s="4"/>
      <c r="Q359" s="4"/>
      <c r="R359" s="4"/>
      <c r="S359" s="7"/>
      <c r="T359" s="7"/>
      <c r="U359" s="7"/>
      <c r="V359" s="7"/>
      <c r="W359" s="7"/>
      <c r="X359" s="7"/>
      <c r="Y359" s="4"/>
      <c r="Z359" s="4"/>
      <c r="AA359" s="4"/>
      <c r="AB359" s="4"/>
      <c r="AC359" s="4"/>
      <c r="AD359" s="4"/>
      <c r="AE359" s="28"/>
      <c r="AF359" s="4"/>
      <c r="AG359" s="4"/>
      <c r="AH359" s="4"/>
      <c r="AI359" s="4"/>
      <c r="AJ359" s="4"/>
      <c r="AK359" s="4"/>
      <c r="AL359" s="44"/>
      <c r="AM359" s="8"/>
      <c r="AN359" s="8"/>
      <c r="AO359" s="8"/>
      <c r="AP359" s="8"/>
      <c r="AQ359" s="8"/>
      <c r="AR359" s="8"/>
      <c r="AS359" s="8"/>
      <c r="AT359" s="46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4"/>
      <c r="BV359" s="4"/>
    </row>
    <row r="360" spans="1:74" s="16" customFormat="1" x14ac:dyDescent="0.25">
      <c r="A360" s="26"/>
      <c r="B360" s="6"/>
      <c r="C360" s="7"/>
      <c r="D360" s="7"/>
      <c r="E360" s="7"/>
      <c r="F360" s="7"/>
      <c r="G360" s="7"/>
      <c r="H360" s="7"/>
      <c r="I360" s="4"/>
      <c r="J360" s="7"/>
      <c r="K360" s="7"/>
      <c r="L360" s="7"/>
      <c r="M360" s="7"/>
      <c r="N360" s="4"/>
      <c r="O360" s="4"/>
      <c r="P360" s="4"/>
      <c r="Q360" s="4"/>
      <c r="R360" s="4"/>
      <c r="S360" s="7"/>
      <c r="T360" s="7"/>
      <c r="U360" s="7"/>
      <c r="V360" s="7"/>
      <c r="W360" s="7"/>
      <c r="X360" s="7"/>
      <c r="Y360" s="4"/>
      <c r="Z360" s="4"/>
      <c r="AA360" s="4"/>
      <c r="AB360" s="4"/>
      <c r="AC360" s="4"/>
      <c r="AD360" s="4"/>
      <c r="AE360" s="28"/>
      <c r="AF360" s="4"/>
      <c r="AG360" s="4"/>
      <c r="AH360" s="4"/>
      <c r="AI360" s="4"/>
      <c r="AJ360" s="4"/>
      <c r="AK360" s="4"/>
      <c r="AL360" s="44"/>
      <c r="AM360" s="8"/>
      <c r="AN360" s="8"/>
      <c r="AO360" s="8"/>
      <c r="AP360" s="8"/>
      <c r="AQ360" s="8"/>
      <c r="AR360" s="8"/>
      <c r="AS360" s="8"/>
      <c r="AT360" s="46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4"/>
      <c r="BV360" s="4"/>
    </row>
    <row r="361" spans="1:74" s="16" customFormat="1" x14ac:dyDescent="0.25">
      <c r="A361" s="26"/>
      <c r="B361" s="6"/>
      <c r="C361" s="7"/>
      <c r="D361" s="7"/>
      <c r="E361" s="7"/>
      <c r="F361" s="7"/>
      <c r="G361" s="7"/>
      <c r="H361" s="7"/>
      <c r="I361" s="4"/>
      <c r="J361" s="7"/>
      <c r="K361" s="7"/>
      <c r="L361" s="7"/>
      <c r="M361" s="7"/>
      <c r="N361" s="4"/>
      <c r="O361" s="4"/>
      <c r="P361" s="4"/>
      <c r="Q361" s="4"/>
      <c r="R361" s="4"/>
      <c r="S361" s="7"/>
      <c r="T361" s="7"/>
      <c r="U361" s="7"/>
      <c r="V361" s="7"/>
      <c r="W361" s="7"/>
      <c r="X361" s="7"/>
      <c r="Y361" s="4"/>
      <c r="Z361" s="4"/>
      <c r="AA361" s="4"/>
      <c r="AB361" s="4"/>
      <c r="AC361" s="4"/>
      <c r="AD361" s="4"/>
      <c r="AE361" s="28"/>
      <c r="AF361" s="4"/>
      <c r="AG361" s="4"/>
      <c r="AH361" s="4"/>
      <c r="AI361" s="4"/>
      <c r="AJ361" s="4"/>
      <c r="AK361" s="4"/>
      <c r="AL361" s="44"/>
      <c r="AM361" s="8"/>
      <c r="AN361" s="8"/>
      <c r="AO361" s="8"/>
      <c r="AP361" s="8"/>
      <c r="AQ361" s="8"/>
      <c r="AR361" s="8"/>
      <c r="AS361" s="8"/>
      <c r="AT361" s="46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4"/>
      <c r="BV361" s="4"/>
    </row>
    <row r="362" spans="1:74" s="16" customFormat="1" x14ac:dyDescent="0.25">
      <c r="A362" s="26"/>
      <c r="B362" s="6"/>
      <c r="C362" s="7"/>
      <c r="D362" s="7"/>
      <c r="E362" s="7"/>
      <c r="F362" s="7"/>
      <c r="G362" s="7"/>
      <c r="H362" s="7"/>
      <c r="I362" s="4"/>
      <c r="J362" s="7"/>
      <c r="K362" s="7"/>
      <c r="L362" s="7"/>
      <c r="M362" s="7"/>
      <c r="N362" s="4"/>
      <c r="O362" s="4"/>
      <c r="P362" s="4"/>
      <c r="Q362" s="4"/>
      <c r="R362" s="4"/>
      <c r="S362" s="7"/>
      <c r="T362" s="7"/>
      <c r="U362" s="7"/>
      <c r="V362" s="7"/>
      <c r="W362" s="7"/>
      <c r="X362" s="7"/>
      <c r="Y362" s="4"/>
      <c r="Z362" s="4"/>
      <c r="AA362" s="4"/>
      <c r="AB362" s="4"/>
      <c r="AC362" s="4"/>
      <c r="AD362" s="4"/>
      <c r="AE362" s="28"/>
      <c r="AF362" s="4"/>
      <c r="AG362" s="4"/>
      <c r="AH362" s="4"/>
      <c r="AI362" s="4"/>
      <c r="AJ362" s="4"/>
      <c r="AK362" s="4"/>
      <c r="AL362" s="44"/>
      <c r="AM362" s="8"/>
      <c r="AN362" s="8"/>
      <c r="AO362" s="8"/>
      <c r="AP362" s="8"/>
      <c r="AQ362" s="8"/>
      <c r="AR362" s="8"/>
      <c r="AS362" s="8"/>
      <c r="AT362" s="46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4"/>
      <c r="BV362" s="4"/>
    </row>
    <row r="363" spans="1:74" s="16" customFormat="1" x14ac:dyDescent="0.25">
      <c r="A363" s="26"/>
      <c r="B363" s="6"/>
      <c r="C363" s="7"/>
      <c r="D363" s="7"/>
      <c r="E363" s="7"/>
      <c r="F363" s="7"/>
      <c r="G363" s="7"/>
      <c r="H363" s="7"/>
      <c r="I363" s="4"/>
      <c r="J363" s="7"/>
      <c r="K363" s="7"/>
      <c r="L363" s="7"/>
      <c r="M363" s="7"/>
      <c r="N363" s="4"/>
      <c r="O363" s="4"/>
      <c r="P363" s="4"/>
      <c r="Q363" s="4"/>
      <c r="R363" s="4"/>
      <c r="S363" s="7"/>
      <c r="T363" s="7"/>
      <c r="U363" s="7"/>
      <c r="V363" s="7"/>
      <c r="W363" s="7"/>
      <c r="X363" s="7"/>
      <c r="Y363" s="4"/>
      <c r="Z363" s="4"/>
      <c r="AA363" s="4"/>
      <c r="AB363" s="4"/>
      <c r="AC363" s="4"/>
      <c r="AD363" s="4"/>
      <c r="AE363" s="28"/>
      <c r="AF363" s="4"/>
      <c r="AG363" s="4"/>
      <c r="AH363" s="4"/>
      <c r="AI363" s="4"/>
      <c r="AJ363" s="4"/>
      <c r="AK363" s="4"/>
      <c r="AL363" s="44"/>
      <c r="AM363" s="8"/>
      <c r="AN363" s="8"/>
      <c r="AO363" s="8"/>
      <c r="AP363" s="8"/>
      <c r="AQ363" s="8"/>
      <c r="AR363" s="8"/>
      <c r="AS363" s="8"/>
      <c r="AT363" s="46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4"/>
      <c r="BV363" s="4"/>
    </row>
    <row r="364" spans="1:74" s="16" customFormat="1" x14ac:dyDescent="0.25">
      <c r="A364" s="26"/>
      <c r="B364" s="6"/>
      <c r="C364" s="7"/>
      <c r="D364" s="7"/>
      <c r="E364" s="7"/>
      <c r="F364" s="7"/>
      <c r="G364" s="7"/>
      <c r="H364" s="7"/>
      <c r="I364" s="4"/>
      <c r="J364" s="7"/>
      <c r="K364" s="7"/>
      <c r="L364" s="7"/>
      <c r="M364" s="7"/>
      <c r="N364" s="4"/>
      <c r="O364" s="4"/>
      <c r="P364" s="4"/>
      <c r="Q364" s="4"/>
      <c r="R364" s="4"/>
      <c r="S364" s="7"/>
      <c r="T364" s="7"/>
      <c r="U364" s="7"/>
      <c r="V364" s="7"/>
      <c r="W364" s="7"/>
      <c r="X364" s="7"/>
      <c r="Y364" s="4"/>
      <c r="Z364" s="4"/>
      <c r="AA364" s="4"/>
      <c r="AB364" s="4"/>
      <c r="AC364" s="4"/>
      <c r="AD364" s="4"/>
      <c r="AE364" s="28"/>
      <c r="AF364" s="4"/>
      <c r="AG364" s="4"/>
      <c r="AH364" s="4"/>
      <c r="AI364" s="4"/>
      <c r="AJ364" s="4"/>
      <c r="AK364" s="4"/>
      <c r="AL364" s="44"/>
      <c r="AM364" s="8"/>
      <c r="AN364" s="8"/>
      <c r="AO364" s="8"/>
      <c r="AP364" s="8"/>
      <c r="AQ364" s="8"/>
      <c r="AR364" s="8"/>
      <c r="AS364" s="8"/>
      <c r="AT364" s="46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4"/>
      <c r="BV364" s="4"/>
    </row>
    <row r="365" spans="1:74" s="16" customFormat="1" x14ac:dyDescent="0.25">
      <c r="A365" s="26"/>
      <c r="B365" s="6"/>
      <c r="C365" s="7"/>
      <c r="D365" s="7"/>
      <c r="E365" s="7"/>
      <c r="F365" s="7"/>
      <c r="G365" s="7"/>
      <c r="H365" s="7"/>
      <c r="I365" s="4"/>
      <c r="J365" s="7"/>
      <c r="K365" s="7"/>
      <c r="L365" s="7"/>
      <c r="M365" s="7"/>
      <c r="N365" s="4"/>
      <c r="O365" s="4"/>
      <c r="P365" s="4"/>
      <c r="Q365" s="4"/>
      <c r="R365" s="4"/>
      <c r="S365" s="7"/>
      <c r="T365" s="7"/>
      <c r="U365" s="7"/>
      <c r="V365" s="7"/>
      <c r="W365" s="7"/>
      <c r="X365" s="7"/>
      <c r="Y365" s="4"/>
      <c r="Z365" s="4"/>
      <c r="AA365" s="4"/>
      <c r="AB365" s="4"/>
      <c r="AC365" s="4"/>
      <c r="AD365" s="4"/>
      <c r="AE365" s="28"/>
      <c r="AF365" s="4"/>
      <c r="AG365" s="4"/>
      <c r="AH365" s="4"/>
      <c r="AI365" s="4"/>
      <c r="AJ365" s="4"/>
      <c r="AK365" s="4"/>
      <c r="AL365" s="44"/>
      <c r="AM365" s="8"/>
      <c r="AN365" s="8"/>
      <c r="AO365" s="8"/>
      <c r="AP365" s="8"/>
      <c r="AQ365" s="8"/>
      <c r="AR365" s="8"/>
      <c r="AS365" s="8"/>
      <c r="AT365" s="46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4"/>
      <c r="BV365" s="4"/>
    </row>
    <row r="366" spans="1:74" s="16" customFormat="1" x14ac:dyDescent="0.25">
      <c r="A366" s="26"/>
      <c r="B366" s="6"/>
      <c r="C366" s="7"/>
      <c r="D366" s="7"/>
      <c r="E366" s="7"/>
      <c r="F366" s="7"/>
      <c r="G366" s="7"/>
      <c r="H366" s="7"/>
      <c r="I366" s="4"/>
      <c r="J366" s="7"/>
      <c r="K366" s="7"/>
      <c r="L366" s="7"/>
      <c r="M366" s="7"/>
      <c r="N366" s="4"/>
      <c r="O366" s="4"/>
      <c r="P366" s="4"/>
      <c r="Q366" s="4"/>
      <c r="R366" s="4"/>
      <c r="S366" s="7"/>
      <c r="T366" s="7"/>
      <c r="U366" s="7"/>
      <c r="V366" s="7"/>
      <c r="W366" s="7"/>
      <c r="X366" s="7"/>
      <c r="Y366" s="4"/>
      <c r="Z366" s="4"/>
      <c r="AA366" s="4"/>
      <c r="AB366" s="4"/>
      <c r="AC366" s="4"/>
      <c r="AD366" s="4"/>
      <c r="AE366" s="28"/>
      <c r="AF366" s="4"/>
      <c r="AG366" s="4"/>
      <c r="AH366" s="4"/>
      <c r="AI366" s="4"/>
      <c r="AJ366" s="4"/>
      <c r="AK366" s="4"/>
      <c r="AL366" s="44"/>
      <c r="AM366" s="8"/>
      <c r="AN366" s="8"/>
      <c r="AO366" s="8"/>
      <c r="AP366" s="8"/>
      <c r="AQ366" s="8"/>
      <c r="AR366" s="8"/>
      <c r="AS366" s="8"/>
      <c r="AT366" s="46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4"/>
      <c r="BV366" s="4"/>
    </row>
    <row r="367" spans="1:74" s="16" customFormat="1" x14ac:dyDescent="0.25">
      <c r="A367" s="26"/>
      <c r="B367" s="6"/>
      <c r="C367" s="7"/>
      <c r="D367" s="7"/>
      <c r="E367" s="7"/>
      <c r="F367" s="7"/>
      <c r="G367" s="7"/>
      <c r="H367" s="7"/>
      <c r="I367" s="4"/>
      <c r="J367" s="7"/>
      <c r="K367" s="7"/>
      <c r="L367" s="7"/>
      <c r="M367" s="7"/>
      <c r="N367" s="4"/>
      <c r="O367" s="4"/>
      <c r="P367" s="4"/>
      <c r="Q367" s="4"/>
      <c r="R367" s="4"/>
      <c r="S367" s="7"/>
      <c r="T367" s="7"/>
      <c r="U367" s="7"/>
      <c r="V367" s="7"/>
      <c r="W367" s="7"/>
      <c r="X367" s="7"/>
      <c r="Y367" s="4"/>
      <c r="Z367" s="4"/>
      <c r="AA367" s="4"/>
      <c r="AB367" s="4"/>
      <c r="AC367" s="4"/>
      <c r="AD367" s="4"/>
      <c r="AE367" s="28"/>
      <c r="AF367" s="4"/>
      <c r="AG367" s="4"/>
      <c r="AH367" s="4"/>
      <c r="AI367" s="4"/>
      <c r="AJ367" s="4"/>
      <c r="AK367" s="4"/>
      <c r="AL367" s="44"/>
      <c r="AM367" s="8"/>
      <c r="AN367" s="8"/>
      <c r="AO367" s="8"/>
      <c r="AP367" s="8"/>
      <c r="AQ367" s="8"/>
      <c r="AR367" s="8"/>
      <c r="AS367" s="8"/>
      <c r="AT367" s="46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4"/>
      <c r="BV367" s="4"/>
    </row>
    <row r="368" spans="1:74" s="16" customFormat="1" x14ac:dyDescent="0.25">
      <c r="A368" s="26"/>
      <c r="B368" s="6"/>
      <c r="C368" s="7"/>
      <c r="D368" s="7"/>
      <c r="E368" s="7"/>
      <c r="F368" s="7"/>
      <c r="G368" s="7"/>
      <c r="H368" s="7"/>
      <c r="I368" s="4"/>
      <c r="J368" s="7"/>
      <c r="K368" s="7"/>
      <c r="L368" s="7"/>
      <c r="M368" s="7"/>
      <c r="N368" s="4"/>
      <c r="O368" s="4"/>
      <c r="P368" s="4"/>
      <c r="Q368" s="4"/>
      <c r="R368" s="4"/>
      <c r="S368" s="7"/>
      <c r="T368" s="7"/>
      <c r="U368" s="7"/>
      <c r="V368" s="7"/>
      <c r="W368" s="7"/>
      <c r="X368" s="7"/>
      <c r="Y368" s="4"/>
      <c r="Z368" s="4"/>
      <c r="AA368" s="4"/>
      <c r="AB368" s="4"/>
      <c r="AC368" s="4"/>
      <c r="AD368" s="4"/>
      <c r="AE368" s="28"/>
      <c r="AF368" s="4"/>
      <c r="AG368" s="4"/>
      <c r="AH368" s="4"/>
      <c r="AI368" s="4"/>
      <c r="AJ368" s="4"/>
      <c r="AK368" s="4"/>
      <c r="AL368" s="44"/>
      <c r="AM368" s="8"/>
      <c r="AN368" s="8"/>
      <c r="AO368" s="8"/>
      <c r="AP368" s="8"/>
      <c r="AQ368" s="8"/>
      <c r="AR368" s="8"/>
      <c r="AS368" s="8"/>
      <c r="AT368" s="46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4"/>
      <c r="BV368" s="4"/>
    </row>
    <row r="369" spans="1:74" s="16" customFormat="1" x14ac:dyDescent="0.25">
      <c r="A369" s="26"/>
      <c r="B369" s="6"/>
      <c r="C369" s="7"/>
      <c r="D369" s="7"/>
      <c r="E369" s="7"/>
      <c r="F369" s="7"/>
      <c r="G369" s="7"/>
      <c r="H369" s="7"/>
      <c r="I369" s="4"/>
      <c r="J369" s="7"/>
      <c r="K369" s="7"/>
      <c r="L369" s="7"/>
      <c r="M369" s="7"/>
      <c r="N369" s="4"/>
      <c r="O369" s="4"/>
      <c r="P369" s="4"/>
      <c r="Q369" s="4"/>
      <c r="R369" s="4"/>
      <c r="S369" s="7"/>
      <c r="T369" s="7"/>
      <c r="U369" s="7"/>
      <c r="V369" s="7"/>
      <c r="W369" s="7"/>
      <c r="X369" s="7"/>
      <c r="Y369" s="4"/>
      <c r="Z369" s="4"/>
      <c r="AA369" s="4"/>
      <c r="AB369" s="4"/>
      <c r="AC369" s="4"/>
      <c r="AD369" s="4"/>
      <c r="AE369" s="28"/>
      <c r="AF369" s="4"/>
      <c r="AG369" s="4"/>
      <c r="AH369" s="4"/>
      <c r="AI369" s="4"/>
      <c r="AJ369" s="4"/>
      <c r="AK369" s="4"/>
      <c r="AL369" s="44"/>
      <c r="AM369" s="8"/>
      <c r="AN369" s="8"/>
      <c r="AO369" s="8"/>
      <c r="AP369" s="8"/>
      <c r="AQ369" s="8"/>
      <c r="AR369" s="8"/>
      <c r="AS369" s="8"/>
      <c r="AT369" s="46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4"/>
      <c r="BV369" s="4"/>
    </row>
    <row r="370" spans="1:74" s="16" customFormat="1" x14ac:dyDescent="0.25">
      <c r="A370" s="26"/>
      <c r="B370" s="6"/>
      <c r="C370" s="7"/>
      <c r="D370" s="7"/>
      <c r="E370" s="7"/>
      <c r="F370" s="7"/>
      <c r="G370" s="7"/>
      <c r="H370" s="7"/>
      <c r="I370" s="4"/>
      <c r="J370" s="7"/>
      <c r="K370" s="7"/>
      <c r="L370" s="7"/>
      <c r="M370" s="7"/>
      <c r="N370" s="4"/>
      <c r="O370" s="4"/>
      <c r="P370" s="4"/>
      <c r="Q370" s="4"/>
      <c r="R370" s="4"/>
      <c r="S370" s="7"/>
      <c r="T370" s="7"/>
      <c r="U370" s="7"/>
      <c r="V370" s="7"/>
      <c r="W370" s="7"/>
      <c r="X370" s="7"/>
      <c r="Y370" s="4"/>
      <c r="Z370" s="4"/>
      <c r="AA370" s="4"/>
      <c r="AB370" s="4"/>
      <c r="AC370" s="4"/>
      <c r="AD370" s="4"/>
      <c r="AE370" s="28"/>
      <c r="AF370" s="4"/>
      <c r="AG370" s="4"/>
      <c r="AH370" s="4"/>
      <c r="AI370" s="4"/>
      <c r="AJ370" s="4"/>
      <c r="AK370" s="4"/>
      <c r="AL370" s="44"/>
      <c r="AM370" s="8"/>
      <c r="AN370" s="8"/>
      <c r="AO370" s="8"/>
      <c r="AP370" s="8"/>
      <c r="AQ370" s="8"/>
      <c r="AR370" s="8"/>
      <c r="AS370" s="8"/>
      <c r="AT370" s="46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4"/>
      <c r="BV370" s="4"/>
    </row>
    <row r="371" spans="1:74" s="16" customFormat="1" x14ac:dyDescent="0.25">
      <c r="A371" s="26"/>
      <c r="B371" s="6"/>
      <c r="C371" s="7"/>
      <c r="D371" s="7"/>
      <c r="E371" s="7"/>
      <c r="F371" s="7"/>
      <c r="G371" s="7"/>
      <c r="H371" s="7"/>
      <c r="I371" s="4"/>
      <c r="J371" s="7"/>
      <c r="K371" s="7"/>
      <c r="L371" s="7"/>
      <c r="M371" s="7"/>
      <c r="N371" s="4"/>
      <c r="O371" s="4"/>
      <c r="P371" s="4"/>
      <c r="Q371" s="4"/>
      <c r="R371" s="4"/>
      <c r="S371" s="7"/>
      <c r="T371" s="7"/>
      <c r="U371" s="7"/>
      <c r="V371" s="7"/>
      <c r="W371" s="7"/>
      <c r="X371" s="7"/>
      <c r="Y371" s="4"/>
      <c r="Z371" s="4"/>
      <c r="AA371" s="4"/>
      <c r="AB371" s="4"/>
      <c r="AC371" s="4"/>
      <c r="AD371" s="4"/>
      <c r="AE371" s="28"/>
      <c r="AF371" s="4"/>
      <c r="AG371" s="4"/>
      <c r="AH371" s="4"/>
      <c r="AI371" s="4"/>
      <c r="AJ371" s="4"/>
      <c r="AK371" s="4"/>
      <c r="AL371" s="44"/>
      <c r="AM371" s="8"/>
      <c r="AN371" s="8"/>
      <c r="AO371" s="8"/>
      <c r="AP371" s="8"/>
      <c r="AQ371" s="8"/>
      <c r="AR371" s="8"/>
      <c r="AS371" s="8"/>
      <c r="AT371" s="46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4"/>
      <c r="BV371" s="4"/>
    </row>
    <row r="372" spans="1:74" s="16" customFormat="1" x14ac:dyDescent="0.25">
      <c r="A372" s="26"/>
      <c r="B372" s="6"/>
      <c r="C372" s="7"/>
      <c r="D372" s="7"/>
      <c r="E372" s="7"/>
      <c r="F372" s="7"/>
      <c r="G372" s="7"/>
      <c r="H372" s="7"/>
      <c r="I372" s="4"/>
      <c r="J372" s="7"/>
      <c r="K372" s="7"/>
      <c r="L372" s="7"/>
      <c r="M372" s="7"/>
      <c r="N372" s="4"/>
      <c r="O372" s="4"/>
      <c r="P372" s="4"/>
      <c r="Q372" s="4"/>
      <c r="R372" s="4"/>
      <c r="S372" s="7"/>
      <c r="T372" s="7"/>
      <c r="U372" s="7"/>
      <c r="V372" s="7"/>
      <c r="W372" s="7"/>
      <c r="X372" s="7"/>
      <c r="Y372" s="4"/>
      <c r="Z372" s="4"/>
      <c r="AA372" s="4"/>
      <c r="AB372" s="4"/>
      <c r="AC372" s="4"/>
      <c r="AD372" s="4"/>
      <c r="AE372" s="28"/>
      <c r="AF372" s="4"/>
      <c r="AG372" s="4"/>
      <c r="AH372" s="4"/>
      <c r="AI372" s="4"/>
      <c r="AJ372" s="4"/>
      <c r="AK372" s="4"/>
      <c r="AL372" s="44"/>
      <c r="AM372" s="8"/>
      <c r="AN372" s="8"/>
      <c r="AO372" s="8"/>
      <c r="AP372" s="8"/>
      <c r="AQ372" s="8"/>
      <c r="AR372" s="8"/>
      <c r="AS372" s="8"/>
      <c r="AT372" s="46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4"/>
      <c r="BV372" s="4"/>
    </row>
    <row r="373" spans="1:74" s="16" customFormat="1" x14ac:dyDescent="0.25">
      <c r="A373" s="26"/>
      <c r="B373" s="6"/>
      <c r="C373" s="7"/>
      <c r="D373" s="7"/>
      <c r="E373" s="7"/>
      <c r="F373" s="7"/>
      <c r="G373" s="7"/>
      <c r="H373" s="7"/>
      <c r="I373" s="4"/>
      <c r="J373" s="7"/>
      <c r="K373" s="7"/>
      <c r="L373" s="7"/>
      <c r="M373" s="7"/>
      <c r="N373" s="4"/>
      <c r="O373" s="4"/>
      <c r="P373" s="4"/>
      <c r="Q373" s="4"/>
      <c r="R373" s="4"/>
      <c r="S373" s="7"/>
      <c r="T373" s="7"/>
      <c r="U373" s="7"/>
      <c r="V373" s="7"/>
      <c r="W373" s="7"/>
      <c r="X373" s="7"/>
      <c r="Y373" s="4"/>
      <c r="Z373" s="4"/>
      <c r="AA373" s="4"/>
      <c r="AB373" s="4"/>
      <c r="AC373" s="4"/>
      <c r="AD373" s="4"/>
      <c r="AE373" s="28"/>
      <c r="AF373" s="4"/>
      <c r="AG373" s="4"/>
      <c r="AH373" s="4"/>
      <c r="AI373" s="4"/>
      <c r="AJ373" s="4"/>
      <c r="AK373" s="4"/>
      <c r="AL373" s="44"/>
      <c r="AM373" s="8"/>
      <c r="AN373" s="8"/>
      <c r="AO373" s="8"/>
      <c r="AP373" s="8"/>
      <c r="AQ373" s="8"/>
      <c r="AR373" s="8"/>
      <c r="AS373" s="8"/>
      <c r="AT373" s="46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4"/>
      <c r="BV373" s="4"/>
    </row>
    <row r="374" spans="1:74" s="16" customFormat="1" x14ac:dyDescent="0.25">
      <c r="A374" s="26"/>
      <c r="B374" s="6"/>
      <c r="C374" s="7"/>
      <c r="D374" s="7"/>
      <c r="E374" s="7"/>
      <c r="F374" s="7"/>
      <c r="G374" s="7"/>
      <c r="H374" s="7"/>
      <c r="I374" s="4"/>
      <c r="J374" s="7"/>
      <c r="K374" s="7"/>
      <c r="L374" s="7"/>
      <c r="M374" s="7"/>
      <c r="N374" s="4"/>
      <c r="O374" s="4"/>
      <c r="P374" s="4"/>
      <c r="Q374" s="4"/>
      <c r="R374" s="4"/>
      <c r="S374" s="7"/>
      <c r="T374" s="7"/>
      <c r="U374" s="7"/>
      <c r="V374" s="7"/>
      <c r="W374" s="7"/>
      <c r="X374" s="7"/>
      <c r="Y374" s="4"/>
      <c r="Z374" s="4"/>
      <c r="AA374" s="4"/>
      <c r="AB374" s="4"/>
      <c r="AC374" s="4"/>
      <c r="AD374" s="4"/>
      <c r="AE374" s="28"/>
      <c r="AF374" s="4"/>
      <c r="AG374" s="4"/>
      <c r="AH374" s="4"/>
      <c r="AI374" s="4"/>
      <c r="AJ374" s="4"/>
      <c r="AK374" s="4"/>
      <c r="AL374" s="44"/>
      <c r="AM374" s="8"/>
      <c r="AN374" s="8"/>
      <c r="AO374" s="8"/>
      <c r="AP374" s="8"/>
      <c r="AQ374" s="8"/>
      <c r="AR374" s="8"/>
      <c r="AS374" s="8"/>
      <c r="AT374" s="46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4"/>
      <c r="BV374" s="4"/>
    </row>
    <row r="375" spans="1:74" s="16" customFormat="1" x14ac:dyDescent="0.25">
      <c r="A375" s="26"/>
      <c r="B375" s="6"/>
      <c r="C375" s="7"/>
      <c r="D375" s="7"/>
      <c r="E375" s="7"/>
      <c r="F375" s="7"/>
      <c r="G375" s="7"/>
      <c r="H375" s="7"/>
      <c r="I375" s="4"/>
      <c r="J375" s="7"/>
      <c r="K375" s="7"/>
      <c r="L375" s="7"/>
      <c r="M375" s="7"/>
      <c r="N375" s="4"/>
      <c r="O375" s="4"/>
      <c r="P375" s="4"/>
      <c r="Q375" s="4"/>
      <c r="R375" s="4"/>
      <c r="S375" s="7"/>
      <c r="T375" s="7"/>
      <c r="U375" s="7"/>
      <c r="V375" s="7"/>
      <c r="W375" s="7"/>
      <c r="X375" s="7"/>
      <c r="Y375" s="4"/>
      <c r="Z375" s="4"/>
      <c r="AA375" s="4"/>
      <c r="AB375" s="4"/>
      <c r="AC375" s="4"/>
      <c r="AD375" s="4"/>
      <c r="AE375" s="28"/>
      <c r="AF375" s="4"/>
      <c r="AG375" s="4"/>
      <c r="AH375" s="4"/>
      <c r="AI375" s="4"/>
      <c r="AJ375" s="4"/>
      <c r="AK375" s="4"/>
      <c r="AL375" s="44"/>
      <c r="AM375" s="8"/>
      <c r="AN375" s="8"/>
      <c r="AO375" s="8"/>
      <c r="AP375" s="8"/>
      <c r="AQ375" s="8"/>
      <c r="AR375" s="8"/>
      <c r="AS375" s="8"/>
      <c r="AT375" s="46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4"/>
      <c r="BV375" s="4"/>
    </row>
    <row r="376" spans="1:74" s="16" customFormat="1" x14ac:dyDescent="0.25">
      <c r="A376" s="26"/>
      <c r="B376" s="6"/>
      <c r="C376" s="7"/>
      <c r="D376" s="7"/>
      <c r="E376" s="7"/>
      <c r="F376" s="7"/>
      <c r="G376" s="7"/>
      <c r="H376" s="7"/>
      <c r="I376" s="4"/>
      <c r="J376" s="7"/>
      <c r="K376" s="7"/>
      <c r="L376" s="7"/>
      <c r="M376" s="7"/>
      <c r="N376" s="4"/>
      <c r="O376" s="4"/>
      <c r="P376" s="4"/>
      <c r="Q376" s="4"/>
      <c r="R376" s="4"/>
      <c r="S376" s="7"/>
      <c r="T376" s="7"/>
      <c r="U376" s="7"/>
      <c r="V376" s="7"/>
      <c r="W376" s="7"/>
      <c r="X376" s="7"/>
      <c r="Y376" s="4"/>
      <c r="Z376" s="4"/>
      <c r="AA376" s="4"/>
      <c r="AB376" s="4"/>
      <c r="AC376" s="4"/>
      <c r="AD376" s="4"/>
      <c r="AE376" s="28"/>
      <c r="AF376" s="4"/>
      <c r="AG376" s="4"/>
      <c r="AH376" s="4"/>
      <c r="AI376" s="4"/>
      <c r="AJ376" s="4"/>
      <c r="AK376" s="4"/>
      <c r="AL376" s="44"/>
      <c r="AM376" s="8"/>
      <c r="AN376" s="8"/>
      <c r="AO376" s="8"/>
      <c r="AP376" s="8"/>
      <c r="AQ376" s="8"/>
      <c r="AR376" s="8"/>
      <c r="AS376" s="8"/>
      <c r="AT376" s="46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4"/>
      <c r="BV376" s="4"/>
    </row>
    <row r="377" spans="1:74" s="16" customFormat="1" x14ac:dyDescent="0.25">
      <c r="A377" s="26"/>
      <c r="B377" s="6"/>
      <c r="C377" s="7"/>
      <c r="D377" s="7"/>
      <c r="E377" s="7"/>
      <c r="F377" s="7"/>
      <c r="G377" s="7"/>
      <c r="H377" s="7"/>
      <c r="I377" s="4"/>
      <c r="J377" s="7"/>
      <c r="K377" s="7"/>
      <c r="L377" s="7"/>
      <c r="M377" s="7"/>
      <c r="N377" s="4"/>
      <c r="O377" s="4"/>
      <c r="P377" s="4"/>
      <c r="Q377" s="4"/>
      <c r="R377" s="4"/>
      <c r="S377" s="7"/>
      <c r="T377" s="7"/>
      <c r="U377" s="7"/>
      <c r="V377" s="7"/>
      <c r="W377" s="7"/>
      <c r="X377" s="7"/>
      <c r="Y377" s="4"/>
      <c r="Z377" s="4"/>
      <c r="AA377" s="4"/>
      <c r="AB377" s="4"/>
      <c r="AC377" s="4"/>
      <c r="AD377" s="4"/>
      <c r="AE377" s="28"/>
      <c r="AF377" s="4"/>
      <c r="AG377" s="4"/>
      <c r="AH377" s="4"/>
      <c r="AI377" s="4"/>
      <c r="AJ377" s="4"/>
      <c r="AK377" s="4"/>
      <c r="AL377" s="44"/>
      <c r="AM377" s="8"/>
      <c r="AN377" s="8"/>
      <c r="AO377" s="8"/>
      <c r="AP377" s="8"/>
      <c r="AQ377" s="8"/>
      <c r="AR377" s="8"/>
      <c r="AS377" s="8"/>
      <c r="AT377" s="46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4"/>
      <c r="BV377" s="4"/>
    </row>
    <row r="378" spans="1:74" s="16" customFormat="1" x14ac:dyDescent="0.25">
      <c r="A378" s="26"/>
      <c r="B378" s="6"/>
      <c r="C378" s="7"/>
      <c r="D378" s="7"/>
      <c r="E378" s="7"/>
      <c r="F378" s="7"/>
      <c r="G378" s="7"/>
      <c r="H378" s="7"/>
      <c r="I378" s="4"/>
      <c r="J378" s="7"/>
      <c r="K378" s="7"/>
      <c r="L378" s="7"/>
      <c r="M378" s="7"/>
      <c r="N378" s="4"/>
      <c r="O378" s="4"/>
      <c r="P378" s="4"/>
      <c r="Q378" s="4"/>
      <c r="R378" s="4"/>
      <c r="S378" s="7"/>
      <c r="T378" s="7"/>
      <c r="U378" s="7"/>
      <c r="V378" s="7"/>
      <c r="W378" s="7"/>
      <c r="X378" s="7"/>
      <c r="Y378" s="4"/>
      <c r="Z378" s="4"/>
      <c r="AA378" s="4"/>
      <c r="AB378" s="4"/>
      <c r="AC378" s="4"/>
      <c r="AD378" s="4"/>
      <c r="AE378" s="28"/>
      <c r="AF378" s="4"/>
      <c r="AG378" s="4"/>
      <c r="AH378" s="4"/>
      <c r="AI378" s="4"/>
      <c r="AJ378" s="4"/>
      <c r="AK378" s="4"/>
      <c r="AL378" s="44"/>
      <c r="AM378" s="8"/>
      <c r="AN378" s="8"/>
      <c r="AO378" s="8"/>
      <c r="AP378" s="8"/>
      <c r="AQ378" s="8"/>
      <c r="AR378" s="8"/>
      <c r="AS378" s="8"/>
      <c r="AT378" s="46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4"/>
      <c r="BV378" s="4"/>
    </row>
    <row r="379" spans="1:74" s="16" customFormat="1" x14ac:dyDescent="0.25">
      <c r="A379" s="26"/>
      <c r="B379" s="6"/>
      <c r="C379" s="7"/>
      <c r="D379" s="7"/>
      <c r="E379" s="7"/>
      <c r="F379" s="7"/>
      <c r="G379" s="7"/>
      <c r="H379" s="7"/>
      <c r="I379" s="4"/>
      <c r="J379" s="7"/>
      <c r="K379" s="7"/>
      <c r="L379" s="7"/>
      <c r="M379" s="7"/>
      <c r="N379" s="4"/>
      <c r="O379" s="4"/>
      <c r="P379" s="4"/>
      <c r="Q379" s="4"/>
      <c r="R379" s="4"/>
      <c r="S379" s="7"/>
      <c r="T379" s="7"/>
      <c r="U379" s="7"/>
      <c r="V379" s="7"/>
      <c r="W379" s="7"/>
      <c r="X379" s="7"/>
      <c r="Y379" s="4"/>
      <c r="Z379" s="4"/>
      <c r="AA379" s="4"/>
      <c r="AB379" s="4"/>
      <c r="AC379" s="4"/>
      <c r="AD379" s="4"/>
      <c r="AE379" s="28"/>
      <c r="AF379" s="4"/>
      <c r="AG379" s="4"/>
      <c r="AH379" s="4"/>
      <c r="AI379" s="4"/>
      <c r="AJ379" s="4"/>
      <c r="AK379" s="4"/>
      <c r="AL379" s="44"/>
      <c r="AM379" s="8"/>
      <c r="AN379" s="8"/>
      <c r="AO379" s="8"/>
      <c r="AP379" s="8"/>
      <c r="AQ379" s="8"/>
      <c r="AR379" s="8"/>
      <c r="AS379" s="8"/>
      <c r="AT379" s="46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4"/>
      <c r="BV379" s="4"/>
    </row>
    <row r="380" spans="1:74" s="16" customFormat="1" x14ac:dyDescent="0.25">
      <c r="A380" s="26"/>
      <c r="B380" s="6"/>
      <c r="C380" s="7"/>
      <c r="D380" s="7"/>
      <c r="E380" s="7"/>
      <c r="F380" s="7"/>
      <c r="G380" s="7"/>
      <c r="H380" s="7"/>
      <c r="I380" s="4"/>
      <c r="J380" s="7"/>
      <c r="K380" s="7"/>
      <c r="L380" s="7"/>
      <c r="M380" s="7"/>
      <c r="N380" s="4"/>
      <c r="O380" s="4"/>
      <c r="P380" s="4"/>
      <c r="Q380" s="4"/>
      <c r="R380" s="4"/>
      <c r="S380" s="7"/>
      <c r="T380" s="7"/>
      <c r="U380" s="7"/>
      <c r="V380" s="7"/>
      <c r="W380" s="7"/>
      <c r="X380" s="7"/>
      <c r="Y380" s="4"/>
      <c r="Z380" s="4"/>
      <c r="AA380" s="4"/>
      <c r="AB380" s="4"/>
      <c r="AC380" s="4"/>
      <c r="AD380" s="4"/>
      <c r="AE380" s="28"/>
      <c r="AF380" s="4"/>
      <c r="AG380" s="4"/>
      <c r="AH380" s="4"/>
      <c r="AI380" s="4"/>
      <c r="AJ380" s="4"/>
      <c r="AK380" s="4"/>
      <c r="AL380" s="44"/>
      <c r="AM380" s="8"/>
      <c r="AN380" s="8"/>
      <c r="AO380" s="8"/>
      <c r="AP380" s="8"/>
      <c r="AQ380" s="8"/>
      <c r="AR380" s="8"/>
      <c r="AS380" s="8"/>
      <c r="AT380" s="46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4"/>
      <c r="BV380" s="4"/>
    </row>
    <row r="381" spans="1:74" s="16" customFormat="1" x14ac:dyDescent="0.25">
      <c r="A381" s="26"/>
      <c r="B381" s="6"/>
      <c r="C381" s="7"/>
      <c r="D381" s="7"/>
      <c r="E381" s="7"/>
      <c r="F381" s="7"/>
      <c r="G381" s="7"/>
      <c r="H381" s="7"/>
      <c r="I381" s="4"/>
      <c r="J381" s="7"/>
      <c r="K381" s="7"/>
      <c r="L381" s="7"/>
      <c r="M381" s="7"/>
      <c r="N381" s="4"/>
      <c r="O381" s="4"/>
      <c r="P381" s="4"/>
      <c r="Q381" s="4"/>
      <c r="R381" s="4"/>
      <c r="S381" s="7"/>
      <c r="T381" s="7"/>
      <c r="U381" s="7"/>
      <c r="V381" s="7"/>
      <c r="W381" s="7"/>
      <c r="X381" s="7"/>
      <c r="Y381" s="4"/>
      <c r="Z381" s="4"/>
      <c r="AA381" s="4"/>
      <c r="AB381" s="4"/>
      <c r="AC381" s="4"/>
      <c r="AD381" s="4"/>
      <c r="AE381" s="28"/>
      <c r="AF381" s="4"/>
      <c r="AG381" s="4"/>
      <c r="AH381" s="4"/>
      <c r="AI381" s="4"/>
      <c r="AJ381" s="4"/>
      <c r="AK381" s="4"/>
      <c r="AL381" s="44"/>
      <c r="AM381" s="8"/>
      <c r="AN381" s="8"/>
      <c r="AO381" s="8"/>
      <c r="AP381" s="8"/>
      <c r="AQ381" s="8"/>
      <c r="AR381" s="8"/>
      <c r="AS381" s="8"/>
      <c r="AT381" s="46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4"/>
      <c r="BV381" s="4"/>
    </row>
    <row r="382" spans="1:74" s="16" customFormat="1" x14ac:dyDescent="0.25">
      <c r="A382" s="26"/>
      <c r="B382" s="6"/>
      <c r="C382" s="7"/>
      <c r="D382" s="7"/>
      <c r="E382" s="7"/>
      <c r="F382" s="7"/>
      <c r="G382" s="7"/>
      <c r="H382" s="7"/>
      <c r="I382" s="4"/>
      <c r="J382" s="7"/>
      <c r="K382" s="7"/>
      <c r="L382" s="7"/>
      <c r="M382" s="7"/>
      <c r="N382" s="4"/>
      <c r="O382" s="4"/>
      <c r="P382" s="4"/>
      <c r="Q382" s="4"/>
      <c r="R382" s="4"/>
      <c r="S382" s="7"/>
      <c r="T382" s="7"/>
      <c r="U382" s="7"/>
      <c r="V382" s="7"/>
      <c r="W382" s="7"/>
      <c r="X382" s="7"/>
      <c r="Y382" s="4"/>
      <c r="Z382" s="4"/>
      <c r="AA382" s="4"/>
      <c r="AB382" s="4"/>
      <c r="AC382" s="4"/>
      <c r="AD382" s="4"/>
      <c r="AE382" s="28"/>
      <c r="AF382" s="4"/>
      <c r="AG382" s="4"/>
      <c r="AH382" s="4"/>
      <c r="AI382" s="4"/>
      <c r="AJ382" s="4"/>
      <c r="AK382" s="4"/>
      <c r="AL382" s="44"/>
      <c r="AM382" s="8"/>
      <c r="AN382" s="8"/>
      <c r="AO382" s="8"/>
      <c r="AP382" s="8"/>
      <c r="AQ382" s="8"/>
      <c r="AR382" s="8"/>
      <c r="AS382" s="8"/>
      <c r="AT382" s="46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4"/>
      <c r="BV382" s="4"/>
    </row>
    <row r="383" spans="1:74" s="16" customFormat="1" x14ac:dyDescent="0.25">
      <c r="A383" s="26"/>
      <c r="B383" s="6"/>
      <c r="C383" s="7"/>
      <c r="D383" s="7"/>
      <c r="E383" s="7"/>
      <c r="F383" s="7"/>
      <c r="G383" s="7"/>
      <c r="H383" s="7"/>
      <c r="I383" s="4"/>
      <c r="J383" s="7"/>
      <c r="K383" s="7"/>
      <c r="L383" s="7"/>
      <c r="M383" s="7"/>
      <c r="N383" s="4"/>
      <c r="O383" s="4"/>
      <c r="P383" s="4"/>
      <c r="Q383" s="4"/>
      <c r="R383" s="4"/>
      <c r="S383" s="7"/>
      <c r="T383" s="7"/>
      <c r="U383" s="7"/>
      <c r="V383" s="7"/>
      <c r="W383" s="7"/>
      <c r="X383" s="7"/>
      <c r="Y383" s="4"/>
      <c r="Z383" s="4"/>
      <c r="AA383" s="4"/>
      <c r="AB383" s="4"/>
      <c r="AC383" s="4"/>
      <c r="AD383" s="4"/>
      <c r="AE383" s="28"/>
      <c r="AF383" s="4"/>
      <c r="AG383" s="4"/>
      <c r="AH383" s="4"/>
      <c r="AI383" s="4"/>
      <c r="AJ383" s="4"/>
      <c r="AK383" s="4"/>
      <c r="AL383" s="44"/>
      <c r="AM383" s="8"/>
      <c r="AN383" s="8"/>
      <c r="AO383" s="8"/>
      <c r="AP383" s="8"/>
      <c r="AQ383" s="8"/>
      <c r="AR383" s="8"/>
      <c r="AS383" s="8"/>
      <c r="AT383" s="46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4"/>
      <c r="BV383" s="4"/>
    </row>
    <row r="384" spans="1:74" s="16" customFormat="1" x14ac:dyDescent="0.25">
      <c r="A384" s="26"/>
      <c r="B384" s="6"/>
      <c r="C384" s="7"/>
      <c r="D384" s="7"/>
      <c r="E384" s="7"/>
      <c r="F384" s="7"/>
      <c r="G384" s="7"/>
      <c r="H384" s="7"/>
      <c r="I384" s="4"/>
      <c r="J384" s="7"/>
      <c r="K384" s="7"/>
      <c r="L384" s="7"/>
      <c r="M384" s="7"/>
      <c r="N384" s="4"/>
      <c r="O384" s="4"/>
      <c r="P384" s="4"/>
      <c r="Q384" s="4"/>
      <c r="R384" s="4"/>
      <c r="S384" s="7"/>
      <c r="T384" s="7"/>
      <c r="U384" s="7"/>
      <c r="V384" s="7"/>
      <c r="W384" s="7"/>
      <c r="X384" s="7"/>
      <c r="Y384" s="4"/>
      <c r="Z384" s="4"/>
      <c r="AA384" s="4"/>
      <c r="AB384" s="4"/>
      <c r="AC384" s="4"/>
      <c r="AD384" s="4"/>
      <c r="AE384" s="28"/>
      <c r="AF384" s="4"/>
      <c r="AG384" s="4"/>
      <c r="AH384" s="4"/>
      <c r="AI384" s="4"/>
      <c r="AJ384" s="4"/>
      <c r="AK384" s="4"/>
      <c r="AL384" s="44"/>
      <c r="AM384" s="8"/>
      <c r="AN384" s="8"/>
      <c r="AO384" s="8"/>
      <c r="AP384" s="8"/>
      <c r="AQ384" s="8"/>
      <c r="AR384" s="8"/>
      <c r="AS384" s="8"/>
      <c r="AT384" s="46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4"/>
      <c r="BV384" s="4"/>
    </row>
    <row r="385" spans="1:74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28"/>
      <c r="AF385" s="4"/>
      <c r="AG385" s="4"/>
      <c r="AH385" s="4"/>
      <c r="AI385" s="4"/>
      <c r="AJ385" s="4"/>
      <c r="AK385" s="4"/>
      <c r="AL385" s="44"/>
      <c r="AM385" s="8"/>
      <c r="AN385" s="8"/>
      <c r="AO385" s="8"/>
      <c r="AP385" s="8"/>
      <c r="AQ385" s="8"/>
      <c r="AR385" s="8"/>
      <c r="AS385" s="8"/>
      <c r="AT385" s="46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4"/>
      <c r="BV385" s="4"/>
    </row>
    <row r="386" spans="1:74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28"/>
      <c r="AF386" s="4"/>
      <c r="AG386" s="4"/>
      <c r="AH386" s="4"/>
      <c r="AI386" s="4"/>
      <c r="AJ386" s="4"/>
      <c r="AK386" s="4"/>
      <c r="AL386" s="44"/>
      <c r="AM386" s="8"/>
      <c r="AN386" s="8"/>
      <c r="AO386" s="8"/>
      <c r="AP386" s="8"/>
      <c r="AQ386" s="8"/>
      <c r="AR386" s="8"/>
      <c r="AS386" s="8"/>
      <c r="AT386" s="46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4"/>
      <c r="BV386" s="4"/>
    </row>
    <row r="387" spans="1:74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28"/>
      <c r="AF387" s="4"/>
      <c r="AG387" s="4"/>
      <c r="AH387" s="4"/>
      <c r="AI387" s="4"/>
      <c r="AJ387" s="4"/>
      <c r="AK387" s="4"/>
      <c r="AL387" s="44"/>
      <c r="AM387" s="8"/>
      <c r="AN387" s="8"/>
      <c r="AO387" s="8"/>
      <c r="AP387" s="8"/>
      <c r="AQ387" s="8"/>
      <c r="AR387" s="8"/>
      <c r="AS387" s="8"/>
      <c r="AT387" s="46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4"/>
      <c r="BV387" s="4"/>
    </row>
    <row r="388" spans="1:74" s="16" customFormat="1" x14ac:dyDescent="0.25">
      <c r="A388" s="26"/>
      <c r="B388" s="6"/>
      <c r="C388" s="7"/>
      <c r="D388" s="7"/>
      <c r="E388" s="7"/>
      <c r="F388" s="7"/>
      <c r="G388" s="7"/>
      <c r="H388" s="7"/>
      <c r="I388" s="4"/>
      <c r="J388" s="7"/>
      <c r="K388" s="7"/>
      <c r="L388" s="7"/>
      <c r="M388" s="7"/>
      <c r="N388" s="4"/>
      <c r="O388" s="4"/>
      <c r="P388" s="4"/>
      <c r="Q388" s="4"/>
      <c r="R388" s="4"/>
      <c r="S388" s="7"/>
      <c r="T388" s="7"/>
      <c r="U388" s="7"/>
      <c r="V388" s="7"/>
      <c r="W388" s="7"/>
      <c r="X388" s="7"/>
      <c r="Y388" s="4"/>
      <c r="Z388" s="4"/>
      <c r="AA388" s="4"/>
      <c r="AB388" s="4"/>
      <c r="AC388" s="4"/>
      <c r="AD388" s="4"/>
      <c r="AE388" s="28"/>
      <c r="AF388" s="4"/>
      <c r="AG388" s="4"/>
      <c r="AH388" s="4"/>
      <c r="AI388" s="4"/>
      <c r="AJ388" s="4"/>
      <c r="AK388" s="4"/>
      <c r="AL388" s="44"/>
      <c r="AM388" s="8"/>
      <c r="AN388" s="8"/>
      <c r="AO388" s="8"/>
      <c r="AP388" s="8"/>
      <c r="AQ388" s="8"/>
      <c r="AR388" s="8"/>
      <c r="AS388" s="8"/>
      <c r="AT388" s="46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4"/>
      <c r="BV388" s="4"/>
    </row>
    <row r="389" spans="1:74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28"/>
      <c r="AF389" s="4"/>
      <c r="AG389" s="4"/>
      <c r="AH389" s="4"/>
      <c r="AI389" s="4"/>
      <c r="AJ389" s="4"/>
      <c r="AK389" s="4"/>
      <c r="AL389" s="44"/>
      <c r="AM389" s="8"/>
      <c r="AN389" s="8"/>
      <c r="AO389" s="8"/>
      <c r="AP389" s="8"/>
      <c r="AQ389" s="8"/>
      <c r="AR389" s="8"/>
      <c r="AS389" s="8"/>
      <c r="AT389" s="46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4"/>
      <c r="BV389" s="4"/>
    </row>
    <row r="390" spans="1:74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28"/>
      <c r="AF390" s="4"/>
      <c r="AG390" s="4"/>
      <c r="AH390" s="4"/>
      <c r="AI390" s="4"/>
      <c r="AJ390" s="4"/>
      <c r="AK390" s="4"/>
      <c r="AL390" s="44"/>
      <c r="AM390" s="8"/>
      <c r="AN390" s="8"/>
      <c r="AO390" s="8"/>
      <c r="AP390" s="8"/>
      <c r="AQ390" s="8"/>
      <c r="AR390" s="8"/>
      <c r="AS390" s="8"/>
      <c r="AT390" s="46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4"/>
      <c r="BV390" s="4"/>
    </row>
    <row r="391" spans="1:74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28"/>
      <c r="AF391" s="4"/>
      <c r="AG391" s="4"/>
      <c r="AH391" s="4"/>
      <c r="AI391" s="4"/>
      <c r="AJ391" s="4"/>
      <c r="AK391" s="4"/>
      <c r="AL391" s="44"/>
      <c r="AM391" s="8"/>
      <c r="AN391" s="8"/>
      <c r="AO391" s="8"/>
      <c r="AP391" s="8"/>
      <c r="AQ391" s="8"/>
      <c r="AR391" s="8"/>
      <c r="AS391" s="8"/>
      <c r="AT391" s="46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4"/>
      <c r="BV391" s="4"/>
    </row>
    <row r="392" spans="1:74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28"/>
      <c r="AF392" s="4"/>
      <c r="AG392" s="4"/>
      <c r="AH392" s="4"/>
      <c r="AI392" s="4"/>
      <c r="AJ392" s="4"/>
      <c r="AK392" s="4"/>
      <c r="AL392" s="44"/>
      <c r="AM392" s="8"/>
      <c r="AN392" s="8"/>
      <c r="AO392" s="8"/>
      <c r="AP392" s="8"/>
      <c r="AQ392" s="8"/>
      <c r="AR392" s="8"/>
      <c r="AS392" s="8"/>
      <c r="AT392" s="46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4"/>
      <c r="BV392" s="4"/>
    </row>
    <row r="393" spans="1:74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28"/>
      <c r="AF393" s="4"/>
      <c r="AG393" s="4"/>
      <c r="AH393" s="4"/>
      <c r="AI393" s="4"/>
      <c r="AJ393" s="4"/>
      <c r="AK393" s="4"/>
      <c r="AL393" s="44"/>
      <c r="AM393" s="8"/>
      <c r="AN393" s="8"/>
      <c r="AO393" s="8"/>
      <c r="AP393" s="8"/>
      <c r="AQ393" s="8"/>
      <c r="AR393" s="8"/>
      <c r="AS393" s="8"/>
      <c r="AT393" s="46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4"/>
      <c r="BV393" s="4"/>
    </row>
    <row r="394" spans="1:74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28"/>
      <c r="AF394" s="4"/>
      <c r="AG394" s="4"/>
      <c r="AH394" s="4"/>
      <c r="AI394" s="4"/>
      <c r="AJ394" s="4"/>
      <c r="AK394" s="4"/>
      <c r="AL394" s="44"/>
      <c r="AM394" s="8"/>
      <c r="AN394" s="8"/>
      <c r="AO394" s="8"/>
      <c r="AP394" s="8"/>
      <c r="AQ394" s="8"/>
      <c r="AR394" s="8"/>
      <c r="AS394" s="8"/>
      <c r="AT394" s="46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4"/>
      <c r="BV394" s="4"/>
    </row>
    <row r="395" spans="1:74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28"/>
      <c r="AF395" s="4"/>
      <c r="AG395" s="4"/>
      <c r="AH395" s="4"/>
      <c r="AI395" s="4"/>
      <c r="AJ395" s="4"/>
      <c r="AK395" s="4"/>
      <c r="AL395" s="44"/>
      <c r="AM395" s="8"/>
      <c r="AN395" s="8"/>
      <c r="AO395" s="8"/>
      <c r="AP395" s="8"/>
      <c r="AQ395" s="8"/>
      <c r="AR395" s="8"/>
      <c r="AS395" s="8"/>
      <c r="AT395" s="46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4"/>
      <c r="BV395" s="4"/>
    </row>
    <row r="396" spans="1:74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28"/>
      <c r="AF396" s="4"/>
      <c r="AG396" s="4"/>
      <c r="AH396" s="4"/>
      <c r="AI396" s="4"/>
      <c r="AJ396" s="4"/>
      <c r="AK396" s="4"/>
      <c r="AL396" s="44"/>
      <c r="AM396" s="8"/>
      <c r="AN396" s="8"/>
      <c r="AO396" s="8"/>
      <c r="AP396" s="8"/>
      <c r="AQ396" s="8"/>
      <c r="AR396" s="8"/>
      <c r="AS396" s="8"/>
      <c r="AT396" s="46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4"/>
      <c r="BV396" s="4"/>
    </row>
    <row r="397" spans="1:74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28"/>
      <c r="AF397" s="4"/>
      <c r="AG397" s="4"/>
      <c r="AH397" s="4"/>
      <c r="AI397" s="4"/>
      <c r="AJ397" s="4"/>
      <c r="AK397" s="4"/>
      <c r="AL397" s="44"/>
      <c r="AM397" s="8"/>
      <c r="AN397" s="8"/>
      <c r="AO397" s="8"/>
      <c r="AP397" s="8"/>
      <c r="AQ397" s="8"/>
      <c r="AR397" s="8"/>
      <c r="AS397" s="8"/>
      <c r="AT397" s="46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4"/>
      <c r="BV397" s="4"/>
    </row>
    <row r="398" spans="1:74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28"/>
      <c r="AF398" s="4"/>
      <c r="AG398" s="4"/>
      <c r="AH398" s="4"/>
      <c r="AI398" s="4"/>
      <c r="AJ398" s="4"/>
      <c r="AK398" s="4"/>
      <c r="AL398" s="44"/>
      <c r="AM398" s="8"/>
      <c r="AN398" s="8"/>
      <c r="AO398" s="8"/>
      <c r="AP398" s="8"/>
      <c r="AQ398" s="8"/>
      <c r="AR398" s="8"/>
      <c r="AS398" s="8"/>
      <c r="AT398" s="46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4"/>
      <c r="BV398" s="4"/>
    </row>
    <row r="399" spans="1:74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28"/>
      <c r="AF399" s="4"/>
      <c r="AG399" s="4"/>
      <c r="AH399" s="4"/>
      <c r="AI399" s="4"/>
      <c r="AJ399" s="4"/>
      <c r="AK399" s="4"/>
      <c r="AL399" s="44"/>
      <c r="AM399" s="8"/>
      <c r="AN399" s="8"/>
      <c r="AO399" s="8"/>
      <c r="AP399" s="8"/>
      <c r="AQ399" s="8"/>
      <c r="AR399" s="8"/>
      <c r="AS399" s="8"/>
      <c r="AT399" s="46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4"/>
      <c r="BV399" s="4"/>
    </row>
    <row r="400" spans="1:74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28"/>
      <c r="AF400" s="4"/>
      <c r="AG400" s="4"/>
      <c r="AH400" s="4"/>
      <c r="AI400" s="4"/>
      <c r="AJ400" s="4"/>
      <c r="AK400" s="4"/>
      <c r="AL400" s="44"/>
      <c r="AM400" s="8"/>
      <c r="AN400" s="8"/>
      <c r="AO400" s="8"/>
      <c r="AP400" s="8"/>
      <c r="AQ400" s="8"/>
      <c r="AR400" s="8"/>
      <c r="AS400" s="8"/>
      <c r="AT400" s="46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4"/>
      <c r="BV400" s="4"/>
    </row>
    <row r="401" spans="1:74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28"/>
      <c r="AF401" s="4"/>
      <c r="AG401" s="4"/>
      <c r="AH401" s="4"/>
      <c r="AI401" s="4"/>
      <c r="AJ401" s="4"/>
      <c r="AK401" s="4"/>
      <c r="AL401" s="44"/>
      <c r="AM401" s="8"/>
      <c r="AN401" s="8"/>
      <c r="AO401" s="8"/>
      <c r="AP401" s="8"/>
      <c r="AQ401" s="8"/>
      <c r="AR401" s="8"/>
      <c r="AS401" s="8"/>
      <c r="AT401" s="46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4"/>
      <c r="BV401" s="4"/>
    </row>
    <row r="402" spans="1:74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28"/>
      <c r="AF402" s="4"/>
      <c r="AG402" s="4"/>
      <c r="AH402" s="4"/>
      <c r="AI402" s="4"/>
      <c r="AJ402" s="4"/>
      <c r="AK402" s="4"/>
      <c r="AL402" s="44"/>
      <c r="AM402" s="8"/>
      <c r="AN402" s="8"/>
      <c r="AO402" s="8"/>
      <c r="AP402" s="8"/>
      <c r="AQ402" s="8"/>
      <c r="AR402" s="8"/>
      <c r="AS402" s="8"/>
      <c r="AT402" s="46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4"/>
      <c r="BV402" s="4"/>
    </row>
    <row r="403" spans="1:74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28"/>
      <c r="AF403" s="4"/>
      <c r="AG403" s="4"/>
      <c r="AH403" s="4"/>
      <c r="AI403" s="4"/>
      <c r="AJ403" s="4"/>
      <c r="AK403" s="4"/>
      <c r="AL403" s="44"/>
      <c r="AM403" s="8"/>
      <c r="AN403" s="8"/>
      <c r="AO403" s="8"/>
      <c r="AP403" s="8"/>
      <c r="AQ403" s="8"/>
      <c r="AR403" s="8"/>
      <c r="AS403" s="8"/>
      <c r="AT403" s="46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4"/>
      <c r="BV403" s="4"/>
    </row>
    <row r="404" spans="1:74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28"/>
      <c r="AF404" s="4"/>
      <c r="AG404" s="4"/>
      <c r="AH404" s="4"/>
      <c r="AI404" s="4"/>
      <c r="AJ404" s="4"/>
      <c r="AK404" s="4"/>
      <c r="AL404" s="44"/>
      <c r="AM404" s="8"/>
      <c r="AN404" s="8"/>
      <c r="AO404" s="8"/>
      <c r="AP404" s="8"/>
      <c r="AQ404" s="8"/>
      <c r="AR404" s="8"/>
      <c r="AS404" s="8"/>
      <c r="AT404" s="46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4"/>
      <c r="BV404" s="4"/>
    </row>
    <row r="405" spans="1:74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28"/>
      <c r="AF405" s="4"/>
      <c r="AG405" s="4"/>
      <c r="AH405" s="4"/>
      <c r="AI405" s="4"/>
      <c r="AJ405" s="4"/>
      <c r="AK405" s="4"/>
      <c r="AL405" s="44"/>
      <c r="AM405" s="8"/>
      <c r="AN405" s="8"/>
      <c r="AO405" s="8"/>
      <c r="AP405" s="8"/>
      <c r="AQ405" s="8"/>
      <c r="AR405" s="8"/>
      <c r="AS405" s="8"/>
      <c r="AT405" s="46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4"/>
      <c r="BV405" s="4"/>
    </row>
    <row r="406" spans="1:74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28"/>
      <c r="AF406" s="4"/>
      <c r="AG406" s="4"/>
      <c r="AH406" s="4"/>
      <c r="AI406" s="4"/>
      <c r="AJ406" s="4"/>
      <c r="AK406" s="4"/>
      <c r="AL406" s="44"/>
      <c r="AM406" s="8"/>
      <c r="AN406" s="8"/>
      <c r="AO406" s="8"/>
      <c r="AP406" s="8"/>
      <c r="AQ406" s="8"/>
      <c r="AR406" s="8"/>
      <c r="AS406" s="8"/>
      <c r="AT406" s="46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4"/>
      <c r="BV406" s="4"/>
    </row>
    <row r="407" spans="1:74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28"/>
      <c r="AF407" s="4"/>
      <c r="AG407" s="4"/>
      <c r="AH407" s="4"/>
      <c r="AI407" s="4"/>
      <c r="AJ407" s="4"/>
      <c r="AK407" s="4"/>
      <c r="AL407" s="44"/>
      <c r="AM407" s="8"/>
      <c r="AN407" s="8"/>
      <c r="AO407" s="8"/>
      <c r="AP407" s="8"/>
      <c r="AQ407" s="8"/>
      <c r="AR407" s="8"/>
      <c r="AS407" s="8"/>
      <c r="AT407" s="46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4"/>
      <c r="BV407" s="4"/>
    </row>
    <row r="408" spans="1:74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28"/>
      <c r="AF408" s="4"/>
      <c r="AG408" s="4"/>
      <c r="AH408" s="4"/>
      <c r="AI408" s="4"/>
      <c r="AJ408" s="4"/>
      <c r="AK408" s="4"/>
      <c r="AL408" s="44"/>
      <c r="AM408" s="8"/>
      <c r="AN408" s="8"/>
      <c r="AO408" s="8"/>
      <c r="AP408" s="8"/>
      <c r="AQ408" s="8"/>
      <c r="AR408" s="8"/>
      <c r="AS408" s="8"/>
      <c r="AT408" s="46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4"/>
      <c r="BV408" s="4"/>
    </row>
    <row r="409" spans="1:74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28"/>
      <c r="AF409" s="4"/>
      <c r="AG409" s="4"/>
      <c r="AH409" s="4"/>
      <c r="AI409" s="4"/>
      <c r="AJ409" s="4"/>
      <c r="AK409" s="4"/>
      <c r="AL409" s="44"/>
      <c r="AM409" s="8"/>
      <c r="AN409" s="8"/>
      <c r="AO409" s="8"/>
      <c r="AP409" s="8"/>
      <c r="AQ409" s="8"/>
      <c r="AR409" s="8"/>
      <c r="AS409" s="8"/>
      <c r="AT409" s="46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4"/>
      <c r="BV409" s="4"/>
    </row>
    <row r="410" spans="1:74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28"/>
      <c r="AF410" s="4"/>
      <c r="AG410" s="4"/>
      <c r="AH410" s="4"/>
      <c r="AI410" s="4"/>
      <c r="AJ410" s="4"/>
      <c r="AK410" s="4"/>
      <c r="AL410" s="44"/>
      <c r="AM410" s="8"/>
      <c r="AN410" s="8"/>
      <c r="AO410" s="8"/>
      <c r="AP410" s="8"/>
      <c r="AQ410" s="8"/>
      <c r="AR410" s="8"/>
      <c r="AS410" s="8"/>
      <c r="AT410" s="46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4"/>
      <c r="BV410" s="4"/>
    </row>
    <row r="411" spans="1:74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28"/>
      <c r="AF411" s="4"/>
      <c r="AG411" s="4"/>
      <c r="AH411" s="4"/>
      <c r="AI411" s="4"/>
      <c r="AJ411" s="4"/>
      <c r="AK411" s="4"/>
      <c r="AL411" s="44"/>
      <c r="AM411" s="8"/>
      <c r="AN411" s="8"/>
      <c r="AO411" s="8"/>
      <c r="AP411" s="8"/>
      <c r="AQ411" s="8"/>
      <c r="AR411" s="8"/>
      <c r="AS411" s="8"/>
      <c r="AT411" s="46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4"/>
      <c r="BV411" s="4"/>
    </row>
    <row r="412" spans="1:74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28"/>
      <c r="AF412" s="4"/>
      <c r="AG412" s="4"/>
      <c r="AH412" s="4"/>
      <c r="AI412" s="4"/>
      <c r="AJ412" s="4"/>
      <c r="AK412" s="4"/>
      <c r="AL412" s="44"/>
      <c r="AM412" s="8"/>
      <c r="AN412" s="8"/>
      <c r="AO412" s="8"/>
      <c r="AP412" s="8"/>
      <c r="AQ412" s="8"/>
      <c r="AR412" s="8"/>
      <c r="AS412" s="8"/>
      <c r="AT412" s="46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4"/>
      <c r="BV412" s="4"/>
    </row>
    <row r="413" spans="1:74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28"/>
      <c r="AF413" s="4"/>
      <c r="AG413" s="4"/>
      <c r="AH413" s="4"/>
      <c r="AI413" s="4"/>
      <c r="AJ413" s="4"/>
      <c r="AK413" s="4"/>
      <c r="AL413" s="44"/>
      <c r="AM413" s="8"/>
      <c r="AN413" s="8"/>
      <c r="AO413" s="8"/>
      <c r="AP413" s="8"/>
      <c r="AQ413" s="8"/>
      <c r="AR413" s="8"/>
      <c r="AS413" s="8"/>
      <c r="AT413" s="46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4"/>
      <c r="BV413" s="4"/>
    </row>
    <row r="414" spans="1:74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28"/>
      <c r="AF414" s="4"/>
      <c r="AG414" s="4"/>
      <c r="AH414" s="4"/>
      <c r="AI414" s="4"/>
      <c r="AJ414" s="4"/>
      <c r="AK414" s="4"/>
      <c r="AL414" s="44"/>
      <c r="AM414" s="8"/>
      <c r="AN414" s="8"/>
      <c r="AO414" s="8"/>
      <c r="AP414" s="8"/>
      <c r="AQ414" s="8"/>
      <c r="AR414" s="8"/>
      <c r="AS414" s="8"/>
      <c r="AT414" s="46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4"/>
      <c r="BV414" s="4"/>
    </row>
    <row r="415" spans="1:74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28"/>
      <c r="AF415" s="4"/>
      <c r="AG415" s="4"/>
      <c r="AH415" s="4"/>
      <c r="AI415" s="4"/>
      <c r="AJ415" s="4"/>
      <c r="AK415" s="4"/>
      <c r="AL415" s="44"/>
      <c r="AM415" s="8"/>
      <c r="AN415" s="8"/>
      <c r="AO415" s="8"/>
      <c r="AP415" s="8"/>
      <c r="AQ415" s="8"/>
      <c r="AR415" s="8"/>
      <c r="AS415" s="8"/>
      <c r="AT415" s="46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4"/>
      <c r="BV415" s="4"/>
    </row>
    <row r="416" spans="1:74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28"/>
      <c r="AF416" s="4"/>
      <c r="AG416" s="4"/>
      <c r="AH416" s="4"/>
      <c r="AI416" s="4"/>
      <c r="AJ416" s="4"/>
      <c r="AK416" s="4"/>
      <c r="AL416" s="44"/>
      <c r="AM416" s="8"/>
      <c r="AN416" s="8"/>
      <c r="AO416" s="8"/>
      <c r="AP416" s="8"/>
      <c r="AQ416" s="8"/>
      <c r="AR416" s="8"/>
      <c r="AS416" s="8"/>
      <c r="AT416" s="46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4"/>
      <c r="BV416" s="4"/>
    </row>
    <row r="417" spans="1:74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28"/>
      <c r="AF417" s="4"/>
      <c r="AG417" s="4"/>
      <c r="AH417" s="4"/>
      <c r="AI417" s="4"/>
      <c r="AJ417" s="4"/>
      <c r="AK417" s="4"/>
      <c r="AL417" s="44"/>
      <c r="AM417" s="8"/>
      <c r="AN417" s="8"/>
      <c r="AO417" s="8"/>
      <c r="AP417" s="8"/>
      <c r="AQ417" s="8"/>
      <c r="AR417" s="8"/>
      <c r="AS417" s="8"/>
      <c r="AT417" s="46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4"/>
      <c r="BV417" s="4"/>
    </row>
    <row r="418" spans="1:74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28"/>
      <c r="AF418" s="4"/>
      <c r="AG418" s="4"/>
      <c r="AH418" s="4"/>
      <c r="AI418" s="4"/>
      <c r="AJ418" s="4"/>
      <c r="AK418" s="4"/>
      <c r="AL418" s="44"/>
      <c r="AM418" s="8"/>
      <c r="AN418" s="8"/>
      <c r="AO418" s="8"/>
      <c r="AP418" s="8"/>
      <c r="AQ418" s="8"/>
      <c r="AR418" s="8"/>
      <c r="AS418" s="8"/>
      <c r="AT418" s="46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4"/>
      <c r="BV418" s="4"/>
    </row>
    <row r="419" spans="1:74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28"/>
      <c r="AF419" s="4"/>
      <c r="AG419" s="4"/>
      <c r="AH419" s="4"/>
      <c r="AI419" s="4"/>
      <c r="AJ419" s="4"/>
      <c r="AK419" s="4"/>
      <c r="AL419" s="44"/>
      <c r="AM419" s="8"/>
      <c r="AN419" s="8"/>
      <c r="AO419" s="8"/>
      <c r="AP419" s="8"/>
      <c r="AQ419" s="8"/>
      <c r="AR419" s="8"/>
      <c r="AS419" s="8"/>
      <c r="AT419" s="46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4"/>
      <c r="BV419" s="4"/>
    </row>
    <row r="420" spans="1:74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28"/>
      <c r="AF420" s="4"/>
      <c r="AG420" s="4"/>
      <c r="AH420" s="4"/>
      <c r="AI420" s="4"/>
      <c r="AJ420" s="4"/>
      <c r="AK420" s="4"/>
      <c r="AL420" s="44"/>
      <c r="AM420" s="8"/>
      <c r="AN420" s="8"/>
      <c r="AO420" s="8"/>
      <c r="AP420" s="8"/>
      <c r="AQ420" s="8"/>
      <c r="AR420" s="8"/>
      <c r="AS420" s="8"/>
      <c r="AT420" s="46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4"/>
      <c r="BV420" s="4"/>
    </row>
    <row r="421" spans="1:74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28"/>
      <c r="AF421" s="4"/>
      <c r="AG421" s="4"/>
      <c r="AH421" s="4"/>
      <c r="AI421" s="4"/>
      <c r="AJ421" s="4"/>
      <c r="AK421" s="4"/>
      <c r="AL421" s="44"/>
      <c r="AM421" s="8"/>
      <c r="AN421" s="8"/>
      <c r="AO421" s="8"/>
      <c r="AP421" s="8"/>
      <c r="AQ421" s="8"/>
      <c r="AR421" s="8"/>
      <c r="AS421" s="8"/>
      <c r="AT421" s="46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4"/>
      <c r="BV421" s="4"/>
    </row>
    <row r="422" spans="1:74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28"/>
      <c r="AF422" s="4"/>
      <c r="AG422" s="4"/>
      <c r="AH422" s="4"/>
      <c r="AI422" s="4"/>
      <c r="AJ422" s="4"/>
      <c r="AK422" s="4"/>
      <c r="AL422" s="44"/>
      <c r="AM422" s="8"/>
      <c r="AN422" s="8"/>
      <c r="AO422" s="8"/>
      <c r="AP422" s="8"/>
      <c r="AQ422" s="8"/>
      <c r="AR422" s="8"/>
      <c r="AS422" s="8"/>
      <c r="AT422" s="46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4"/>
      <c r="BV422" s="4"/>
    </row>
    <row r="423" spans="1:74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28"/>
      <c r="AF423" s="4"/>
      <c r="AG423" s="4"/>
      <c r="AH423" s="4"/>
      <c r="AI423" s="4"/>
      <c r="AJ423" s="4"/>
      <c r="AK423" s="4"/>
      <c r="AL423" s="44"/>
      <c r="AM423" s="8"/>
      <c r="AN423" s="8"/>
      <c r="AO423" s="8"/>
      <c r="AP423" s="8"/>
      <c r="AQ423" s="8"/>
      <c r="AR423" s="8"/>
      <c r="AS423" s="8"/>
      <c r="AT423" s="46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4"/>
      <c r="BV423" s="4"/>
    </row>
    <row r="424" spans="1:74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28"/>
      <c r="AF424" s="4"/>
      <c r="AG424" s="4"/>
      <c r="AH424" s="4"/>
      <c r="AI424" s="4"/>
      <c r="AJ424" s="4"/>
      <c r="AK424" s="4"/>
      <c r="AL424" s="44"/>
      <c r="AM424" s="8"/>
      <c r="AN424" s="8"/>
      <c r="AO424" s="8"/>
      <c r="AP424" s="8"/>
      <c r="AQ424" s="8"/>
      <c r="AR424" s="8"/>
      <c r="AS424" s="8"/>
      <c r="AT424" s="46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4"/>
      <c r="BV424" s="4"/>
    </row>
    <row r="425" spans="1:74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28"/>
      <c r="AF425" s="4"/>
      <c r="AG425" s="4"/>
      <c r="AH425" s="4"/>
      <c r="AI425" s="4"/>
      <c r="AJ425" s="4"/>
      <c r="AK425" s="4"/>
      <c r="AL425" s="44"/>
      <c r="AM425" s="8"/>
      <c r="AN425" s="8"/>
      <c r="AO425" s="8"/>
      <c r="AP425" s="8"/>
      <c r="AQ425" s="8"/>
      <c r="AR425" s="8"/>
      <c r="AS425" s="8"/>
      <c r="AT425" s="46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4"/>
      <c r="BV425" s="4"/>
    </row>
    <row r="426" spans="1:74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28"/>
      <c r="AF426" s="4"/>
      <c r="AG426" s="4"/>
      <c r="AH426" s="4"/>
      <c r="AI426" s="4"/>
      <c r="AJ426" s="4"/>
      <c r="AK426" s="4"/>
      <c r="AL426" s="44"/>
      <c r="AM426" s="8"/>
      <c r="AN426" s="8"/>
      <c r="AO426" s="8"/>
      <c r="AP426" s="8"/>
      <c r="AQ426" s="8"/>
      <c r="AR426" s="8"/>
      <c r="AS426" s="8"/>
      <c r="AT426" s="46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4"/>
      <c r="BV426" s="4"/>
    </row>
    <row r="427" spans="1:74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28"/>
      <c r="AF427" s="4"/>
      <c r="AG427" s="4"/>
      <c r="AH427" s="4"/>
      <c r="AI427" s="4"/>
      <c r="AJ427" s="4"/>
      <c r="AK427" s="4"/>
      <c r="AL427" s="44"/>
      <c r="AM427" s="8"/>
      <c r="AN427" s="8"/>
      <c r="AO427" s="8"/>
      <c r="AP427" s="8"/>
      <c r="AQ427" s="8"/>
      <c r="AR427" s="8"/>
      <c r="AS427" s="8"/>
      <c r="AT427" s="46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4"/>
      <c r="BV427" s="4"/>
    </row>
    <row r="428" spans="1:74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28"/>
      <c r="AF428" s="4"/>
      <c r="AG428" s="4"/>
      <c r="AH428" s="4"/>
      <c r="AI428" s="4"/>
      <c r="AJ428" s="4"/>
      <c r="AK428" s="4"/>
      <c r="AL428" s="44"/>
      <c r="AM428" s="8"/>
      <c r="AN428" s="8"/>
      <c r="AO428" s="8"/>
      <c r="AP428" s="8"/>
      <c r="AQ428" s="8"/>
      <c r="AR428" s="8"/>
      <c r="AS428" s="8"/>
      <c r="AT428" s="46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4"/>
      <c r="BV428" s="4"/>
    </row>
    <row r="429" spans="1:74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28"/>
      <c r="AF429" s="4"/>
      <c r="AG429" s="4"/>
      <c r="AH429" s="4"/>
      <c r="AI429" s="4"/>
      <c r="AJ429" s="4"/>
      <c r="AK429" s="4"/>
      <c r="AL429" s="44"/>
      <c r="AM429" s="8"/>
      <c r="AN429" s="8"/>
      <c r="AO429" s="8"/>
      <c r="AP429" s="8"/>
      <c r="AQ429" s="8"/>
      <c r="AR429" s="8"/>
      <c r="AS429" s="8"/>
      <c r="AT429" s="46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4"/>
      <c r="BV429" s="4"/>
    </row>
    <row r="430" spans="1:74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28"/>
      <c r="AF430" s="4"/>
      <c r="AG430" s="4"/>
      <c r="AH430" s="4"/>
      <c r="AI430" s="4"/>
      <c r="AJ430" s="4"/>
      <c r="AK430" s="4"/>
      <c r="AL430" s="44"/>
      <c r="AM430" s="8"/>
      <c r="AN430" s="8"/>
      <c r="AO430" s="8"/>
      <c r="AP430" s="8"/>
      <c r="AQ430" s="8"/>
      <c r="AR430" s="8"/>
      <c r="AS430" s="8"/>
      <c r="AT430" s="46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4"/>
      <c r="BV430" s="4"/>
    </row>
    <row r="431" spans="1:74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28"/>
      <c r="AF431" s="4"/>
      <c r="AG431" s="4"/>
      <c r="AH431" s="4"/>
      <c r="AI431" s="4"/>
      <c r="AJ431" s="4"/>
      <c r="AK431" s="4"/>
      <c r="AL431" s="44"/>
      <c r="AM431" s="8"/>
      <c r="AN431" s="8"/>
      <c r="AO431" s="8"/>
      <c r="AP431" s="8"/>
      <c r="AQ431" s="8"/>
      <c r="AR431" s="8"/>
      <c r="AS431" s="8"/>
      <c r="AT431" s="46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4"/>
      <c r="BV431" s="4"/>
    </row>
    <row r="432" spans="1:74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28"/>
      <c r="AF432" s="4"/>
      <c r="AG432" s="4"/>
      <c r="AH432" s="4"/>
      <c r="AI432" s="4"/>
      <c r="AJ432" s="4"/>
      <c r="AK432" s="4"/>
      <c r="AL432" s="44"/>
      <c r="AM432" s="8"/>
      <c r="AN432" s="8"/>
      <c r="AO432" s="8"/>
      <c r="AP432" s="8"/>
      <c r="AQ432" s="8"/>
      <c r="AR432" s="8"/>
      <c r="AS432" s="8"/>
      <c r="AT432" s="46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4"/>
      <c r="BV432" s="4"/>
    </row>
    <row r="433" spans="1:74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28"/>
      <c r="AF433" s="4"/>
      <c r="AG433" s="4"/>
      <c r="AH433" s="4"/>
      <c r="AI433" s="4"/>
      <c r="AJ433" s="4"/>
      <c r="AK433" s="4"/>
      <c r="AL433" s="44"/>
      <c r="AM433" s="8"/>
      <c r="AN433" s="8"/>
      <c r="AO433" s="8"/>
      <c r="AP433" s="8"/>
      <c r="AQ433" s="8"/>
      <c r="AR433" s="8"/>
      <c r="AS433" s="8"/>
      <c r="AT433" s="46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4"/>
      <c r="BV433" s="4"/>
    </row>
    <row r="434" spans="1:74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28"/>
      <c r="AF434" s="4"/>
      <c r="AG434" s="4"/>
      <c r="AH434" s="4"/>
      <c r="AI434" s="4"/>
      <c r="AJ434" s="4"/>
      <c r="AK434" s="4"/>
      <c r="AL434" s="44"/>
      <c r="AM434" s="8"/>
      <c r="AN434" s="8"/>
      <c r="AO434" s="8"/>
      <c r="AP434" s="8"/>
      <c r="AQ434" s="8"/>
      <c r="AR434" s="8"/>
      <c r="AS434" s="8"/>
      <c r="AT434" s="46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4"/>
      <c r="BV434" s="4"/>
    </row>
    <row r="435" spans="1:74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28"/>
      <c r="AF435" s="4"/>
      <c r="AG435" s="4"/>
      <c r="AH435" s="4"/>
      <c r="AI435" s="4"/>
      <c r="AJ435" s="4"/>
      <c r="AK435" s="4"/>
      <c r="AL435" s="44"/>
      <c r="AM435" s="8"/>
      <c r="AN435" s="8"/>
      <c r="AO435" s="8"/>
      <c r="AP435" s="8"/>
      <c r="AQ435" s="8"/>
      <c r="AR435" s="8"/>
      <c r="AS435" s="8"/>
      <c r="AT435" s="46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4"/>
      <c r="BV435" s="4"/>
    </row>
    <row r="436" spans="1:74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28"/>
      <c r="AF436" s="4"/>
      <c r="AG436" s="4"/>
      <c r="AH436" s="4"/>
      <c r="AI436" s="4"/>
      <c r="AJ436" s="4"/>
      <c r="AK436" s="4"/>
      <c r="AL436" s="44"/>
      <c r="AM436" s="8"/>
      <c r="AN436" s="8"/>
      <c r="AO436" s="8"/>
      <c r="AP436" s="8"/>
      <c r="AQ436" s="8"/>
      <c r="AR436" s="8"/>
      <c r="AS436" s="8"/>
      <c r="AT436" s="46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4"/>
      <c r="BV436" s="4"/>
    </row>
    <row r="437" spans="1:74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28"/>
      <c r="AF437" s="4"/>
      <c r="AG437" s="4"/>
      <c r="AH437" s="4"/>
      <c r="AI437" s="4"/>
      <c r="AJ437" s="4"/>
      <c r="AK437" s="4"/>
      <c r="AL437" s="44"/>
      <c r="AM437" s="8"/>
      <c r="AN437" s="8"/>
      <c r="AO437" s="8"/>
      <c r="AP437" s="8"/>
      <c r="AQ437" s="8"/>
      <c r="AR437" s="8"/>
      <c r="AS437" s="8"/>
      <c r="AT437" s="46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4"/>
      <c r="BV437" s="4"/>
    </row>
    <row r="438" spans="1:74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28"/>
      <c r="AF438" s="4"/>
      <c r="AG438" s="4"/>
      <c r="AH438" s="4"/>
      <c r="AI438" s="4"/>
      <c r="AJ438" s="4"/>
      <c r="AK438" s="4"/>
      <c r="AL438" s="44"/>
      <c r="AM438" s="8"/>
      <c r="AN438" s="8"/>
      <c r="AO438" s="8"/>
      <c r="AP438" s="8"/>
      <c r="AQ438" s="8"/>
      <c r="AR438" s="8"/>
      <c r="AS438" s="8"/>
      <c r="AT438" s="46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4"/>
      <c r="BV438" s="4"/>
    </row>
    <row r="439" spans="1:74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28"/>
      <c r="AF439" s="4"/>
      <c r="AG439" s="4"/>
      <c r="AH439" s="4"/>
      <c r="AI439" s="4"/>
      <c r="AJ439" s="4"/>
      <c r="AK439" s="4"/>
      <c r="AL439" s="44"/>
      <c r="AM439" s="8"/>
      <c r="AN439" s="8"/>
      <c r="AO439" s="8"/>
      <c r="AP439" s="8"/>
      <c r="AQ439" s="8"/>
      <c r="AR439" s="8"/>
      <c r="AS439" s="8"/>
      <c r="AT439" s="46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4"/>
      <c r="BV439" s="4"/>
    </row>
    <row r="440" spans="1:74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28"/>
      <c r="AF440" s="4"/>
      <c r="AG440" s="4"/>
      <c r="AH440" s="4"/>
      <c r="AI440" s="4"/>
      <c r="AJ440" s="4"/>
      <c r="AK440" s="4"/>
      <c r="AL440" s="44"/>
      <c r="AM440" s="8"/>
      <c r="AN440" s="8"/>
      <c r="AO440" s="8"/>
      <c r="AP440" s="8"/>
      <c r="AQ440" s="8"/>
      <c r="AR440" s="8"/>
      <c r="AS440" s="8"/>
      <c r="AT440" s="46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4"/>
      <c r="BV440" s="4"/>
    </row>
    <row r="441" spans="1:74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28"/>
      <c r="AF441" s="4"/>
      <c r="AG441" s="4"/>
      <c r="AH441" s="4"/>
      <c r="AI441" s="4"/>
      <c r="AJ441" s="4"/>
      <c r="AK441" s="4"/>
      <c r="AL441" s="44"/>
      <c r="AM441" s="8"/>
      <c r="AN441" s="8"/>
      <c r="AO441" s="8"/>
      <c r="AP441" s="8"/>
      <c r="AQ441" s="8"/>
      <c r="AR441" s="8"/>
      <c r="AS441" s="8"/>
      <c r="AT441" s="46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4"/>
      <c r="BV441" s="4"/>
    </row>
    <row r="442" spans="1:74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28"/>
      <c r="AF442" s="4"/>
      <c r="AG442" s="4"/>
      <c r="AH442" s="4"/>
      <c r="AI442" s="4"/>
      <c r="AJ442" s="4"/>
      <c r="AK442" s="4"/>
      <c r="AL442" s="44"/>
      <c r="AM442" s="8"/>
      <c r="AN442" s="8"/>
      <c r="AO442" s="8"/>
      <c r="AP442" s="8"/>
      <c r="AQ442" s="8"/>
      <c r="AR442" s="8"/>
      <c r="AS442" s="8"/>
      <c r="AT442" s="46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4"/>
      <c r="BV442" s="4"/>
    </row>
    <row r="443" spans="1:74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28"/>
      <c r="AF443" s="4"/>
      <c r="AG443" s="4"/>
      <c r="AH443" s="4"/>
      <c r="AI443" s="4"/>
      <c r="AJ443" s="4"/>
      <c r="AK443" s="4"/>
      <c r="AL443" s="44"/>
      <c r="AM443" s="8"/>
      <c r="AN443" s="8"/>
      <c r="AO443" s="8"/>
      <c r="AP443" s="8"/>
      <c r="AQ443" s="8"/>
      <c r="AR443" s="8"/>
      <c r="AS443" s="8"/>
      <c r="AT443" s="46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4"/>
      <c r="BV443" s="4"/>
    </row>
    <row r="444" spans="1:74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28"/>
      <c r="AF444" s="4"/>
      <c r="AG444" s="4"/>
      <c r="AH444" s="4"/>
      <c r="AI444" s="4"/>
      <c r="AJ444" s="4"/>
      <c r="AK444" s="4"/>
      <c r="AL444" s="44"/>
      <c r="AM444" s="8"/>
      <c r="AN444" s="8"/>
      <c r="AO444" s="8"/>
      <c r="AP444" s="8"/>
      <c r="AQ444" s="8"/>
      <c r="AR444" s="8"/>
      <c r="AS444" s="8"/>
      <c r="AT444" s="46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4"/>
      <c r="BV444" s="4"/>
    </row>
    <row r="445" spans="1:74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28"/>
      <c r="AF445" s="4"/>
      <c r="AG445" s="4"/>
      <c r="AH445" s="4"/>
      <c r="AI445" s="4"/>
      <c r="AJ445" s="4"/>
      <c r="AK445" s="4"/>
      <c r="AL445" s="44"/>
      <c r="AM445" s="8"/>
      <c r="AN445" s="8"/>
      <c r="AO445" s="8"/>
      <c r="AP445" s="8"/>
      <c r="AQ445" s="8"/>
      <c r="AR445" s="8"/>
      <c r="AS445" s="8"/>
      <c r="AT445" s="46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4"/>
      <c r="BV445" s="4"/>
    </row>
    <row r="446" spans="1:74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28"/>
      <c r="AF446" s="4"/>
      <c r="AG446" s="4"/>
      <c r="AH446" s="4"/>
      <c r="AI446" s="4"/>
      <c r="AJ446" s="4"/>
      <c r="AK446" s="4"/>
      <c r="AL446" s="44"/>
      <c r="AM446" s="8"/>
      <c r="AN446" s="8"/>
      <c r="AO446" s="8"/>
      <c r="AP446" s="8"/>
      <c r="AQ446" s="8"/>
      <c r="AR446" s="8"/>
      <c r="AS446" s="8"/>
      <c r="AT446" s="46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4"/>
      <c r="BV446" s="4"/>
    </row>
    <row r="447" spans="1:74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28"/>
      <c r="AF447" s="4"/>
      <c r="AG447" s="4"/>
      <c r="AH447" s="4"/>
      <c r="AI447" s="4"/>
      <c r="AJ447" s="4"/>
      <c r="AK447" s="4"/>
      <c r="AL447" s="44"/>
      <c r="AM447" s="8"/>
      <c r="AN447" s="8"/>
      <c r="AO447" s="8"/>
      <c r="AP447" s="8"/>
      <c r="AQ447" s="8"/>
      <c r="AR447" s="8"/>
      <c r="AS447" s="8"/>
      <c r="AT447" s="46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4"/>
      <c r="BV447" s="4"/>
    </row>
    <row r="448" spans="1:74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28"/>
      <c r="AF448" s="4"/>
      <c r="AG448" s="4"/>
      <c r="AH448" s="4"/>
      <c r="AI448" s="4"/>
      <c r="AJ448" s="4"/>
      <c r="AK448" s="4"/>
      <c r="AL448" s="44"/>
      <c r="AM448" s="8"/>
      <c r="AN448" s="8"/>
      <c r="AO448" s="8"/>
      <c r="AP448" s="8"/>
      <c r="AQ448" s="8"/>
      <c r="AR448" s="8"/>
      <c r="AS448" s="8"/>
      <c r="AT448" s="46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4"/>
      <c r="BV448" s="4"/>
    </row>
    <row r="449" spans="1:74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28"/>
      <c r="AF449" s="4"/>
      <c r="AG449" s="4"/>
      <c r="AH449" s="4"/>
      <c r="AI449" s="4"/>
      <c r="AJ449" s="4"/>
      <c r="AK449" s="4"/>
      <c r="AL449" s="44"/>
      <c r="AM449" s="8"/>
      <c r="AN449" s="8"/>
      <c r="AO449" s="8"/>
      <c r="AP449" s="8"/>
      <c r="AQ449" s="8"/>
      <c r="AR449" s="8"/>
      <c r="AS449" s="8"/>
      <c r="AT449" s="46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4"/>
      <c r="BV449" s="4"/>
    </row>
    <row r="450" spans="1:74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28"/>
      <c r="AF450" s="4"/>
      <c r="AG450" s="4"/>
      <c r="AH450" s="4"/>
      <c r="AI450" s="4"/>
      <c r="AJ450" s="4"/>
      <c r="AK450" s="4"/>
      <c r="AL450" s="44"/>
      <c r="AM450" s="8"/>
      <c r="AN450" s="8"/>
      <c r="AO450" s="8"/>
      <c r="AP450" s="8"/>
      <c r="AQ450" s="8"/>
      <c r="AR450" s="8"/>
      <c r="AS450" s="8"/>
      <c r="AT450" s="46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4"/>
      <c r="BV450" s="4"/>
    </row>
    <row r="451" spans="1:74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28"/>
      <c r="AF451" s="4"/>
      <c r="AG451" s="4"/>
      <c r="AH451" s="4"/>
      <c r="AI451" s="4"/>
      <c r="AJ451" s="4"/>
      <c r="AK451" s="4"/>
      <c r="AL451" s="44"/>
      <c r="AM451" s="8"/>
      <c r="AN451" s="8"/>
      <c r="AO451" s="8"/>
      <c r="AP451" s="8"/>
      <c r="AQ451" s="8"/>
      <c r="AR451" s="8"/>
      <c r="AS451" s="8"/>
      <c r="AT451" s="46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4"/>
      <c r="BV451" s="4"/>
    </row>
    <row r="452" spans="1:74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28"/>
      <c r="AF452" s="4"/>
      <c r="AG452" s="4"/>
      <c r="AH452" s="4"/>
      <c r="AI452" s="4"/>
      <c r="AJ452" s="4"/>
      <c r="AK452" s="4"/>
      <c r="AL452" s="44"/>
      <c r="AM452" s="8"/>
      <c r="AN452" s="8"/>
      <c r="AO452" s="8"/>
      <c r="AP452" s="8"/>
      <c r="AQ452" s="8"/>
      <c r="AR452" s="8"/>
      <c r="AS452" s="8"/>
      <c r="AT452" s="46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4"/>
      <c r="BV452" s="4"/>
    </row>
    <row r="453" spans="1:74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28"/>
      <c r="AF453" s="4"/>
      <c r="AG453" s="4"/>
      <c r="AH453" s="4"/>
      <c r="AI453" s="4"/>
      <c r="AJ453" s="4"/>
      <c r="AK453" s="4"/>
      <c r="AL453" s="44"/>
      <c r="AM453" s="8"/>
      <c r="AN453" s="8"/>
      <c r="AO453" s="8"/>
      <c r="AP453" s="8"/>
      <c r="AQ453" s="8"/>
      <c r="AR453" s="8"/>
      <c r="AS453" s="8"/>
      <c r="AT453" s="46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4"/>
      <c r="BV453" s="4"/>
    </row>
    <row r="454" spans="1:74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28"/>
      <c r="AF454" s="4"/>
      <c r="AG454" s="4"/>
      <c r="AH454" s="4"/>
      <c r="AI454" s="4"/>
      <c r="AJ454" s="4"/>
      <c r="AK454" s="4"/>
      <c r="AL454" s="44"/>
      <c r="AM454" s="8"/>
      <c r="AN454" s="8"/>
      <c r="AO454" s="8"/>
      <c r="AP454" s="8"/>
      <c r="AQ454" s="8"/>
      <c r="AR454" s="8"/>
      <c r="AS454" s="8"/>
      <c r="AT454" s="46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4"/>
      <c r="BV454" s="4"/>
    </row>
    <row r="455" spans="1:74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28"/>
      <c r="AF455" s="4"/>
      <c r="AG455" s="4"/>
      <c r="AH455" s="4"/>
      <c r="AI455" s="4"/>
      <c r="AJ455" s="4"/>
      <c r="AK455" s="4"/>
      <c r="AL455" s="44"/>
      <c r="AM455" s="8"/>
      <c r="AN455" s="8"/>
      <c r="AO455" s="8"/>
      <c r="AP455" s="8"/>
      <c r="AQ455" s="8"/>
      <c r="AR455" s="8"/>
      <c r="AS455" s="8"/>
      <c r="AT455" s="46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4"/>
      <c r="BV455" s="4"/>
    </row>
    <row r="456" spans="1:74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28"/>
      <c r="AF456" s="4"/>
      <c r="AG456" s="4"/>
      <c r="AH456" s="4"/>
      <c r="AI456" s="4"/>
      <c r="AJ456" s="4"/>
      <c r="AK456" s="4"/>
      <c r="AL456" s="44"/>
      <c r="AM456" s="8"/>
      <c r="AN456" s="8"/>
      <c r="AO456" s="8"/>
      <c r="AP456" s="8"/>
      <c r="AQ456" s="8"/>
      <c r="AR456" s="8"/>
      <c r="AS456" s="8"/>
      <c r="AT456" s="46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4"/>
      <c r="BV456" s="4"/>
    </row>
    <row r="457" spans="1:74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28"/>
      <c r="AF457" s="4"/>
      <c r="AG457" s="4"/>
      <c r="AH457" s="4"/>
      <c r="AI457" s="4"/>
      <c r="AJ457" s="4"/>
      <c r="AK457" s="4"/>
      <c r="AL457" s="44"/>
      <c r="AM457" s="8"/>
      <c r="AN457" s="8"/>
      <c r="AO457" s="8"/>
      <c r="AP457" s="8"/>
      <c r="AQ457" s="8"/>
      <c r="AR457" s="8"/>
      <c r="AS457" s="8"/>
      <c r="AT457" s="46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4"/>
      <c r="BV457" s="4"/>
    </row>
    <row r="458" spans="1:74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28"/>
      <c r="AF458" s="4"/>
      <c r="AG458" s="4"/>
      <c r="AH458" s="4"/>
      <c r="AI458" s="4"/>
      <c r="AJ458" s="4"/>
      <c r="AK458" s="4"/>
      <c r="AL458" s="44"/>
      <c r="AM458" s="8"/>
      <c r="AN458" s="8"/>
      <c r="AO458" s="8"/>
      <c r="AP458" s="8"/>
      <c r="AQ458" s="8"/>
      <c r="AR458" s="8"/>
      <c r="AS458" s="8"/>
      <c r="AT458" s="46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4"/>
      <c r="BV458" s="4"/>
    </row>
    <row r="459" spans="1:74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28"/>
      <c r="AF459" s="4"/>
      <c r="AG459" s="4"/>
      <c r="AH459" s="4"/>
      <c r="AI459" s="4"/>
      <c r="AJ459" s="4"/>
      <c r="AK459" s="4"/>
      <c r="AL459" s="44"/>
      <c r="AM459" s="8"/>
      <c r="AN459" s="8"/>
      <c r="AO459" s="8"/>
      <c r="AP459" s="8"/>
      <c r="AQ459" s="8"/>
      <c r="AR459" s="8"/>
      <c r="AS459" s="8"/>
      <c r="AT459" s="46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4"/>
      <c r="BV459" s="4"/>
    </row>
    <row r="460" spans="1:74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28"/>
      <c r="AF460" s="4"/>
      <c r="AG460" s="4"/>
      <c r="AH460" s="4"/>
      <c r="AI460" s="4"/>
      <c r="AJ460" s="4"/>
      <c r="AK460" s="4"/>
      <c r="AL460" s="44"/>
      <c r="AM460" s="8"/>
      <c r="AN460" s="8"/>
      <c r="AO460" s="8"/>
      <c r="AP460" s="8"/>
      <c r="AQ460" s="8"/>
      <c r="AR460" s="8"/>
      <c r="AS460" s="8"/>
      <c r="AT460" s="46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4"/>
      <c r="BV460" s="4"/>
    </row>
    <row r="461" spans="1:74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28"/>
      <c r="AF461" s="4"/>
      <c r="AG461" s="4"/>
      <c r="AH461" s="4"/>
      <c r="AI461" s="4"/>
      <c r="AJ461" s="4"/>
      <c r="AK461" s="4"/>
      <c r="AL461" s="44"/>
      <c r="AM461" s="8"/>
      <c r="AN461" s="8"/>
      <c r="AO461" s="8"/>
      <c r="AP461" s="8"/>
      <c r="AQ461" s="8"/>
      <c r="AR461" s="8"/>
      <c r="AS461" s="8"/>
      <c r="AT461" s="46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4"/>
      <c r="BV461" s="4"/>
    </row>
    <row r="462" spans="1:74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28"/>
      <c r="AF462" s="4"/>
      <c r="AG462" s="4"/>
      <c r="AH462" s="4"/>
      <c r="AI462" s="4"/>
      <c r="AJ462" s="4"/>
      <c r="AK462" s="4"/>
      <c r="AL462" s="44"/>
      <c r="AM462" s="8"/>
      <c r="AN462" s="8"/>
      <c r="AO462" s="8"/>
      <c r="AP462" s="8"/>
      <c r="AQ462" s="8"/>
      <c r="AR462" s="8"/>
      <c r="AS462" s="8"/>
      <c r="AT462" s="46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4"/>
      <c r="BV462" s="4"/>
    </row>
    <row r="463" spans="1:74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28"/>
      <c r="AF463" s="4"/>
      <c r="AG463" s="4"/>
      <c r="AH463" s="4"/>
      <c r="AI463" s="4"/>
      <c r="AJ463" s="4"/>
      <c r="AK463" s="4"/>
      <c r="AL463" s="44"/>
      <c r="AM463" s="8"/>
      <c r="AN463" s="8"/>
      <c r="AO463" s="8"/>
      <c r="AP463" s="8"/>
      <c r="AQ463" s="8"/>
      <c r="AR463" s="8"/>
      <c r="AS463" s="8"/>
      <c r="AT463" s="46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4"/>
      <c r="BV463" s="4"/>
    </row>
    <row r="464" spans="1:74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28"/>
      <c r="AF464" s="4"/>
      <c r="AG464" s="4"/>
      <c r="AH464" s="4"/>
      <c r="AI464" s="4"/>
      <c r="AJ464" s="4"/>
      <c r="AK464" s="4"/>
      <c r="AL464" s="44"/>
      <c r="AM464" s="8"/>
      <c r="AN464" s="8"/>
      <c r="AO464" s="8"/>
      <c r="AP464" s="8"/>
      <c r="AQ464" s="8"/>
      <c r="AR464" s="8"/>
      <c r="AS464" s="8"/>
      <c r="AT464" s="46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4"/>
      <c r="BV464" s="4"/>
    </row>
    <row r="465" spans="1:74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28"/>
      <c r="AF465" s="4"/>
      <c r="AG465" s="4"/>
      <c r="AH465" s="4"/>
      <c r="AI465" s="4"/>
      <c r="AJ465" s="4"/>
      <c r="AK465" s="4"/>
      <c r="AL465" s="44"/>
      <c r="AM465" s="8"/>
      <c r="AN465" s="8"/>
      <c r="AO465" s="8"/>
      <c r="AP465" s="8"/>
      <c r="AQ465" s="8"/>
      <c r="AR465" s="8"/>
      <c r="AS465" s="8"/>
      <c r="AT465" s="46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4"/>
      <c r="BV465" s="4"/>
    </row>
    <row r="466" spans="1:74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28"/>
      <c r="AF466" s="4"/>
      <c r="AG466" s="4"/>
      <c r="AH466" s="4"/>
      <c r="AI466" s="4"/>
      <c r="AJ466" s="4"/>
      <c r="AK466" s="4"/>
      <c r="AL466" s="44"/>
      <c r="AM466" s="8"/>
      <c r="AN466" s="8"/>
      <c r="AO466" s="8"/>
      <c r="AP466" s="8"/>
      <c r="AQ466" s="8"/>
      <c r="AR466" s="8"/>
      <c r="AS466" s="8"/>
      <c r="AT466" s="46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4"/>
      <c r="BV466" s="4"/>
    </row>
    <row r="467" spans="1:74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28"/>
      <c r="AF467" s="4"/>
      <c r="AG467" s="4"/>
      <c r="AH467" s="4"/>
      <c r="AI467" s="4"/>
      <c r="AJ467" s="4"/>
      <c r="AK467" s="4"/>
      <c r="AL467" s="44"/>
      <c r="AM467" s="8"/>
      <c r="AN467" s="8"/>
      <c r="AO467" s="8"/>
      <c r="AP467" s="8"/>
      <c r="AQ467" s="8"/>
      <c r="AR467" s="8"/>
      <c r="AS467" s="8"/>
      <c r="AT467" s="46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4"/>
      <c r="BV467" s="4"/>
    </row>
    <row r="468" spans="1:74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28"/>
      <c r="AF468" s="4"/>
      <c r="AG468" s="4"/>
      <c r="AH468" s="4"/>
      <c r="AI468" s="4"/>
      <c r="AJ468" s="4"/>
      <c r="AK468" s="4"/>
      <c r="AL468" s="44"/>
      <c r="AM468" s="8"/>
      <c r="AN468" s="8"/>
      <c r="AO468" s="8"/>
      <c r="AP468" s="8"/>
      <c r="AQ468" s="8"/>
      <c r="AR468" s="8"/>
      <c r="AS468" s="8"/>
      <c r="AT468" s="46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4"/>
      <c r="BV468" s="4"/>
    </row>
    <row r="469" spans="1:74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28"/>
      <c r="AF469" s="4"/>
      <c r="AG469" s="4"/>
      <c r="AH469" s="4"/>
      <c r="AI469" s="4"/>
      <c r="AJ469" s="4"/>
      <c r="AK469" s="4"/>
      <c r="AL469" s="44"/>
      <c r="AM469" s="8"/>
      <c r="AN469" s="8"/>
      <c r="AO469" s="8"/>
      <c r="AP469" s="8"/>
      <c r="AQ469" s="8"/>
      <c r="AR469" s="8"/>
      <c r="AS469" s="8"/>
      <c r="AT469" s="46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4"/>
      <c r="BV469" s="4"/>
    </row>
    <row r="470" spans="1:74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28"/>
      <c r="AF470" s="4"/>
      <c r="AG470" s="4"/>
      <c r="AH470" s="4"/>
      <c r="AI470" s="4"/>
      <c r="AJ470" s="4"/>
      <c r="AK470" s="4"/>
      <c r="AL470" s="44"/>
      <c r="AM470" s="8"/>
      <c r="AN470" s="8"/>
      <c r="AO470" s="8"/>
      <c r="AP470" s="8"/>
      <c r="AQ470" s="8"/>
      <c r="AR470" s="8"/>
      <c r="AS470" s="8"/>
      <c r="AT470" s="46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4"/>
      <c r="BV470" s="4"/>
    </row>
    <row r="471" spans="1:74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28"/>
      <c r="AF471" s="4"/>
      <c r="AG471" s="4"/>
      <c r="AH471" s="4"/>
      <c r="AI471" s="4"/>
      <c r="AJ471" s="4"/>
      <c r="AK471" s="4"/>
      <c r="AL471" s="44"/>
      <c r="AM471" s="8"/>
      <c r="AN471" s="8"/>
      <c r="AO471" s="8"/>
      <c r="AP471" s="8"/>
      <c r="AQ471" s="8"/>
      <c r="AR471" s="8"/>
      <c r="AS471" s="8"/>
      <c r="AT471" s="46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4"/>
      <c r="BV471" s="4"/>
    </row>
    <row r="472" spans="1:74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28"/>
      <c r="AF472" s="4"/>
      <c r="AG472" s="4"/>
      <c r="AH472" s="4"/>
      <c r="AI472" s="4"/>
      <c r="AJ472" s="4"/>
      <c r="AK472" s="4"/>
      <c r="AL472" s="44"/>
      <c r="AM472" s="8"/>
      <c r="AN472" s="8"/>
      <c r="AO472" s="8"/>
      <c r="AP472" s="8"/>
      <c r="AQ472" s="8"/>
      <c r="AR472" s="8"/>
      <c r="AS472" s="8"/>
      <c r="AT472" s="46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4"/>
      <c r="BV472" s="4"/>
    </row>
    <row r="473" spans="1:74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28"/>
      <c r="AF473" s="4"/>
      <c r="AG473" s="4"/>
      <c r="AH473" s="4"/>
      <c r="AI473" s="4"/>
      <c r="AJ473" s="4"/>
      <c r="AK473" s="4"/>
      <c r="AL473" s="44"/>
      <c r="AM473" s="8"/>
      <c r="AN473" s="8"/>
      <c r="AO473" s="8"/>
      <c r="AP473" s="8"/>
      <c r="AQ473" s="8"/>
      <c r="AR473" s="8"/>
      <c r="AS473" s="8"/>
      <c r="AT473" s="46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4"/>
      <c r="BV473" s="4"/>
    </row>
    <row r="474" spans="1:74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28"/>
      <c r="AF474" s="4"/>
      <c r="AG474" s="4"/>
      <c r="AH474" s="4"/>
      <c r="AI474" s="4"/>
      <c r="AJ474" s="4"/>
      <c r="AK474" s="4"/>
      <c r="AL474" s="44"/>
      <c r="AM474" s="8"/>
      <c r="AN474" s="8"/>
      <c r="AO474" s="8"/>
      <c r="AP474" s="8"/>
      <c r="AQ474" s="8"/>
      <c r="AR474" s="8"/>
      <c r="AS474" s="8"/>
      <c r="AT474" s="46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4"/>
      <c r="BV474" s="4"/>
    </row>
    <row r="475" spans="1:74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28"/>
      <c r="AF475" s="4"/>
      <c r="AG475" s="4"/>
      <c r="AH475" s="4"/>
      <c r="AI475" s="4"/>
      <c r="AJ475" s="4"/>
      <c r="AK475" s="4"/>
      <c r="AL475" s="44"/>
      <c r="AM475" s="8"/>
      <c r="AN475" s="8"/>
      <c r="AO475" s="8"/>
      <c r="AP475" s="8"/>
      <c r="AQ475" s="8"/>
      <c r="AR475" s="8"/>
      <c r="AS475" s="8"/>
      <c r="AT475" s="46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4"/>
      <c r="BV475" s="4"/>
    </row>
    <row r="476" spans="1:74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28"/>
      <c r="AF476" s="4"/>
      <c r="AG476" s="4"/>
      <c r="AH476" s="4"/>
      <c r="AI476" s="4"/>
      <c r="AJ476" s="4"/>
      <c r="AK476" s="4"/>
      <c r="AL476" s="44"/>
      <c r="AM476" s="8"/>
      <c r="AN476" s="8"/>
      <c r="AO476" s="8"/>
      <c r="AP476" s="8"/>
      <c r="AQ476" s="8"/>
      <c r="AR476" s="8"/>
      <c r="AS476" s="8"/>
      <c r="AT476" s="46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4"/>
      <c r="BV476" s="4"/>
    </row>
    <row r="477" spans="1:74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28"/>
      <c r="AF477" s="4"/>
      <c r="AG477" s="4"/>
      <c r="AH477" s="4"/>
      <c r="AI477" s="4"/>
      <c r="AJ477" s="4"/>
      <c r="AK477" s="4"/>
      <c r="AL477" s="44"/>
      <c r="AM477" s="8"/>
      <c r="AN477" s="8"/>
      <c r="AO477" s="8"/>
      <c r="AP477" s="8"/>
      <c r="AQ477" s="8"/>
      <c r="AR477" s="8"/>
      <c r="AS477" s="8"/>
      <c r="AT477" s="46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4"/>
      <c r="BV477" s="4"/>
    </row>
    <row r="478" spans="1:74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28"/>
      <c r="AF478" s="4"/>
      <c r="AG478" s="4"/>
      <c r="AH478" s="4"/>
      <c r="AI478" s="4"/>
      <c r="AJ478" s="4"/>
      <c r="AK478" s="4"/>
      <c r="AL478" s="44"/>
      <c r="AM478" s="8"/>
      <c r="AN478" s="8"/>
      <c r="AO478" s="8"/>
      <c r="AP478" s="8"/>
      <c r="AQ478" s="8"/>
      <c r="AR478" s="8"/>
      <c r="AS478" s="8"/>
      <c r="AT478" s="46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4"/>
      <c r="BV478" s="4"/>
    </row>
    <row r="479" spans="1:74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28"/>
      <c r="AF479" s="4"/>
      <c r="AG479" s="4"/>
      <c r="AH479" s="4"/>
      <c r="AI479" s="4"/>
      <c r="AJ479" s="4"/>
      <c r="AK479" s="4"/>
      <c r="AL479" s="44"/>
      <c r="AM479" s="8"/>
      <c r="AN479" s="8"/>
      <c r="AO479" s="8"/>
      <c r="AP479" s="8"/>
      <c r="AQ479" s="8"/>
      <c r="AR479" s="8"/>
      <c r="AS479" s="8"/>
      <c r="AT479" s="46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4"/>
      <c r="BV479" s="4"/>
    </row>
    <row r="480" spans="1:74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28"/>
      <c r="AF480" s="4"/>
      <c r="AG480" s="4"/>
      <c r="AH480" s="4"/>
      <c r="AI480" s="4"/>
      <c r="AJ480" s="4"/>
      <c r="AK480" s="4"/>
      <c r="AL480" s="44"/>
      <c r="AM480" s="8"/>
      <c r="AN480" s="8"/>
      <c r="AO480" s="8"/>
      <c r="AP480" s="8"/>
      <c r="AQ480" s="8"/>
      <c r="AR480" s="8"/>
      <c r="AS480" s="8"/>
      <c r="AT480" s="46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4"/>
      <c r="BV480" s="4"/>
    </row>
    <row r="481" spans="1:74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28"/>
      <c r="AF481" s="4"/>
      <c r="AG481" s="4"/>
      <c r="AH481" s="4"/>
      <c r="AI481" s="4"/>
      <c r="AJ481" s="4"/>
      <c r="AK481" s="4"/>
      <c r="AL481" s="44"/>
      <c r="AM481" s="8"/>
      <c r="AN481" s="8"/>
      <c r="AO481" s="8"/>
      <c r="AP481" s="8"/>
      <c r="AQ481" s="8"/>
      <c r="AR481" s="8"/>
      <c r="AS481" s="8"/>
      <c r="AT481" s="46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4"/>
      <c r="BV481" s="4"/>
    </row>
    <row r="482" spans="1:74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28"/>
      <c r="AF482" s="4"/>
      <c r="AG482" s="4"/>
      <c r="AH482" s="4"/>
      <c r="AI482" s="4"/>
      <c r="AJ482" s="4"/>
      <c r="AK482" s="4"/>
      <c r="AL482" s="44"/>
      <c r="AM482" s="8"/>
      <c r="AN482" s="8"/>
      <c r="AO482" s="8"/>
      <c r="AP482" s="8"/>
      <c r="AQ482" s="8"/>
      <c r="AR482" s="8"/>
      <c r="AS482" s="8"/>
      <c r="AT482" s="46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4"/>
      <c r="BV482" s="4"/>
    </row>
    <row r="483" spans="1:74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28"/>
      <c r="AF483" s="4"/>
      <c r="AG483" s="4"/>
      <c r="AH483" s="4"/>
      <c r="AI483" s="4"/>
      <c r="AJ483" s="4"/>
      <c r="AK483" s="4"/>
      <c r="AL483" s="44"/>
      <c r="AM483" s="8"/>
      <c r="AN483" s="8"/>
      <c r="AO483" s="8"/>
      <c r="AP483" s="8"/>
      <c r="AQ483" s="8"/>
      <c r="AR483" s="8"/>
      <c r="AS483" s="8"/>
      <c r="AT483" s="46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4"/>
      <c r="BV483" s="4"/>
    </row>
    <row r="484" spans="1:74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28"/>
      <c r="AF484" s="4"/>
      <c r="AG484" s="4"/>
      <c r="AH484" s="4"/>
      <c r="AI484" s="4"/>
      <c r="AJ484" s="4"/>
      <c r="AK484" s="4"/>
      <c r="AL484" s="44"/>
      <c r="AM484" s="8"/>
      <c r="AN484" s="8"/>
      <c r="AO484" s="8"/>
      <c r="AP484" s="8"/>
      <c r="AQ484" s="8"/>
      <c r="AR484" s="8"/>
      <c r="AS484" s="8"/>
      <c r="AT484" s="46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4"/>
      <c r="BV484" s="4"/>
    </row>
    <row r="485" spans="1:74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28"/>
      <c r="AF485" s="4"/>
      <c r="AG485" s="4"/>
      <c r="AH485" s="4"/>
      <c r="AI485" s="4"/>
      <c r="AJ485" s="4"/>
      <c r="AK485" s="4"/>
      <c r="AL485" s="44"/>
      <c r="AM485" s="8"/>
      <c r="AN485" s="8"/>
      <c r="AO485" s="8"/>
      <c r="AP485" s="8"/>
      <c r="AQ485" s="8"/>
      <c r="AR485" s="8"/>
      <c r="AS485" s="8"/>
      <c r="AT485" s="46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4"/>
      <c r="BV485" s="4"/>
    </row>
    <row r="486" spans="1:74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28"/>
      <c r="AF486" s="4"/>
      <c r="AG486" s="4"/>
      <c r="AH486" s="4"/>
      <c r="AI486" s="4"/>
      <c r="AJ486" s="4"/>
      <c r="AK486" s="4"/>
      <c r="AL486" s="44"/>
      <c r="AM486" s="8"/>
      <c r="AN486" s="8"/>
      <c r="AO486" s="8"/>
      <c r="AP486" s="8"/>
      <c r="AQ486" s="8"/>
      <c r="AR486" s="8"/>
      <c r="AS486" s="8"/>
      <c r="AT486" s="46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4"/>
      <c r="BV486" s="4"/>
    </row>
    <row r="487" spans="1:74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28"/>
      <c r="AF487" s="4"/>
      <c r="AG487" s="4"/>
      <c r="AH487" s="4"/>
      <c r="AI487" s="4"/>
      <c r="AJ487" s="4"/>
      <c r="AK487" s="4"/>
      <c r="AL487" s="44"/>
      <c r="AM487" s="8"/>
      <c r="AN487" s="8"/>
      <c r="AO487" s="8"/>
      <c r="AP487" s="8"/>
      <c r="AQ487" s="8"/>
      <c r="AR487" s="8"/>
      <c r="AS487" s="8"/>
      <c r="AT487" s="46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4"/>
      <c r="BV487" s="4"/>
    </row>
    <row r="488" spans="1:74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28"/>
      <c r="AF488" s="4"/>
      <c r="AG488" s="4"/>
      <c r="AH488" s="4"/>
      <c r="AI488" s="4"/>
      <c r="AJ488" s="4"/>
      <c r="AK488" s="4"/>
      <c r="AL488" s="44"/>
      <c r="AM488" s="8"/>
      <c r="AN488" s="8"/>
      <c r="AO488" s="8"/>
      <c r="AP488" s="8"/>
      <c r="AQ488" s="8"/>
      <c r="AR488" s="8"/>
      <c r="AS488" s="8"/>
      <c r="AT488" s="46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4"/>
      <c r="BV488" s="4"/>
    </row>
    <row r="489" spans="1:74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28"/>
      <c r="AF489" s="4"/>
      <c r="AG489" s="4"/>
      <c r="AH489" s="4"/>
      <c r="AI489" s="4"/>
      <c r="AJ489" s="4"/>
      <c r="AK489" s="4"/>
      <c r="AL489" s="44"/>
      <c r="AM489" s="8"/>
      <c r="AN489" s="8"/>
      <c r="AO489" s="8"/>
      <c r="AP489" s="8"/>
      <c r="AQ489" s="8"/>
      <c r="AR489" s="8"/>
      <c r="AS489" s="8"/>
      <c r="AT489" s="46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4"/>
      <c r="BV489" s="4"/>
    </row>
    <row r="490" spans="1:74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28"/>
      <c r="AF490" s="4"/>
      <c r="AG490" s="4"/>
      <c r="AH490" s="4"/>
      <c r="AI490" s="4"/>
      <c r="AJ490" s="4"/>
      <c r="AK490" s="4"/>
      <c r="AL490" s="44"/>
      <c r="AM490" s="8"/>
      <c r="AN490" s="8"/>
      <c r="AO490" s="8"/>
      <c r="AP490" s="8"/>
      <c r="AQ490" s="8"/>
      <c r="AR490" s="8"/>
      <c r="AS490" s="8"/>
      <c r="AT490" s="46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4"/>
      <c r="BV490" s="4"/>
    </row>
    <row r="491" spans="1:74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28"/>
      <c r="AF491" s="4"/>
      <c r="AG491" s="4"/>
      <c r="AH491" s="4"/>
      <c r="AI491" s="4"/>
      <c r="AJ491" s="4"/>
      <c r="AK491" s="4"/>
      <c r="AL491" s="44"/>
      <c r="AM491" s="8"/>
      <c r="AN491" s="8"/>
      <c r="AO491" s="8"/>
      <c r="AP491" s="8"/>
      <c r="AQ491" s="8"/>
      <c r="AR491" s="8"/>
      <c r="AS491" s="8"/>
      <c r="AT491" s="46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4"/>
      <c r="BV491" s="4"/>
    </row>
    <row r="492" spans="1:74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28"/>
      <c r="AF492" s="4"/>
      <c r="AG492" s="4"/>
      <c r="AH492" s="4"/>
      <c r="AI492" s="4"/>
      <c r="AJ492" s="4"/>
      <c r="AK492" s="4"/>
      <c r="AL492" s="44"/>
      <c r="AM492" s="8"/>
      <c r="AN492" s="8"/>
      <c r="AO492" s="8"/>
      <c r="AP492" s="8"/>
      <c r="AQ492" s="8"/>
      <c r="AR492" s="8"/>
      <c r="AS492" s="8"/>
      <c r="AT492" s="46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4"/>
      <c r="BV492" s="4"/>
    </row>
    <row r="493" spans="1:74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28"/>
      <c r="AF493" s="4"/>
      <c r="AG493" s="4"/>
      <c r="AH493" s="4"/>
      <c r="AI493" s="4"/>
      <c r="AJ493" s="4"/>
      <c r="AK493" s="4"/>
      <c r="AL493" s="44"/>
      <c r="AM493" s="8"/>
      <c r="AN493" s="8"/>
      <c r="AO493" s="8"/>
      <c r="AP493" s="8"/>
      <c r="AQ493" s="8"/>
      <c r="AR493" s="8"/>
      <c r="AS493" s="8"/>
      <c r="AT493" s="46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4"/>
      <c r="BV493" s="4"/>
    </row>
    <row r="494" spans="1:74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28"/>
      <c r="AF494" s="4"/>
      <c r="AG494" s="4"/>
      <c r="AH494" s="4"/>
      <c r="AI494" s="4"/>
      <c r="AJ494" s="4"/>
      <c r="AK494" s="4"/>
      <c r="AL494" s="44"/>
      <c r="AM494" s="8"/>
      <c r="AN494" s="8"/>
      <c r="AO494" s="8"/>
      <c r="AP494" s="8"/>
      <c r="AQ494" s="8"/>
      <c r="AR494" s="8"/>
      <c r="AS494" s="8"/>
      <c r="AT494" s="46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4"/>
      <c r="BV494" s="4"/>
    </row>
    <row r="495" spans="1:74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28"/>
      <c r="AF495" s="4"/>
      <c r="AG495" s="4"/>
      <c r="AH495" s="4"/>
      <c r="AI495" s="4"/>
      <c r="AJ495" s="4"/>
      <c r="AK495" s="4"/>
      <c r="AL495" s="44"/>
      <c r="AM495" s="8"/>
      <c r="AN495" s="8"/>
      <c r="AO495" s="8"/>
      <c r="AP495" s="8"/>
      <c r="AQ495" s="8"/>
      <c r="AR495" s="8"/>
      <c r="AS495" s="8"/>
      <c r="AT495" s="46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4"/>
      <c r="BV495" s="4"/>
    </row>
    <row r="496" spans="1:74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28"/>
      <c r="AF496" s="4"/>
      <c r="AG496" s="4"/>
      <c r="AH496" s="4"/>
      <c r="AI496" s="4"/>
      <c r="AJ496" s="4"/>
      <c r="AK496" s="4"/>
      <c r="AL496" s="44"/>
      <c r="AM496" s="8"/>
      <c r="AN496" s="8"/>
      <c r="AO496" s="8"/>
      <c r="AP496" s="8"/>
      <c r="AQ496" s="8"/>
      <c r="AR496" s="8"/>
      <c r="AS496" s="8"/>
      <c r="AT496" s="46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4"/>
      <c r="BV496" s="4"/>
    </row>
    <row r="497" spans="1:74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28"/>
      <c r="AF497" s="4"/>
      <c r="AG497" s="4"/>
      <c r="AH497" s="4"/>
      <c r="AI497" s="4"/>
      <c r="AJ497" s="4"/>
      <c r="AK497" s="4"/>
      <c r="AL497" s="44"/>
      <c r="AM497" s="8"/>
      <c r="AN497" s="8"/>
      <c r="AO497" s="8"/>
      <c r="AP497" s="8"/>
      <c r="AQ497" s="8"/>
      <c r="AR497" s="8"/>
      <c r="AS497" s="8"/>
      <c r="AT497" s="46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4"/>
      <c r="BV497" s="4"/>
    </row>
    <row r="498" spans="1:74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28"/>
      <c r="AF498" s="4"/>
      <c r="AG498" s="4"/>
      <c r="AH498" s="4"/>
      <c r="AI498" s="4"/>
      <c r="AJ498" s="4"/>
      <c r="AK498" s="4"/>
      <c r="AL498" s="44"/>
      <c r="AM498" s="8"/>
      <c r="AN498" s="8"/>
      <c r="AO498" s="8"/>
      <c r="AP498" s="8"/>
      <c r="AQ498" s="8"/>
      <c r="AR498" s="8"/>
      <c r="AS498" s="8"/>
      <c r="AT498" s="46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4"/>
      <c r="BV498" s="4"/>
    </row>
    <row r="499" spans="1:74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28"/>
      <c r="AF499" s="4"/>
      <c r="AG499" s="4"/>
      <c r="AH499" s="4"/>
      <c r="AI499" s="4"/>
      <c r="AJ499" s="4"/>
      <c r="AK499" s="4"/>
      <c r="AL499" s="44"/>
      <c r="AM499" s="8"/>
      <c r="AN499" s="8"/>
      <c r="AO499" s="8"/>
      <c r="AP499" s="8"/>
      <c r="AQ499" s="8"/>
      <c r="AR499" s="8"/>
      <c r="AS499" s="8"/>
      <c r="AT499" s="46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4"/>
      <c r="BV499" s="4"/>
    </row>
    <row r="500" spans="1:74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28"/>
      <c r="AF500" s="4"/>
      <c r="AG500" s="4"/>
      <c r="AH500" s="4"/>
      <c r="AI500" s="4"/>
      <c r="AJ500" s="4"/>
      <c r="AK500" s="4"/>
      <c r="AL500" s="44"/>
      <c r="AM500" s="8"/>
      <c r="AN500" s="8"/>
      <c r="AO500" s="8"/>
      <c r="AP500" s="8"/>
      <c r="AQ500" s="8"/>
      <c r="AR500" s="8"/>
      <c r="AS500" s="8"/>
      <c r="AT500" s="46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4"/>
      <c r="BV500" s="4"/>
    </row>
    <row r="501" spans="1:74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28"/>
      <c r="AF501" s="4"/>
      <c r="AG501" s="4"/>
      <c r="AH501" s="4"/>
      <c r="AI501" s="4"/>
      <c r="AJ501" s="4"/>
      <c r="AK501" s="4"/>
      <c r="AL501" s="44"/>
      <c r="AM501" s="8"/>
      <c r="AN501" s="8"/>
      <c r="AO501" s="8"/>
      <c r="AP501" s="8"/>
      <c r="AQ501" s="8"/>
      <c r="AR501" s="8"/>
      <c r="AS501" s="8"/>
      <c r="AT501" s="46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4"/>
      <c r="BV501" s="4"/>
    </row>
    <row r="502" spans="1:74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28"/>
      <c r="AF502" s="4"/>
      <c r="AG502" s="4"/>
      <c r="AH502" s="4"/>
      <c r="AI502" s="4"/>
      <c r="AJ502" s="4"/>
      <c r="AK502" s="4"/>
      <c r="AL502" s="44"/>
      <c r="AM502" s="8"/>
      <c r="AN502" s="8"/>
      <c r="AO502" s="8"/>
      <c r="AP502" s="8"/>
      <c r="AQ502" s="8"/>
      <c r="AR502" s="8"/>
      <c r="AS502" s="8"/>
      <c r="AT502" s="46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4"/>
      <c r="BV502" s="4"/>
    </row>
    <row r="503" spans="1:74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28"/>
      <c r="AF503" s="4"/>
      <c r="AG503" s="4"/>
      <c r="AH503" s="4"/>
      <c r="AI503" s="4"/>
      <c r="AJ503" s="4"/>
      <c r="AK503" s="4"/>
      <c r="AL503" s="44"/>
      <c r="AM503" s="8"/>
      <c r="AN503" s="8"/>
      <c r="AO503" s="8"/>
      <c r="AP503" s="8"/>
      <c r="AQ503" s="8"/>
      <c r="AR503" s="8"/>
      <c r="AS503" s="8"/>
      <c r="AT503" s="46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4"/>
      <c r="BV503" s="4"/>
    </row>
    <row r="504" spans="1:74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28"/>
      <c r="AF504" s="4"/>
      <c r="AG504" s="4"/>
      <c r="AH504" s="4"/>
      <c r="AI504" s="4"/>
      <c r="AJ504" s="4"/>
      <c r="AK504" s="4"/>
      <c r="AL504" s="44"/>
      <c r="AM504" s="8"/>
      <c r="AN504" s="8"/>
      <c r="AO504" s="8"/>
      <c r="AP504" s="8"/>
      <c r="AQ504" s="8"/>
      <c r="AR504" s="8"/>
      <c r="AS504" s="8"/>
      <c r="AT504" s="46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4"/>
      <c r="BV504" s="4"/>
    </row>
    <row r="505" spans="1:74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28"/>
      <c r="AF505" s="4"/>
      <c r="AG505" s="4"/>
      <c r="AH505" s="4"/>
      <c r="AI505" s="4"/>
      <c r="AJ505" s="4"/>
      <c r="AK505" s="4"/>
      <c r="AL505" s="44"/>
      <c r="AM505" s="8"/>
      <c r="AN505" s="8"/>
      <c r="AO505" s="8"/>
      <c r="AP505" s="8"/>
      <c r="AQ505" s="8"/>
      <c r="AR505" s="8"/>
      <c r="AS505" s="8"/>
      <c r="AT505" s="46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4"/>
      <c r="BV505" s="4"/>
    </row>
    <row r="506" spans="1:74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28"/>
      <c r="AF506" s="4"/>
      <c r="AG506" s="4"/>
      <c r="AH506" s="4"/>
      <c r="AI506" s="4"/>
      <c r="AJ506" s="4"/>
      <c r="AK506" s="4"/>
      <c r="AL506" s="44"/>
      <c r="AM506" s="8"/>
      <c r="AN506" s="8"/>
      <c r="AO506" s="8"/>
      <c r="AP506" s="8"/>
      <c r="AQ506" s="8"/>
      <c r="AR506" s="8"/>
      <c r="AS506" s="8"/>
      <c r="AT506" s="46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4"/>
      <c r="BV506" s="4"/>
    </row>
    <row r="507" spans="1:74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28"/>
      <c r="AF507" s="4"/>
      <c r="AG507" s="4"/>
      <c r="AH507" s="4"/>
      <c r="AI507" s="4"/>
      <c r="AJ507" s="4"/>
      <c r="AK507" s="4"/>
      <c r="AL507" s="44"/>
      <c r="AM507" s="8"/>
      <c r="AN507" s="8"/>
      <c r="AO507" s="8"/>
      <c r="AP507" s="8"/>
      <c r="AQ507" s="8"/>
      <c r="AR507" s="8"/>
      <c r="AS507" s="8"/>
      <c r="AT507" s="46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4"/>
      <c r="BV507" s="4"/>
    </row>
    <row r="508" spans="1:74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28"/>
      <c r="AF508" s="4"/>
      <c r="AG508" s="4"/>
      <c r="AH508" s="4"/>
      <c r="AI508" s="4"/>
      <c r="AJ508" s="4"/>
      <c r="AK508" s="4"/>
      <c r="AL508" s="44"/>
      <c r="AM508" s="8"/>
      <c r="AN508" s="8"/>
      <c r="AO508" s="8"/>
      <c r="AP508" s="8"/>
      <c r="AQ508" s="8"/>
      <c r="AR508" s="8"/>
      <c r="AS508" s="8"/>
      <c r="AT508" s="46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4"/>
      <c r="BV508" s="4"/>
    </row>
    <row r="509" spans="1:74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28"/>
      <c r="AF509" s="4"/>
      <c r="AG509" s="4"/>
      <c r="AH509" s="4"/>
      <c r="AI509" s="4"/>
      <c r="AJ509" s="4"/>
      <c r="AK509" s="4"/>
      <c r="AL509" s="44"/>
      <c r="AM509" s="8"/>
      <c r="AN509" s="8"/>
      <c r="AO509" s="8"/>
      <c r="AP509" s="8"/>
      <c r="AQ509" s="8"/>
      <c r="AR509" s="8"/>
      <c r="AS509" s="8"/>
      <c r="AT509" s="46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4"/>
      <c r="BV509" s="4"/>
    </row>
    <row r="510" spans="1:74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28"/>
      <c r="AF510" s="4"/>
      <c r="AG510" s="4"/>
      <c r="AH510" s="4"/>
      <c r="AI510" s="4"/>
      <c r="AJ510" s="4"/>
      <c r="AK510" s="4"/>
      <c r="AL510" s="44"/>
      <c r="AM510" s="8"/>
      <c r="AN510" s="8"/>
      <c r="AO510" s="8"/>
      <c r="AP510" s="8"/>
      <c r="AQ510" s="8"/>
      <c r="AR510" s="8"/>
      <c r="AS510" s="8"/>
      <c r="AT510" s="46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4"/>
      <c r="BV510" s="4"/>
    </row>
    <row r="511" spans="1:74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28"/>
      <c r="AF511" s="4"/>
      <c r="AG511" s="4"/>
      <c r="AH511" s="4"/>
      <c r="AI511" s="4"/>
      <c r="AJ511" s="4"/>
      <c r="AK511" s="4"/>
      <c r="AL511" s="44"/>
      <c r="AM511" s="8"/>
      <c r="AN511" s="8"/>
      <c r="AO511" s="8"/>
      <c r="AP511" s="8"/>
      <c r="AQ511" s="8"/>
      <c r="AR511" s="8"/>
      <c r="AS511" s="8"/>
      <c r="AT511" s="46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4"/>
      <c r="BV511" s="4"/>
    </row>
    <row r="512" spans="1:74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28"/>
      <c r="AF512" s="4"/>
      <c r="AG512" s="4"/>
      <c r="AH512" s="4"/>
      <c r="AI512" s="4"/>
      <c r="AJ512" s="4"/>
      <c r="AK512" s="4"/>
      <c r="AL512" s="44"/>
      <c r="AM512" s="8"/>
      <c r="AN512" s="8"/>
      <c r="AO512" s="8"/>
      <c r="AP512" s="8"/>
      <c r="AQ512" s="8"/>
      <c r="AR512" s="8"/>
      <c r="AS512" s="8"/>
      <c r="AT512" s="46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4"/>
      <c r="BV512" s="4"/>
    </row>
    <row r="513" spans="1:74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28"/>
      <c r="AF513" s="4"/>
      <c r="AG513" s="4"/>
      <c r="AH513" s="4"/>
      <c r="AI513" s="4"/>
      <c r="AJ513" s="4"/>
      <c r="AK513" s="4"/>
      <c r="AL513" s="44"/>
      <c r="AM513" s="8"/>
      <c r="AN513" s="8"/>
      <c r="AO513" s="8"/>
      <c r="AP513" s="8"/>
      <c r="AQ513" s="8"/>
      <c r="AR513" s="8"/>
      <c r="AS513" s="8"/>
      <c r="AT513" s="46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4"/>
      <c r="BV513" s="4"/>
    </row>
    <row r="514" spans="1:74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28"/>
      <c r="AF514" s="4"/>
      <c r="AG514" s="4"/>
      <c r="AH514" s="4"/>
      <c r="AI514" s="4"/>
      <c r="AJ514" s="4"/>
      <c r="AK514" s="4"/>
      <c r="AL514" s="44"/>
      <c r="AM514" s="8"/>
      <c r="AN514" s="8"/>
      <c r="AO514" s="8"/>
      <c r="AP514" s="8"/>
      <c r="AQ514" s="8"/>
      <c r="AR514" s="8"/>
      <c r="AS514" s="8"/>
      <c r="AT514" s="46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4"/>
      <c r="BV514" s="4"/>
    </row>
    <row r="515" spans="1:74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28"/>
      <c r="AF515" s="4"/>
      <c r="AG515" s="4"/>
      <c r="AH515" s="4"/>
      <c r="AI515" s="4"/>
      <c r="AJ515" s="4"/>
      <c r="AK515" s="4"/>
      <c r="AL515" s="44"/>
      <c r="AM515" s="8"/>
      <c r="AN515" s="8"/>
      <c r="AO515" s="8"/>
      <c r="AP515" s="8"/>
      <c r="AQ515" s="8"/>
      <c r="AR515" s="8"/>
      <c r="AS515" s="8"/>
      <c r="AT515" s="46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4"/>
      <c r="BV515" s="4"/>
    </row>
    <row r="516" spans="1:74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28"/>
      <c r="AF516" s="4"/>
      <c r="AG516" s="4"/>
      <c r="AH516" s="4"/>
      <c r="AI516" s="4"/>
      <c r="AJ516" s="4"/>
      <c r="AK516" s="4"/>
      <c r="AL516" s="44"/>
      <c r="AM516" s="8"/>
      <c r="AN516" s="8"/>
      <c r="AO516" s="8"/>
      <c r="AP516" s="8"/>
      <c r="AQ516" s="8"/>
      <c r="AR516" s="8"/>
      <c r="AS516" s="8"/>
      <c r="AT516" s="46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4"/>
      <c r="BV516" s="4"/>
    </row>
    <row r="517" spans="1:74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28"/>
      <c r="AF517" s="4"/>
      <c r="AG517" s="4"/>
      <c r="AH517" s="4"/>
      <c r="AI517" s="4"/>
      <c r="AJ517" s="4"/>
      <c r="AK517" s="4"/>
      <c r="AL517" s="44"/>
      <c r="AM517" s="8"/>
      <c r="AN517" s="8"/>
      <c r="AO517" s="8"/>
      <c r="AP517" s="8"/>
      <c r="AQ517" s="8"/>
      <c r="AR517" s="8"/>
      <c r="AS517" s="8"/>
      <c r="AT517" s="46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4"/>
      <c r="BV517" s="4"/>
    </row>
    <row r="518" spans="1:74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28"/>
      <c r="AF518" s="4"/>
      <c r="AG518" s="4"/>
      <c r="AH518" s="4"/>
      <c r="AI518" s="4"/>
      <c r="AJ518" s="4"/>
      <c r="AK518" s="4"/>
      <c r="AL518" s="44"/>
      <c r="AM518" s="8"/>
      <c r="AN518" s="8"/>
      <c r="AO518" s="8"/>
      <c r="AP518" s="8"/>
      <c r="AQ518" s="8"/>
      <c r="AR518" s="8"/>
      <c r="AS518" s="8"/>
      <c r="AT518" s="46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4"/>
      <c r="BV518" s="4"/>
    </row>
    <row r="519" spans="1:74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28"/>
      <c r="AF519" s="4"/>
      <c r="AG519" s="4"/>
      <c r="AH519" s="4"/>
      <c r="AI519" s="4"/>
      <c r="AJ519" s="4"/>
      <c r="AK519" s="4"/>
      <c r="AL519" s="44"/>
      <c r="AM519" s="8"/>
      <c r="AN519" s="8"/>
      <c r="AO519" s="8"/>
      <c r="AP519" s="8"/>
      <c r="AQ519" s="8"/>
      <c r="AR519" s="8"/>
      <c r="AS519" s="8"/>
      <c r="AT519" s="46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4"/>
      <c r="BV519" s="4"/>
    </row>
    <row r="520" spans="1:74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28"/>
      <c r="AF520" s="4"/>
      <c r="AG520" s="4"/>
      <c r="AH520" s="4"/>
      <c r="AI520" s="4"/>
      <c r="AJ520" s="4"/>
      <c r="AK520" s="4"/>
      <c r="AL520" s="44"/>
      <c r="AM520" s="8"/>
      <c r="AN520" s="8"/>
      <c r="AO520" s="8"/>
      <c r="AP520" s="8"/>
      <c r="AQ520" s="8"/>
      <c r="AR520" s="8"/>
      <c r="AS520" s="8"/>
      <c r="AT520" s="46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4"/>
      <c r="BV520" s="4"/>
    </row>
    <row r="521" spans="1:74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28"/>
      <c r="AF521" s="4"/>
      <c r="AG521" s="4"/>
      <c r="AH521" s="4"/>
      <c r="AI521" s="4"/>
      <c r="AJ521" s="4"/>
      <c r="AK521" s="4"/>
      <c r="AL521" s="44"/>
      <c r="AM521" s="8"/>
      <c r="AN521" s="8"/>
      <c r="AO521" s="8"/>
      <c r="AP521" s="8"/>
      <c r="AQ521" s="8"/>
      <c r="AR521" s="8"/>
      <c r="AS521" s="8"/>
      <c r="AT521" s="46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4"/>
      <c r="BV521" s="4"/>
    </row>
    <row r="522" spans="1:74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28"/>
      <c r="AF522" s="4"/>
      <c r="AG522" s="4"/>
      <c r="AH522" s="4"/>
      <c r="AI522" s="4"/>
      <c r="AJ522" s="4"/>
      <c r="AK522" s="4"/>
      <c r="AL522" s="44"/>
      <c r="AM522" s="8"/>
      <c r="AN522" s="8"/>
      <c r="AO522" s="8"/>
      <c r="AP522" s="8"/>
      <c r="AQ522" s="8"/>
      <c r="AR522" s="8"/>
      <c r="AS522" s="8"/>
      <c r="AT522" s="46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4"/>
      <c r="BV522" s="4"/>
    </row>
    <row r="523" spans="1:74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28"/>
      <c r="AF523" s="4"/>
      <c r="AG523" s="4"/>
      <c r="AH523" s="4"/>
      <c r="AI523" s="4"/>
      <c r="AJ523" s="4"/>
      <c r="AK523" s="4"/>
      <c r="AL523" s="44"/>
      <c r="AM523" s="8"/>
      <c r="AN523" s="8"/>
      <c r="AO523" s="8"/>
      <c r="AP523" s="8"/>
      <c r="AQ523" s="8"/>
      <c r="AR523" s="8"/>
      <c r="AS523" s="8"/>
      <c r="AT523" s="46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4"/>
      <c r="BV523" s="4"/>
    </row>
    <row r="524" spans="1:74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28"/>
      <c r="AF524" s="4"/>
      <c r="AG524" s="4"/>
      <c r="AH524" s="4"/>
      <c r="AI524" s="4"/>
      <c r="AJ524" s="4"/>
      <c r="AK524" s="4"/>
      <c r="AL524" s="44"/>
      <c r="AM524" s="8"/>
      <c r="AN524" s="8"/>
      <c r="AO524" s="8"/>
      <c r="AP524" s="8"/>
      <c r="AQ524" s="8"/>
      <c r="AR524" s="8"/>
      <c r="AS524" s="8"/>
      <c r="AT524" s="46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4"/>
      <c r="BV524" s="4"/>
    </row>
    <row r="525" spans="1:74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28"/>
      <c r="AF525" s="4"/>
      <c r="AG525" s="4"/>
      <c r="AH525" s="4"/>
      <c r="AI525" s="4"/>
      <c r="AJ525" s="4"/>
      <c r="AK525" s="4"/>
      <c r="AL525" s="44"/>
      <c r="AM525" s="8"/>
      <c r="AN525" s="8"/>
      <c r="AO525" s="8"/>
      <c r="AP525" s="8"/>
      <c r="AQ525" s="8"/>
      <c r="AR525" s="8"/>
      <c r="AS525" s="8"/>
      <c r="AT525" s="46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4"/>
      <c r="BV525" s="4"/>
    </row>
    <row r="526" spans="1:74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28"/>
      <c r="AF526" s="4"/>
      <c r="AG526" s="4"/>
      <c r="AH526" s="4"/>
      <c r="AI526" s="4"/>
      <c r="AJ526" s="4"/>
      <c r="AK526" s="4"/>
      <c r="AL526" s="44"/>
      <c r="AM526" s="8"/>
      <c r="AN526" s="8"/>
      <c r="AO526" s="8"/>
      <c r="AP526" s="8"/>
      <c r="AQ526" s="8"/>
      <c r="AR526" s="8"/>
      <c r="AS526" s="8"/>
      <c r="AT526" s="46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4"/>
      <c r="BV526" s="4"/>
    </row>
    <row r="527" spans="1:74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28"/>
      <c r="AF527" s="4"/>
      <c r="AG527" s="4"/>
      <c r="AH527" s="4"/>
      <c r="AI527" s="4"/>
      <c r="AJ527" s="4"/>
      <c r="AK527" s="4"/>
      <c r="AL527" s="44"/>
      <c r="AM527" s="8"/>
      <c r="AN527" s="8"/>
      <c r="AO527" s="8"/>
      <c r="AP527" s="8"/>
      <c r="AQ527" s="8"/>
      <c r="AR527" s="8"/>
      <c r="AS527" s="8"/>
      <c r="AT527" s="46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4"/>
      <c r="BV527" s="4"/>
    </row>
    <row r="528" spans="1:74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28"/>
      <c r="AF528" s="4"/>
      <c r="AG528" s="4"/>
      <c r="AH528" s="4"/>
      <c r="AI528" s="4"/>
      <c r="AJ528" s="4"/>
      <c r="AK528" s="4"/>
      <c r="AL528" s="44"/>
      <c r="AM528" s="8"/>
      <c r="AN528" s="8"/>
      <c r="AO528" s="8"/>
      <c r="AP528" s="8"/>
      <c r="AQ528" s="8"/>
      <c r="AR528" s="8"/>
      <c r="AS528" s="8"/>
      <c r="AT528" s="46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4"/>
      <c r="BV528" s="4"/>
    </row>
    <row r="529" spans="1:74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28"/>
      <c r="AF529" s="4"/>
      <c r="AG529" s="4"/>
      <c r="AH529" s="4"/>
      <c r="AI529" s="4"/>
      <c r="AJ529" s="4"/>
      <c r="AK529" s="4"/>
      <c r="AL529" s="44"/>
      <c r="AM529" s="8"/>
      <c r="AN529" s="8"/>
      <c r="AO529" s="8"/>
      <c r="AP529" s="8"/>
      <c r="AQ529" s="8"/>
      <c r="AR529" s="8"/>
      <c r="AS529" s="8"/>
      <c r="AT529" s="46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4"/>
      <c r="BV529" s="4"/>
    </row>
    <row r="530" spans="1:74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28"/>
      <c r="AF530" s="4"/>
      <c r="AG530" s="4"/>
      <c r="AH530" s="4"/>
      <c r="AI530" s="4"/>
      <c r="AJ530" s="4"/>
      <c r="AK530" s="4"/>
      <c r="AL530" s="44"/>
      <c r="AM530" s="8"/>
      <c r="AN530" s="8"/>
      <c r="AO530" s="8"/>
      <c r="AP530" s="8"/>
      <c r="AQ530" s="8"/>
      <c r="AR530" s="8"/>
      <c r="AS530" s="8"/>
      <c r="AT530" s="46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4"/>
      <c r="BV530" s="4"/>
    </row>
    <row r="531" spans="1:74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28"/>
      <c r="AF531" s="4"/>
      <c r="AG531" s="4"/>
      <c r="AH531" s="4"/>
      <c r="AI531" s="4"/>
      <c r="AJ531" s="4"/>
      <c r="AK531" s="4"/>
      <c r="AL531" s="44"/>
      <c r="AM531" s="8"/>
      <c r="AN531" s="8"/>
      <c r="AO531" s="8"/>
      <c r="AP531" s="8"/>
      <c r="AQ531" s="8"/>
      <c r="AR531" s="8"/>
      <c r="AS531" s="8"/>
      <c r="AT531" s="46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4"/>
      <c r="BV531" s="4"/>
    </row>
    <row r="532" spans="1:74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28"/>
      <c r="AF532" s="4"/>
      <c r="AG532" s="4"/>
      <c r="AH532" s="4"/>
      <c r="AI532" s="4"/>
      <c r="AJ532" s="4"/>
      <c r="AK532" s="4"/>
      <c r="AL532" s="44"/>
      <c r="AM532" s="8"/>
      <c r="AN532" s="8"/>
      <c r="AO532" s="8"/>
      <c r="AP532" s="8"/>
      <c r="AQ532" s="8"/>
      <c r="AR532" s="8"/>
      <c r="AS532" s="8"/>
      <c r="AT532" s="46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4"/>
      <c r="BV532" s="4"/>
    </row>
    <row r="533" spans="1:74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28"/>
      <c r="AF533" s="4"/>
      <c r="AG533" s="4"/>
      <c r="AH533" s="4"/>
      <c r="AI533" s="4"/>
      <c r="AJ533" s="4"/>
      <c r="AK533" s="4"/>
      <c r="AL533" s="44"/>
      <c r="AM533" s="8"/>
      <c r="AN533" s="8"/>
      <c r="AO533" s="8"/>
      <c r="AP533" s="8"/>
      <c r="AQ533" s="8"/>
      <c r="AR533" s="8"/>
      <c r="AS533" s="8"/>
      <c r="AT533" s="46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4"/>
      <c r="BV533" s="4"/>
    </row>
    <row r="534" spans="1:74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28"/>
      <c r="AF534" s="4"/>
      <c r="AG534" s="4"/>
      <c r="AH534" s="4"/>
      <c r="AI534" s="4"/>
      <c r="AJ534" s="4"/>
      <c r="AK534" s="4"/>
      <c r="AL534" s="44"/>
      <c r="AM534" s="8"/>
      <c r="AN534" s="8"/>
      <c r="AO534" s="8"/>
      <c r="AP534" s="8"/>
      <c r="AQ534" s="8"/>
      <c r="AR534" s="8"/>
      <c r="AS534" s="8"/>
      <c r="AT534" s="46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4"/>
      <c r="BV534" s="4"/>
    </row>
    <row r="535" spans="1:74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28"/>
      <c r="AF535" s="4"/>
      <c r="AG535" s="4"/>
      <c r="AH535" s="4"/>
      <c r="AI535" s="4"/>
      <c r="AJ535" s="4"/>
      <c r="AK535" s="4"/>
      <c r="AL535" s="44"/>
      <c r="AM535" s="8"/>
      <c r="AN535" s="8"/>
      <c r="AO535" s="8"/>
      <c r="AP535" s="8"/>
      <c r="AQ535" s="8"/>
      <c r="AR535" s="8"/>
      <c r="AS535" s="8"/>
      <c r="AT535" s="46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4"/>
      <c r="BV535" s="4"/>
    </row>
    <row r="536" spans="1:74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28"/>
      <c r="AF536" s="4"/>
      <c r="AG536" s="4"/>
      <c r="AH536" s="4"/>
      <c r="AI536" s="4"/>
      <c r="AJ536" s="4"/>
      <c r="AK536" s="4"/>
      <c r="AL536" s="44"/>
      <c r="AM536" s="8"/>
      <c r="AN536" s="8"/>
      <c r="AO536" s="8"/>
      <c r="AP536" s="8"/>
      <c r="AQ536" s="8"/>
      <c r="AR536" s="8"/>
      <c r="AS536" s="8"/>
      <c r="AT536" s="46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4"/>
      <c r="BV536" s="4"/>
    </row>
    <row r="537" spans="1:74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28"/>
      <c r="AF537" s="4"/>
      <c r="AG537" s="4"/>
      <c r="AH537" s="4"/>
      <c r="AI537" s="4"/>
      <c r="AJ537" s="4"/>
      <c r="AK537" s="4"/>
      <c r="AL537" s="44"/>
      <c r="AM537" s="8"/>
      <c r="AN537" s="8"/>
      <c r="AO537" s="8"/>
      <c r="AP537" s="8"/>
      <c r="AQ537" s="8"/>
      <c r="AR537" s="8"/>
      <c r="AS537" s="8"/>
      <c r="AT537" s="46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4"/>
      <c r="BV537" s="4"/>
    </row>
    <row r="538" spans="1:74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28"/>
      <c r="AF538" s="4"/>
      <c r="AG538" s="4"/>
      <c r="AH538" s="4"/>
      <c r="AI538" s="4"/>
      <c r="AJ538" s="4"/>
      <c r="AK538" s="4"/>
      <c r="AL538" s="44"/>
      <c r="AM538" s="8"/>
      <c r="AN538" s="8"/>
      <c r="AO538" s="8"/>
      <c r="AP538" s="8"/>
      <c r="AQ538" s="8"/>
      <c r="AR538" s="8"/>
      <c r="AS538" s="8"/>
      <c r="AT538" s="46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4"/>
      <c r="BV538" s="4"/>
    </row>
    <row r="539" spans="1:74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28"/>
      <c r="AF539" s="4"/>
      <c r="AG539" s="4"/>
      <c r="AH539" s="4"/>
      <c r="AI539" s="4"/>
      <c r="AJ539" s="4"/>
      <c r="AK539" s="4"/>
      <c r="AL539" s="44"/>
      <c r="AM539" s="8"/>
      <c r="AN539" s="8"/>
      <c r="AO539" s="8"/>
      <c r="AP539" s="8"/>
      <c r="AQ539" s="8"/>
      <c r="AR539" s="8"/>
      <c r="AS539" s="8"/>
      <c r="AT539" s="46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4"/>
      <c r="BV539" s="4"/>
    </row>
    <row r="540" spans="1:74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28"/>
      <c r="AF540" s="4"/>
      <c r="AG540" s="4"/>
      <c r="AH540" s="4"/>
      <c r="AI540" s="4"/>
      <c r="AJ540" s="4"/>
      <c r="AK540" s="4"/>
      <c r="AL540" s="44"/>
      <c r="AM540" s="8"/>
      <c r="AN540" s="8"/>
      <c r="AO540" s="8"/>
      <c r="AP540" s="8"/>
      <c r="AQ540" s="8"/>
      <c r="AR540" s="8"/>
      <c r="AS540" s="8"/>
      <c r="AT540" s="46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4"/>
      <c r="BV540" s="4"/>
    </row>
    <row r="541" spans="1:74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28"/>
      <c r="AF541" s="4"/>
      <c r="AG541" s="4"/>
      <c r="AH541" s="4"/>
      <c r="AI541" s="4"/>
      <c r="AJ541" s="4"/>
      <c r="AK541" s="4"/>
      <c r="AL541" s="44"/>
      <c r="AM541" s="8"/>
      <c r="AN541" s="8"/>
      <c r="AO541" s="8"/>
      <c r="AP541" s="8"/>
      <c r="AQ541" s="8"/>
      <c r="AR541" s="8"/>
      <c r="AS541" s="8"/>
      <c r="AT541" s="46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4"/>
      <c r="BV541" s="4"/>
    </row>
    <row r="542" spans="1:74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28"/>
      <c r="AF542" s="4"/>
      <c r="AG542" s="4"/>
      <c r="AH542" s="4"/>
      <c r="AI542" s="4"/>
      <c r="AJ542" s="4"/>
      <c r="AK542" s="4"/>
      <c r="AL542" s="44"/>
      <c r="AM542" s="8"/>
      <c r="AN542" s="8"/>
      <c r="AO542" s="8"/>
      <c r="AP542" s="8"/>
      <c r="AQ542" s="8"/>
      <c r="AR542" s="8"/>
      <c r="AS542" s="8"/>
      <c r="AT542" s="46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4"/>
      <c r="BV542" s="4"/>
    </row>
    <row r="543" spans="1:74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28"/>
      <c r="AF543" s="4"/>
      <c r="AG543" s="4"/>
      <c r="AH543" s="4"/>
      <c r="AI543" s="4"/>
      <c r="AJ543" s="4"/>
      <c r="AK543" s="4"/>
      <c r="AL543" s="44"/>
      <c r="AM543" s="8"/>
      <c r="AN543" s="8"/>
      <c r="AO543" s="8"/>
      <c r="AP543" s="8"/>
      <c r="AQ543" s="8"/>
      <c r="AR543" s="8"/>
      <c r="AS543" s="8"/>
      <c r="AT543" s="46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4"/>
      <c r="BV543" s="4"/>
    </row>
    <row r="544" spans="1:74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28"/>
      <c r="AF544" s="4"/>
      <c r="AG544" s="4"/>
      <c r="AH544" s="4"/>
      <c r="AI544" s="4"/>
      <c r="AJ544" s="4"/>
      <c r="AK544" s="4"/>
      <c r="AL544" s="44"/>
      <c r="AM544" s="8"/>
      <c r="AN544" s="8"/>
      <c r="AO544" s="8"/>
      <c r="AP544" s="8"/>
      <c r="AQ544" s="8"/>
      <c r="AR544" s="8"/>
      <c r="AS544" s="8"/>
      <c r="AT544" s="46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4"/>
      <c r="BV544" s="4"/>
    </row>
    <row r="545" spans="1:74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28"/>
      <c r="AF545" s="4"/>
      <c r="AG545" s="4"/>
      <c r="AH545" s="4"/>
      <c r="AI545" s="4"/>
      <c r="AJ545" s="4"/>
      <c r="AK545" s="4"/>
      <c r="AL545" s="44"/>
      <c r="AM545" s="8"/>
      <c r="AN545" s="8"/>
      <c r="AO545" s="8"/>
      <c r="AP545" s="8"/>
      <c r="AQ545" s="8"/>
      <c r="AR545" s="8"/>
      <c r="AS545" s="8"/>
      <c r="AT545" s="46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4"/>
      <c r="BV545" s="4"/>
    </row>
    <row r="546" spans="1:74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28"/>
      <c r="AF546" s="4"/>
      <c r="AG546" s="4"/>
      <c r="AH546" s="4"/>
      <c r="AI546" s="4"/>
      <c r="AJ546" s="4"/>
      <c r="AK546" s="4"/>
      <c r="AL546" s="44"/>
      <c r="AM546" s="8"/>
      <c r="AN546" s="8"/>
      <c r="AO546" s="8"/>
      <c r="AP546" s="8"/>
      <c r="AQ546" s="8"/>
      <c r="AR546" s="8"/>
      <c r="AS546" s="8"/>
      <c r="AT546" s="46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4"/>
      <c r="BV546" s="4"/>
    </row>
    <row r="547" spans="1:74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28"/>
      <c r="AF547" s="4"/>
      <c r="AG547" s="4"/>
      <c r="AH547" s="4"/>
      <c r="AI547" s="4"/>
      <c r="AJ547" s="4"/>
      <c r="AK547" s="4"/>
      <c r="AL547" s="44"/>
      <c r="AM547" s="8"/>
      <c r="AN547" s="8"/>
      <c r="AO547" s="8"/>
      <c r="AP547" s="8"/>
      <c r="AQ547" s="8"/>
      <c r="AR547" s="8"/>
      <c r="AS547" s="8"/>
      <c r="AT547" s="46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4"/>
      <c r="BV547" s="4"/>
    </row>
    <row r="548" spans="1:74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28"/>
      <c r="AF548" s="4"/>
      <c r="AG548" s="4"/>
      <c r="AH548" s="4"/>
      <c r="AI548" s="4"/>
      <c r="AJ548" s="4"/>
      <c r="AK548" s="4"/>
      <c r="AL548" s="44"/>
      <c r="AM548" s="8"/>
      <c r="AN548" s="8"/>
      <c r="AO548" s="8"/>
      <c r="AP548" s="8"/>
      <c r="AQ548" s="8"/>
      <c r="AR548" s="8"/>
      <c r="AS548" s="8"/>
      <c r="AT548" s="46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4"/>
      <c r="BV548" s="4"/>
    </row>
    <row r="549" spans="1:74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28"/>
      <c r="AF549" s="4"/>
      <c r="AG549" s="4"/>
      <c r="AH549" s="4"/>
      <c r="AI549" s="4"/>
      <c r="AJ549" s="4"/>
      <c r="AK549" s="4"/>
      <c r="AL549" s="44"/>
      <c r="AM549" s="8"/>
      <c r="AN549" s="8"/>
      <c r="AO549" s="8"/>
      <c r="AP549" s="8"/>
      <c r="AQ549" s="8"/>
      <c r="AR549" s="8"/>
      <c r="AS549" s="8"/>
      <c r="AT549" s="46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4"/>
      <c r="BV549" s="4"/>
    </row>
    <row r="550" spans="1:74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28"/>
      <c r="AF550" s="4"/>
      <c r="AG550" s="4"/>
      <c r="AH550" s="4"/>
      <c r="AI550" s="4"/>
      <c r="AJ550" s="4"/>
      <c r="AK550" s="4"/>
      <c r="AL550" s="44"/>
      <c r="AM550" s="8"/>
      <c r="AN550" s="8"/>
      <c r="AO550" s="8"/>
      <c r="AP550" s="8"/>
      <c r="AQ550" s="8"/>
      <c r="AR550" s="8"/>
      <c r="AS550" s="8"/>
      <c r="AT550" s="46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4"/>
      <c r="BV550" s="4"/>
    </row>
    <row r="551" spans="1:74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28"/>
      <c r="AF551" s="4"/>
      <c r="AG551" s="4"/>
      <c r="AH551" s="4"/>
      <c r="AI551" s="4"/>
      <c r="AJ551" s="4"/>
      <c r="AK551" s="4"/>
      <c r="AL551" s="44"/>
      <c r="AM551" s="8"/>
      <c r="AN551" s="8"/>
      <c r="AO551" s="8"/>
      <c r="AP551" s="8"/>
      <c r="AQ551" s="8"/>
      <c r="AR551" s="8"/>
      <c r="AS551" s="8"/>
      <c r="AT551" s="46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4"/>
      <c r="BV551" s="4"/>
    </row>
    <row r="552" spans="1:74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28"/>
      <c r="AF552" s="4"/>
      <c r="AG552" s="4"/>
      <c r="AH552" s="4"/>
      <c r="AI552" s="4"/>
      <c r="AJ552" s="4"/>
      <c r="AK552" s="4"/>
      <c r="AL552" s="44"/>
      <c r="AM552" s="8"/>
      <c r="AN552" s="8"/>
      <c r="AO552" s="8"/>
      <c r="AP552" s="8"/>
      <c r="AQ552" s="8"/>
      <c r="AR552" s="8"/>
      <c r="AS552" s="8"/>
      <c r="AT552" s="46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4"/>
      <c r="BV552" s="4"/>
    </row>
    <row r="553" spans="1:74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28"/>
      <c r="AF553" s="4"/>
      <c r="AG553" s="4"/>
      <c r="AH553" s="4"/>
      <c r="AI553" s="4"/>
      <c r="AJ553" s="4"/>
      <c r="AK553" s="4"/>
      <c r="AL553" s="44"/>
      <c r="AM553" s="8"/>
      <c r="AN553" s="8"/>
      <c r="AO553" s="8"/>
      <c r="AP553" s="8"/>
      <c r="AQ553" s="8"/>
      <c r="AR553" s="8"/>
      <c r="AS553" s="8"/>
      <c r="AT553" s="46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4"/>
      <c r="BV553" s="4"/>
    </row>
    <row r="554" spans="1:74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28"/>
      <c r="AF554" s="4"/>
      <c r="AG554" s="4"/>
      <c r="AH554" s="4"/>
      <c r="AI554" s="4"/>
      <c r="AJ554" s="4"/>
      <c r="AK554" s="4"/>
      <c r="AL554" s="44"/>
      <c r="AM554" s="8"/>
      <c r="AN554" s="8"/>
      <c r="AO554" s="8"/>
      <c r="AP554" s="8"/>
      <c r="AQ554" s="8"/>
      <c r="AR554" s="8"/>
      <c r="AS554" s="8"/>
      <c r="AT554" s="46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4"/>
      <c r="BV554" s="4"/>
    </row>
    <row r="555" spans="1:74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28"/>
      <c r="AF555" s="4"/>
      <c r="AG555" s="4"/>
      <c r="AH555" s="4"/>
      <c r="AI555" s="4"/>
      <c r="AJ555" s="4"/>
      <c r="AK555" s="4"/>
      <c r="AL555" s="44"/>
      <c r="AM555" s="8"/>
      <c r="AN555" s="8"/>
      <c r="AO555" s="8"/>
      <c r="AP555" s="8"/>
      <c r="AQ555" s="8"/>
      <c r="AR555" s="8"/>
      <c r="AS555" s="8"/>
      <c r="AT555" s="46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4"/>
      <c r="BV555" s="4"/>
    </row>
    <row r="556" spans="1:74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28"/>
      <c r="AF556" s="4"/>
      <c r="AG556" s="4"/>
      <c r="AH556" s="4"/>
      <c r="AI556" s="4"/>
      <c r="AJ556" s="4"/>
      <c r="AK556" s="4"/>
      <c r="AL556" s="44"/>
      <c r="AM556" s="8"/>
      <c r="AN556" s="8"/>
      <c r="AO556" s="8"/>
      <c r="AP556" s="8"/>
      <c r="AQ556" s="8"/>
      <c r="AR556" s="8"/>
      <c r="AS556" s="8"/>
      <c r="AT556" s="46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4"/>
      <c r="BV556" s="4"/>
    </row>
    <row r="557" spans="1:74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28"/>
      <c r="AF557" s="4"/>
      <c r="AG557" s="4"/>
      <c r="AH557" s="4"/>
      <c r="AI557" s="4"/>
      <c r="AJ557" s="4"/>
      <c r="AK557" s="4"/>
      <c r="AL557" s="44"/>
      <c r="AM557" s="8"/>
      <c r="AN557" s="8"/>
      <c r="AO557" s="8"/>
      <c r="AP557" s="8"/>
      <c r="AQ557" s="8"/>
      <c r="AR557" s="8"/>
      <c r="AS557" s="8"/>
      <c r="AT557" s="46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4"/>
      <c r="BV557" s="4"/>
    </row>
    <row r="558" spans="1:74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28"/>
      <c r="AF558" s="4"/>
      <c r="AG558" s="4"/>
      <c r="AH558" s="4"/>
      <c r="AI558" s="4"/>
      <c r="AJ558" s="4"/>
      <c r="AK558" s="4"/>
      <c r="AL558" s="44"/>
      <c r="AM558" s="8"/>
      <c r="AN558" s="8"/>
      <c r="AO558" s="8"/>
      <c r="AP558" s="8"/>
      <c r="AQ558" s="8"/>
      <c r="AR558" s="8"/>
      <c r="AS558" s="8"/>
      <c r="AT558" s="46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4"/>
      <c r="BV558" s="4"/>
    </row>
    <row r="559" spans="1:74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28"/>
      <c r="AF559" s="4"/>
      <c r="AG559" s="4"/>
      <c r="AH559" s="4"/>
      <c r="AI559" s="4"/>
      <c r="AJ559" s="4"/>
      <c r="AK559" s="4"/>
      <c r="AL559" s="44"/>
      <c r="AM559" s="8"/>
      <c r="AN559" s="8"/>
      <c r="AO559" s="8"/>
      <c r="AP559" s="8"/>
      <c r="AQ559" s="8"/>
      <c r="AR559" s="8"/>
      <c r="AS559" s="8"/>
      <c r="AT559" s="46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4"/>
      <c r="BV559" s="4"/>
    </row>
    <row r="560" spans="1:74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28"/>
      <c r="AF560" s="4"/>
      <c r="AG560" s="4"/>
      <c r="AH560" s="4"/>
      <c r="AI560" s="4"/>
      <c r="AJ560" s="4"/>
      <c r="AK560" s="4"/>
      <c r="AL560" s="44"/>
      <c r="AM560" s="8"/>
      <c r="AN560" s="8"/>
      <c r="AO560" s="8"/>
      <c r="AP560" s="8"/>
      <c r="AQ560" s="8"/>
      <c r="AR560" s="8"/>
      <c r="AS560" s="8"/>
      <c r="AT560" s="46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4"/>
      <c r="BV560" s="4"/>
    </row>
    <row r="561" spans="1:74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28"/>
      <c r="AF561" s="4"/>
      <c r="AG561" s="4"/>
      <c r="AH561" s="4"/>
      <c r="AI561" s="4"/>
      <c r="AJ561" s="4"/>
      <c r="AK561" s="4"/>
      <c r="AL561" s="44"/>
      <c r="AM561" s="8"/>
      <c r="AN561" s="8"/>
      <c r="AO561" s="8"/>
      <c r="AP561" s="8"/>
      <c r="AQ561" s="8"/>
      <c r="AR561" s="8"/>
      <c r="AS561" s="8"/>
      <c r="AT561" s="46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4"/>
      <c r="BV561" s="4"/>
    </row>
    <row r="562" spans="1:74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28"/>
      <c r="AF562" s="4"/>
      <c r="AG562" s="4"/>
      <c r="AH562" s="4"/>
      <c r="AI562" s="4"/>
      <c r="AJ562" s="4"/>
      <c r="AK562" s="4"/>
      <c r="AL562" s="44"/>
      <c r="AM562" s="8"/>
      <c r="AN562" s="8"/>
      <c r="AO562" s="8"/>
      <c r="AP562" s="8"/>
      <c r="AQ562" s="8"/>
      <c r="AR562" s="8"/>
      <c r="AS562" s="8"/>
      <c r="AT562" s="46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4"/>
      <c r="BV562" s="4"/>
    </row>
    <row r="563" spans="1:74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28"/>
      <c r="AF563" s="4"/>
      <c r="AG563" s="4"/>
      <c r="AH563" s="4"/>
      <c r="AI563" s="4"/>
      <c r="AJ563" s="4"/>
      <c r="AK563" s="4"/>
      <c r="AL563" s="44"/>
      <c r="AM563" s="8"/>
      <c r="AN563" s="8"/>
      <c r="AO563" s="8"/>
      <c r="AP563" s="8"/>
      <c r="AQ563" s="8"/>
      <c r="AR563" s="8"/>
      <c r="AS563" s="8"/>
      <c r="AT563" s="46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4"/>
      <c r="BV563" s="4"/>
    </row>
    <row r="564" spans="1:74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28"/>
      <c r="AF564" s="4"/>
      <c r="AG564" s="4"/>
      <c r="AH564" s="4"/>
      <c r="AI564" s="4"/>
      <c r="AJ564" s="4"/>
      <c r="AK564" s="4"/>
      <c r="AL564" s="44"/>
      <c r="AM564" s="8"/>
      <c r="AN564" s="8"/>
      <c r="AO564" s="8"/>
      <c r="AP564" s="8"/>
      <c r="AQ564" s="8"/>
      <c r="AR564" s="8"/>
      <c r="AS564" s="8"/>
      <c r="AT564" s="46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4"/>
      <c r="BV564" s="4"/>
    </row>
    <row r="565" spans="1:74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28"/>
      <c r="AF565" s="4"/>
      <c r="AG565" s="4"/>
      <c r="AH565" s="4"/>
      <c r="AI565" s="4"/>
      <c r="AJ565" s="4"/>
      <c r="AK565" s="4"/>
      <c r="AL565" s="44"/>
      <c r="AM565" s="8"/>
      <c r="AN565" s="8"/>
      <c r="AO565" s="8"/>
      <c r="AP565" s="8"/>
      <c r="AQ565" s="8"/>
      <c r="AR565" s="8"/>
      <c r="AS565" s="8"/>
      <c r="AT565" s="46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4"/>
      <c r="BV565" s="4"/>
    </row>
    <row r="566" spans="1:74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28"/>
      <c r="AF566" s="4"/>
      <c r="AG566" s="4"/>
      <c r="AH566" s="4"/>
      <c r="AI566" s="4"/>
      <c r="AJ566" s="4"/>
      <c r="AK566" s="4"/>
      <c r="AL566" s="44"/>
      <c r="AM566" s="8"/>
      <c r="AN566" s="8"/>
      <c r="AO566" s="8"/>
      <c r="AP566" s="8"/>
      <c r="AQ566" s="8"/>
      <c r="AR566" s="8"/>
      <c r="AS566" s="8"/>
      <c r="AT566" s="46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4"/>
      <c r="BV566" s="4"/>
    </row>
    <row r="567" spans="1:74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28"/>
      <c r="AF567" s="4"/>
      <c r="AG567" s="4"/>
      <c r="AH567" s="4"/>
      <c r="AI567" s="4"/>
      <c r="AJ567" s="4"/>
      <c r="AK567" s="4"/>
      <c r="AL567" s="44"/>
      <c r="AM567" s="8"/>
      <c r="AN567" s="8"/>
      <c r="AO567" s="8"/>
      <c r="AP567" s="8"/>
      <c r="AQ567" s="8"/>
      <c r="AR567" s="8"/>
      <c r="AS567" s="8"/>
      <c r="AT567" s="46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4"/>
      <c r="BV567" s="4"/>
    </row>
    <row r="568" spans="1:74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28"/>
      <c r="AF568" s="4"/>
      <c r="AG568" s="4"/>
      <c r="AH568" s="4"/>
      <c r="AI568" s="4"/>
      <c r="AJ568" s="4"/>
      <c r="AK568" s="4"/>
      <c r="AL568" s="44"/>
      <c r="AM568" s="8"/>
      <c r="AN568" s="8"/>
      <c r="AO568" s="8"/>
      <c r="AP568" s="8"/>
      <c r="AQ568" s="8"/>
      <c r="AR568" s="8"/>
      <c r="AS568" s="8"/>
      <c r="AT568" s="46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4"/>
      <c r="BV568" s="4"/>
    </row>
    <row r="569" spans="1:74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28"/>
      <c r="AF569" s="4"/>
      <c r="AG569" s="4"/>
      <c r="AH569" s="4"/>
      <c r="AI569" s="4"/>
      <c r="AJ569" s="4"/>
      <c r="AK569" s="4"/>
      <c r="AL569" s="44"/>
      <c r="AM569" s="8"/>
      <c r="AN569" s="8"/>
      <c r="AO569" s="8"/>
      <c r="AP569" s="8"/>
      <c r="AQ569" s="8"/>
      <c r="AR569" s="8"/>
      <c r="AS569" s="8"/>
      <c r="AT569" s="46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4"/>
      <c r="BV569" s="4"/>
    </row>
    <row r="570" spans="1:74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28"/>
      <c r="AF570" s="4"/>
      <c r="AG570" s="4"/>
      <c r="AH570" s="4"/>
      <c r="AI570" s="4"/>
      <c r="AJ570" s="4"/>
      <c r="AK570" s="4"/>
      <c r="AL570" s="44"/>
      <c r="AM570" s="8"/>
      <c r="AN570" s="8"/>
      <c r="AO570" s="8"/>
      <c r="AP570" s="8"/>
      <c r="AQ570" s="8"/>
      <c r="AR570" s="8"/>
      <c r="AS570" s="8"/>
      <c r="AT570" s="46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4"/>
      <c r="BV570" s="4"/>
    </row>
    <row r="571" spans="1:74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28"/>
      <c r="AF571" s="4"/>
      <c r="AG571" s="4"/>
      <c r="AH571" s="4"/>
      <c r="AI571" s="4"/>
      <c r="AJ571" s="4"/>
      <c r="AK571" s="4"/>
      <c r="AL571" s="44"/>
      <c r="AM571" s="8"/>
      <c r="AN571" s="8"/>
      <c r="AO571" s="8"/>
      <c r="AP571" s="8"/>
      <c r="AQ571" s="8"/>
      <c r="AR571" s="8"/>
      <c r="AS571" s="8"/>
      <c r="AT571" s="46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4"/>
      <c r="BV571" s="4"/>
    </row>
    <row r="572" spans="1:74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28"/>
      <c r="AF572" s="4"/>
      <c r="AG572" s="4"/>
      <c r="AH572" s="4"/>
      <c r="AI572" s="4"/>
      <c r="AJ572" s="4"/>
      <c r="AK572" s="4"/>
      <c r="AL572" s="44"/>
      <c r="AM572" s="8"/>
      <c r="AN572" s="8"/>
      <c r="AO572" s="8"/>
      <c r="AP572" s="8"/>
      <c r="AQ572" s="8"/>
      <c r="AR572" s="8"/>
      <c r="AS572" s="8"/>
      <c r="AT572" s="46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4"/>
      <c r="BV572" s="4"/>
    </row>
    <row r="573" spans="1:74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28"/>
      <c r="AF573" s="4"/>
      <c r="AG573" s="4"/>
      <c r="AH573" s="4"/>
      <c r="AI573" s="4"/>
      <c r="AJ573" s="4"/>
      <c r="AK573" s="4"/>
      <c r="AL573" s="44"/>
      <c r="AM573" s="8"/>
      <c r="AN573" s="8"/>
      <c r="AO573" s="8"/>
      <c r="AP573" s="8"/>
      <c r="AQ573" s="8"/>
      <c r="AR573" s="8"/>
      <c r="AS573" s="8"/>
      <c r="AT573" s="46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4"/>
      <c r="BV573" s="4"/>
    </row>
    <row r="574" spans="1:74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28"/>
      <c r="AF574" s="4"/>
      <c r="AG574" s="4"/>
      <c r="AH574" s="4"/>
      <c r="AI574" s="4"/>
      <c r="AJ574" s="4"/>
      <c r="AK574" s="4"/>
      <c r="AL574" s="44"/>
      <c r="AM574" s="8"/>
      <c r="AN574" s="8"/>
      <c r="AO574" s="8"/>
      <c r="AP574" s="8"/>
      <c r="AQ574" s="8"/>
      <c r="AR574" s="8"/>
      <c r="AS574" s="8"/>
      <c r="AT574" s="46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4"/>
      <c r="BV574" s="4"/>
    </row>
    <row r="575" spans="1:74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28"/>
      <c r="AF575" s="4"/>
      <c r="AG575" s="4"/>
      <c r="AH575" s="4"/>
      <c r="AI575" s="4"/>
      <c r="AJ575" s="4"/>
      <c r="AK575" s="4"/>
      <c r="AL575" s="44"/>
      <c r="AM575" s="8"/>
      <c r="AN575" s="8"/>
      <c r="AO575" s="8"/>
      <c r="AP575" s="8"/>
      <c r="AQ575" s="8"/>
      <c r="AR575" s="8"/>
      <c r="AS575" s="8"/>
      <c r="AT575" s="46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4"/>
      <c r="BV575" s="4"/>
    </row>
    <row r="576" spans="1:74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28"/>
      <c r="AF576" s="4"/>
      <c r="AG576" s="4"/>
      <c r="AH576" s="4"/>
      <c r="AI576" s="4"/>
      <c r="AJ576" s="4"/>
      <c r="AK576" s="4"/>
      <c r="AL576" s="44"/>
      <c r="AM576" s="8"/>
      <c r="AN576" s="8"/>
      <c r="AO576" s="8"/>
      <c r="AP576" s="8"/>
      <c r="AQ576" s="8"/>
      <c r="AR576" s="8"/>
      <c r="AS576" s="8"/>
      <c r="AT576" s="46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4"/>
      <c r="BV576" s="4"/>
    </row>
    <row r="577" spans="1:74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28"/>
      <c r="AF577" s="4"/>
      <c r="AG577" s="4"/>
      <c r="AH577" s="4"/>
      <c r="AI577" s="4"/>
      <c r="AJ577" s="4"/>
      <c r="AK577" s="4"/>
      <c r="AL577" s="44"/>
      <c r="AM577" s="8"/>
      <c r="AN577" s="8"/>
      <c r="AO577" s="8"/>
      <c r="AP577" s="8"/>
      <c r="AQ577" s="8"/>
      <c r="AR577" s="8"/>
      <c r="AS577" s="8"/>
      <c r="AT577" s="46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4"/>
      <c r="BV577" s="4"/>
    </row>
    <row r="578" spans="1:74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28"/>
      <c r="AF578" s="4"/>
      <c r="AG578" s="4"/>
      <c r="AH578" s="4"/>
      <c r="AI578" s="4"/>
      <c r="AJ578" s="4"/>
      <c r="AK578" s="4"/>
      <c r="AL578" s="44"/>
      <c r="AM578" s="8"/>
      <c r="AN578" s="8"/>
      <c r="AO578" s="8"/>
      <c r="AP578" s="8"/>
      <c r="AQ578" s="8"/>
      <c r="AR578" s="8"/>
      <c r="AS578" s="8"/>
      <c r="AT578" s="46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4"/>
      <c r="BV578" s="4"/>
    </row>
    <row r="579" spans="1:74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28"/>
      <c r="AF579" s="4"/>
      <c r="AG579" s="4"/>
      <c r="AH579" s="4"/>
      <c r="AI579" s="4"/>
      <c r="AJ579" s="4"/>
      <c r="AK579" s="4"/>
      <c r="AL579" s="44"/>
      <c r="AM579" s="8"/>
      <c r="AN579" s="8"/>
      <c r="AO579" s="8"/>
      <c r="AP579" s="8"/>
      <c r="AQ579" s="8"/>
      <c r="AR579" s="8"/>
      <c r="AS579" s="8"/>
      <c r="AT579" s="46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4"/>
      <c r="BV579" s="4"/>
    </row>
    <row r="580" spans="1:74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28"/>
      <c r="AF580" s="4"/>
      <c r="AG580" s="4"/>
      <c r="AH580" s="4"/>
      <c r="AI580" s="4"/>
      <c r="AJ580" s="4"/>
      <c r="AK580" s="4"/>
      <c r="AL580" s="44"/>
      <c r="AM580" s="8"/>
      <c r="AN580" s="8"/>
      <c r="AO580" s="8"/>
      <c r="AP580" s="8"/>
      <c r="AQ580" s="8"/>
      <c r="AR580" s="8"/>
      <c r="AS580" s="8"/>
      <c r="AT580" s="46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4"/>
      <c r="BV580" s="4"/>
    </row>
    <row r="581" spans="1:74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28"/>
      <c r="AF581" s="4"/>
      <c r="AG581" s="4"/>
      <c r="AH581" s="4"/>
      <c r="AI581" s="4"/>
      <c r="AJ581" s="4"/>
      <c r="AK581" s="4"/>
      <c r="AL581" s="44"/>
      <c r="AM581" s="8"/>
      <c r="AN581" s="8"/>
      <c r="AO581" s="8"/>
      <c r="AP581" s="8"/>
      <c r="AQ581" s="8"/>
      <c r="AR581" s="8"/>
      <c r="AS581" s="8"/>
      <c r="AT581" s="46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4"/>
      <c r="BV581" s="4"/>
    </row>
    <row r="582" spans="1:74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28"/>
      <c r="AF582" s="4"/>
      <c r="AG582" s="4"/>
      <c r="AH582" s="4"/>
      <c r="AI582" s="4"/>
      <c r="AJ582" s="4"/>
      <c r="AK582" s="4"/>
      <c r="AL582" s="44"/>
      <c r="AM582" s="8"/>
      <c r="AN582" s="8"/>
      <c r="AO582" s="8"/>
      <c r="AP582" s="8"/>
      <c r="AQ582" s="8"/>
      <c r="AR582" s="8"/>
      <c r="AS582" s="8"/>
      <c r="AT582" s="46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4"/>
      <c r="BV582" s="4"/>
    </row>
    <row r="583" spans="1:74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28"/>
      <c r="AF583" s="4"/>
      <c r="AG583" s="4"/>
      <c r="AH583" s="4"/>
      <c r="AI583" s="4"/>
      <c r="AJ583" s="4"/>
      <c r="AK583" s="4"/>
      <c r="AL583" s="44"/>
      <c r="AM583" s="8"/>
      <c r="AN583" s="8"/>
      <c r="AO583" s="8"/>
      <c r="AP583" s="8"/>
      <c r="AQ583" s="8"/>
      <c r="AR583" s="8"/>
      <c r="AS583" s="8"/>
      <c r="AT583" s="46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4"/>
      <c r="BV583" s="4"/>
    </row>
    <row r="584" spans="1:74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28"/>
      <c r="AF584" s="4"/>
      <c r="AG584" s="4"/>
      <c r="AH584" s="4"/>
      <c r="AI584" s="4"/>
      <c r="AJ584" s="4"/>
      <c r="AK584" s="4"/>
      <c r="AL584" s="44"/>
      <c r="AM584" s="8"/>
      <c r="AN584" s="8"/>
      <c r="AO584" s="8"/>
      <c r="AP584" s="8"/>
      <c r="AQ584" s="8"/>
      <c r="AR584" s="8"/>
      <c r="AS584" s="8"/>
      <c r="AT584" s="46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4"/>
      <c r="BV584" s="4"/>
    </row>
    <row r="585" spans="1:74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28"/>
      <c r="AF585" s="4"/>
      <c r="AG585" s="4"/>
      <c r="AH585" s="4"/>
      <c r="AI585" s="4"/>
      <c r="AJ585" s="4"/>
      <c r="AK585" s="4"/>
      <c r="AL585" s="44"/>
      <c r="AM585" s="8"/>
      <c r="AN585" s="8"/>
      <c r="AO585" s="8"/>
      <c r="AP585" s="8"/>
      <c r="AQ585" s="8"/>
      <c r="AR585" s="8"/>
      <c r="AS585" s="8"/>
      <c r="AT585" s="46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4"/>
      <c r="BV585" s="4"/>
    </row>
    <row r="586" spans="1:74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28"/>
      <c r="AF586" s="4"/>
      <c r="AG586" s="4"/>
      <c r="AH586" s="4"/>
      <c r="AI586" s="4"/>
      <c r="AJ586" s="4"/>
      <c r="AK586" s="4"/>
      <c r="AL586" s="44"/>
      <c r="AM586" s="8"/>
      <c r="AN586" s="8"/>
      <c r="AO586" s="8"/>
      <c r="AP586" s="8"/>
      <c r="AQ586" s="8"/>
      <c r="AR586" s="8"/>
      <c r="AS586" s="8"/>
      <c r="AT586" s="46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4"/>
      <c r="BV586" s="4"/>
    </row>
    <row r="587" spans="1:74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28"/>
      <c r="AF587" s="4"/>
      <c r="AG587" s="4"/>
      <c r="AH587" s="4"/>
      <c r="AI587" s="4"/>
      <c r="AJ587" s="4"/>
      <c r="AK587" s="4"/>
      <c r="AL587" s="44"/>
      <c r="AM587" s="8"/>
      <c r="AN587" s="8"/>
      <c r="AO587" s="8"/>
      <c r="AP587" s="8"/>
      <c r="AQ587" s="8"/>
      <c r="AR587" s="8"/>
      <c r="AS587" s="8"/>
      <c r="AT587" s="46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4"/>
      <c r="BV587" s="4"/>
    </row>
    <row r="588" spans="1:74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28"/>
      <c r="AF588" s="4"/>
      <c r="AG588" s="4"/>
      <c r="AH588" s="4"/>
      <c r="AI588" s="4"/>
      <c r="AJ588" s="4"/>
      <c r="AK588" s="4"/>
      <c r="AL588" s="44"/>
      <c r="AM588" s="8"/>
      <c r="AN588" s="8"/>
      <c r="AO588" s="8"/>
      <c r="AP588" s="8"/>
      <c r="AQ588" s="8"/>
      <c r="AR588" s="8"/>
      <c r="AS588" s="8"/>
      <c r="AT588" s="46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4"/>
      <c r="BV588" s="4"/>
    </row>
    <row r="589" spans="1:74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28"/>
      <c r="AF589" s="4"/>
      <c r="AG589" s="4"/>
      <c r="AH589" s="4"/>
      <c r="AI589" s="4"/>
      <c r="AJ589" s="4"/>
      <c r="AK589" s="4"/>
      <c r="AL589" s="44"/>
      <c r="AM589" s="8"/>
      <c r="AN589" s="8"/>
      <c r="AO589" s="8"/>
      <c r="AP589" s="8"/>
      <c r="AQ589" s="8"/>
      <c r="AR589" s="8"/>
      <c r="AS589" s="8"/>
      <c r="AT589" s="46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4"/>
      <c r="BV589" s="4"/>
    </row>
    <row r="590" spans="1:74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28"/>
      <c r="AF590" s="4"/>
      <c r="AG590" s="4"/>
      <c r="AH590" s="4"/>
      <c r="AI590" s="4"/>
      <c r="AJ590" s="4"/>
      <c r="AK590" s="4"/>
      <c r="AL590" s="44"/>
      <c r="AM590" s="8"/>
      <c r="AN590" s="8"/>
      <c r="AO590" s="8"/>
      <c r="AP590" s="8"/>
      <c r="AQ590" s="8"/>
      <c r="AR590" s="8"/>
      <c r="AS590" s="8"/>
      <c r="AT590" s="46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4"/>
      <c r="BV590" s="4"/>
    </row>
    <row r="591" spans="1:74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28"/>
      <c r="AF591" s="4"/>
      <c r="AG591" s="4"/>
      <c r="AH591" s="4"/>
      <c r="AI591" s="4"/>
      <c r="AJ591" s="4"/>
      <c r="AK591" s="4"/>
      <c r="AL591" s="44"/>
      <c r="AM591" s="8"/>
      <c r="AN591" s="8"/>
      <c r="AO591" s="8"/>
      <c r="AP591" s="8"/>
      <c r="AQ591" s="8"/>
      <c r="AR591" s="8"/>
      <c r="AS591" s="8"/>
      <c r="AT591" s="46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4"/>
      <c r="BV591" s="4"/>
    </row>
    <row r="592" spans="1:74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28"/>
      <c r="AF592" s="4"/>
      <c r="AG592" s="4"/>
      <c r="AH592" s="4"/>
      <c r="AI592" s="4"/>
      <c r="AJ592" s="4"/>
      <c r="AK592" s="4"/>
      <c r="AL592" s="44"/>
      <c r="AM592" s="8"/>
      <c r="AN592" s="8"/>
      <c r="AO592" s="8"/>
      <c r="AP592" s="8"/>
      <c r="AQ592" s="8"/>
      <c r="AR592" s="8"/>
      <c r="AS592" s="8"/>
      <c r="AT592" s="46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4"/>
      <c r="BV592" s="4"/>
    </row>
    <row r="593" spans="1:74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28"/>
      <c r="AF593" s="4"/>
      <c r="AG593" s="4"/>
      <c r="AH593" s="4"/>
      <c r="AI593" s="4"/>
      <c r="AJ593" s="4"/>
      <c r="AK593" s="4"/>
      <c r="AL593" s="44"/>
      <c r="AM593" s="8"/>
      <c r="AN593" s="8"/>
      <c r="AO593" s="8"/>
      <c r="AP593" s="8"/>
      <c r="AQ593" s="8"/>
      <c r="AR593" s="8"/>
      <c r="AS593" s="8"/>
      <c r="AT593" s="46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4"/>
      <c r="BV593" s="4"/>
    </row>
    <row r="594" spans="1:74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28"/>
      <c r="AF594" s="4"/>
      <c r="AG594" s="4"/>
      <c r="AH594" s="4"/>
      <c r="AI594" s="4"/>
      <c r="AJ594" s="4"/>
      <c r="AK594" s="4"/>
      <c r="AL594" s="44"/>
      <c r="AM594" s="8"/>
      <c r="AN594" s="8"/>
      <c r="AO594" s="8"/>
      <c r="AP594" s="8"/>
      <c r="AQ594" s="8"/>
      <c r="AR594" s="8"/>
      <c r="AS594" s="8"/>
      <c r="AT594" s="46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4"/>
      <c r="BV594" s="4"/>
    </row>
    <row r="595" spans="1:74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28"/>
      <c r="AF595" s="4"/>
      <c r="AG595" s="4"/>
      <c r="AH595" s="4"/>
      <c r="AI595" s="4"/>
      <c r="AJ595" s="4"/>
      <c r="AK595" s="4"/>
      <c r="AL595" s="44"/>
      <c r="AM595" s="8"/>
      <c r="AN595" s="8"/>
      <c r="AO595" s="8"/>
      <c r="AP595" s="8"/>
      <c r="AQ595" s="8"/>
      <c r="AR595" s="8"/>
      <c r="AS595" s="8"/>
      <c r="AT595" s="46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4"/>
      <c r="BV595" s="4"/>
    </row>
    <row r="596" spans="1:74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28"/>
      <c r="AF596" s="4"/>
      <c r="AG596" s="4"/>
      <c r="AH596" s="4"/>
      <c r="AI596" s="4"/>
      <c r="AJ596" s="4"/>
      <c r="AK596" s="4"/>
      <c r="AL596" s="44"/>
      <c r="AM596" s="8"/>
      <c r="AN596" s="8"/>
      <c r="AO596" s="8"/>
      <c r="AP596" s="8"/>
      <c r="AQ596" s="8"/>
      <c r="AR596" s="8"/>
      <c r="AS596" s="8"/>
      <c r="AT596" s="46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4"/>
      <c r="BV596" s="4"/>
    </row>
    <row r="597" spans="1:74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28"/>
      <c r="AF597" s="4"/>
      <c r="AG597" s="4"/>
      <c r="AH597" s="4"/>
      <c r="AI597" s="4"/>
      <c r="AJ597" s="4"/>
      <c r="AK597" s="4"/>
      <c r="AL597" s="44"/>
      <c r="AM597" s="8"/>
      <c r="AN597" s="8"/>
      <c r="AO597" s="8"/>
      <c r="AP597" s="8"/>
      <c r="AQ597" s="8"/>
      <c r="AR597" s="8"/>
      <c r="AS597" s="8"/>
      <c r="AT597" s="46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4"/>
      <c r="BV597" s="4"/>
    </row>
    <row r="598" spans="1:74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28"/>
      <c r="AF598" s="4"/>
      <c r="AG598" s="4"/>
      <c r="AH598" s="4"/>
      <c r="AI598" s="4"/>
      <c r="AJ598" s="4"/>
      <c r="AK598" s="4"/>
      <c r="AL598" s="44"/>
      <c r="AM598" s="8"/>
      <c r="AN598" s="8"/>
      <c r="AO598" s="8"/>
      <c r="AP598" s="8"/>
      <c r="AQ598" s="8"/>
      <c r="AR598" s="8"/>
      <c r="AS598" s="8"/>
      <c r="AT598" s="46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4"/>
      <c r="BV598" s="4"/>
    </row>
    <row r="599" spans="1:74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28"/>
      <c r="AF599" s="4"/>
      <c r="AG599" s="4"/>
      <c r="AH599" s="4"/>
      <c r="AI599" s="4"/>
      <c r="AJ599" s="4"/>
      <c r="AK599" s="4"/>
      <c r="AL599" s="44"/>
      <c r="AM599" s="8"/>
      <c r="AN599" s="8"/>
      <c r="AO599" s="8"/>
      <c r="AP599" s="8"/>
      <c r="AQ599" s="8"/>
      <c r="AR599" s="8"/>
      <c r="AS599" s="8"/>
      <c r="AT599" s="46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4"/>
      <c r="BV599" s="4"/>
    </row>
    <row r="600" spans="1:74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28"/>
      <c r="AF600" s="4"/>
      <c r="AG600" s="4"/>
      <c r="AH600" s="4"/>
      <c r="AI600" s="4"/>
      <c r="AJ600" s="4"/>
      <c r="AK600" s="4"/>
      <c r="AL600" s="44"/>
      <c r="AM600" s="8"/>
      <c r="AN600" s="8"/>
      <c r="AO600" s="8"/>
      <c r="AP600" s="8"/>
      <c r="AQ600" s="8"/>
      <c r="AR600" s="8"/>
      <c r="AS600" s="8"/>
      <c r="AT600" s="46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4"/>
      <c r="BV600" s="4"/>
    </row>
    <row r="601" spans="1:74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28"/>
      <c r="AF601" s="4"/>
      <c r="AG601" s="4"/>
      <c r="AH601" s="4"/>
      <c r="AI601" s="4"/>
      <c r="AJ601" s="4"/>
      <c r="AK601" s="4"/>
      <c r="AL601" s="44"/>
      <c r="AM601" s="8"/>
      <c r="AN601" s="8"/>
      <c r="AO601" s="8"/>
      <c r="AP601" s="8"/>
      <c r="AQ601" s="8"/>
      <c r="AR601" s="8"/>
      <c r="AS601" s="8"/>
      <c r="AT601" s="46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4"/>
      <c r="BV601" s="4"/>
    </row>
    <row r="602" spans="1:74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28"/>
      <c r="AF602" s="4"/>
      <c r="AG602" s="4"/>
      <c r="AH602" s="4"/>
      <c r="AI602" s="4"/>
      <c r="AJ602" s="4"/>
      <c r="AK602" s="4"/>
      <c r="AL602" s="44"/>
      <c r="AM602" s="8"/>
      <c r="AN602" s="8"/>
      <c r="AO602" s="8"/>
      <c r="AP602" s="8"/>
      <c r="AQ602" s="8"/>
      <c r="AR602" s="8"/>
      <c r="AS602" s="8"/>
      <c r="AT602" s="46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4"/>
      <c r="BV602" s="4"/>
    </row>
    <row r="603" spans="1:74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28"/>
      <c r="AF603" s="4"/>
      <c r="AG603" s="4"/>
      <c r="AH603" s="4"/>
      <c r="AI603" s="4"/>
      <c r="AJ603" s="4"/>
      <c r="AK603" s="4"/>
      <c r="AL603" s="44"/>
      <c r="AM603" s="8"/>
      <c r="AN603" s="8"/>
      <c r="AO603" s="8"/>
      <c r="AP603" s="8"/>
      <c r="AQ603" s="8"/>
      <c r="AR603" s="8"/>
      <c r="AS603" s="8"/>
      <c r="AT603" s="46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4"/>
      <c r="BV603" s="4"/>
    </row>
    <row r="604" spans="1:74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28"/>
      <c r="AF604" s="4"/>
      <c r="AG604" s="4"/>
      <c r="AH604" s="4"/>
      <c r="AI604" s="4"/>
      <c r="AJ604" s="4"/>
      <c r="AK604" s="4"/>
      <c r="AL604" s="44"/>
      <c r="AM604" s="8"/>
      <c r="AN604" s="8"/>
      <c r="AO604" s="8"/>
      <c r="AP604" s="8"/>
      <c r="AQ604" s="8"/>
      <c r="AR604" s="8"/>
      <c r="AS604" s="8"/>
      <c r="AT604" s="46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4"/>
      <c r="BV604" s="4"/>
    </row>
    <row r="605" spans="1:74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28"/>
      <c r="AF605" s="4"/>
      <c r="AG605" s="4"/>
      <c r="AH605" s="4"/>
      <c r="AI605" s="4"/>
      <c r="AJ605" s="4"/>
      <c r="AK605" s="4"/>
      <c r="AL605" s="44"/>
      <c r="AM605" s="8"/>
      <c r="AN605" s="8"/>
      <c r="AO605" s="8"/>
      <c r="AP605" s="8"/>
      <c r="AQ605" s="8"/>
      <c r="AR605" s="8"/>
      <c r="AS605" s="8"/>
      <c r="AT605" s="46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4"/>
      <c r="BV605" s="4"/>
    </row>
    <row r="606" spans="1:74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28"/>
      <c r="AF606" s="4"/>
      <c r="AG606" s="4"/>
      <c r="AH606" s="4"/>
      <c r="AI606" s="4"/>
      <c r="AJ606" s="4"/>
      <c r="AK606" s="4"/>
      <c r="AL606" s="44"/>
      <c r="AM606" s="8"/>
      <c r="AN606" s="8"/>
      <c r="AO606" s="8"/>
      <c r="AP606" s="8"/>
      <c r="AQ606" s="8"/>
      <c r="AR606" s="8"/>
      <c r="AS606" s="8"/>
      <c r="AT606" s="46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4"/>
      <c r="BV606" s="4"/>
    </row>
    <row r="607" spans="1:74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28"/>
      <c r="AF607" s="4"/>
      <c r="AG607" s="4"/>
      <c r="AH607" s="4"/>
      <c r="AI607" s="4"/>
      <c r="AJ607" s="4"/>
      <c r="AK607" s="4"/>
      <c r="AL607" s="44"/>
      <c r="AM607" s="8"/>
      <c r="AN607" s="8"/>
      <c r="AO607" s="8"/>
      <c r="AP607" s="8"/>
      <c r="AQ607" s="8"/>
      <c r="AR607" s="8"/>
      <c r="AS607" s="8"/>
      <c r="AT607" s="46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4"/>
      <c r="BV607" s="4"/>
    </row>
    <row r="608" spans="1:74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28"/>
      <c r="AF608" s="4"/>
      <c r="AG608" s="4"/>
      <c r="AH608" s="4"/>
      <c r="AI608" s="4"/>
      <c r="AJ608" s="4"/>
      <c r="AK608" s="4"/>
      <c r="AL608" s="44"/>
      <c r="AM608" s="8"/>
      <c r="AN608" s="8"/>
      <c r="AO608" s="8"/>
      <c r="AP608" s="8"/>
      <c r="AQ608" s="8"/>
      <c r="AR608" s="8"/>
      <c r="AS608" s="8"/>
      <c r="AT608" s="46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4"/>
      <c r="BV608" s="4"/>
    </row>
    <row r="609" spans="1:74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28"/>
      <c r="AF609" s="4"/>
      <c r="AG609" s="4"/>
      <c r="AH609" s="4"/>
      <c r="AI609" s="4"/>
      <c r="AJ609" s="4"/>
      <c r="AK609" s="4"/>
      <c r="AL609" s="44"/>
      <c r="AM609" s="8"/>
      <c r="AN609" s="8"/>
      <c r="AO609" s="8"/>
      <c r="AP609" s="8"/>
      <c r="AQ609" s="8"/>
      <c r="AR609" s="8"/>
      <c r="AS609" s="8"/>
      <c r="AT609" s="46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4"/>
      <c r="BV609" s="4"/>
    </row>
    <row r="610" spans="1:74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28"/>
      <c r="AF610" s="4"/>
      <c r="AG610" s="4"/>
      <c r="AH610" s="4"/>
      <c r="AI610" s="4"/>
      <c r="AJ610" s="4"/>
      <c r="AK610" s="4"/>
      <c r="AL610" s="44"/>
      <c r="AM610" s="8"/>
      <c r="AN610" s="8"/>
      <c r="AO610" s="8"/>
      <c r="AP610" s="8"/>
      <c r="AQ610" s="8"/>
      <c r="AR610" s="8"/>
      <c r="AS610" s="8"/>
      <c r="AT610" s="46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4"/>
      <c r="BV610" s="4"/>
    </row>
    <row r="611" spans="1:74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28"/>
      <c r="AF611" s="4"/>
      <c r="AG611" s="4"/>
      <c r="AH611" s="4"/>
      <c r="AI611" s="4"/>
      <c r="AJ611" s="4"/>
      <c r="AK611" s="4"/>
      <c r="AL611" s="44"/>
      <c r="AM611" s="8"/>
      <c r="AN611" s="8"/>
      <c r="AO611" s="8"/>
      <c r="AP611" s="8"/>
      <c r="AQ611" s="8"/>
      <c r="AR611" s="8"/>
      <c r="AS611" s="8"/>
      <c r="AT611" s="46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4"/>
      <c r="BV611" s="4"/>
    </row>
    <row r="612" spans="1:74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28"/>
      <c r="AF612" s="4"/>
      <c r="AG612" s="4"/>
      <c r="AH612" s="4"/>
      <c r="AI612" s="4"/>
      <c r="AJ612" s="4"/>
      <c r="AK612" s="4"/>
      <c r="AL612" s="44"/>
      <c r="AM612" s="8"/>
      <c r="AN612" s="8"/>
      <c r="AO612" s="8"/>
      <c r="AP612" s="8"/>
      <c r="AQ612" s="8"/>
      <c r="AR612" s="8"/>
      <c r="AS612" s="8"/>
      <c r="AT612" s="46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4"/>
      <c r="BV612" s="4"/>
    </row>
    <row r="613" spans="1:74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28"/>
      <c r="AF613" s="4"/>
      <c r="AG613" s="4"/>
      <c r="AH613" s="4"/>
      <c r="AI613" s="4"/>
      <c r="AJ613" s="4"/>
      <c r="AK613" s="4"/>
      <c r="AL613" s="44"/>
      <c r="AM613" s="8"/>
      <c r="AN613" s="8"/>
      <c r="AO613" s="8"/>
      <c r="AP613" s="8"/>
      <c r="AQ613" s="8"/>
      <c r="AR613" s="8"/>
      <c r="AS613" s="8"/>
      <c r="AT613" s="46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4"/>
      <c r="BV613" s="4"/>
    </row>
    <row r="614" spans="1:74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28"/>
      <c r="AF614" s="4"/>
      <c r="AG614" s="4"/>
      <c r="AH614" s="4"/>
      <c r="AI614" s="4"/>
      <c r="AJ614" s="4"/>
      <c r="AK614" s="4"/>
      <c r="AL614" s="44"/>
      <c r="AM614" s="8"/>
      <c r="AN614" s="8"/>
      <c r="AO614" s="8"/>
      <c r="AP614" s="8"/>
      <c r="AQ614" s="8"/>
      <c r="AR614" s="8"/>
      <c r="AS614" s="8"/>
      <c r="AT614" s="46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4"/>
      <c r="BV614" s="4"/>
    </row>
    <row r="615" spans="1:74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28"/>
      <c r="AF615" s="4"/>
      <c r="AG615" s="4"/>
      <c r="AH615" s="4"/>
      <c r="AI615" s="4"/>
      <c r="AJ615" s="4"/>
      <c r="AK615" s="4"/>
      <c r="AL615" s="44"/>
      <c r="AM615" s="8"/>
      <c r="AN615" s="8"/>
      <c r="AO615" s="8"/>
      <c r="AP615" s="8"/>
      <c r="AQ615" s="8"/>
      <c r="AR615" s="8"/>
      <c r="AS615" s="8"/>
      <c r="AT615" s="46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4"/>
      <c r="BV615" s="4"/>
    </row>
    <row r="616" spans="1:74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28"/>
      <c r="AF616" s="4"/>
      <c r="AG616" s="4"/>
      <c r="AH616" s="4"/>
      <c r="AI616" s="4"/>
      <c r="AJ616" s="4"/>
      <c r="AK616" s="4"/>
      <c r="AL616" s="44"/>
      <c r="AM616" s="8"/>
      <c r="AN616" s="8"/>
      <c r="AO616" s="8"/>
      <c r="AP616" s="8"/>
      <c r="AQ616" s="8"/>
      <c r="AR616" s="8"/>
      <c r="AS616" s="8"/>
      <c r="AT616" s="46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4"/>
      <c r="BV616" s="4"/>
    </row>
    <row r="617" spans="1:74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28"/>
      <c r="AF617" s="4"/>
      <c r="AG617" s="4"/>
      <c r="AH617" s="4"/>
      <c r="AI617" s="4"/>
      <c r="AJ617" s="4"/>
      <c r="AK617" s="4"/>
      <c r="AL617" s="44"/>
      <c r="AM617" s="8"/>
      <c r="AN617" s="8"/>
      <c r="AO617" s="8"/>
      <c r="AP617" s="8"/>
      <c r="AQ617" s="8"/>
      <c r="AR617" s="8"/>
      <c r="AS617" s="8"/>
      <c r="AT617" s="46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4"/>
      <c r="BV617" s="4"/>
    </row>
    <row r="618" spans="1:74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28"/>
      <c r="AF618" s="4"/>
      <c r="AG618" s="4"/>
      <c r="AH618" s="4"/>
      <c r="AI618" s="4"/>
      <c r="AJ618" s="4"/>
      <c r="AK618" s="4"/>
      <c r="AL618" s="44"/>
      <c r="AM618" s="8"/>
      <c r="AN618" s="8"/>
      <c r="AO618" s="8"/>
      <c r="AP618" s="8"/>
      <c r="AQ618" s="8"/>
      <c r="AR618" s="8"/>
      <c r="AS618" s="8"/>
      <c r="AT618" s="46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4"/>
      <c r="BV618" s="4"/>
    </row>
    <row r="619" spans="1:74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28"/>
      <c r="AF619" s="4"/>
      <c r="AG619" s="4"/>
      <c r="AH619" s="4"/>
      <c r="AI619" s="4"/>
      <c r="AJ619" s="4"/>
      <c r="AK619" s="4"/>
      <c r="AL619" s="44"/>
      <c r="AM619" s="8"/>
      <c r="AN619" s="8"/>
      <c r="AO619" s="8"/>
      <c r="AP619" s="8"/>
      <c r="AQ619" s="8"/>
      <c r="AR619" s="8"/>
      <c r="AS619" s="8"/>
      <c r="AT619" s="46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4"/>
      <c r="BV619" s="4"/>
    </row>
    <row r="620" spans="1:74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28"/>
      <c r="AF620" s="4"/>
      <c r="AG620" s="4"/>
      <c r="AH620" s="4"/>
      <c r="AI620" s="4"/>
      <c r="AJ620" s="4"/>
      <c r="AK620" s="4"/>
      <c r="AL620" s="44"/>
      <c r="AM620" s="8"/>
      <c r="AN620" s="8"/>
      <c r="AO620" s="8"/>
      <c r="AP620" s="8"/>
      <c r="AQ620" s="8"/>
      <c r="AR620" s="8"/>
      <c r="AS620" s="8"/>
      <c r="AT620" s="46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4"/>
      <c r="BV620" s="4"/>
    </row>
    <row r="621" spans="1:74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28"/>
      <c r="AF621" s="4"/>
      <c r="AG621" s="4"/>
      <c r="AH621" s="4"/>
      <c r="AI621" s="4"/>
      <c r="AJ621" s="4"/>
      <c r="AK621" s="4"/>
      <c r="AL621" s="44"/>
      <c r="AM621" s="8"/>
      <c r="AN621" s="8"/>
      <c r="AO621" s="8"/>
      <c r="AP621" s="8"/>
      <c r="AQ621" s="8"/>
      <c r="AR621" s="8"/>
      <c r="AS621" s="8"/>
      <c r="AT621" s="46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4"/>
      <c r="BV621" s="4"/>
    </row>
    <row r="622" spans="1:74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28"/>
      <c r="AF622" s="4"/>
      <c r="AG622" s="4"/>
      <c r="AH622" s="4"/>
      <c r="AI622" s="4"/>
      <c r="AJ622" s="4"/>
      <c r="AK622" s="4"/>
      <c r="AL622" s="44"/>
      <c r="AM622" s="8"/>
      <c r="AN622" s="8"/>
      <c r="AO622" s="8"/>
      <c r="AP622" s="8"/>
      <c r="AQ622" s="8"/>
      <c r="AR622" s="8"/>
      <c r="AS622" s="8"/>
      <c r="AT622" s="46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4"/>
      <c r="BV622" s="4"/>
    </row>
    <row r="623" spans="1:74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28"/>
      <c r="AF623" s="4"/>
      <c r="AG623" s="4"/>
      <c r="AH623" s="4"/>
      <c r="AI623" s="4"/>
      <c r="AJ623" s="4"/>
      <c r="AK623" s="4"/>
      <c r="AL623" s="44"/>
      <c r="AM623" s="8"/>
      <c r="AN623" s="8"/>
      <c r="AO623" s="8"/>
      <c r="AP623" s="8"/>
      <c r="AQ623" s="8"/>
      <c r="AR623" s="8"/>
      <c r="AS623" s="8"/>
      <c r="AT623" s="46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4"/>
      <c r="BV623" s="4"/>
    </row>
    <row r="624" spans="1:74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28"/>
      <c r="AF624" s="4"/>
      <c r="AG624" s="4"/>
      <c r="AH624" s="4"/>
      <c r="AI624" s="4"/>
      <c r="AJ624" s="4"/>
      <c r="AK624" s="4"/>
      <c r="AL624" s="44"/>
      <c r="AM624" s="8"/>
      <c r="AN624" s="8"/>
      <c r="AO624" s="8"/>
      <c r="AP624" s="8"/>
      <c r="AQ624" s="8"/>
      <c r="AR624" s="8"/>
      <c r="AS624" s="8"/>
      <c r="AT624" s="46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4"/>
      <c r="BV624" s="4"/>
    </row>
    <row r="625" spans="1:74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28"/>
      <c r="AF625" s="4"/>
      <c r="AG625" s="4"/>
      <c r="AH625" s="4"/>
      <c r="AI625" s="4"/>
      <c r="AJ625" s="4"/>
      <c r="AK625" s="4"/>
      <c r="AL625" s="44"/>
      <c r="AM625" s="8"/>
      <c r="AN625" s="8"/>
      <c r="AO625" s="8"/>
      <c r="AP625" s="8"/>
      <c r="AQ625" s="8"/>
      <c r="AR625" s="8"/>
      <c r="AS625" s="8"/>
      <c r="AT625" s="46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4"/>
      <c r="BV625" s="4"/>
    </row>
    <row r="626" spans="1:74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28"/>
      <c r="AF626" s="4"/>
      <c r="AG626" s="4"/>
      <c r="AH626" s="4"/>
      <c r="AI626" s="4"/>
      <c r="AJ626" s="4"/>
      <c r="AK626" s="4"/>
      <c r="AL626" s="44"/>
      <c r="AM626" s="8"/>
      <c r="AN626" s="8"/>
      <c r="AO626" s="8"/>
      <c r="AP626" s="8"/>
      <c r="AQ626" s="8"/>
      <c r="AR626" s="8"/>
      <c r="AS626" s="8"/>
      <c r="AT626" s="46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4"/>
      <c r="BV626" s="4"/>
    </row>
    <row r="627" spans="1:74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28"/>
      <c r="AF627" s="4"/>
      <c r="AG627" s="4"/>
      <c r="AH627" s="4"/>
      <c r="AI627" s="4"/>
      <c r="AJ627" s="4"/>
      <c r="AK627" s="4"/>
      <c r="AL627" s="44"/>
      <c r="AM627" s="8"/>
      <c r="AN627" s="8"/>
      <c r="AO627" s="8"/>
      <c r="AP627" s="8"/>
      <c r="AQ627" s="8"/>
      <c r="AR627" s="8"/>
      <c r="AS627" s="8"/>
      <c r="AT627" s="46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4"/>
      <c r="BV627" s="4"/>
    </row>
    <row r="628" spans="1:74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28"/>
      <c r="AF628" s="4"/>
      <c r="AG628" s="4"/>
      <c r="AH628" s="4"/>
      <c r="AI628" s="4"/>
      <c r="AJ628" s="4"/>
      <c r="AK628" s="4"/>
      <c r="AL628" s="44"/>
      <c r="AM628" s="8"/>
      <c r="AN628" s="8"/>
      <c r="AO628" s="8"/>
      <c r="AP628" s="8"/>
      <c r="AQ628" s="8"/>
      <c r="AR628" s="8"/>
      <c r="AS628" s="8"/>
      <c r="AT628" s="46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4"/>
      <c r="BV628" s="4"/>
    </row>
    <row r="629" spans="1:74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28"/>
      <c r="AF629" s="4"/>
      <c r="AG629" s="4"/>
      <c r="AH629" s="4"/>
      <c r="AI629" s="4"/>
      <c r="AJ629" s="4"/>
      <c r="AK629" s="4"/>
      <c r="AL629" s="44"/>
      <c r="AM629" s="8"/>
      <c r="AN629" s="8"/>
      <c r="AO629" s="8"/>
      <c r="AP629" s="8"/>
      <c r="AQ629" s="8"/>
      <c r="AR629" s="8"/>
      <c r="AS629" s="8"/>
      <c r="AT629" s="46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4"/>
      <c r="BV629" s="4"/>
    </row>
    <row r="630" spans="1:74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28"/>
      <c r="AF630" s="4"/>
      <c r="AG630" s="4"/>
      <c r="AH630" s="4"/>
      <c r="AI630" s="4"/>
      <c r="AJ630" s="4"/>
      <c r="AK630" s="4"/>
      <c r="AL630" s="44"/>
      <c r="AM630" s="8"/>
      <c r="AN630" s="8"/>
      <c r="AO630" s="8"/>
      <c r="AP630" s="8"/>
      <c r="AQ630" s="8"/>
      <c r="AR630" s="8"/>
      <c r="AS630" s="8"/>
      <c r="AT630" s="46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4"/>
      <c r="BV630" s="4"/>
    </row>
    <row r="631" spans="1:74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28"/>
      <c r="AF631" s="4"/>
      <c r="AG631" s="4"/>
      <c r="AH631" s="4"/>
      <c r="AI631" s="4"/>
      <c r="AJ631" s="4"/>
      <c r="AK631" s="4"/>
      <c r="AL631" s="44"/>
      <c r="AM631" s="8"/>
      <c r="AN631" s="8"/>
      <c r="AO631" s="8"/>
      <c r="AP631" s="8"/>
      <c r="AQ631" s="8"/>
      <c r="AR631" s="8"/>
      <c r="AS631" s="8"/>
      <c r="AT631" s="46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4"/>
      <c r="BV631" s="4"/>
    </row>
    <row r="632" spans="1:74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28"/>
      <c r="AF632" s="4"/>
      <c r="AG632" s="4"/>
      <c r="AH632" s="4"/>
      <c r="AI632" s="4"/>
      <c r="AJ632" s="4"/>
      <c r="AK632" s="4"/>
      <c r="AL632" s="44"/>
      <c r="AM632" s="8"/>
      <c r="AN632" s="8"/>
      <c r="AO632" s="8"/>
      <c r="AP632" s="8"/>
      <c r="AQ632" s="8"/>
      <c r="AR632" s="8"/>
      <c r="AS632" s="8"/>
      <c r="AT632" s="46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4"/>
      <c r="BV632" s="4"/>
    </row>
    <row r="633" spans="1:74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28"/>
      <c r="AF633" s="4"/>
      <c r="AG633" s="4"/>
      <c r="AH633" s="4"/>
      <c r="AI633" s="4"/>
      <c r="AJ633" s="4"/>
      <c r="AK633" s="4"/>
      <c r="AL633" s="44"/>
      <c r="AM633" s="8"/>
      <c r="AN633" s="8"/>
      <c r="AO633" s="8"/>
      <c r="AP633" s="8"/>
      <c r="AQ633" s="8"/>
      <c r="AR633" s="8"/>
      <c r="AS633" s="8"/>
      <c r="AT633" s="46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4"/>
      <c r="BV633" s="4"/>
    </row>
    <row r="634" spans="1:74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28"/>
      <c r="AF634" s="4"/>
      <c r="AG634" s="4"/>
      <c r="AH634" s="4"/>
      <c r="AI634" s="4"/>
      <c r="AJ634" s="4"/>
      <c r="AK634" s="4"/>
      <c r="AL634" s="44"/>
      <c r="AM634" s="8"/>
      <c r="AN634" s="8"/>
      <c r="AO634" s="8"/>
      <c r="AP634" s="8"/>
      <c r="AQ634" s="8"/>
      <c r="AR634" s="8"/>
      <c r="AS634" s="8"/>
      <c r="AT634" s="46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4"/>
      <c r="BV634" s="4"/>
    </row>
    <row r="635" spans="1:74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28"/>
      <c r="AF635" s="4"/>
      <c r="AG635" s="4"/>
      <c r="AH635" s="4"/>
      <c r="AI635" s="4"/>
      <c r="AJ635" s="4"/>
      <c r="AK635" s="4"/>
      <c r="AL635" s="44"/>
      <c r="AM635" s="8"/>
      <c r="AN635" s="8"/>
      <c r="AO635" s="8"/>
      <c r="AP635" s="8"/>
      <c r="AQ635" s="8"/>
      <c r="AR635" s="8"/>
      <c r="AS635" s="8"/>
      <c r="AT635" s="46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4"/>
      <c r="BV635" s="4"/>
    </row>
    <row r="636" spans="1:74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28"/>
      <c r="AF636" s="4"/>
      <c r="AG636" s="4"/>
      <c r="AH636" s="4"/>
      <c r="AI636" s="4"/>
      <c r="AJ636" s="4"/>
      <c r="AK636" s="4"/>
      <c r="AL636" s="44"/>
      <c r="AM636" s="8"/>
      <c r="AN636" s="8"/>
      <c r="AO636" s="8"/>
      <c r="AP636" s="8"/>
      <c r="AQ636" s="8"/>
      <c r="AR636" s="8"/>
      <c r="AS636" s="8"/>
      <c r="AT636" s="46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4"/>
      <c r="BV636" s="4"/>
    </row>
    <row r="637" spans="1:74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28"/>
      <c r="AF637" s="4"/>
      <c r="AG637" s="4"/>
      <c r="AH637" s="4"/>
      <c r="AI637" s="4"/>
      <c r="AJ637" s="4"/>
      <c r="AK637" s="4"/>
      <c r="AL637" s="44"/>
      <c r="AM637" s="8"/>
      <c r="AN637" s="8"/>
      <c r="AO637" s="8"/>
      <c r="AP637" s="8"/>
      <c r="AQ637" s="8"/>
      <c r="AR637" s="8"/>
      <c r="AS637" s="8"/>
      <c r="AT637" s="46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4"/>
      <c r="BV637" s="4"/>
    </row>
    <row r="638" spans="1:74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28"/>
      <c r="AF638" s="4"/>
      <c r="AG638" s="4"/>
      <c r="AH638" s="4"/>
      <c r="AI638" s="4"/>
      <c r="AJ638" s="4"/>
      <c r="AK638" s="4"/>
      <c r="AL638" s="44"/>
      <c r="AM638" s="8"/>
      <c r="AN638" s="8"/>
      <c r="AO638" s="8"/>
      <c r="AP638" s="8"/>
      <c r="AQ638" s="8"/>
      <c r="AR638" s="8"/>
      <c r="AS638" s="8"/>
      <c r="AT638" s="46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4"/>
      <c r="BV638" s="4"/>
    </row>
    <row r="639" spans="1:74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28"/>
      <c r="AF639" s="4"/>
      <c r="AG639" s="4"/>
      <c r="AH639" s="4"/>
      <c r="AI639" s="4"/>
      <c r="AJ639" s="4"/>
      <c r="AK639" s="4"/>
      <c r="AL639" s="44"/>
      <c r="AM639" s="8"/>
      <c r="AN639" s="8"/>
      <c r="AO639" s="8"/>
      <c r="AP639" s="8"/>
      <c r="AQ639" s="8"/>
      <c r="AR639" s="8"/>
      <c r="AS639" s="8"/>
      <c r="AT639" s="46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4"/>
      <c r="BV639" s="4"/>
    </row>
    <row r="640" spans="1:74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28"/>
      <c r="AF640" s="4"/>
      <c r="AG640" s="4"/>
      <c r="AH640" s="4"/>
      <c r="AI640" s="4"/>
      <c r="AJ640" s="4"/>
      <c r="AK640" s="4"/>
      <c r="AL640" s="44"/>
      <c r="AM640" s="8"/>
      <c r="AN640" s="8"/>
      <c r="AO640" s="8"/>
      <c r="AP640" s="8"/>
      <c r="AQ640" s="8"/>
      <c r="AR640" s="8"/>
      <c r="AS640" s="8"/>
      <c r="AT640" s="46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4"/>
      <c r="BV640" s="4"/>
    </row>
    <row r="641" spans="1:74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28"/>
      <c r="AF641" s="4"/>
      <c r="AG641" s="4"/>
      <c r="AH641" s="4"/>
      <c r="AI641" s="4"/>
      <c r="AJ641" s="4"/>
      <c r="AK641" s="4"/>
      <c r="AL641" s="44"/>
      <c r="AM641" s="8"/>
      <c r="AN641" s="8"/>
      <c r="AO641" s="8"/>
      <c r="AP641" s="8"/>
      <c r="AQ641" s="8"/>
      <c r="AR641" s="8"/>
      <c r="AS641" s="8"/>
      <c r="AT641" s="46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4"/>
      <c r="BV641" s="4"/>
    </row>
    <row r="642" spans="1:74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28"/>
      <c r="AF642" s="4"/>
      <c r="AG642" s="4"/>
      <c r="AH642" s="4"/>
      <c r="AI642" s="4"/>
      <c r="AJ642" s="4"/>
      <c r="AK642" s="4"/>
      <c r="AL642" s="44"/>
      <c r="AM642" s="8"/>
      <c r="AN642" s="8"/>
      <c r="AO642" s="8"/>
      <c r="AP642" s="8"/>
      <c r="AQ642" s="8"/>
      <c r="AR642" s="8"/>
      <c r="AS642" s="8"/>
      <c r="AT642" s="46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4"/>
      <c r="BV642" s="4"/>
    </row>
    <row r="643" spans="1:74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28"/>
      <c r="AF643" s="4"/>
      <c r="AG643" s="4"/>
      <c r="AH643" s="4"/>
      <c r="AI643" s="4"/>
      <c r="AJ643" s="4"/>
      <c r="AK643" s="4"/>
      <c r="AL643" s="44"/>
      <c r="AM643" s="8"/>
      <c r="AN643" s="8"/>
      <c r="AO643" s="8"/>
      <c r="AP643" s="8"/>
      <c r="AQ643" s="8"/>
      <c r="AR643" s="8"/>
      <c r="AS643" s="8"/>
      <c r="AT643" s="46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4"/>
      <c r="BV643" s="4"/>
    </row>
    <row r="644" spans="1:74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28"/>
      <c r="AF644" s="4"/>
      <c r="AG644" s="4"/>
      <c r="AH644" s="4"/>
      <c r="AI644" s="4"/>
      <c r="AJ644" s="4"/>
      <c r="AK644" s="4"/>
      <c r="AL644" s="44"/>
      <c r="AM644" s="8"/>
      <c r="AN644" s="8"/>
      <c r="AO644" s="8"/>
      <c r="AP644" s="8"/>
      <c r="AQ644" s="8"/>
      <c r="AR644" s="8"/>
      <c r="AS644" s="8"/>
      <c r="AT644" s="46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4"/>
      <c r="BV644" s="4"/>
    </row>
    <row r="645" spans="1:74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28"/>
      <c r="AF645" s="4"/>
      <c r="AG645" s="4"/>
      <c r="AH645" s="4"/>
      <c r="AI645" s="4"/>
      <c r="AJ645" s="4"/>
      <c r="AK645" s="4"/>
      <c r="AL645" s="44"/>
      <c r="AM645" s="8"/>
      <c r="AN645" s="8"/>
      <c r="AO645" s="8"/>
      <c r="AP645" s="8"/>
      <c r="AQ645" s="8"/>
      <c r="AR645" s="8"/>
      <c r="AS645" s="8"/>
      <c r="AT645" s="46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4"/>
      <c r="BV645" s="4"/>
    </row>
    <row r="646" spans="1:74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28"/>
      <c r="AF646" s="4"/>
      <c r="AG646" s="4"/>
      <c r="AH646" s="4"/>
      <c r="AI646" s="4"/>
      <c r="AJ646" s="4"/>
      <c r="AK646" s="4"/>
      <c r="AL646" s="44"/>
      <c r="AM646" s="8"/>
      <c r="AN646" s="8"/>
      <c r="AO646" s="8"/>
      <c r="AP646" s="8"/>
      <c r="AQ646" s="8"/>
      <c r="AR646" s="8"/>
      <c r="AS646" s="8"/>
      <c r="AT646" s="46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4"/>
      <c r="BV646" s="4"/>
    </row>
    <row r="647" spans="1:74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28"/>
      <c r="AF647" s="4"/>
      <c r="AG647" s="4"/>
      <c r="AH647" s="4"/>
      <c r="AI647" s="4"/>
      <c r="AJ647" s="4"/>
      <c r="AK647" s="4"/>
      <c r="AL647" s="44"/>
      <c r="AM647" s="8"/>
      <c r="AN647" s="8"/>
      <c r="AO647" s="8"/>
      <c r="AP647" s="8"/>
      <c r="AQ647" s="8"/>
      <c r="AR647" s="8"/>
      <c r="AS647" s="8"/>
      <c r="AT647" s="46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4"/>
      <c r="BV647" s="4"/>
    </row>
    <row r="648" spans="1:74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28"/>
      <c r="AF648" s="4"/>
      <c r="AG648" s="4"/>
      <c r="AH648" s="4"/>
      <c r="AI648" s="4"/>
      <c r="AJ648" s="4"/>
      <c r="AK648" s="4"/>
      <c r="AL648" s="44"/>
      <c r="AM648" s="8"/>
      <c r="AN648" s="8"/>
      <c r="AO648" s="8"/>
      <c r="AP648" s="8"/>
      <c r="AQ648" s="8"/>
      <c r="AR648" s="8"/>
      <c r="AS648" s="8"/>
      <c r="AT648" s="46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4"/>
      <c r="BV648" s="4"/>
    </row>
    <row r="649" spans="1:74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28"/>
      <c r="AF649" s="4"/>
      <c r="AG649" s="4"/>
      <c r="AH649" s="4"/>
      <c r="AI649" s="4"/>
      <c r="AJ649" s="4"/>
      <c r="AK649" s="4"/>
      <c r="AL649" s="44"/>
      <c r="AM649" s="8"/>
      <c r="AN649" s="8"/>
      <c r="AO649" s="8"/>
      <c r="AP649" s="8"/>
      <c r="AQ649" s="8"/>
      <c r="AR649" s="8"/>
      <c r="AS649" s="8"/>
      <c r="AT649" s="46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4"/>
      <c r="BV649" s="4"/>
    </row>
    <row r="650" spans="1:74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28"/>
      <c r="AF650" s="4"/>
      <c r="AG650" s="4"/>
      <c r="AH650" s="4"/>
      <c r="AI650" s="4"/>
      <c r="AJ650" s="4"/>
      <c r="AK650" s="4"/>
      <c r="AL650" s="44"/>
      <c r="AM650" s="8"/>
      <c r="AN650" s="8"/>
      <c r="AO650" s="8"/>
      <c r="AP650" s="8"/>
      <c r="AQ650" s="8"/>
      <c r="AR650" s="8"/>
      <c r="AS650" s="8"/>
      <c r="AT650" s="46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4"/>
      <c r="BV650" s="4"/>
    </row>
    <row r="651" spans="1:74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28"/>
      <c r="AF651" s="4"/>
      <c r="AG651" s="4"/>
      <c r="AH651" s="4"/>
      <c r="AI651" s="4"/>
      <c r="AJ651" s="4"/>
      <c r="AK651" s="4"/>
      <c r="AL651" s="44"/>
      <c r="AM651" s="8"/>
      <c r="AN651" s="8"/>
      <c r="AO651" s="8"/>
      <c r="AP651" s="8"/>
      <c r="AQ651" s="8"/>
      <c r="AR651" s="8"/>
      <c r="AS651" s="8"/>
      <c r="AT651" s="46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4"/>
      <c r="BV651" s="4"/>
    </row>
    <row r="652" spans="1:74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28"/>
      <c r="AF652" s="4"/>
      <c r="AG652" s="4"/>
      <c r="AH652" s="4"/>
      <c r="AI652" s="4"/>
      <c r="AJ652" s="4"/>
      <c r="AK652" s="4"/>
      <c r="AL652" s="44"/>
      <c r="AM652" s="8"/>
      <c r="AN652" s="8"/>
      <c r="AO652" s="8"/>
      <c r="AP652" s="8"/>
      <c r="AQ652" s="8"/>
      <c r="AR652" s="8"/>
      <c r="AS652" s="8"/>
      <c r="AT652" s="46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4"/>
      <c r="BV652" s="4"/>
    </row>
    <row r="653" spans="1:74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28"/>
      <c r="AF653" s="4"/>
      <c r="AG653" s="4"/>
      <c r="AH653" s="4"/>
      <c r="AI653" s="4"/>
      <c r="AJ653" s="4"/>
      <c r="AK653" s="4"/>
      <c r="AL653" s="44"/>
      <c r="AM653" s="8"/>
      <c r="AN653" s="8"/>
      <c r="AO653" s="8"/>
      <c r="AP653" s="8"/>
      <c r="AQ653" s="8"/>
      <c r="AR653" s="8"/>
      <c r="AS653" s="8"/>
      <c r="AT653" s="46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4"/>
      <c r="BV653" s="4"/>
    </row>
    <row r="654" spans="1:74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28"/>
      <c r="AF654" s="4"/>
      <c r="AG654" s="4"/>
      <c r="AH654" s="4"/>
      <c r="AI654" s="4"/>
      <c r="AJ654" s="4"/>
      <c r="AK654" s="4"/>
      <c r="AL654" s="44"/>
      <c r="AM654" s="8"/>
      <c r="AN654" s="8"/>
      <c r="AO654" s="8"/>
      <c r="AP654" s="8"/>
      <c r="AQ654" s="8"/>
      <c r="AR654" s="8"/>
      <c r="AS654" s="8"/>
      <c r="AT654" s="46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4"/>
      <c r="BV654" s="4"/>
    </row>
    <row r="655" spans="1:74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28"/>
      <c r="AF655" s="4"/>
      <c r="AG655" s="4"/>
      <c r="AH655" s="4"/>
      <c r="AI655" s="4"/>
      <c r="AJ655" s="4"/>
      <c r="AK655" s="4"/>
      <c r="AL655" s="44"/>
      <c r="AM655" s="8"/>
      <c r="AN655" s="8"/>
      <c r="AO655" s="8"/>
      <c r="AP655" s="8"/>
      <c r="AQ655" s="8"/>
      <c r="AR655" s="8"/>
      <c r="AS655" s="8"/>
      <c r="AT655" s="46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4"/>
      <c r="BV655" s="4"/>
    </row>
    <row r="656" spans="1:74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28"/>
      <c r="AF656" s="4"/>
      <c r="AG656" s="4"/>
      <c r="AH656" s="4"/>
      <c r="AI656" s="4"/>
      <c r="AJ656" s="4"/>
      <c r="AK656" s="4"/>
      <c r="AL656" s="44"/>
      <c r="AM656" s="8"/>
      <c r="AN656" s="8"/>
      <c r="AO656" s="8"/>
      <c r="AP656" s="8"/>
      <c r="AQ656" s="8"/>
      <c r="AR656" s="8"/>
      <c r="AS656" s="8"/>
      <c r="AT656" s="46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4"/>
      <c r="BV656" s="4"/>
    </row>
    <row r="657" spans="1:74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28"/>
      <c r="AF657" s="4"/>
      <c r="AG657" s="4"/>
      <c r="AH657" s="4"/>
      <c r="AI657" s="4"/>
      <c r="AJ657" s="4"/>
      <c r="AK657" s="4"/>
      <c r="AL657" s="44"/>
      <c r="AM657" s="8"/>
      <c r="AN657" s="8"/>
      <c r="AO657" s="8"/>
      <c r="AP657" s="8"/>
      <c r="AQ657" s="8"/>
      <c r="AR657" s="8"/>
      <c r="AS657" s="8"/>
      <c r="AT657" s="46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4"/>
      <c r="BV657" s="4"/>
    </row>
    <row r="658" spans="1:74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28"/>
      <c r="AF658" s="4"/>
      <c r="AG658" s="4"/>
      <c r="AH658" s="4"/>
      <c r="AI658" s="4"/>
      <c r="AJ658" s="4"/>
      <c r="AK658" s="4"/>
      <c r="AL658" s="44"/>
      <c r="AM658" s="8"/>
      <c r="AN658" s="8"/>
      <c r="AO658" s="8"/>
      <c r="AP658" s="8"/>
      <c r="AQ658" s="8"/>
      <c r="AR658" s="8"/>
      <c r="AS658" s="8"/>
      <c r="AT658" s="46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4"/>
      <c r="BV658" s="4"/>
    </row>
    <row r="659" spans="1:74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28"/>
      <c r="AF659" s="4"/>
      <c r="AG659" s="4"/>
      <c r="AH659" s="4"/>
      <c r="AI659" s="4"/>
      <c r="AJ659" s="4"/>
      <c r="AK659" s="4"/>
      <c r="AL659" s="44"/>
      <c r="AM659" s="8"/>
      <c r="AN659" s="8"/>
      <c r="AO659" s="8"/>
      <c r="AP659" s="8"/>
      <c r="AQ659" s="8"/>
      <c r="AR659" s="8"/>
      <c r="AS659" s="8"/>
      <c r="AT659" s="46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4"/>
      <c r="BV659" s="4"/>
    </row>
    <row r="660" spans="1:74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28"/>
      <c r="AF660" s="4"/>
      <c r="AG660" s="4"/>
      <c r="AH660" s="4"/>
      <c r="AI660" s="4"/>
      <c r="AJ660" s="4"/>
      <c r="AK660" s="4"/>
      <c r="AL660" s="44"/>
      <c r="AM660" s="8"/>
      <c r="AN660" s="8"/>
      <c r="AO660" s="8"/>
      <c r="AP660" s="8"/>
      <c r="AQ660" s="8"/>
      <c r="AR660" s="8"/>
      <c r="AS660" s="8"/>
      <c r="AT660" s="46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4"/>
      <c r="BV660" s="4"/>
    </row>
    <row r="661" spans="1:74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28"/>
      <c r="AF661" s="4"/>
      <c r="AG661" s="4"/>
      <c r="AH661" s="4"/>
      <c r="AI661" s="4"/>
      <c r="AJ661" s="4"/>
      <c r="AK661" s="4"/>
      <c r="AL661" s="44"/>
      <c r="AM661" s="8"/>
      <c r="AN661" s="8"/>
      <c r="AO661" s="8"/>
      <c r="AP661" s="8"/>
      <c r="AQ661" s="8"/>
      <c r="AR661" s="8"/>
      <c r="AS661" s="8"/>
      <c r="AT661" s="46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4"/>
      <c r="BV661" s="4"/>
    </row>
    <row r="662" spans="1:74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28"/>
      <c r="AF662" s="4"/>
      <c r="AG662" s="4"/>
      <c r="AH662" s="4"/>
      <c r="AI662" s="4"/>
      <c r="AJ662" s="4"/>
      <c r="AK662" s="4"/>
      <c r="AL662" s="44"/>
      <c r="AM662" s="8"/>
      <c r="AN662" s="8"/>
      <c r="AO662" s="8"/>
      <c r="AP662" s="8"/>
      <c r="AQ662" s="8"/>
      <c r="AR662" s="8"/>
      <c r="AS662" s="8"/>
      <c r="AT662" s="46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4"/>
      <c r="BV662" s="4"/>
    </row>
    <row r="663" spans="1:74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28"/>
      <c r="AF663" s="4"/>
      <c r="AG663" s="4"/>
      <c r="AH663" s="4"/>
      <c r="AI663" s="4"/>
      <c r="AJ663" s="4"/>
      <c r="AK663" s="4"/>
      <c r="AL663" s="44"/>
      <c r="AM663" s="8"/>
      <c r="AN663" s="8"/>
      <c r="AO663" s="8"/>
      <c r="AP663" s="8"/>
      <c r="AQ663" s="8"/>
      <c r="AR663" s="8"/>
      <c r="AS663" s="8"/>
      <c r="AT663" s="46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4"/>
      <c r="BV663" s="4"/>
    </row>
    <row r="664" spans="1:74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28"/>
      <c r="AF664" s="4"/>
      <c r="AG664" s="4"/>
      <c r="AH664" s="4"/>
      <c r="AI664" s="4"/>
      <c r="AJ664" s="4"/>
      <c r="AK664" s="4"/>
      <c r="AL664" s="44"/>
      <c r="AM664" s="8"/>
      <c r="AN664" s="8"/>
      <c r="AO664" s="8"/>
      <c r="AP664" s="8"/>
      <c r="AQ664" s="8"/>
      <c r="AR664" s="8"/>
      <c r="AS664" s="8"/>
      <c r="AT664" s="46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4"/>
      <c r="BV664" s="4"/>
    </row>
    <row r="665" spans="1:74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28"/>
      <c r="AF665" s="4"/>
      <c r="AG665" s="4"/>
      <c r="AH665" s="4"/>
      <c r="AI665" s="4"/>
      <c r="AJ665" s="4"/>
      <c r="AK665" s="4"/>
      <c r="AL665" s="44"/>
      <c r="AM665" s="8"/>
      <c r="AN665" s="8"/>
      <c r="AO665" s="8"/>
      <c r="AP665" s="8"/>
      <c r="AQ665" s="8"/>
      <c r="AR665" s="8"/>
      <c r="AS665" s="8"/>
      <c r="AT665" s="46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4"/>
      <c r="BV665" s="4"/>
    </row>
    <row r="666" spans="1:74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28"/>
      <c r="AF666" s="4"/>
      <c r="AG666" s="4"/>
      <c r="AH666" s="4"/>
      <c r="AI666" s="4"/>
      <c r="AJ666" s="4"/>
      <c r="AK666" s="4"/>
      <c r="AL666" s="44"/>
      <c r="AM666" s="8"/>
      <c r="AN666" s="8"/>
      <c r="AO666" s="8"/>
      <c r="AP666" s="8"/>
      <c r="AQ666" s="8"/>
      <c r="AR666" s="8"/>
      <c r="AS666" s="8"/>
      <c r="AT666" s="46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4"/>
      <c r="BV666" s="4"/>
    </row>
    <row r="667" spans="1:74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28"/>
      <c r="AF667" s="4"/>
      <c r="AG667" s="4"/>
      <c r="AH667" s="4"/>
      <c r="AI667" s="4"/>
      <c r="AJ667" s="4"/>
      <c r="AK667" s="4"/>
      <c r="AL667" s="44"/>
      <c r="AM667" s="8"/>
      <c r="AN667" s="8"/>
      <c r="AO667" s="8"/>
      <c r="AP667" s="8"/>
      <c r="AQ667" s="8"/>
      <c r="AR667" s="8"/>
      <c r="AS667" s="8"/>
      <c r="AT667" s="46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4"/>
      <c r="BV667" s="4"/>
    </row>
    <row r="668" spans="1:74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28"/>
      <c r="AF668" s="4"/>
      <c r="AG668" s="4"/>
      <c r="AH668" s="4"/>
      <c r="AI668" s="4"/>
      <c r="AJ668" s="4"/>
      <c r="AK668" s="4"/>
      <c r="AL668" s="44"/>
      <c r="AM668" s="8"/>
      <c r="AN668" s="8"/>
      <c r="AO668" s="8"/>
      <c r="AP668" s="8"/>
      <c r="AQ668" s="8"/>
      <c r="AR668" s="8"/>
      <c r="AS668" s="8"/>
      <c r="AT668" s="46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4"/>
      <c r="BV668" s="4"/>
    </row>
    <row r="669" spans="1:74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28"/>
      <c r="AF669" s="4"/>
      <c r="AG669" s="4"/>
      <c r="AH669" s="4"/>
      <c r="AI669" s="4"/>
      <c r="AJ669" s="4"/>
      <c r="AK669" s="4"/>
      <c r="AL669" s="44"/>
      <c r="AM669" s="8"/>
      <c r="AN669" s="8"/>
      <c r="AO669" s="8"/>
      <c r="AP669" s="8"/>
      <c r="AQ669" s="8"/>
      <c r="AR669" s="8"/>
      <c r="AS669" s="8"/>
      <c r="AT669" s="46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4"/>
      <c r="BV669" s="4"/>
    </row>
    <row r="670" spans="1:74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28"/>
      <c r="AF670" s="4"/>
      <c r="AG670" s="4"/>
      <c r="AH670" s="4"/>
      <c r="AI670" s="4"/>
      <c r="AJ670" s="4"/>
      <c r="AK670" s="4"/>
      <c r="AL670" s="44"/>
      <c r="AM670" s="8"/>
      <c r="AN670" s="8"/>
      <c r="AO670" s="8"/>
      <c r="AP670" s="8"/>
      <c r="AQ670" s="8"/>
      <c r="AR670" s="8"/>
      <c r="AS670" s="8"/>
      <c r="AT670" s="46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4"/>
      <c r="BV670" s="4"/>
    </row>
    <row r="671" spans="1:74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28"/>
      <c r="AF671" s="4"/>
      <c r="AG671" s="4"/>
      <c r="AH671" s="4"/>
      <c r="AI671" s="4"/>
      <c r="AJ671" s="4"/>
      <c r="AK671" s="4"/>
      <c r="AL671" s="44"/>
      <c r="AM671" s="8"/>
      <c r="AN671" s="8"/>
      <c r="AO671" s="8"/>
      <c r="AP671" s="8"/>
      <c r="AQ671" s="8"/>
      <c r="AR671" s="8"/>
      <c r="AS671" s="8"/>
      <c r="AT671" s="46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4"/>
      <c r="BV671" s="4"/>
    </row>
    <row r="672" spans="1:74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28"/>
      <c r="AF672" s="4"/>
      <c r="AG672" s="4"/>
      <c r="AH672" s="4"/>
      <c r="AI672" s="4"/>
      <c r="AJ672" s="4"/>
      <c r="AK672" s="4"/>
      <c r="AL672" s="44"/>
      <c r="AM672" s="8"/>
      <c r="AN672" s="8"/>
      <c r="AO672" s="8"/>
      <c r="AP672" s="8"/>
      <c r="AQ672" s="8"/>
      <c r="AR672" s="8"/>
      <c r="AS672" s="8"/>
      <c r="AT672" s="46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4"/>
      <c r="BV672" s="4"/>
    </row>
    <row r="673" spans="1:74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28"/>
      <c r="AF673" s="4"/>
      <c r="AG673" s="4"/>
      <c r="AH673" s="4"/>
      <c r="AI673" s="4"/>
      <c r="AJ673" s="4"/>
      <c r="AK673" s="4"/>
      <c r="AL673" s="44"/>
      <c r="AM673" s="8"/>
      <c r="AN673" s="8"/>
      <c r="AO673" s="8"/>
      <c r="AP673" s="8"/>
      <c r="AQ673" s="8"/>
      <c r="AR673" s="8"/>
      <c r="AS673" s="8"/>
      <c r="AT673" s="46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4"/>
      <c r="BV673" s="4"/>
    </row>
    <row r="674" spans="1:74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28"/>
      <c r="AF674" s="4"/>
      <c r="AG674" s="4"/>
      <c r="AH674" s="4"/>
      <c r="AI674" s="4"/>
      <c r="AJ674" s="4"/>
      <c r="AK674" s="4"/>
      <c r="AL674" s="44"/>
      <c r="AM674" s="8"/>
      <c r="AN674" s="8"/>
      <c r="AO674" s="8"/>
      <c r="AP674" s="8"/>
      <c r="AQ674" s="8"/>
      <c r="AR674" s="8"/>
      <c r="AS674" s="8"/>
      <c r="AT674" s="46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4"/>
      <c r="BV674" s="4"/>
    </row>
    <row r="675" spans="1:74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28"/>
      <c r="AF675" s="4"/>
      <c r="AG675" s="4"/>
      <c r="AH675" s="4"/>
      <c r="AI675" s="4"/>
      <c r="AJ675" s="4"/>
      <c r="AK675" s="4"/>
      <c r="AL675" s="44"/>
      <c r="AM675" s="8"/>
      <c r="AN675" s="8"/>
      <c r="AO675" s="8"/>
      <c r="AP675" s="8"/>
      <c r="AQ675" s="8"/>
      <c r="AR675" s="8"/>
      <c r="AS675" s="8"/>
      <c r="AT675" s="46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4"/>
      <c r="BV675" s="4"/>
    </row>
    <row r="676" spans="1:74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28"/>
      <c r="AF676" s="4"/>
      <c r="AG676" s="4"/>
      <c r="AH676" s="4"/>
      <c r="AI676" s="4"/>
      <c r="AJ676" s="4"/>
      <c r="AK676" s="4"/>
      <c r="AL676" s="44"/>
      <c r="AM676" s="8"/>
      <c r="AN676" s="8"/>
      <c r="AO676" s="8"/>
      <c r="AP676" s="8"/>
      <c r="AQ676" s="8"/>
      <c r="AR676" s="8"/>
      <c r="AS676" s="8"/>
      <c r="AT676" s="46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4"/>
      <c r="BV676" s="4"/>
    </row>
    <row r="677" spans="1:74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28"/>
      <c r="AF677" s="4"/>
      <c r="AG677" s="4"/>
      <c r="AH677" s="4"/>
      <c r="AI677" s="4"/>
      <c r="AJ677" s="4"/>
      <c r="AK677" s="4"/>
      <c r="AL677" s="44"/>
      <c r="AM677" s="8"/>
      <c r="AN677" s="8"/>
      <c r="AO677" s="8"/>
      <c r="AP677" s="8"/>
      <c r="AQ677" s="8"/>
      <c r="AR677" s="8"/>
      <c r="AS677" s="8"/>
      <c r="AT677" s="46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4"/>
      <c r="BV677" s="4"/>
    </row>
    <row r="678" spans="1:74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28"/>
      <c r="AF678" s="4"/>
      <c r="AG678" s="4"/>
      <c r="AH678" s="4"/>
      <c r="AI678" s="4"/>
      <c r="AJ678" s="4"/>
      <c r="AK678" s="4"/>
      <c r="AL678" s="44"/>
      <c r="AM678" s="8"/>
      <c r="AN678" s="8"/>
      <c r="AO678" s="8"/>
      <c r="AP678" s="8"/>
      <c r="AQ678" s="8"/>
      <c r="AR678" s="8"/>
      <c r="AS678" s="8"/>
      <c r="AT678" s="46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4"/>
      <c r="BV678" s="4"/>
    </row>
    <row r="679" spans="1:74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28"/>
      <c r="AF679" s="4"/>
      <c r="AG679" s="4"/>
      <c r="AH679" s="4"/>
      <c r="AI679" s="4"/>
      <c r="AJ679" s="4"/>
      <c r="AK679" s="4"/>
      <c r="AL679" s="44"/>
      <c r="AM679" s="8"/>
      <c r="AN679" s="8"/>
      <c r="AO679" s="8"/>
      <c r="AP679" s="8"/>
      <c r="AQ679" s="8"/>
      <c r="AR679" s="8"/>
      <c r="AS679" s="8"/>
      <c r="AT679" s="46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4"/>
      <c r="BV679" s="4"/>
    </row>
    <row r="680" spans="1:74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28"/>
      <c r="AF680" s="4"/>
      <c r="AG680" s="4"/>
      <c r="AH680" s="4"/>
      <c r="AI680" s="4"/>
      <c r="AJ680" s="4"/>
      <c r="AK680" s="4"/>
      <c r="AL680" s="44"/>
      <c r="AM680" s="8"/>
      <c r="AN680" s="8"/>
      <c r="AO680" s="8"/>
      <c r="AP680" s="8"/>
      <c r="AQ680" s="8"/>
      <c r="AR680" s="8"/>
      <c r="AS680" s="8"/>
      <c r="AT680" s="46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4"/>
      <c r="BV680" s="4"/>
    </row>
    <row r="681" spans="1:74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28"/>
      <c r="AF681" s="4"/>
      <c r="AG681" s="4"/>
      <c r="AH681" s="4"/>
      <c r="AI681" s="4"/>
      <c r="AJ681" s="4"/>
      <c r="AK681" s="4"/>
      <c r="AL681" s="44"/>
      <c r="AM681" s="8"/>
      <c r="AN681" s="8"/>
      <c r="AO681" s="8"/>
      <c r="AP681" s="8"/>
      <c r="AQ681" s="8"/>
      <c r="AR681" s="8"/>
      <c r="AS681" s="8"/>
      <c r="AT681" s="46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4"/>
      <c r="BV681" s="4"/>
    </row>
    <row r="682" spans="1:74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28"/>
      <c r="AF682" s="4"/>
      <c r="AG682" s="4"/>
      <c r="AH682" s="4"/>
      <c r="AI682" s="4"/>
      <c r="AJ682" s="4"/>
      <c r="AK682" s="4"/>
      <c r="AL682" s="44"/>
      <c r="AM682" s="8"/>
      <c r="AN682" s="8"/>
      <c r="AO682" s="8"/>
      <c r="AP682" s="8"/>
      <c r="AQ682" s="8"/>
      <c r="AR682" s="8"/>
      <c r="AS682" s="8"/>
      <c r="AT682" s="46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4"/>
      <c r="BV682" s="4"/>
    </row>
    <row r="683" spans="1:74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28"/>
      <c r="AF683" s="4"/>
      <c r="AG683" s="4"/>
      <c r="AH683" s="4"/>
      <c r="AI683" s="4"/>
      <c r="AJ683" s="4"/>
      <c r="AK683" s="4"/>
      <c r="AL683" s="44"/>
      <c r="AM683" s="8"/>
      <c r="AN683" s="8"/>
      <c r="AO683" s="8"/>
      <c r="AP683" s="8"/>
      <c r="AQ683" s="8"/>
      <c r="AR683" s="8"/>
      <c r="AS683" s="8"/>
      <c r="AT683" s="46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4"/>
      <c r="BV683" s="4"/>
    </row>
    <row r="684" spans="1:74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28"/>
      <c r="AF684" s="4"/>
      <c r="AG684" s="4"/>
      <c r="AH684" s="4"/>
      <c r="AI684" s="4"/>
      <c r="AJ684" s="4"/>
      <c r="AK684" s="4"/>
      <c r="AL684" s="44"/>
      <c r="AM684" s="8"/>
      <c r="AN684" s="8"/>
      <c r="AO684" s="8"/>
      <c r="AP684" s="8"/>
      <c r="AQ684" s="8"/>
      <c r="AR684" s="8"/>
      <c r="AS684" s="8"/>
      <c r="AT684" s="46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4"/>
      <c r="BV684" s="4"/>
    </row>
    <row r="685" spans="1:74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28"/>
      <c r="AF685" s="4"/>
      <c r="AG685" s="4"/>
      <c r="AH685" s="4"/>
      <c r="AI685" s="4"/>
      <c r="AJ685" s="4"/>
      <c r="AK685" s="4"/>
      <c r="AL685" s="44"/>
      <c r="AM685" s="8"/>
      <c r="AN685" s="8"/>
      <c r="AO685" s="8"/>
      <c r="AP685" s="8"/>
      <c r="AQ685" s="8"/>
      <c r="AR685" s="8"/>
      <c r="AS685" s="8"/>
      <c r="AT685" s="46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4"/>
      <c r="BV685" s="4"/>
    </row>
    <row r="686" spans="1:74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28"/>
      <c r="AF686" s="4"/>
      <c r="AG686" s="4"/>
      <c r="AH686" s="4"/>
      <c r="AI686" s="4"/>
      <c r="AJ686" s="4"/>
      <c r="AK686" s="4"/>
      <c r="AL686" s="44"/>
      <c r="AM686" s="8"/>
      <c r="AN686" s="8"/>
      <c r="AO686" s="8"/>
      <c r="AP686" s="8"/>
      <c r="AQ686" s="8"/>
      <c r="AR686" s="8"/>
      <c r="AS686" s="8"/>
      <c r="AT686" s="46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4"/>
      <c r="BV686" s="4"/>
    </row>
    <row r="687" spans="1:74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28"/>
      <c r="AF687" s="4"/>
      <c r="AG687" s="4"/>
      <c r="AH687" s="4"/>
      <c r="AI687" s="4"/>
      <c r="AJ687" s="4"/>
      <c r="AK687" s="4"/>
      <c r="AL687" s="44"/>
      <c r="AM687" s="8"/>
      <c r="AN687" s="8"/>
      <c r="AO687" s="8"/>
      <c r="AP687" s="8"/>
      <c r="AQ687" s="8"/>
      <c r="AR687" s="8"/>
      <c r="AS687" s="8"/>
      <c r="AT687" s="46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4"/>
      <c r="BV687" s="4"/>
    </row>
    <row r="688" spans="1:74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28"/>
      <c r="AF688" s="4"/>
      <c r="AG688" s="4"/>
      <c r="AH688" s="4"/>
      <c r="AI688" s="4"/>
      <c r="AJ688" s="4"/>
      <c r="AK688" s="4"/>
      <c r="AL688" s="44"/>
      <c r="AM688" s="8"/>
      <c r="AN688" s="8"/>
      <c r="AO688" s="8"/>
      <c r="AP688" s="8"/>
      <c r="AQ688" s="8"/>
      <c r="AR688" s="8"/>
      <c r="AS688" s="8"/>
      <c r="AT688" s="46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4"/>
      <c r="BV688" s="4"/>
    </row>
    <row r="689" spans="1:74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28"/>
      <c r="AF689" s="4"/>
      <c r="AG689" s="4"/>
      <c r="AH689" s="4"/>
      <c r="AI689" s="4"/>
      <c r="AJ689" s="4"/>
      <c r="AK689" s="4"/>
      <c r="AL689" s="44"/>
      <c r="AM689" s="8"/>
      <c r="AN689" s="8"/>
      <c r="AO689" s="8"/>
      <c r="AP689" s="8"/>
      <c r="AQ689" s="8"/>
      <c r="AR689" s="8"/>
      <c r="AS689" s="8"/>
      <c r="AT689" s="46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4"/>
      <c r="BV689" s="4"/>
    </row>
    <row r="690" spans="1:74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28"/>
      <c r="AF690" s="4"/>
      <c r="AG690" s="4"/>
      <c r="AH690" s="4"/>
      <c r="AI690" s="4"/>
      <c r="AJ690" s="4"/>
      <c r="AK690" s="4"/>
      <c r="AL690" s="44"/>
      <c r="AM690" s="8"/>
      <c r="AN690" s="8"/>
      <c r="AO690" s="8"/>
      <c r="AP690" s="8"/>
      <c r="AQ690" s="8"/>
      <c r="AR690" s="8"/>
      <c r="AS690" s="8"/>
      <c r="AT690" s="46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4"/>
      <c r="BV690" s="4"/>
    </row>
    <row r="691" spans="1:74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28"/>
      <c r="AF691" s="4"/>
      <c r="AG691" s="4"/>
      <c r="AH691" s="4"/>
      <c r="AI691" s="4"/>
      <c r="AJ691" s="4"/>
      <c r="AK691" s="4"/>
      <c r="AL691" s="44"/>
      <c r="AM691" s="8"/>
      <c r="AN691" s="8"/>
      <c r="AO691" s="8"/>
      <c r="AP691" s="8"/>
      <c r="AQ691" s="8"/>
      <c r="AR691" s="8"/>
      <c r="AS691" s="8"/>
      <c r="AT691" s="46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4"/>
      <c r="BV691" s="4"/>
    </row>
    <row r="692" spans="1:74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28"/>
      <c r="AF692" s="4"/>
      <c r="AG692" s="4"/>
      <c r="AH692" s="4"/>
      <c r="AI692" s="4"/>
      <c r="AJ692" s="4"/>
      <c r="AK692" s="4"/>
      <c r="AL692" s="44"/>
      <c r="AM692" s="8"/>
      <c r="AN692" s="8"/>
      <c r="AO692" s="8"/>
      <c r="AP692" s="8"/>
      <c r="AQ692" s="8"/>
      <c r="AR692" s="8"/>
      <c r="AS692" s="8"/>
      <c r="AT692" s="46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4"/>
      <c r="BV692" s="4"/>
    </row>
    <row r="693" spans="1:74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28"/>
      <c r="AF693" s="4"/>
      <c r="AG693" s="4"/>
      <c r="AH693" s="4"/>
      <c r="AI693" s="4"/>
      <c r="AJ693" s="4"/>
      <c r="AK693" s="4"/>
      <c r="AL693" s="44"/>
      <c r="AM693" s="8"/>
      <c r="AN693" s="8"/>
      <c r="AO693" s="8"/>
      <c r="AP693" s="8"/>
      <c r="AQ693" s="8"/>
      <c r="AR693" s="8"/>
      <c r="AS693" s="8"/>
      <c r="AT693" s="46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4"/>
      <c r="BV693" s="4"/>
    </row>
    <row r="694" spans="1:74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28"/>
      <c r="AF694" s="4"/>
      <c r="AG694" s="4"/>
      <c r="AH694" s="4"/>
      <c r="AI694" s="4"/>
      <c r="AJ694" s="4"/>
      <c r="AK694" s="4"/>
      <c r="AL694" s="44"/>
      <c r="AM694" s="8"/>
      <c r="AN694" s="8"/>
      <c r="AO694" s="8"/>
      <c r="AP694" s="8"/>
      <c r="AQ694" s="8"/>
      <c r="AR694" s="8"/>
      <c r="AS694" s="8"/>
      <c r="AT694" s="46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4"/>
      <c r="BV694" s="4"/>
    </row>
    <row r="695" spans="1:74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28"/>
      <c r="AF695" s="4"/>
      <c r="AG695" s="4"/>
      <c r="AH695" s="4"/>
      <c r="AI695" s="4"/>
      <c r="AJ695" s="4"/>
      <c r="AK695" s="4"/>
      <c r="AL695" s="44"/>
      <c r="AM695" s="8"/>
      <c r="AN695" s="8"/>
      <c r="AO695" s="8"/>
      <c r="AP695" s="8"/>
      <c r="AQ695" s="8"/>
      <c r="AR695" s="8"/>
      <c r="AS695" s="8"/>
      <c r="AT695" s="46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4"/>
      <c r="BV695" s="4"/>
    </row>
    <row r="696" spans="1:74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28"/>
      <c r="AF696" s="4"/>
      <c r="AG696" s="4"/>
      <c r="AH696" s="4"/>
      <c r="AI696" s="4"/>
      <c r="AJ696" s="4"/>
      <c r="AK696" s="4"/>
      <c r="AL696" s="44"/>
      <c r="AM696" s="8"/>
      <c r="AN696" s="8"/>
      <c r="AO696" s="8"/>
      <c r="AP696" s="8"/>
      <c r="AQ696" s="8"/>
      <c r="AR696" s="8"/>
      <c r="AS696" s="8"/>
      <c r="AT696" s="46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4"/>
      <c r="BV696" s="4"/>
    </row>
    <row r="697" spans="1:74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28"/>
      <c r="AF697" s="4"/>
      <c r="AG697" s="4"/>
      <c r="AH697" s="4"/>
      <c r="AI697" s="4"/>
      <c r="AJ697" s="4"/>
      <c r="AK697" s="4"/>
      <c r="AL697" s="44"/>
      <c r="AM697" s="8"/>
      <c r="AN697" s="8"/>
      <c r="AO697" s="8"/>
      <c r="AP697" s="8"/>
      <c r="AQ697" s="8"/>
      <c r="AR697" s="8"/>
      <c r="AS697" s="8"/>
      <c r="AT697" s="46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4"/>
      <c r="BV697" s="4"/>
    </row>
    <row r="698" spans="1:74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28"/>
      <c r="AF698" s="4"/>
      <c r="AG698" s="4"/>
      <c r="AH698" s="4"/>
      <c r="AI698" s="4"/>
      <c r="AJ698" s="4"/>
      <c r="AK698" s="4"/>
      <c r="AL698" s="44"/>
      <c r="AM698" s="8"/>
      <c r="AN698" s="8"/>
      <c r="AO698" s="8"/>
      <c r="AP698" s="8"/>
      <c r="AQ698" s="8"/>
      <c r="AR698" s="8"/>
      <c r="AS698" s="8"/>
      <c r="AT698" s="46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4"/>
      <c r="BV698" s="4"/>
    </row>
    <row r="699" spans="1:74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28"/>
      <c r="AF699" s="4"/>
      <c r="AG699" s="4"/>
      <c r="AH699" s="4"/>
      <c r="AI699" s="4"/>
      <c r="AJ699" s="4"/>
      <c r="AK699" s="4"/>
      <c r="AL699" s="44"/>
      <c r="AM699" s="8"/>
      <c r="AN699" s="8"/>
      <c r="AO699" s="8"/>
      <c r="AP699" s="8"/>
      <c r="AQ699" s="8"/>
      <c r="AR699" s="8"/>
      <c r="AS699" s="8"/>
      <c r="AT699" s="46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4"/>
      <c r="BV699" s="4"/>
    </row>
    <row r="700" spans="1:74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28"/>
      <c r="AF700" s="4"/>
      <c r="AG700" s="4"/>
      <c r="AH700" s="4"/>
      <c r="AI700" s="4"/>
      <c r="AJ700" s="4"/>
      <c r="AK700" s="4"/>
      <c r="AL700" s="44"/>
      <c r="AM700" s="8"/>
      <c r="AN700" s="8"/>
      <c r="AO700" s="8"/>
      <c r="AP700" s="8"/>
      <c r="AQ700" s="8"/>
      <c r="AR700" s="8"/>
      <c r="AS700" s="8"/>
      <c r="AT700" s="46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4"/>
      <c r="BV700" s="4"/>
    </row>
    <row r="701" spans="1:74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28"/>
      <c r="AF701" s="4"/>
      <c r="AG701" s="4"/>
      <c r="AH701" s="4"/>
      <c r="AI701" s="4"/>
      <c r="AJ701" s="4"/>
      <c r="AK701" s="4"/>
      <c r="AL701" s="44"/>
      <c r="AM701" s="8"/>
      <c r="AN701" s="8"/>
      <c r="AO701" s="8"/>
      <c r="AP701" s="8"/>
      <c r="AQ701" s="8"/>
      <c r="AR701" s="8"/>
      <c r="AS701" s="8"/>
      <c r="AT701" s="46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4"/>
      <c r="BV701" s="4"/>
    </row>
    <row r="702" spans="1:74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28"/>
      <c r="AF702" s="4"/>
      <c r="AG702" s="4"/>
      <c r="AH702" s="4"/>
      <c r="AI702" s="4"/>
      <c r="AJ702" s="4"/>
      <c r="AK702" s="4"/>
      <c r="AL702" s="44"/>
      <c r="AM702" s="8"/>
      <c r="AN702" s="8"/>
      <c r="AO702" s="8"/>
      <c r="AP702" s="8"/>
      <c r="AQ702" s="8"/>
      <c r="AR702" s="8"/>
      <c r="AS702" s="8"/>
      <c r="AT702" s="46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4"/>
      <c r="BV702" s="4"/>
    </row>
    <row r="703" spans="1:74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28"/>
      <c r="AF703" s="4"/>
      <c r="AG703" s="4"/>
      <c r="AH703" s="4"/>
      <c r="AI703" s="4"/>
      <c r="AJ703" s="4"/>
      <c r="AK703" s="4"/>
      <c r="AL703" s="44"/>
      <c r="AM703" s="8"/>
      <c r="AN703" s="8"/>
      <c r="AO703" s="8"/>
      <c r="AP703" s="8"/>
      <c r="AQ703" s="8"/>
      <c r="AR703" s="8"/>
      <c r="AS703" s="8"/>
      <c r="AT703" s="46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4"/>
      <c r="BV703" s="4"/>
    </row>
    <row r="704" spans="1:74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28"/>
      <c r="AF704" s="4"/>
      <c r="AG704" s="4"/>
      <c r="AH704" s="4"/>
      <c r="AI704" s="4"/>
      <c r="AJ704" s="4"/>
      <c r="AK704" s="4"/>
      <c r="AL704" s="44"/>
      <c r="AM704" s="8"/>
      <c r="AN704" s="8"/>
      <c r="AO704" s="8"/>
      <c r="AP704" s="8"/>
      <c r="AQ704" s="8"/>
      <c r="AR704" s="8"/>
      <c r="AS704" s="8"/>
      <c r="AT704" s="46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4"/>
      <c r="BV704" s="4"/>
    </row>
    <row r="705" spans="1:74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28"/>
      <c r="AF705" s="4"/>
      <c r="AG705" s="4"/>
      <c r="AH705" s="4"/>
      <c r="AI705" s="4"/>
      <c r="AJ705" s="4"/>
      <c r="AK705" s="4"/>
      <c r="AL705" s="44"/>
      <c r="AM705" s="8"/>
      <c r="AN705" s="8"/>
      <c r="AO705" s="8"/>
      <c r="AP705" s="8"/>
      <c r="AQ705" s="8"/>
      <c r="AR705" s="8"/>
      <c r="AS705" s="8"/>
      <c r="AT705" s="46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4"/>
      <c r="BV705" s="4"/>
    </row>
    <row r="706" spans="1:74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28"/>
      <c r="AF706" s="4"/>
      <c r="AG706" s="4"/>
      <c r="AH706" s="4"/>
      <c r="AI706" s="4"/>
      <c r="AJ706" s="4"/>
      <c r="AK706" s="4"/>
      <c r="AL706" s="44"/>
      <c r="AM706" s="8"/>
      <c r="AN706" s="8"/>
      <c r="AO706" s="8"/>
      <c r="AP706" s="8"/>
      <c r="AQ706" s="8"/>
      <c r="AR706" s="8"/>
      <c r="AS706" s="8"/>
      <c r="AT706" s="46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4"/>
      <c r="BV706" s="4"/>
    </row>
    <row r="707" spans="1:74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28"/>
      <c r="AF707" s="4"/>
      <c r="AG707" s="4"/>
      <c r="AH707" s="4"/>
      <c r="AI707" s="4"/>
      <c r="AJ707" s="4"/>
      <c r="AK707" s="4"/>
      <c r="AL707" s="44"/>
      <c r="AM707" s="8"/>
      <c r="AN707" s="8"/>
      <c r="AO707" s="8"/>
      <c r="AP707" s="8"/>
      <c r="AQ707" s="8"/>
      <c r="AR707" s="8"/>
      <c r="AS707" s="8"/>
      <c r="AT707" s="46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4"/>
      <c r="BV707" s="4"/>
    </row>
    <row r="708" spans="1:74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28"/>
      <c r="AF708" s="4"/>
      <c r="AG708" s="4"/>
      <c r="AH708" s="4"/>
      <c r="AI708" s="4"/>
      <c r="AJ708" s="4"/>
      <c r="AK708" s="4"/>
      <c r="AL708" s="44"/>
      <c r="AM708" s="8"/>
      <c r="AN708" s="8"/>
      <c r="AO708" s="8"/>
      <c r="AP708" s="8"/>
      <c r="AQ708" s="8"/>
      <c r="AR708" s="8"/>
      <c r="AS708" s="8"/>
      <c r="AT708" s="46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4"/>
      <c r="BV708" s="4"/>
    </row>
    <row r="709" spans="1:74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28"/>
      <c r="AF709" s="4"/>
      <c r="AG709" s="4"/>
      <c r="AH709" s="4"/>
      <c r="AI709" s="4"/>
      <c r="AJ709" s="4"/>
      <c r="AK709" s="4"/>
      <c r="AL709" s="44"/>
      <c r="AM709" s="8"/>
      <c r="AN709" s="8"/>
      <c r="AO709" s="8"/>
      <c r="AP709" s="8"/>
      <c r="AQ709" s="8"/>
      <c r="AR709" s="8"/>
      <c r="AS709" s="8"/>
      <c r="AT709" s="46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4"/>
      <c r="BV709" s="4"/>
    </row>
    <row r="710" spans="1:74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28"/>
      <c r="AF710" s="4"/>
      <c r="AG710" s="4"/>
      <c r="AH710" s="4"/>
      <c r="AI710" s="4"/>
      <c r="AJ710" s="4"/>
      <c r="AK710" s="4"/>
      <c r="AL710" s="44"/>
      <c r="AM710" s="8"/>
      <c r="AN710" s="8"/>
      <c r="AO710" s="8"/>
      <c r="AP710" s="8"/>
      <c r="AQ710" s="8"/>
      <c r="AR710" s="8"/>
      <c r="AS710" s="8"/>
      <c r="AT710" s="46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4"/>
      <c r="BV710" s="4"/>
    </row>
    <row r="711" spans="1:74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28"/>
      <c r="AF711" s="4"/>
      <c r="AG711" s="4"/>
      <c r="AH711" s="4"/>
      <c r="AI711" s="4"/>
      <c r="AJ711" s="4"/>
      <c r="AK711" s="4"/>
      <c r="AL711" s="44"/>
      <c r="AM711" s="8"/>
      <c r="AN711" s="8"/>
      <c r="AO711" s="8"/>
      <c r="AP711" s="8"/>
      <c r="AQ711" s="8"/>
      <c r="AR711" s="8"/>
      <c r="AS711" s="8"/>
      <c r="AT711" s="46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4"/>
      <c r="BV711" s="4"/>
    </row>
    <row r="712" spans="1:74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28"/>
      <c r="AF712" s="4"/>
      <c r="AG712" s="4"/>
      <c r="AH712" s="4"/>
      <c r="AI712" s="4"/>
      <c r="AJ712" s="4"/>
      <c r="AK712" s="4"/>
      <c r="AL712" s="44"/>
      <c r="AM712" s="8"/>
      <c r="AN712" s="8"/>
      <c r="AO712" s="8"/>
      <c r="AP712" s="8"/>
      <c r="AQ712" s="8"/>
      <c r="AR712" s="8"/>
      <c r="AS712" s="8"/>
      <c r="AT712" s="46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4"/>
      <c r="BV712" s="4"/>
    </row>
    <row r="713" spans="1:74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28"/>
      <c r="AF713" s="4"/>
      <c r="AG713" s="4"/>
      <c r="AH713" s="4"/>
      <c r="AI713" s="4"/>
      <c r="AJ713" s="4"/>
      <c r="AK713" s="4"/>
      <c r="AL713" s="44"/>
      <c r="AM713" s="8"/>
      <c r="AN713" s="8"/>
      <c r="AO713" s="8"/>
      <c r="AP713" s="8"/>
      <c r="AQ713" s="8"/>
      <c r="AR713" s="8"/>
      <c r="AS713" s="8"/>
      <c r="AT713" s="46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4"/>
      <c r="BV713" s="4"/>
    </row>
    <row r="714" spans="1:74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28"/>
      <c r="AF714" s="4"/>
      <c r="AG714" s="4"/>
      <c r="AH714" s="4"/>
      <c r="AI714" s="4"/>
      <c r="AJ714" s="4"/>
      <c r="AK714" s="4"/>
      <c r="AL714" s="44"/>
      <c r="AM714" s="8"/>
      <c r="AN714" s="8"/>
      <c r="AO714" s="8"/>
      <c r="AP714" s="8"/>
      <c r="AQ714" s="8"/>
      <c r="AR714" s="8"/>
      <c r="AS714" s="8"/>
      <c r="AT714" s="46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4"/>
      <c r="BV714" s="4"/>
    </row>
    <row r="715" spans="1:74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28"/>
      <c r="AF715" s="4"/>
      <c r="AG715" s="4"/>
      <c r="AH715" s="4"/>
      <c r="AI715" s="4"/>
      <c r="AJ715" s="4"/>
      <c r="AK715" s="4"/>
      <c r="AL715" s="44"/>
      <c r="AM715" s="8"/>
      <c r="AN715" s="8"/>
      <c r="AO715" s="8"/>
      <c r="AP715" s="8"/>
      <c r="AQ715" s="8"/>
      <c r="AR715" s="8"/>
      <c r="AS715" s="8"/>
      <c r="AT715" s="46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4"/>
      <c r="BV715" s="4"/>
    </row>
    <row r="716" spans="1:74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28"/>
      <c r="AF716" s="4"/>
      <c r="AG716" s="4"/>
      <c r="AH716" s="4"/>
      <c r="AI716" s="4"/>
      <c r="AJ716" s="4"/>
      <c r="AK716" s="4"/>
      <c r="AL716" s="44"/>
      <c r="AM716" s="8"/>
      <c r="AN716" s="8"/>
      <c r="AO716" s="8"/>
      <c r="AP716" s="8"/>
      <c r="AQ716" s="8"/>
      <c r="AR716" s="8"/>
      <c r="AS716" s="8"/>
      <c r="AT716" s="46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4"/>
      <c r="BV716" s="4"/>
    </row>
    <row r="717" spans="1:74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28"/>
      <c r="AF717" s="4"/>
      <c r="AG717" s="4"/>
      <c r="AH717" s="4"/>
      <c r="AI717" s="4"/>
      <c r="AJ717" s="4"/>
      <c r="AK717" s="4"/>
      <c r="AL717" s="44"/>
      <c r="AM717" s="8"/>
      <c r="AN717" s="8"/>
      <c r="AO717" s="8"/>
      <c r="AP717" s="8"/>
      <c r="AQ717" s="8"/>
      <c r="AR717" s="8"/>
      <c r="AS717" s="8"/>
      <c r="AT717" s="46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4"/>
      <c r="BV717" s="4"/>
    </row>
    <row r="718" spans="1:74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28"/>
      <c r="AF718" s="4"/>
      <c r="AG718" s="4"/>
      <c r="AH718" s="4"/>
      <c r="AI718" s="4"/>
      <c r="AJ718" s="4"/>
      <c r="AK718" s="4"/>
      <c r="AL718" s="44"/>
      <c r="AM718" s="8"/>
      <c r="AN718" s="8"/>
      <c r="AO718" s="8"/>
      <c r="AP718" s="8"/>
      <c r="AQ718" s="8"/>
      <c r="AR718" s="8"/>
      <c r="AS718" s="8"/>
      <c r="AT718" s="46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4"/>
      <c r="BV718" s="4"/>
    </row>
    <row r="719" spans="1:74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28"/>
      <c r="AF719" s="4"/>
      <c r="AG719" s="4"/>
      <c r="AH719" s="4"/>
      <c r="AI719" s="4"/>
      <c r="AJ719" s="4"/>
      <c r="AK719" s="4"/>
      <c r="AL719" s="44"/>
      <c r="AM719" s="8"/>
      <c r="AN719" s="8"/>
      <c r="AO719" s="8"/>
      <c r="AP719" s="8"/>
      <c r="AQ719" s="8"/>
      <c r="AR719" s="8"/>
      <c r="AS719" s="8"/>
      <c r="AT719" s="46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4"/>
      <c r="BV719" s="4"/>
    </row>
    <row r="720" spans="1:74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28"/>
      <c r="AF720" s="4"/>
      <c r="AG720" s="4"/>
      <c r="AH720" s="4"/>
      <c r="AI720" s="4"/>
      <c r="AJ720" s="4"/>
      <c r="AK720" s="4"/>
      <c r="AL720" s="44"/>
      <c r="AM720" s="8"/>
      <c r="AN720" s="8"/>
      <c r="AO720" s="8"/>
      <c r="AP720" s="8"/>
      <c r="AQ720" s="8"/>
      <c r="AR720" s="8"/>
      <c r="AS720" s="8"/>
      <c r="AT720" s="46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4"/>
      <c r="BV720" s="4"/>
    </row>
    <row r="721" spans="1:74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28"/>
      <c r="AF721" s="4"/>
      <c r="AG721" s="4"/>
      <c r="AH721" s="4"/>
      <c r="AI721" s="4"/>
      <c r="AJ721" s="4"/>
      <c r="AK721" s="4"/>
      <c r="AL721" s="44"/>
      <c r="AM721" s="8"/>
      <c r="AN721" s="8"/>
      <c r="AO721" s="8"/>
      <c r="AP721" s="8"/>
      <c r="AQ721" s="8"/>
      <c r="AR721" s="8"/>
      <c r="AS721" s="8"/>
      <c r="AT721" s="46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4"/>
      <c r="BV721" s="4"/>
    </row>
    <row r="722" spans="1:74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28"/>
      <c r="AF722" s="4"/>
      <c r="AG722" s="4"/>
      <c r="AH722" s="4"/>
      <c r="AI722" s="4"/>
      <c r="AJ722" s="4"/>
      <c r="AK722" s="4"/>
      <c r="AL722" s="44"/>
      <c r="AM722" s="8"/>
      <c r="AN722" s="8"/>
      <c r="AO722" s="8"/>
      <c r="AP722" s="8"/>
      <c r="AQ722" s="8"/>
      <c r="AR722" s="8"/>
      <c r="AS722" s="8"/>
      <c r="AT722" s="46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4"/>
      <c r="BV722" s="4"/>
    </row>
    <row r="723" spans="1:74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28"/>
      <c r="AF723" s="4"/>
      <c r="AG723" s="4"/>
      <c r="AH723" s="4"/>
      <c r="AI723" s="4"/>
      <c r="AJ723" s="4"/>
      <c r="AK723" s="4"/>
      <c r="AL723" s="44"/>
      <c r="AM723" s="8"/>
      <c r="AN723" s="8"/>
      <c r="AO723" s="8"/>
      <c r="AP723" s="8"/>
      <c r="AQ723" s="8"/>
      <c r="AR723" s="8"/>
      <c r="AS723" s="8"/>
      <c r="AT723" s="46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4"/>
      <c r="BV723" s="4"/>
    </row>
    <row r="724" spans="1:74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28"/>
      <c r="AF724" s="4"/>
      <c r="AG724" s="4"/>
      <c r="AH724" s="4"/>
      <c r="AI724" s="4"/>
      <c r="AJ724" s="4"/>
      <c r="AK724" s="4"/>
      <c r="AL724" s="44"/>
      <c r="AM724" s="8"/>
      <c r="AN724" s="8"/>
      <c r="AO724" s="8"/>
      <c r="AP724" s="8"/>
      <c r="AQ724" s="8"/>
      <c r="AR724" s="8"/>
      <c r="AS724" s="8"/>
      <c r="AT724" s="46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4"/>
      <c r="BV724" s="4"/>
    </row>
    <row r="725" spans="1:74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28"/>
      <c r="AF725" s="4"/>
      <c r="AG725" s="4"/>
      <c r="AH725" s="4"/>
      <c r="AI725" s="4"/>
      <c r="AJ725" s="4"/>
      <c r="AK725" s="4"/>
      <c r="AL725" s="44"/>
      <c r="AM725" s="8"/>
      <c r="AN725" s="8"/>
      <c r="AO725" s="8"/>
      <c r="AP725" s="8"/>
      <c r="AQ725" s="8"/>
      <c r="AR725" s="8"/>
      <c r="AS725" s="8"/>
      <c r="AT725" s="46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4"/>
      <c r="BV725" s="4"/>
    </row>
    <row r="726" spans="1:74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28"/>
      <c r="AF726" s="4"/>
      <c r="AG726" s="4"/>
      <c r="AH726" s="4"/>
      <c r="AI726" s="4"/>
      <c r="AJ726" s="4"/>
      <c r="AK726" s="4"/>
      <c r="AL726" s="44"/>
      <c r="AM726" s="8"/>
      <c r="AN726" s="8"/>
      <c r="AO726" s="8"/>
      <c r="AP726" s="8"/>
      <c r="AQ726" s="8"/>
      <c r="AR726" s="8"/>
      <c r="AS726" s="8"/>
      <c r="AT726" s="46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4"/>
      <c r="BV726" s="4"/>
    </row>
    <row r="727" spans="1:74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28"/>
      <c r="AF727" s="4"/>
      <c r="AG727" s="4"/>
      <c r="AH727" s="4"/>
      <c r="AI727" s="4"/>
      <c r="AJ727" s="4"/>
      <c r="AK727" s="4"/>
      <c r="AL727" s="44"/>
      <c r="AM727" s="8"/>
      <c r="AN727" s="8"/>
      <c r="AO727" s="8"/>
      <c r="AP727" s="8"/>
      <c r="AQ727" s="8"/>
      <c r="AR727" s="8"/>
      <c r="AS727" s="8"/>
      <c r="AT727" s="46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4"/>
      <c r="BV727" s="4"/>
    </row>
    <row r="728" spans="1:74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28"/>
      <c r="AF728" s="4"/>
      <c r="AG728" s="4"/>
      <c r="AH728" s="4"/>
      <c r="AI728" s="4"/>
      <c r="AJ728" s="4"/>
      <c r="AK728" s="4"/>
      <c r="AL728" s="44"/>
      <c r="AM728" s="8"/>
      <c r="AN728" s="8"/>
      <c r="AO728" s="8"/>
      <c r="AP728" s="8"/>
      <c r="AQ728" s="8"/>
      <c r="AR728" s="8"/>
      <c r="AS728" s="8"/>
      <c r="AT728" s="46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4"/>
      <c r="BV728" s="4"/>
    </row>
    <row r="729" spans="1:74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28"/>
      <c r="AF729" s="4"/>
      <c r="AG729" s="4"/>
      <c r="AH729" s="4"/>
      <c r="AI729" s="4"/>
      <c r="AJ729" s="4"/>
      <c r="AK729" s="4"/>
      <c r="AL729" s="44"/>
      <c r="AM729" s="8"/>
      <c r="AN729" s="8"/>
      <c r="AO729" s="8"/>
      <c r="AP729" s="8"/>
      <c r="AQ729" s="8"/>
      <c r="AR729" s="8"/>
      <c r="AS729" s="8"/>
      <c r="AT729" s="46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4"/>
      <c r="BV729" s="4"/>
    </row>
    <row r="730" spans="1:74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28"/>
      <c r="AF730" s="4"/>
      <c r="AG730" s="4"/>
      <c r="AH730" s="4"/>
      <c r="AI730" s="4"/>
      <c r="AJ730" s="4"/>
      <c r="AK730" s="4"/>
      <c r="AL730" s="44"/>
      <c r="AM730" s="8"/>
      <c r="AN730" s="8"/>
      <c r="AO730" s="8"/>
      <c r="AP730" s="8"/>
      <c r="AQ730" s="8"/>
      <c r="AR730" s="8"/>
      <c r="AS730" s="8"/>
      <c r="AT730" s="46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4"/>
      <c r="BV730" s="4"/>
    </row>
    <row r="731" spans="1:74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28"/>
      <c r="AF731" s="4"/>
      <c r="AG731" s="4"/>
      <c r="AH731" s="4"/>
      <c r="AI731" s="4"/>
      <c r="AJ731" s="4"/>
      <c r="AK731" s="4"/>
      <c r="AL731" s="44"/>
      <c r="AM731" s="8"/>
      <c r="AN731" s="8"/>
      <c r="AO731" s="8"/>
      <c r="AP731" s="8"/>
      <c r="AQ731" s="8"/>
      <c r="AR731" s="8"/>
      <c r="AS731" s="8"/>
      <c r="AT731" s="46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4"/>
      <c r="BV731" s="4"/>
    </row>
    <row r="732" spans="1:74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28"/>
      <c r="AF732" s="4"/>
      <c r="AG732" s="4"/>
      <c r="AH732" s="4"/>
      <c r="AI732" s="4"/>
      <c r="AJ732" s="4"/>
      <c r="AK732" s="4"/>
      <c r="AL732" s="44"/>
      <c r="AM732" s="8"/>
      <c r="AN732" s="8"/>
      <c r="AO732" s="8"/>
      <c r="AP732" s="8"/>
      <c r="AQ732" s="8"/>
      <c r="AR732" s="8"/>
      <c r="AS732" s="8"/>
      <c r="AT732" s="46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4"/>
      <c r="BV732" s="4"/>
    </row>
    <row r="733" spans="1:74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28"/>
      <c r="AF733" s="4"/>
      <c r="AG733" s="4"/>
      <c r="AH733" s="4"/>
      <c r="AI733" s="4"/>
      <c r="AJ733" s="4"/>
      <c r="AK733" s="4"/>
      <c r="AL733" s="44"/>
      <c r="AM733" s="8"/>
      <c r="AN733" s="8"/>
      <c r="AO733" s="8"/>
      <c r="AP733" s="8"/>
      <c r="AQ733" s="8"/>
      <c r="AR733" s="8"/>
      <c r="AS733" s="8"/>
      <c r="AT733" s="46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4"/>
      <c r="BV733" s="4"/>
    </row>
    <row r="734" spans="1:74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28"/>
      <c r="AF734" s="4"/>
      <c r="AG734" s="4"/>
      <c r="AH734" s="4"/>
      <c r="AI734" s="4"/>
      <c r="AJ734" s="4"/>
      <c r="AK734" s="4"/>
      <c r="AL734" s="44"/>
      <c r="AM734" s="8"/>
      <c r="AN734" s="8"/>
      <c r="AO734" s="8"/>
      <c r="AP734" s="8"/>
      <c r="AQ734" s="8"/>
      <c r="AR734" s="8"/>
      <c r="AS734" s="8"/>
      <c r="AT734" s="46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4"/>
      <c r="BV734" s="4"/>
    </row>
    <row r="735" spans="1:74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28"/>
      <c r="AF735" s="4"/>
      <c r="AG735" s="4"/>
      <c r="AH735" s="4"/>
      <c r="AI735" s="4"/>
      <c r="AJ735" s="4"/>
      <c r="AK735" s="4"/>
      <c r="AL735" s="44"/>
      <c r="AM735" s="8"/>
      <c r="AN735" s="8"/>
      <c r="AO735" s="8"/>
      <c r="AP735" s="8"/>
      <c r="AQ735" s="8"/>
      <c r="AR735" s="8"/>
      <c r="AS735" s="8"/>
      <c r="AT735" s="46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4"/>
      <c r="BV735" s="4"/>
    </row>
    <row r="736" spans="1:74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28"/>
      <c r="AF736" s="4"/>
      <c r="AG736" s="4"/>
      <c r="AH736" s="4"/>
      <c r="AI736" s="4"/>
      <c r="AJ736" s="4"/>
      <c r="AK736" s="4"/>
      <c r="AL736" s="44"/>
      <c r="AM736" s="8"/>
      <c r="AN736" s="8"/>
      <c r="AO736" s="8"/>
      <c r="AP736" s="8"/>
      <c r="AQ736" s="8"/>
      <c r="AR736" s="8"/>
      <c r="AS736" s="8"/>
      <c r="AT736" s="46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4"/>
      <c r="BV736" s="4"/>
    </row>
    <row r="737" spans="1:74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28"/>
      <c r="AF737" s="4"/>
      <c r="AG737" s="4"/>
      <c r="AH737" s="4"/>
      <c r="AI737" s="4"/>
      <c r="AJ737" s="4"/>
      <c r="AK737" s="4"/>
      <c r="AL737" s="44"/>
      <c r="AM737" s="8"/>
      <c r="AN737" s="8"/>
      <c r="AO737" s="8"/>
      <c r="AP737" s="8"/>
      <c r="AQ737" s="8"/>
      <c r="AR737" s="8"/>
      <c r="AS737" s="8"/>
      <c r="AT737" s="46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4"/>
      <c r="BV737" s="4"/>
    </row>
    <row r="738" spans="1:74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28"/>
      <c r="AF738" s="4"/>
      <c r="AG738" s="4"/>
      <c r="AH738" s="4"/>
      <c r="AI738" s="4"/>
      <c r="AJ738" s="4"/>
      <c r="AK738" s="4"/>
      <c r="AL738" s="44"/>
      <c r="AM738" s="8"/>
      <c r="AN738" s="8"/>
      <c r="AO738" s="8"/>
      <c r="AP738" s="8"/>
      <c r="AQ738" s="8"/>
      <c r="AR738" s="8"/>
      <c r="AS738" s="8"/>
      <c r="AT738" s="46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4"/>
      <c r="BV738" s="4"/>
    </row>
    <row r="739" spans="1:74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28"/>
      <c r="AF739" s="4"/>
      <c r="AG739" s="4"/>
      <c r="AH739" s="4"/>
      <c r="AI739" s="4"/>
      <c r="AJ739" s="4"/>
      <c r="AK739" s="4"/>
      <c r="AL739" s="44"/>
      <c r="AM739" s="8"/>
      <c r="AN739" s="8"/>
      <c r="AO739" s="8"/>
      <c r="AP739" s="8"/>
      <c r="AQ739" s="8"/>
      <c r="AR739" s="8"/>
      <c r="AS739" s="8"/>
      <c r="AT739" s="46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4"/>
      <c r="BV739" s="4"/>
    </row>
    <row r="740" spans="1:74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28"/>
      <c r="AF740" s="4"/>
      <c r="AG740" s="4"/>
      <c r="AH740" s="4"/>
      <c r="AI740" s="4"/>
      <c r="AJ740" s="4"/>
      <c r="AK740" s="4"/>
      <c r="AL740" s="44"/>
      <c r="AM740" s="8"/>
      <c r="AN740" s="8"/>
      <c r="AO740" s="8"/>
      <c r="AP740" s="8"/>
      <c r="AQ740" s="8"/>
      <c r="AR740" s="8"/>
      <c r="AS740" s="8"/>
      <c r="AT740" s="46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4"/>
      <c r="BV740" s="4"/>
    </row>
    <row r="741" spans="1:74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28"/>
      <c r="AF741" s="4"/>
      <c r="AG741" s="4"/>
      <c r="AH741" s="4"/>
      <c r="AI741" s="4"/>
      <c r="AJ741" s="4"/>
      <c r="AK741" s="4"/>
      <c r="AL741" s="44"/>
      <c r="AM741" s="8"/>
      <c r="AN741" s="8"/>
      <c r="AO741" s="8"/>
      <c r="AP741" s="8"/>
      <c r="AQ741" s="8"/>
      <c r="AR741" s="8"/>
      <c r="AS741" s="8"/>
      <c r="AT741" s="46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4"/>
      <c r="BV741" s="4"/>
    </row>
    <row r="742" spans="1:74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28"/>
      <c r="AF742" s="4"/>
      <c r="AG742" s="4"/>
      <c r="AH742" s="4"/>
      <c r="AI742" s="4"/>
      <c r="AJ742" s="4"/>
      <c r="AK742" s="4"/>
      <c r="AL742" s="44"/>
      <c r="AM742" s="8"/>
      <c r="AN742" s="8"/>
      <c r="AO742" s="8"/>
      <c r="AP742" s="8"/>
      <c r="AQ742" s="8"/>
      <c r="AR742" s="8"/>
      <c r="AS742" s="8"/>
      <c r="AT742" s="46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4"/>
      <c r="BV742" s="4"/>
    </row>
    <row r="743" spans="1:74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28"/>
      <c r="AF743" s="4"/>
      <c r="AG743" s="4"/>
      <c r="AH743" s="4"/>
      <c r="AI743" s="4"/>
      <c r="AJ743" s="4"/>
      <c r="AK743" s="4"/>
      <c r="AL743" s="44"/>
      <c r="AM743" s="8"/>
      <c r="AN743" s="8"/>
      <c r="AO743" s="8"/>
      <c r="AP743" s="8"/>
      <c r="AQ743" s="8"/>
      <c r="AR743" s="8"/>
      <c r="AS743" s="8"/>
      <c r="AT743" s="46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4"/>
      <c r="BV743" s="4"/>
    </row>
    <row r="744" spans="1:74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28"/>
      <c r="AF744" s="4"/>
      <c r="AG744" s="4"/>
      <c r="AH744" s="4"/>
      <c r="AI744" s="4"/>
      <c r="AJ744" s="4"/>
      <c r="AK744" s="4"/>
      <c r="AL744" s="44"/>
      <c r="AM744" s="8"/>
      <c r="AN744" s="8"/>
      <c r="AO744" s="8"/>
      <c r="AP744" s="8"/>
      <c r="AQ744" s="8"/>
      <c r="AR744" s="8"/>
      <c r="AS744" s="8"/>
      <c r="AT744" s="46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4"/>
      <c r="BV744" s="4"/>
    </row>
    <row r="745" spans="1:74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28"/>
      <c r="AF745" s="4"/>
      <c r="AG745" s="4"/>
      <c r="AH745" s="4"/>
      <c r="AI745" s="4"/>
      <c r="AJ745" s="4"/>
      <c r="AK745" s="4"/>
      <c r="AL745" s="44"/>
      <c r="AM745" s="8"/>
      <c r="AN745" s="8"/>
      <c r="AO745" s="8"/>
      <c r="AP745" s="8"/>
      <c r="AQ745" s="8"/>
      <c r="AR745" s="8"/>
      <c r="AS745" s="8"/>
      <c r="AT745" s="46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4"/>
      <c r="BV745" s="4"/>
    </row>
    <row r="746" spans="1:74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28"/>
      <c r="AF746" s="4"/>
      <c r="AG746" s="4"/>
      <c r="AH746" s="4"/>
      <c r="AI746" s="4"/>
      <c r="AJ746" s="4"/>
      <c r="AK746" s="4"/>
      <c r="AL746" s="44"/>
      <c r="AM746" s="8"/>
      <c r="AN746" s="8"/>
      <c r="AO746" s="8"/>
      <c r="AP746" s="8"/>
      <c r="AQ746" s="8"/>
      <c r="AR746" s="8"/>
      <c r="AS746" s="8"/>
      <c r="AT746" s="46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4"/>
      <c r="BV746" s="4"/>
    </row>
    <row r="747" spans="1:74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28"/>
      <c r="AF747" s="4"/>
      <c r="AG747" s="4"/>
      <c r="AH747" s="4"/>
      <c r="AI747" s="4"/>
      <c r="AJ747" s="4"/>
      <c r="AK747" s="4"/>
      <c r="AL747" s="44"/>
      <c r="AM747" s="8"/>
      <c r="AN747" s="8"/>
      <c r="AO747" s="8"/>
      <c r="AP747" s="8"/>
      <c r="AQ747" s="8"/>
      <c r="AR747" s="8"/>
      <c r="AS747" s="8"/>
      <c r="AT747" s="46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4"/>
      <c r="BV747" s="4"/>
    </row>
    <row r="748" spans="1:74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28"/>
      <c r="AF748" s="4"/>
      <c r="AG748" s="4"/>
      <c r="AH748" s="4"/>
      <c r="AI748" s="4"/>
      <c r="AJ748" s="4"/>
      <c r="AK748" s="4"/>
      <c r="AL748" s="44"/>
      <c r="AM748" s="8"/>
      <c r="AN748" s="8"/>
      <c r="AO748" s="8"/>
      <c r="AP748" s="8"/>
      <c r="AQ748" s="8"/>
      <c r="AR748" s="8"/>
      <c r="AS748" s="8"/>
      <c r="AT748" s="46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4"/>
      <c r="BV748" s="4"/>
    </row>
    <row r="749" spans="1:74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28"/>
      <c r="AF749" s="4"/>
      <c r="AG749" s="4"/>
      <c r="AH749" s="4"/>
      <c r="AI749" s="4"/>
      <c r="AJ749" s="4"/>
      <c r="AK749" s="4"/>
      <c r="AL749" s="44"/>
      <c r="AM749" s="8"/>
      <c r="AN749" s="8"/>
      <c r="AO749" s="8"/>
      <c r="AP749" s="8"/>
      <c r="AQ749" s="8"/>
      <c r="AR749" s="8"/>
      <c r="AS749" s="8"/>
      <c r="AT749" s="46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4"/>
      <c r="BV749" s="4"/>
    </row>
    <row r="750" spans="1:74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28"/>
      <c r="AF750" s="4"/>
      <c r="AG750" s="4"/>
      <c r="AH750" s="4"/>
      <c r="AI750" s="4"/>
      <c r="AJ750" s="4"/>
      <c r="AK750" s="4"/>
      <c r="AL750" s="44"/>
      <c r="AM750" s="8"/>
      <c r="AN750" s="8"/>
      <c r="AO750" s="8"/>
      <c r="AP750" s="8"/>
      <c r="AQ750" s="8"/>
      <c r="AR750" s="8"/>
      <c r="AS750" s="8"/>
      <c r="AT750" s="46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4"/>
      <c r="BV750" s="4"/>
    </row>
    <row r="751" spans="1:74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28"/>
      <c r="AF751" s="4"/>
      <c r="AG751" s="4"/>
      <c r="AH751" s="4"/>
      <c r="AI751" s="4"/>
      <c r="AJ751" s="4"/>
      <c r="AK751" s="4"/>
      <c r="AL751" s="44"/>
      <c r="AM751" s="8"/>
      <c r="AN751" s="8"/>
      <c r="AO751" s="8"/>
      <c r="AP751" s="8"/>
      <c r="AQ751" s="8"/>
      <c r="AR751" s="8"/>
      <c r="AS751" s="8"/>
      <c r="AT751" s="46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4"/>
      <c r="BV751" s="4"/>
    </row>
    <row r="752" spans="1:74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28"/>
      <c r="AF752" s="4"/>
      <c r="AG752" s="4"/>
      <c r="AH752" s="4"/>
      <c r="AI752" s="4"/>
      <c r="AJ752" s="4"/>
      <c r="AK752" s="4"/>
      <c r="AL752" s="44"/>
      <c r="AM752" s="8"/>
      <c r="AN752" s="8"/>
      <c r="AO752" s="8"/>
      <c r="AP752" s="8"/>
      <c r="AQ752" s="8"/>
      <c r="AR752" s="8"/>
      <c r="AS752" s="8"/>
      <c r="AT752" s="46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4"/>
      <c r="BV752" s="4"/>
    </row>
    <row r="753" spans="1:74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28"/>
      <c r="AF753" s="4"/>
      <c r="AG753" s="4"/>
      <c r="AH753" s="4"/>
      <c r="AI753" s="4"/>
      <c r="AJ753" s="4"/>
      <c r="AK753" s="4"/>
      <c r="AL753" s="44"/>
      <c r="AM753" s="8"/>
      <c r="AN753" s="8"/>
      <c r="AO753" s="8"/>
      <c r="AP753" s="8"/>
      <c r="AQ753" s="8"/>
      <c r="AR753" s="8"/>
      <c r="AS753" s="8"/>
      <c r="AT753" s="46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4"/>
      <c r="BV753" s="4"/>
    </row>
    <row r="754" spans="1:74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28"/>
      <c r="AF754" s="4"/>
      <c r="AG754" s="4"/>
      <c r="AH754" s="4"/>
      <c r="AI754" s="4"/>
      <c r="AJ754" s="4"/>
      <c r="AK754" s="4"/>
      <c r="AL754" s="44"/>
      <c r="AM754" s="8"/>
      <c r="AN754" s="8"/>
      <c r="AO754" s="8"/>
      <c r="AP754" s="8"/>
      <c r="AQ754" s="8"/>
      <c r="AR754" s="8"/>
      <c r="AS754" s="8"/>
      <c r="AT754" s="46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4"/>
      <c r="BV754" s="4"/>
    </row>
    <row r="755" spans="1:74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28"/>
      <c r="AF755" s="4"/>
      <c r="AG755" s="4"/>
      <c r="AH755" s="4"/>
      <c r="AI755" s="4"/>
      <c r="AJ755" s="4"/>
      <c r="AK755" s="4"/>
      <c r="AL755" s="44"/>
      <c r="AM755" s="8"/>
      <c r="AN755" s="8"/>
      <c r="AO755" s="8"/>
      <c r="AP755" s="8"/>
      <c r="AQ755" s="8"/>
      <c r="AR755" s="8"/>
      <c r="AS755" s="8"/>
      <c r="AT755" s="46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4"/>
      <c r="BV755" s="4"/>
    </row>
    <row r="756" spans="1:74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28"/>
      <c r="AF756" s="4"/>
      <c r="AG756" s="4"/>
      <c r="AH756" s="4"/>
      <c r="AI756" s="4"/>
      <c r="AJ756" s="4"/>
      <c r="AK756" s="4"/>
      <c r="AL756" s="44"/>
      <c r="AM756" s="8"/>
      <c r="AN756" s="8"/>
      <c r="AO756" s="8"/>
      <c r="AP756" s="8"/>
      <c r="AQ756" s="8"/>
      <c r="AR756" s="8"/>
      <c r="AS756" s="8"/>
      <c r="AT756" s="46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4"/>
      <c r="BV756" s="4"/>
    </row>
    <row r="757" spans="1:74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28"/>
      <c r="AF757" s="4"/>
      <c r="AG757" s="4"/>
      <c r="AH757" s="4"/>
      <c r="AI757" s="4"/>
      <c r="AJ757" s="4"/>
      <c r="AK757" s="4"/>
      <c r="AL757" s="44"/>
      <c r="AM757" s="8"/>
      <c r="AN757" s="8"/>
      <c r="AO757" s="8"/>
      <c r="AP757" s="8"/>
      <c r="AQ757" s="8"/>
      <c r="AR757" s="8"/>
      <c r="AS757" s="8"/>
      <c r="AT757" s="46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4"/>
      <c r="BV757" s="4"/>
    </row>
    <row r="758" spans="1:74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28"/>
      <c r="AF758" s="4"/>
      <c r="AG758" s="4"/>
      <c r="AH758" s="4"/>
      <c r="AI758" s="4"/>
      <c r="AJ758" s="4"/>
      <c r="AK758" s="4"/>
      <c r="AL758" s="44"/>
      <c r="AM758" s="8"/>
      <c r="AN758" s="8"/>
      <c r="AO758" s="8"/>
      <c r="AP758" s="8"/>
      <c r="AQ758" s="8"/>
      <c r="AR758" s="8"/>
      <c r="AS758" s="8"/>
      <c r="AT758" s="46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4"/>
      <c r="BV758" s="4"/>
    </row>
    <row r="759" spans="1:74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28"/>
      <c r="AF759" s="4"/>
      <c r="AG759" s="4"/>
      <c r="AH759" s="4"/>
      <c r="AI759" s="4"/>
      <c r="AJ759" s="4"/>
      <c r="AK759" s="4"/>
      <c r="AL759" s="44"/>
      <c r="AM759" s="8"/>
      <c r="AN759" s="8"/>
      <c r="AO759" s="8"/>
      <c r="AP759" s="8"/>
      <c r="AQ759" s="8"/>
      <c r="AR759" s="8"/>
      <c r="AS759" s="8"/>
      <c r="AT759" s="46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4"/>
      <c r="BV759" s="4"/>
    </row>
    <row r="760" spans="1:74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28"/>
      <c r="AF760" s="4"/>
      <c r="AG760" s="4"/>
      <c r="AH760" s="4"/>
      <c r="AI760" s="4"/>
      <c r="AJ760" s="4"/>
      <c r="AK760" s="4"/>
      <c r="AL760" s="44"/>
      <c r="AM760" s="8"/>
      <c r="AN760" s="8"/>
      <c r="AO760" s="8"/>
      <c r="AP760" s="8"/>
      <c r="AQ760" s="8"/>
      <c r="AR760" s="8"/>
      <c r="AS760" s="8"/>
      <c r="AT760" s="46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4"/>
      <c r="BV760" s="4"/>
    </row>
    <row r="761" spans="1:74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28"/>
      <c r="AF761" s="4"/>
      <c r="AG761" s="4"/>
      <c r="AH761" s="4"/>
      <c r="AI761" s="4"/>
      <c r="AJ761" s="4"/>
      <c r="AK761" s="4"/>
      <c r="AL761" s="44"/>
      <c r="AM761" s="8"/>
      <c r="AN761" s="8"/>
      <c r="AO761" s="8"/>
      <c r="AP761" s="8"/>
      <c r="AQ761" s="8"/>
      <c r="AR761" s="8"/>
      <c r="AS761" s="8"/>
      <c r="AT761" s="46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4"/>
      <c r="BV761" s="4"/>
    </row>
    <row r="762" spans="1:74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28"/>
      <c r="AF762" s="4"/>
      <c r="AG762" s="4"/>
      <c r="AH762" s="4"/>
      <c r="AI762" s="4"/>
      <c r="AJ762" s="4"/>
      <c r="AK762" s="4"/>
      <c r="AL762" s="44"/>
      <c r="AM762" s="8"/>
      <c r="AN762" s="8"/>
      <c r="AO762" s="8"/>
      <c r="AP762" s="8"/>
      <c r="AQ762" s="8"/>
      <c r="AR762" s="8"/>
      <c r="AS762" s="8"/>
      <c r="AT762" s="46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4"/>
      <c r="BV762" s="4"/>
    </row>
    <row r="763" spans="1:74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28"/>
      <c r="AF763" s="4"/>
      <c r="AG763" s="4"/>
      <c r="AH763" s="4"/>
      <c r="AI763" s="4"/>
      <c r="AJ763" s="4"/>
      <c r="AK763" s="4"/>
      <c r="AL763" s="44"/>
      <c r="AM763" s="8"/>
      <c r="AN763" s="8"/>
      <c r="AO763" s="8"/>
      <c r="AP763" s="8"/>
      <c r="AQ763" s="8"/>
      <c r="AR763" s="8"/>
      <c r="AS763" s="8"/>
      <c r="AT763" s="46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4"/>
      <c r="BV763" s="4"/>
    </row>
    <row r="764" spans="1:74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28"/>
      <c r="AF764" s="4"/>
      <c r="AG764" s="4"/>
      <c r="AH764" s="4"/>
      <c r="AI764" s="4"/>
      <c r="AJ764" s="4"/>
      <c r="AK764" s="4"/>
      <c r="AL764" s="44"/>
      <c r="AM764" s="8"/>
      <c r="AN764" s="8"/>
      <c r="AO764" s="8"/>
      <c r="AP764" s="8"/>
      <c r="AQ764" s="8"/>
      <c r="AR764" s="8"/>
      <c r="AS764" s="8"/>
      <c r="AT764" s="46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4"/>
      <c r="BV764" s="4"/>
    </row>
    <row r="765" spans="1:74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28"/>
      <c r="AF765" s="4"/>
      <c r="AG765" s="4"/>
      <c r="AH765" s="4"/>
      <c r="AI765" s="4"/>
      <c r="AJ765" s="4"/>
      <c r="AK765" s="4"/>
      <c r="AL765" s="44"/>
      <c r="AM765" s="8"/>
      <c r="AN765" s="8"/>
      <c r="AO765" s="8"/>
      <c r="AP765" s="8"/>
      <c r="AQ765" s="8"/>
      <c r="AR765" s="8"/>
      <c r="AS765" s="8"/>
      <c r="AT765" s="46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4"/>
      <c r="BV765" s="4"/>
    </row>
    <row r="766" spans="1:74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28"/>
      <c r="AF766" s="4"/>
      <c r="AG766" s="4"/>
      <c r="AH766" s="4"/>
      <c r="AI766" s="4"/>
      <c r="AJ766" s="4"/>
      <c r="AK766" s="4"/>
      <c r="AL766" s="44"/>
      <c r="AM766" s="8"/>
      <c r="AN766" s="8"/>
      <c r="AO766" s="8"/>
      <c r="AP766" s="8"/>
      <c r="AQ766" s="8"/>
      <c r="AR766" s="8"/>
      <c r="AS766" s="8"/>
      <c r="AT766" s="46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4"/>
      <c r="BV766" s="4"/>
    </row>
    <row r="767" spans="1:74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28"/>
      <c r="AF767" s="4"/>
      <c r="AG767" s="4"/>
      <c r="AH767" s="4"/>
      <c r="AI767" s="4"/>
      <c r="AJ767" s="4"/>
      <c r="AK767" s="4"/>
      <c r="AL767" s="44"/>
      <c r="AM767" s="8"/>
      <c r="AN767" s="8"/>
      <c r="AO767" s="8"/>
      <c r="AP767" s="8"/>
      <c r="AQ767" s="8"/>
      <c r="AR767" s="8"/>
      <c r="AS767" s="8"/>
      <c r="AT767" s="46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4"/>
      <c r="BV767" s="4"/>
    </row>
    <row r="768" spans="1:74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28"/>
      <c r="AF768" s="4"/>
      <c r="AG768" s="4"/>
      <c r="AH768" s="4"/>
      <c r="AI768" s="4"/>
      <c r="AJ768" s="4"/>
      <c r="AK768" s="4"/>
      <c r="AL768" s="44"/>
      <c r="AM768" s="8"/>
      <c r="AN768" s="8"/>
      <c r="AO768" s="8"/>
      <c r="AP768" s="8"/>
      <c r="AQ768" s="8"/>
      <c r="AR768" s="8"/>
      <c r="AS768" s="8"/>
      <c r="AT768" s="46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4"/>
      <c r="BV768" s="4"/>
    </row>
    <row r="769" spans="1:74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28"/>
      <c r="AF769" s="4"/>
      <c r="AG769" s="4"/>
      <c r="AH769" s="4"/>
      <c r="AI769" s="4"/>
      <c r="AJ769" s="4"/>
      <c r="AK769" s="4"/>
      <c r="AL769" s="44"/>
      <c r="AM769" s="8"/>
      <c r="AN769" s="8"/>
      <c r="AO769" s="8"/>
      <c r="AP769" s="8"/>
      <c r="AQ769" s="8"/>
      <c r="AR769" s="8"/>
      <c r="AS769" s="8"/>
      <c r="AT769" s="46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4"/>
      <c r="BV769" s="4"/>
    </row>
    <row r="770" spans="1:74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28"/>
      <c r="AF770" s="4"/>
      <c r="AG770" s="4"/>
      <c r="AH770" s="4"/>
      <c r="AI770" s="4"/>
      <c r="AJ770" s="4"/>
      <c r="AK770" s="4"/>
      <c r="AL770" s="44"/>
      <c r="AM770" s="8"/>
      <c r="AN770" s="8"/>
      <c r="AO770" s="8"/>
      <c r="AP770" s="8"/>
      <c r="AQ770" s="8"/>
      <c r="AR770" s="8"/>
      <c r="AS770" s="8"/>
      <c r="AT770" s="46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4"/>
      <c r="BV770" s="4"/>
    </row>
    <row r="771" spans="1:74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28"/>
      <c r="AF771" s="4"/>
      <c r="AG771" s="4"/>
      <c r="AH771" s="4"/>
      <c r="AI771" s="4"/>
      <c r="AJ771" s="4"/>
      <c r="AK771" s="4"/>
      <c r="AL771" s="44"/>
      <c r="AM771" s="8"/>
      <c r="AN771" s="8"/>
      <c r="AO771" s="8"/>
      <c r="AP771" s="8"/>
      <c r="AQ771" s="8"/>
      <c r="AR771" s="8"/>
      <c r="AS771" s="8"/>
      <c r="AT771" s="46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4"/>
      <c r="BV771" s="4"/>
    </row>
    <row r="772" spans="1:74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28"/>
      <c r="AF772" s="4"/>
      <c r="AG772" s="4"/>
      <c r="AH772" s="4"/>
      <c r="AI772" s="4"/>
      <c r="AJ772" s="4"/>
      <c r="AK772" s="4"/>
      <c r="AL772" s="44"/>
      <c r="AM772" s="8"/>
      <c r="AN772" s="8"/>
      <c r="AO772" s="8"/>
      <c r="AP772" s="8"/>
      <c r="AQ772" s="8"/>
      <c r="AR772" s="8"/>
      <c r="AS772" s="8"/>
      <c r="AT772" s="46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4"/>
      <c r="BV772" s="4"/>
    </row>
    <row r="773" spans="1:74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28"/>
      <c r="AF773" s="4"/>
      <c r="AG773" s="4"/>
      <c r="AH773" s="4"/>
      <c r="AI773" s="4"/>
      <c r="AJ773" s="4"/>
      <c r="AK773" s="4"/>
      <c r="AL773" s="44"/>
      <c r="AM773" s="8"/>
      <c r="AN773" s="8"/>
      <c r="AO773" s="8"/>
      <c r="AP773" s="8"/>
      <c r="AQ773" s="8"/>
      <c r="AR773" s="8"/>
      <c r="AS773" s="8"/>
      <c r="AT773" s="46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4"/>
      <c r="BV773" s="4"/>
    </row>
    <row r="774" spans="1:74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28"/>
      <c r="AF774" s="4"/>
      <c r="AG774" s="4"/>
      <c r="AH774" s="4"/>
      <c r="AI774" s="4"/>
      <c r="AJ774" s="4"/>
      <c r="AK774" s="4"/>
      <c r="AL774" s="44"/>
      <c r="AM774" s="8"/>
      <c r="AN774" s="8"/>
      <c r="AO774" s="8"/>
      <c r="AP774" s="8"/>
      <c r="AQ774" s="8"/>
      <c r="AR774" s="8"/>
      <c r="AS774" s="8"/>
      <c r="AT774" s="46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4"/>
      <c r="BV774" s="4"/>
    </row>
    <row r="775" spans="1:74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28"/>
      <c r="AF775" s="4"/>
      <c r="AG775" s="4"/>
      <c r="AH775" s="4"/>
      <c r="AI775" s="4"/>
      <c r="AJ775" s="4"/>
      <c r="AK775" s="4"/>
      <c r="AL775" s="44"/>
      <c r="AM775" s="8"/>
      <c r="AN775" s="8"/>
      <c r="AO775" s="8"/>
      <c r="AP775" s="8"/>
      <c r="AQ775" s="8"/>
      <c r="AR775" s="8"/>
      <c r="AS775" s="8"/>
      <c r="AT775" s="46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4"/>
      <c r="BV775" s="4"/>
    </row>
    <row r="776" spans="1:74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28"/>
      <c r="AF776" s="4"/>
      <c r="AG776" s="4"/>
      <c r="AH776" s="4"/>
      <c r="AI776" s="4"/>
      <c r="AJ776" s="4"/>
      <c r="AK776" s="4"/>
      <c r="AL776" s="44"/>
      <c r="AM776" s="8"/>
      <c r="AN776" s="8"/>
      <c r="AO776" s="8"/>
      <c r="AP776" s="8"/>
      <c r="AQ776" s="8"/>
      <c r="AR776" s="8"/>
      <c r="AS776" s="8"/>
      <c r="AT776" s="46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4"/>
      <c r="BV776" s="4"/>
    </row>
    <row r="777" spans="1:74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28"/>
      <c r="AF777" s="4"/>
      <c r="AG777" s="4"/>
      <c r="AH777" s="4"/>
      <c r="AI777" s="4"/>
      <c r="AJ777" s="4"/>
      <c r="AK777" s="4"/>
      <c r="AL777" s="44"/>
      <c r="AM777" s="8"/>
      <c r="AN777" s="8"/>
      <c r="AO777" s="8"/>
      <c r="AP777" s="8"/>
      <c r="AQ777" s="8"/>
      <c r="AR777" s="8"/>
      <c r="AS777" s="8"/>
      <c r="AT777" s="46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4"/>
      <c r="BV777" s="4"/>
    </row>
    <row r="778" spans="1:74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28"/>
      <c r="AF778" s="4"/>
      <c r="AG778" s="4"/>
      <c r="AH778" s="4"/>
      <c r="AI778" s="4"/>
      <c r="AJ778" s="4"/>
      <c r="AK778" s="4"/>
      <c r="AL778" s="44"/>
      <c r="AM778" s="8"/>
      <c r="AN778" s="8"/>
      <c r="AO778" s="8"/>
      <c r="AP778" s="8"/>
      <c r="AQ778" s="8"/>
      <c r="AR778" s="8"/>
      <c r="AS778" s="8"/>
      <c r="AT778" s="46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4"/>
      <c r="BV778" s="4"/>
    </row>
    <row r="779" spans="1:74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28"/>
      <c r="AF779" s="4"/>
      <c r="AG779" s="4"/>
      <c r="AH779" s="4"/>
      <c r="AI779" s="4"/>
      <c r="AJ779" s="4"/>
      <c r="AK779" s="4"/>
      <c r="AL779" s="44"/>
      <c r="AM779" s="8"/>
      <c r="AN779" s="8"/>
      <c r="AO779" s="8"/>
      <c r="AP779" s="8"/>
      <c r="AQ779" s="8"/>
      <c r="AR779" s="8"/>
      <c r="AS779" s="8"/>
      <c r="AT779" s="46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4"/>
      <c r="BV779" s="4"/>
    </row>
    <row r="780" spans="1:74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28"/>
      <c r="AF780" s="4"/>
      <c r="AG780" s="4"/>
      <c r="AH780" s="4"/>
      <c r="AI780" s="4"/>
      <c r="AJ780" s="4"/>
      <c r="AK780" s="4"/>
      <c r="AL780" s="44"/>
      <c r="AM780" s="8"/>
      <c r="AN780" s="8"/>
      <c r="AO780" s="8"/>
      <c r="AP780" s="8"/>
      <c r="AQ780" s="8"/>
      <c r="AR780" s="8"/>
      <c r="AS780" s="8"/>
      <c r="AT780" s="46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4"/>
      <c r="BV780" s="4"/>
    </row>
    <row r="781" spans="1:74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28"/>
      <c r="AF781" s="4"/>
      <c r="AG781" s="4"/>
      <c r="AH781" s="4"/>
      <c r="AI781" s="4"/>
      <c r="AJ781" s="4"/>
      <c r="AK781" s="4"/>
      <c r="AL781" s="44"/>
      <c r="AM781" s="8"/>
      <c r="AN781" s="8"/>
      <c r="AO781" s="8"/>
      <c r="AP781" s="8"/>
      <c r="AQ781" s="8"/>
      <c r="AR781" s="8"/>
      <c r="AS781" s="8"/>
      <c r="AT781" s="46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4"/>
      <c r="BV781" s="4"/>
    </row>
    <row r="782" spans="1:74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28"/>
      <c r="AF782" s="4"/>
      <c r="AG782" s="4"/>
      <c r="AH782" s="4"/>
      <c r="AI782" s="4"/>
      <c r="AJ782" s="4"/>
      <c r="AK782" s="4"/>
      <c r="AL782" s="44"/>
      <c r="AM782" s="8"/>
      <c r="AN782" s="8"/>
      <c r="AO782" s="8"/>
      <c r="AP782" s="8"/>
      <c r="AQ782" s="8"/>
      <c r="AR782" s="8"/>
      <c r="AS782" s="8"/>
      <c r="AT782" s="46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4"/>
      <c r="BV782" s="4"/>
    </row>
    <row r="783" spans="1:74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28"/>
      <c r="AF783" s="4"/>
      <c r="AG783" s="4"/>
      <c r="AH783" s="4"/>
      <c r="AI783" s="4"/>
      <c r="AJ783" s="4"/>
      <c r="AK783" s="4"/>
      <c r="AL783" s="44"/>
      <c r="AM783" s="8"/>
      <c r="AN783" s="8"/>
      <c r="AO783" s="8"/>
      <c r="AP783" s="8"/>
      <c r="AQ783" s="8"/>
      <c r="AR783" s="8"/>
      <c r="AS783" s="8"/>
      <c r="AT783" s="46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4"/>
      <c r="BV783" s="4"/>
    </row>
    <row r="784" spans="1:74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28"/>
      <c r="AF784" s="4"/>
      <c r="AG784" s="4"/>
      <c r="AH784" s="4"/>
      <c r="AI784" s="4"/>
      <c r="AJ784" s="4"/>
      <c r="AK784" s="4"/>
      <c r="AL784" s="44"/>
      <c r="AM784" s="8"/>
      <c r="AN784" s="8"/>
      <c r="AO784" s="8"/>
      <c r="AP784" s="8"/>
      <c r="AQ784" s="8"/>
      <c r="AR784" s="8"/>
      <c r="AS784" s="8"/>
      <c r="AT784" s="46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4"/>
      <c r="BV784" s="4"/>
    </row>
    <row r="785" spans="1:74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28"/>
      <c r="AF785" s="4"/>
      <c r="AG785" s="4"/>
      <c r="AH785" s="4"/>
      <c r="AI785" s="4"/>
      <c r="AJ785" s="4"/>
      <c r="AK785" s="4"/>
      <c r="AL785" s="44"/>
      <c r="AM785" s="8"/>
      <c r="AN785" s="8"/>
      <c r="AO785" s="8"/>
      <c r="AP785" s="8"/>
      <c r="AQ785" s="8"/>
      <c r="AR785" s="8"/>
      <c r="AS785" s="8"/>
      <c r="AT785" s="46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4"/>
      <c r="BV785" s="4"/>
    </row>
    <row r="786" spans="1:74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28"/>
      <c r="AF786" s="4"/>
      <c r="AG786" s="4"/>
      <c r="AH786" s="4"/>
      <c r="AI786" s="4"/>
      <c r="AJ786" s="4"/>
      <c r="AK786" s="4"/>
      <c r="AL786" s="44"/>
      <c r="AM786" s="8"/>
      <c r="AN786" s="8"/>
      <c r="AO786" s="8"/>
      <c r="AP786" s="8"/>
      <c r="AQ786" s="8"/>
      <c r="AR786" s="8"/>
      <c r="AS786" s="8"/>
      <c r="AT786" s="46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4"/>
      <c r="BV786" s="4"/>
    </row>
    <row r="787" spans="1:74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28"/>
      <c r="AF787" s="4"/>
      <c r="AG787" s="4"/>
      <c r="AH787" s="4"/>
      <c r="AI787" s="4"/>
      <c r="AJ787" s="4"/>
      <c r="AK787" s="4"/>
      <c r="AL787" s="44"/>
      <c r="AM787" s="8"/>
      <c r="AN787" s="8"/>
      <c r="AO787" s="8"/>
      <c r="AP787" s="8"/>
      <c r="AQ787" s="8"/>
      <c r="AR787" s="8"/>
      <c r="AS787" s="8"/>
      <c r="AT787" s="46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4"/>
      <c r="BV787" s="4"/>
    </row>
    <row r="788" spans="1:74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28"/>
      <c r="AF788" s="4"/>
      <c r="AG788" s="4"/>
      <c r="AH788" s="4"/>
      <c r="AI788" s="4"/>
      <c r="AJ788" s="4"/>
      <c r="AK788" s="4"/>
      <c r="AL788" s="44"/>
      <c r="AM788" s="8"/>
      <c r="AN788" s="8"/>
      <c r="AO788" s="8"/>
      <c r="AP788" s="8"/>
      <c r="AQ788" s="8"/>
      <c r="AR788" s="8"/>
      <c r="AS788" s="8"/>
      <c r="AT788" s="46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4"/>
      <c r="BV788" s="4"/>
    </row>
    <row r="789" spans="1:74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28"/>
      <c r="AF789" s="4"/>
      <c r="AG789" s="4"/>
      <c r="AH789" s="4"/>
      <c r="AI789" s="4"/>
      <c r="AJ789" s="4"/>
      <c r="AK789" s="4"/>
      <c r="AL789" s="44"/>
      <c r="AM789" s="8"/>
      <c r="AN789" s="8"/>
      <c r="AO789" s="8"/>
      <c r="AP789" s="8"/>
      <c r="AQ789" s="8"/>
      <c r="AR789" s="8"/>
      <c r="AS789" s="8"/>
      <c r="AT789" s="46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4"/>
      <c r="BV789" s="4"/>
    </row>
    <row r="790" spans="1:74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28"/>
      <c r="AF790" s="4"/>
      <c r="AG790" s="4"/>
      <c r="AH790" s="4"/>
      <c r="AI790" s="4"/>
      <c r="AJ790" s="4"/>
      <c r="AK790" s="4"/>
      <c r="AL790" s="44"/>
      <c r="AM790" s="8"/>
      <c r="AN790" s="8"/>
      <c r="AO790" s="8"/>
      <c r="AP790" s="8"/>
      <c r="AQ790" s="8"/>
      <c r="AR790" s="8"/>
      <c r="AS790" s="8"/>
      <c r="AT790" s="46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4"/>
      <c r="BV790" s="4"/>
    </row>
    <row r="791" spans="1:74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28"/>
      <c r="AF791" s="4"/>
      <c r="AG791" s="4"/>
      <c r="AH791" s="4"/>
      <c r="AI791" s="4"/>
      <c r="AJ791" s="4"/>
      <c r="AK791" s="4"/>
      <c r="AL791" s="44"/>
      <c r="AM791" s="8"/>
      <c r="AN791" s="8"/>
      <c r="AO791" s="8"/>
      <c r="AP791" s="8"/>
      <c r="AQ791" s="8"/>
      <c r="AR791" s="8"/>
      <c r="AS791" s="8"/>
      <c r="AT791" s="46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4"/>
      <c r="BV791" s="4"/>
    </row>
    <row r="792" spans="1:74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28"/>
      <c r="AF792" s="4"/>
      <c r="AG792" s="4"/>
      <c r="AH792" s="4"/>
      <c r="AI792" s="4"/>
      <c r="AJ792" s="4"/>
      <c r="AK792" s="4"/>
      <c r="AL792" s="44"/>
      <c r="AM792" s="8"/>
      <c r="AN792" s="8"/>
      <c r="AO792" s="8"/>
      <c r="AP792" s="8"/>
      <c r="AQ792" s="8"/>
      <c r="AR792" s="8"/>
      <c r="AS792" s="8"/>
      <c r="AT792" s="46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4"/>
      <c r="BV792" s="4"/>
    </row>
    <row r="793" spans="1:74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28"/>
      <c r="AF793" s="4"/>
      <c r="AG793" s="4"/>
      <c r="AH793" s="4"/>
      <c r="AI793" s="4"/>
      <c r="AJ793" s="4"/>
      <c r="AK793" s="4"/>
      <c r="AL793" s="44"/>
      <c r="AM793" s="8"/>
      <c r="AN793" s="8"/>
      <c r="AO793" s="8"/>
      <c r="AP793" s="8"/>
      <c r="AQ793" s="8"/>
      <c r="AR793" s="8"/>
      <c r="AS793" s="8"/>
      <c r="AT793" s="46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4"/>
      <c r="BV793" s="4"/>
    </row>
    <row r="794" spans="1:74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28"/>
      <c r="AF794" s="4"/>
      <c r="AG794" s="4"/>
      <c r="AH794" s="4"/>
      <c r="AI794" s="4"/>
      <c r="AJ794" s="4"/>
      <c r="AK794" s="4"/>
      <c r="AL794" s="44"/>
      <c r="AM794" s="8"/>
      <c r="AN794" s="8"/>
      <c r="AO794" s="8"/>
      <c r="AP794" s="8"/>
      <c r="AQ794" s="8"/>
      <c r="AR794" s="8"/>
      <c r="AS794" s="8"/>
      <c r="AT794" s="46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4"/>
      <c r="BV794" s="4"/>
    </row>
    <row r="795" spans="1:74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28"/>
      <c r="AF795" s="4"/>
      <c r="AG795" s="4"/>
      <c r="AH795" s="4"/>
      <c r="AI795" s="4"/>
      <c r="AJ795" s="4"/>
      <c r="AK795" s="4"/>
      <c r="AL795" s="44"/>
      <c r="AM795" s="8"/>
      <c r="AN795" s="8"/>
      <c r="AO795" s="8"/>
      <c r="AP795" s="8"/>
      <c r="AQ795" s="8"/>
      <c r="AR795" s="8"/>
      <c r="AS795" s="8"/>
      <c r="AT795" s="46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4"/>
      <c r="BV795" s="4"/>
    </row>
    <row r="796" spans="1:74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28"/>
      <c r="AF796" s="4"/>
      <c r="AG796" s="4"/>
      <c r="AH796" s="4"/>
      <c r="AI796" s="4"/>
      <c r="AJ796" s="4"/>
      <c r="AK796" s="4"/>
      <c r="AL796" s="44"/>
      <c r="AM796" s="8"/>
      <c r="AN796" s="8"/>
      <c r="AO796" s="8"/>
      <c r="AP796" s="8"/>
      <c r="AQ796" s="8"/>
      <c r="AR796" s="8"/>
      <c r="AS796" s="8"/>
      <c r="AT796" s="46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4"/>
      <c r="BV796" s="4"/>
    </row>
    <row r="797" spans="1:74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28"/>
      <c r="AF797" s="4"/>
      <c r="AG797" s="4"/>
      <c r="AH797" s="4"/>
      <c r="AI797" s="4"/>
      <c r="AJ797" s="4"/>
      <c r="AK797" s="4"/>
      <c r="AL797" s="44"/>
      <c r="AM797" s="8"/>
      <c r="AN797" s="8"/>
      <c r="AO797" s="8"/>
      <c r="AP797" s="8"/>
      <c r="AQ797" s="8"/>
      <c r="AR797" s="8"/>
      <c r="AS797" s="8"/>
      <c r="AT797" s="46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4"/>
      <c r="BV797" s="4"/>
    </row>
    <row r="798" spans="1:74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28"/>
      <c r="AF798" s="4"/>
      <c r="AG798" s="4"/>
      <c r="AH798" s="4"/>
      <c r="AI798" s="4"/>
      <c r="AJ798" s="4"/>
      <c r="AK798" s="4"/>
      <c r="AL798" s="44"/>
      <c r="AM798" s="8"/>
      <c r="AN798" s="8"/>
      <c r="AO798" s="8"/>
      <c r="AP798" s="8"/>
      <c r="AQ798" s="8"/>
      <c r="AR798" s="8"/>
      <c r="AS798" s="8"/>
      <c r="AT798" s="46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4"/>
      <c r="BV798" s="4"/>
    </row>
    <row r="799" spans="1:74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28"/>
      <c r="AF799" s="4"/>
      <c r="AG799" s="4"/>
      <c r="AH799" s="4"/>
      <c r="AI799" s="4"/>
      <c r="AJ799" s="4"/>
      <c r="AK799" s="4"/>
      <c r="AL799" s="44"/>
      <c r="AM799" s="8"/>
      <c r="AN799" s="8"/>
      <c r="AO799" s="8"/>
      <c r="AP799" s="8"/>
      <c r="AQ799" s="8"/>
      <c r="AR799" s="8"/>
      <c r="AS799" s="8"/>
      <c r="AT799" s="46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4"/>
      <c r="BV799" s="4"/>
    </row>
    <row r="800" spans="1:74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28"/>
      <c r="AF800" s="4"/>
      <c r="AG800" s="4"/>
      <c r="AH800" s="4"/>
      <c r="AI800" s="4"/>
      <c r="AJ800" s="4"/>
      <c r="AK800" s="4"/>
      <c r="AL800" s="44"/>
      <c r="AM800" s="8"/>
      <c r="AN800" s="8"/>
      <c r="AO800" s="8"/>
      <c r="AP800" s="8"/>
      <c r="AQ800" s="8"/>
      <c r="AR800" s="8"/>
      <c r="AS800" s="8"/>
      <c r="AT800" s="46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4"/>
      <c r="BV800" s="4"/>
    </row>
    <row r="801" spans="1:74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28"/>
      <c r="AF801" s="4"/>
      <c r="AG801" s="4"/>
      <c r="AH801" s="4"/>
      <c r="AI801" s="4"/>
      <c r="AJ801" s="4"/>
      <c r="AK801" s="4"/>
      <c r="AL801" s="44"/>
      <c r="AM801" s="8"/>
      <c r="AN801" s="8"/>
      <c r="AO801" s="8"/>
      <c r="AP801" s="8"/>
      <c r="AQ801" s="8"/>
      <c r="AR801" s="8"/>
      <c r="AS801" s="8"/>
      <c r="AT801" s="46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4"/>
      <c r="BV801" s="4"/>
    </row>
    <row r="802" spans="1:74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28"/>
      <c r="AF802" s="4"/>
      <c r="AG802" s="4"/>
      <c r="AH802" s="4"/>
      <c r="AI802" s="4"/>
      <c r="AJ802" s="4"/>
      <c r="AK802" s="4"/>
      <c r="AL802" s="44"/>
      <c r="AM802" s="8"/>
      <c r="AN802" s="8"/>
      <c r="AO802" s="8"/>
      <c r="AP802" s="8"/>
      <c r="AQ802" s="8"/>
      <c r="AR802" s="8"/>
      <c r="AS802" s="8"/>
      <c r="AT802" s="46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4"/>
      <c r="BV802" s="4"/>
    </row>
    <row r="803" spans="1:74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28"/>
      <c r="AF803" s="4"/>
      <c r="AG803" s="4"/>
      <c r="AH803" s="4"/>
      <c r="AI803" s="4"/>
      <c r="AJ803" s="4"/>
      <c r="AK803" s="4"/>
      <c r="AL803" s="44"/>
      <c r="AM803" s="8"/>
      <c r="AN803" s="8"/>
      <c r="AO803" s="8"/>
      <c r="AP803" s="8"/>
      <c r="AQ803" s="8"/>
      <c r="AR803" s="8"/>
      <c r="AS803" s="8"/>
      <c r="AT803" s="46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4"/>
      <c r="BV803" s="4"/>
    </row>
    <row r="804" spans="1:74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28"/>
      <c r="AF804" s="4"/>
      <c r="AG804" s="4"/>
      <c r="AH804" s="4"/>
      <c r="AI804" s="4"/>
      <c r="AJ804" s="4"/>
      <c r="AK804" s="4"/>
      <c r="AL804" s="44"/>
      <c r="AM804" s="8"/>
      <c r="AN804" s="8"/>
      <c r="AO804" s="8"/>
      <c r="AP804" s="8"/>
      <c r="AQ804" s="8"/>
      <c r="AR804" s="8"/>
      <c r="AS804" s="8"/>
      <c r="AT804" s="46"/>
      <c r="AU804" s="8"/>
      <c r="AV804" s="8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4"/>
      <c r="BV804" s="4"/>
    </row>
    <row r="805" spans="1:74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28"/>
      <c r="AF805" s="4"/>
      <c r="AG805" s="4"/>
      <c r="AH805" s="4"/>
      <c r="AI805" s="4"/>
      <c r="AJ805" s="4"/>
      <c r="AK805" s="4"/>
      <c r="AL805" s="44"/>
      <c r="AM805" s="8"/>
      <c r="AN805" s="8"/>
      <c r="AO805" s="8"/>
      <c r="AP805" s="8"/>
      <c r="AQ805" s="8"/>
      <c r="AR805" s="8"/>
      <c r="AS805" s="8"/>
      <c r="AT805" s="46"/>
      <c r="AU805" s="8"/>
      <c r="AV805" s="8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4"/>
      <c r="BV805" s="4"/>
    </row>
    <row r="806" spans="1:74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28"/>
      <c r="AF806" s="4"/>
      <c r="AG806" s="4"/>
      <c r="AH806" s="4"/>
      <c r="AI806" s="4"/>
      <c r="AJ806" s="4"/>
      <c r="AK806" s="4"/>
      <c r="AL806" s="44"/>
      <c r="AM806" s="8"/>
      <c r="AN806" s="8"/>
      <c r="AO806" s="8"/>
      <c r="AP806" s="8"/>
      <c r="AQ806" s="8"/>
      <c r="AR806" s="8"/>
      <c r="AS806" s="8"/>
      <c r="AT806" s="46"/>
      <c r="AU806" s="8"/>
      <c r="AV806" s="8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4"/>
      <c r="BV806" s="4"/>
    </row>
    <row r="807" spans="1:74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28"/>
      <c r="AF807" s="4"/>
      <c r="AG807" s="4"/>
      <c r="AH807" s="4"/>
      <c r="AI807" s="4"/>
      <c r="AJ807" s="4"/>
      <c r="AK807" s="4"/>
      <c r="AL807" s="44"/>
      <c r="AM807" s="8"/>
      <c r="AN807" s="8"/>
      <c r="AO807" s="8"/>
      <c r="AP807" s="8"/>
      <c r="AQ807" s="8"/>
      <c r="AR807" s="8"/>
      <c r="AS807" s="8"/>
      <c r="AT807" s="46"/>
      <c r="AU807" s="8"/>
      <c r="AV807" s="8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4"/>
      <c r="BV807" s="4"/>
    </row>
    <row r="808" spans="1:74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28"/>
      <c r="AF808" s="4"/>
      <c r="AG808" s="4"/>
      <c r="AH808" s="4"/>
      <c r="AI808" s="4"/>
      <c r="AJ808" s="4"/>
      <c r="AK808" s="4"/>
      <c r="AL808" s="44"/>
      <c r="AM808" s="8"/>
      <c r="AN808" s="8"/>
      <c r="AO808" s="8"/>
      <c r="AP808" s="8"/>
      <c r="AQ808" s="8"/>
      <c r="AR808" s="8"/>
      <c r="AS808" s="8"/>
      <c r="AT808" s="46"/>
      <c r="AU808" s="8"/>
      <c r="AV808" s="8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4"/>
      <c r="BV808" s="4"/>
    </row>
    <row r="809" spans="1:74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28"/>
      <c r="AF809" s="4"/>
      <c r="AG809" s="4"/>
      <c r="AH809" s="4"/>
      <c r="AI809" s="4"/>
      <c r="AJ809" s="4"/>
      <c r="AK809" s="4"/>
      <c r="AL809" s="44"/>
      <c r="AM809" s="8"/>
      <c r="AN809" s="8"/>
      <c r="AO809" s="8"/>
      <c r="AP809" s="8"/>
      <c r="AQ809" s="8"/>
      <c r="AR809" s="8"/>
      <c r="AS809" s="8"/>
      <c r="AT809" s="46"/>
      <c r="AU809" s="8"/>
      <c r="AV809" s="8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4"/>
      <c r="BV809" s="4"/>
    </row>
    <row r="810" spans="1:74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28"/>
      <c r="AF810" s="4"/>
      <c r="AG810" s="4"/>
      <c r="AH810" s="4"/>
      <c r="AI810" s="4"/>
      <c r="AJ810" s="4"/>
      <c r="AK810" s="4"/>
      <c r="AL810" s="44"/>
      <c r="AM810" s="8"/>
      <c r="AN810" s="8"/>
      <c r="AO810" s="8"/>
      <c r="AP810" s="8"/>
      <c r="AQ810" s="8"/>
      <c r="AR810" s="8"/>
      <c r="AS810" s="8"/>
      <c r="AT810" s="46"/>
      <c r="AU810" s="8"/>
      <c r="AV810" s="8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4"/>
      <c r="BV810" s="4"/>
    </row>
    <row r="811" spans="1:74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28"/>
      <c r="AF811" s="4"/>
      <c r="AG811" s="4"/>
      <c r="AH811" s="4"/>
      <c r="AI811" s="4"/>
      <c r="AJ811" s="4"/>
      <c r="AK811" s="4"/>
      <c r="AL811" s="44"/>
      <c r="AM811" s="8"/>
      <c r="AN811" s="8"/>
      <c r="AO811" s="8"/>
      <c r="AP811" s="8"/>
      <c r="AQ811" s="8"/>
      <c r="AR811" s="8"/>
      <c r="AS811" s="8"/>
      <c r="AT811" s="46"/>
      <c r="AU811" s="8"/>
      <c r="AV811" s="8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4"/>
      <c r="BV811" s="4"/>
    </row>
    <row r="812" spans="1:74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28"/>
      <c r="AF812" s="4"/>
      <c r="AG812" s="4"/>
      <c r="AH812" s="4"/>
      <c r="AI812" s="4"/>
      <c r="AJ812" s="4"/>
      <c r="AK812" s="4"/>
      <c r="AL812" s="44"/>
      <c r="AM812" s="8"/>
      <c r="AN812" s="8"/>
      <c r="AO812" s="8"/>
      <c r="AP812" s="8"/>
      <c r="AQ812" s="8"/>
      <c r="AR812" s="8"/>
      <c r="AS812" s="8"/>
      <c r="AT812" s="46"/>
      <c r="AU812" s="8"/>
      <c r="AV812" s="8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4"/>
      <c r="BV812" s="4"/>
    </row>
    <row r="813" spans="1:74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28"/>
      <c r="AF813" s="4"/>
      <c r="AG813" s="4"/>
      <c r="AH813" s="4"/>
      <c r="AI813" s="4"/>
      <c r="AJ813" s="4"/>
      <c r="AK813" s="4"/>
      <c r="AL813" s="44"/>
      <c r="AM813" s="8"/>
      <c r="AN813" s="8"/>
      <c r="AO813" s="8"/>
      <c r="AP813" s="8"/>
      <c r="AQ813" s="8"/>
      <c r="AR813" s="8"/>
      <c r="AS813" s="8"/>
      <c r="AT813" s="46"/>
      <c r="AU813" s="8"/>
      <c r="AV813" s="8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4"/>
      <c r="BV813" s="4"/>
    </row>
    <row r="814" spans="1:74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28"/>
      <c r="AF814" s="4"/>
      <c r="AG814" s="4"/>
      <c r="AH814" s="4"/>
      <c r="AI814" s="4"/>
      <c r="AJ814" s="4"/>
      <c r="AK814" s="4"/>
      <c r="AL814" s="44"/>
      <c r="AM814" s="8"/>
      <c r="AN814" s="8"/>
      <c r="AO814" s="8"/>
      <c r="AP814" s="8"/>
      <c r="AQ814" s="8"/>
      <c r="AR814" s="8"/>
      <c r="AS814" s="8"/>
      <c r="AT814" s="46"/>
      <c r="AU814" s="8"/>
      <c r="AV814" s="8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4"/>
      <c r="BV814" s="4"/>
    </row>
    <row r="815" spans="1:74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28"/>
      <c r="AF815" s="4"/>
      <c r="AG815" s="4"/>
      <c r="AH815" s="4"/>
      <c r="AI815" s="4"/>
      <c r="AJ815" s="4"/>
      <c r="AK815" s="4"/>
      <c r="AL815" s="44"/>
      <c r="AM815" s="8"/>
      <c r="AN815" s="8"/>
      <c r="AO815" s="8"/>
      <c r="AP815" s="8"/>
      <c r="AQ815" s="8"/>
      <c r="AR815" s="8"/>
      <c r="AS815" s="8"/>
      <c r="AT815" s="46"/>
      <c r="AU815" s="8"/>
      <c r="AV815" s="8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4"/>
      <c r="BV815" s="4"/>
    </row>
    <row r="816" spans="1:74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28"/>
      <c r="AF816" s="4"/>
      <c r="AG816" s="4"/>
      <c r="AH816" s="4"/>
      <c r="AI816" s="4"/>
      <c r="AJ816" s="4"/>
      <c r="AK816" s="4"/>
      <c r="AL816" s="44"/>
      <c r="AM816" s="8"/>
      <c r="AN816" s="8"/>
      <c r="AO816" s="8"/>
      <c r="AP816" s="8"/>
      <c r="AQ816" s="8"/>
      <c r="AR816" s="8"/>
      <c r="AS816" s="8"/>
      <c r="AT816" s="46"/>
      <c r="AU816" s="8"/>
      <c r="AV816" s="8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4"/>
      <c r="BV816" s="4"/>
    </row>
    <row r="817" spans="1:74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28"/>
      <c r="AF817" s="4"/>
      <c r="AG817" s="4"/>
      <c r="AH817" s="4"/>
      <c r="AI817" s="4"/>
      <c r="AJ817" s="4"/>
      <c r="AK817" s="4"/>
      <c r="AL817" s="44"/>
      <c r="AM817" s="8"/>
      <c r="AN817" s="8"/>
      <c r="AO817" s="8"/>
      <c r="AP817" s="8"/>
      <c r="AQ817" s="8"/>
      <c r="AR817" s="8"/>
      <c r="AS817" s="8"/>
      <c r="AT817" s="46"/>
      <c r="AU817" s="8"/>
      <c r="AV817" s="8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4"/>
      <c r="BV817" s="4"/>
    </row>
    <row r="818" spans="1:74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28"/>
      <c r="AF818" s="4"/>
      <c r="AG818" s="4"/>
      <c r="AH818" s="4"/>
      <c r="AI818" s="4"/>
      <c r="AJ818" s="4"/>
      <c r="AK818" s="4"/>
      <c r="AL818" s="44"/>
      <c r="AM818" s="8"/>
      <c r="AN818" s="8"/>
      <c r="AO818" s="8"/>
      <c r="AP818" s="8"/>
      <c r="AQ818" s="8"/>
      <c r="AR818" s="8"/>
      <c r="AS818" s="8"/>
      <c r="AT818" s="46"/>
      <c r="AU818" s="8"/>
      <c r="AV818" s="8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4"/>
      <c r="BV818" s="4"/>
    </row>
    <row r="819" spans="1:74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28"/>
      <c r="AF819" s="4"/>
      <c r="AG819" s="4"/>
      <c r="AH819" s="4"/>
      <c r="AI819" s="4"/>
      <c r="AJ819" s="4"/>
      <c r="AK819" s="4"/>
      <c r="AL819" s="44"/>
      <c r="AM819" s="8"/>
      <c r="AN819" s="8"/>
      <c r="AO819" s="8"/>
      <c r="AP819" s="8"/>
      <c r="AQ819" s="8"/>
      <c r="AR819" s="8"/>
      <c r="AS819" s="8"/>
      <c r="AT819" s="46"/>
      <c r="AU819" s="8"/>
      <c r="AV819" s="8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4"/>
      <c r="BV819" s="4"/>
    </row>
    <row r="820" spans="1:74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28"/>
      <c r="AF820" s="4"/>
      <c r="AG820" s="4"/>
      <c r="AH820" s="4"/>
      <c r="AI820" s="4"/>
      <c r="AJ820" s="4"/>
      <c r="AK820" s="4"/>
      <c r="AL820" s="44"/>
      <c r="AM820" s="8"/>
      <c r="AN820" s="8"/>
      <c r="AO820" s="8"/>
      <c r="AP820" s="8"/>
      <c r="AQ820" s="8"/>
      <c r="AR820" s="8"/>
      <c r="AS820" s="8"/>
      <c r="AT820" s="46"/>
      <c r="AU820" s="8"/>
      <c r="AV820" s="8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4"/>
      <c r="BV820" s="4"/>
    </row>
    <row r="821" spans="1:74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28"/>
      <c r="AF821" s="4"/>
      <c r="AG821" s="4"/>
      <c r="AH821" s="4"/>
      <c r="AI821" s="4"/>
      <c r="AJ821" s="4"/>
      <c r="AK821" s="4"/>
      <c r="AL821" s="44"/>
      <c r="AM821" s="8"/>
      <c r="AN821" s="8"/>
      <c r="AO821" s="8"/>
      <c r="AP821" s="8"/>
      <c r="AQ821" s="8"/>
      <c r="AR821" s="8"/>
      <c r="AS821" s="8"/>
      <c r="AT821" s="46"/>
      <c r="AU821" s="8"/>
      <c r="AV821" s="8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4"/>
      <c r="BV821" s="4"/>
    </row>
    <row r="822" spans="1:74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28"/>
      <c r="AF822" s="4"/>
      <c r="AG822" s="4"/>
      <c r="AH822" s="4"/>
      <c r="AI822" s="4"/>
      <c r="AJ822" s="4"/>
      <c r="AK822" s="4"/>
      <c r="AL822" s="44"/>
      <c r="AM822" s="8"/>
      <c r="AN822" s="8"/>
      <c r="AO822" s="8"/>
      <c r="AP822" s="8"/>
      <c r="AQ822" s="8"/>
      <c r="AR822" s="8"/>
      <c r="AS822" s="8"/>
      <c r="AT822" s="46"/>
      <c r="AU822" s="8"/>
      <c r="AV822" s="8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4"/>
      <c r="BV822" s="4"/>
    </row>
    <row r="823" spans="1:74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28"/>
      <c r="AF823" s="4"/>
      <c r="AG823" s="4"/>
      <c r="AH823" s="4"/>
      <c r="AI823" s="4"/>
      <c r="AJ823" s="4"/>
      <c r="AK823" s="4"/>
      <c r="AL823" s="44"/>
      <c r="AM823" s="8"/>
      <c r="AN823" s="8"/>
      <c r="AO823" s="8"/>
      <c r="AP823" s="8"/>
      <c r="AQ823" s="8"/>
      <c r="AR823" s="8"/>
      <c r="AS823" s="8"/>
      <c r="AT823" s="46"/>
      <c r="AU823" s="8"/>
      <c r="AV823" s="8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4"/>
      <c r="BV823" s="4"/>
    </row>
    <row r="824" spans="1:74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28"/>
      <c r="AF824" s="4"/>
      <c r="AG824" s="4"/>
      <c r="AH824" s="4"/>
      <c r="AI824" s="4"/>
      <c r="AJ824" s="4"/>
      <c r="AK824" s="4"/>
      <c r="AL824" s="44"/>
      <c r="AM824" s="8"/>
      <c r="AN824" s="8"/>
      <c r="AO824" s="8"/>
      <c r="AP824" s="8"/>
      <c r="AQ824" s="8"/>
      <c r="AR824" s="8"/>
      <c r="AS824" s="8"/>
      <c r="AT824" s="46"/>
      <c r="AU824" s="8"/>
      <c r="AV824" s="8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4"/>
      <c r="BV824" s="4"/>
    </row>
    <row r="825" spans="1:74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28"/>
      <c r="AF825" s="4"/>
      <c r="AG825" s="4"/>
      <c r="AH825" s="4"/>
      <c r="AI825" s="4"/>
      <c r="AJ825" s="4"/>
      <c r="AK825" s="4"/>
      <c r="AL825" s="44"/>
      <c r="AM825" s="8"/>
      <c r="AN825" s="8"/>
      <c r="AO825" s="8"/>
      <c r="AP825" s="8"/>
      <c r="AQ825" s="8"/>
      <c r="AR825" s="8"/>
      <c r="AS825" s="8"/>
      <c r="AT825" s="46"/>
      <c r="AU825" s="8"/>
      <c r="AV825" s="8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4"/>
      <c r="BV825" s="4"/>
    </row>
    <row r="826" spans="1:74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28"/>
      <c r="AF826" s="4"/>
      <c r="AG826" s="4"/>
      <c r="AH826" s="4"/>
      <c r="AI826" s="4"/>
      <c r="AJ826" s="4"/>
      <c r="AK826" s="4"/>
      <c r="AL826" s="44"/>
      <c r="AM826" s="8"/>
      <c r="AN826" s="8"/>
      <c r="AO826" s="8"/>
      <c r="AP826" s="8"/>
      <c r="AQ826" s="8"/>
      <c r="AR826" s="8"/>
      <c r="AS826" s="8"/>
      <c r="AT826" s="46"/>
      <c r="AU826" s="8"/>
      <c r="AV826" s="8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4"/>
      <c r="BV826" s="4"/>
    </row>
    <row r="827" spans="1:74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28"/>
      <c r="AF827" s="4"/>
      <c r="AG827" s="4"/>
      <c r="AH827" s="4"/>
      <c r="AI827" s="4"/>
      <c r="AJ827" s="4"/>
      <c r="AK827" s="4"/>
      <c r="AL827" s="44"/>
      <c r="AM827" s="8"/>
      <c r="AN827" s="8"/>
      <c r="AO827" s="8"/>
      <c r="AP827" s="8"/>
      <c r="AQ827" s="8"/>
      <c r="AR827" s="8"/>
      <c r="AS827" s="8"/>
      <c r="AT827" s="46"/>
      <c r="AU827" s="8"/>
      <c r="AV827" s="8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4"/>
      <c r="BV827" s="4"/>
    </row>
    <row r="828" spans="1:74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28"/>
      <c r="AF828" s="4"/>
      <c r="AG828" s="4"/>
      <c r="AH828" s="4"/>
      <c r="AI828" s="4"/>
      <c r="AJ828" s="4"/>
      <c r="AK828" s="4"/>
      <c r="AL828" s="44"/>
      <c r="AM828" s="8"/>
      <c r="AN828" s="8"/>
      <c r="AO828" s="8"/>
      <c r="AP828" s="8"/>
      <c r="AQ828" s="8"/>
      <c r="AR828" s="8"/>
      <c r="AS828" s="8"/>
      <c r="AT828" s="46"/>
      <c r="AU828" s="8"/>
      <c r="AV828" s="8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4"/>
      <c r="BV828" s="4"/>
    </row>
    <row r="829" spans="1:74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28"/>
      <c r="AF829" s="4"/>
      <c r="AG829" s="4"/>
      <c r="AH829" s="4"/>
      <c r="AI829" s="4"/>
      <c r="AJ829" s="4"/>
      <c r="AK829" s="4"/>
      <c r="AL829" s="44"/>
      <c r="AM829" s="8"/>
      <c r="AN829" s="8"/>
      <c r="AO829" s="8"/>
      <c r="AP829" s="8"/>
      <c r="AQ829" s="8"/>
      <c r="AR829" s="8"/>
      <c r="AS829" s="8"/>
      <c r="AT829" s="46"/>
      <c r="AU829" s="8"/>
      <c r="AV829" s="8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4"/>
      <c r="BV829" s="4"/>
    </row>
    <row r="830" spans="1:74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28"/>
      <c r="AF830" s="4"/>
      <c r="AG830" s="4"/>
      <c r="AH830" s="4"/>
      <c r="AI830" s="4"/>
      <c r="AJ830" s="4"/>
      <c r="AK830" s="4"/>
      <c r="AL830" s="44"/>
      <c r="AM830" s="8"/>
      <c r="AN830" s="8"/>
      <c r="AO830" s="8"/>
      <c r="AP830" s="8"/>
      <c r="AQ830" s="8"/>
      <c r="AR830" s="8"/>
      <c r="AS830" s="8"/>
      <c r="AT830" s="46"/>
      <c r="AU830" s="8"/>
      <c r="AV830" s="8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4"/>
      <c r="BV830" s="4"/>
    </row>
    <row r="831" spans="1:74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28"/>
      <c r="AF831" s="4"/>
      <c r="AG831" s="4"/>
      <c r="AH831" s="4"/>
      <c r="AI831" s="4"/>
      <c r="AJ831" s="4"/>
      <c r="AK831" s="4"/>
      <c r="AL831" s="44"/>
      <c r="AM831" s="8"/>
      <c r="AN831" s="8"/>
      <c r="AO831" s="8"/>
      <c r="AP831" s="8"/>
      <c r="AQ831" s="8"/>
      <c r="AR831" s="8"/>
      <c r="AS831" s="8"/>
      <c r="AT831" s="46"/>
      <c r="AU831" s="8"/>
      <c r="AV831" s="8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4"/>
      <c r="BV831" s="4"/>
    </row>
    <row r="832" spans="1:74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28"/>
      <c r="AF832" s="4"/>
      <c r="AG832" s="4"/>
      <c r="AH832" s="4"/>
      <c r="AI832" s="4"/>
      <c r="AJ832" s="4"/>
      <c r="AK832" s="4"/>
      <c r="AL832" s="44"/>
      <c r="AM832" s="8"/>
      <c r="AN832" s="8"/>
      <c r="AO832" s="8"/>
      <c r="AP832" s="8"/>
      <c r="AQ832" s="8"/>
      <c r="AR832" s="8"/>
      <c r="AS832" s="8"/>
      <c r="AT832" s="46"/>
      <c r="AU832" s="8"/>
      <c r="AV832" s="8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4"/>
      <c r="BV832" s="4"/>
    </row>
    <row r="833" spans="1:74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28"/>
      <c r="AF833" s="4"/>
      <c r="AG833" s="4"/>
      <c r="AH833" s="4"/>
      <c r="AI833" s="4"/>
      <c r="AJ833" s="4"/>
      <c r="AK833" s="4"/>
      <c r="AL833" s="44"/>
      <c r="AM833" s="8"/>
      <c r="AN833" s="8"/>
      <c r="AO833" s="8"/>
      <c r="AP833" s="8"/>
      <c r="AQ833" s="8"/>
      <c r="AR833" s="8"/>
      <c r="AS833" s="8"/>
      <c r="AT833" s="46"/>
      <c r="AU833" s="8"/>
      <c r="AV833" s="8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4"/>
      <c r="BV833" s="4"/>
    </row>
    <row r="834" spans="1:74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28"/>
      <c r="AF834" s="4"/>
      <c r="AG834" s="4"/>
      <c r="AH834" s="4"/>
      <c r="AI834" s="4"/>
      <c r="AJ834" s="4"/>
      <c r="AK834" s="4"/>
      <c r="AL834" s="44"/>
      <c r="AM834" s="8"/>
      <c r="AN834" s="8"/>
      <c r="AO834" s="8"/>
      <c r="AP834" s="8"/>
      <c r="AQ834" s="8"/>
      <c r="AR834" s="8"/>
      <c r="AS834" s="8"/>
      <c r="AT834" s="46"/>
      <c r="AU834" s="8"/>
      <c r="AV834" s="8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4"/>
      <c r="BV834" s="4"/>
    </row>
    <row r="835" spans="1:74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28"/>
      <c r="AF835" s="4"/>
      <c r="AG835" s="4"/>
      <c r="AH835" s="4"/>
      <c r="AI835" s="4"/>
      <c r="AJ835" s="4"/>
      <c r="AK835" s="4"/>
      <c r="AL835" s="44"/>
      <c r="AM835" s="8"/>
      <c r="AN835" s="8"/>
      <c r="AO835" s="8"/>
      <c r="AP835" s="8"/>
      <c r="AQ835" s="8"/>
      <c r="AR835" s="8"/>
      <c r="AS835" s="8"/>
      <c r="AT835" s="46"/>
      <c r="AU835" s="8"/>
      <c r="AV835" s="8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4"/>
      <c r="BV835" s="4"/>
    </row>
    <row r="836" spans="1:74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28"/>
      <c r="AF836" s="4"/>
      <c r="AG836" s="4"/>
      <c r="AH836" s="4"/>
      <c r="AI836" s="4"/>
      <c r="AJ836" s="4"/>
      <c r="AK836" s="4"/>
      <c r="AL836" s="44"/>
      <c r="AM836" s="8"/>
      <c r="AN836" s="8"/>
      <c r="AO836" s="8"/>
      <c r="AP836" s="8"/>
      <c r="AQ836" s="8"/>
      <c r="AR836" s="8"/>
      <c r="AS836" s="8"/>
      <c r="AT836" s="46"/>
      <c r="AU836" s="8"/>
      <c r="AV836" s="8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4"/>
      <c r="BV836" s="4"/>
    </row>
    <row r="837" spans="1:74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28"/>
      <c r="AF837" s="4"/>
      <c r="AG837" s="4"/>
      <c r="AH837" s="4"/>
      <c r="AI837" s="4"/>
      <c r="AJ837" s="4"/>
      <c r="AK837" s="4"/>
      <c r="AL837" s="44"/>
      <c r="AM837" s="8"/>
      <c r="AN837" s="8"/>
      <c r="AO837" s="8"/>
      <c r="AP837" s="8"/>
      <c r="AQ837" s="8"/>
      <c r="AR837" s="8"/>
      <c r="AS837" s="8"/>
      <c r="AT837" s="46"/>
      <c r="AU837" s="8"/>
      <c r="AV837" s="8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4"/>
      <c r="BV837" s="4"/>
    </row>
    <row r="838" spans="1:74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28"/>
      <c r="AF838" s="4"/>
      <c r="AG838" s="4"/>
      <c r="AH838" s="4"/>
      <c r="AI838" s="4"/>
      <c r="AJ838" s="4"/>
      <c r="AK838" s="4"/>
      <c r="AL838" s="44"/>
      <c r="AM838" s="8"/>
      <c r="AN838" s="8"/>
      <c r="AO838" s="8"/>
      <c r="AP838" s="8"/>
      <c r="AQ838" s="8"/>
      <c r="AR838" s="8"/>
      <c r="AS838" s="8"/>
      <c r="AT838" s="46"/>
      <c r="AU838" s="8"/>
      <c r="AV838" s="8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4"/>
      <c r="BV838" s="4"/>
    </row>
    <row r="839" spans="1:74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28"/>
      <c r="AF839" s="4"/>
      <c r="AG839" s="4"/>
      <c r="AH839" s="4"/>
      <c r="AI839" s="4"/>
      <c r="AJ839" s="4"/>
      <c r="AK839" s="4"/>
      <c r="AL839" s="44"/>
      <c r="AM839" s="8"/>
      <c r="AN839" s="8"/>
      <c r="AO839" s="8"/>
      <c r="AP839" s="8"/>
      <c r="AQ839" s="8"/>
      <c r="AR839" s="8"/>
      <c r="AS839" s="8"/>
      <c r="AT839" s="46"/>
      <c r="AU839" s="8"/>
      <c r="AV839" s="8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4"/>
      <c r="BV839" s="4"/>
    </row>
    <row r="840" spans="1:74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28"/>
      <c r="AF840" s="4"/>
      <c r="AG840" s="4"/>
      <c r="AH840" s="4"/>
      <c r="AI840" s="4"/>
      <c r="AJ840" s="4"/>
      <c r="AK840" s="4"/>
      <c r="AL840" s="44"/>
      <c r="AM840" s="8"/>
      <c r="AN840" s="8"/>
      <c r="AO840" s="8"/>
      <c r="AP840" s="8"/>
      <c r="AQ840" s="8"/>
      <c r="AR840" s="8"/>
      <c r="AS840" s="8"/>
      <c r="AT840" s="46"/>
      <c r="AU840" s="8"/>
      <c r="AV840" s="8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4"/>
      <c r="BV840" s="4"/>
    </row>
    <row r="841" spans="1:74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28"/>
      <c r="AF841" s="4"/>
      <c r="AG841" s="4"/>
      <c r="AH841" s="4"/>
      <c r="AI841" s="4"/>
      <c r="AJ841" s="4"/>
      <c r="AK841" s="4"/>
      <c r="AL841" s="44"/>
      <c r="AM841" s="8"/>
      <c r="AN841" s="8"/>
      <c r="AO841" s="8"/>
      <c r="AP841" s="8"/>
      <c r="AQ841" s="8"/>
      <c r="AR841" s="8"/>
      <c r="AS841" s="8"/>
      <c r="AT841" s="46"/>
      <c r="AU841" s="8"/>
      <c r="AV841" s="8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4"/>
      <c r="BV841" s="4"/>
    </row>
    <row r="842" spans="1:74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28"/>
      <c r="AF842" s="4"/>
      <c r="AG842" s="4"/>
      <c r="AH842" s="4"/>
      <c r="AI842" s="4"/>
      <c r="AJ842" s="4"/>
      <c r="AK842" s="4"/>
      <c r="AL842" s="44"/>
      <c r="AM842" s="8"/>
      <c r="AN842" s="8"/>
      <c r="AO842" s="8"/>
      <c r="AP842" s="8"/>
      <c r="AQ842" s="8"/>
      <c r="AR842" s="8"/>
      <c r="AS842" s="8"/>
      <c r="AT842" s="46"/>
      <c r="AU842" s="8"/>
      <c r="AV842" s="8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4"/>
      <c r="BV842" s="4"/>
    </row>
    <row r="843" spans="1:74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28"/>
      <c r="AF843" s="4"/>
      <c r="AG843" s="4"/>
      <c r="AH843" s="4"/>
      <c r="AI843" s="4"/>
      <c r="AJ843" s="4"/>
      <c r="AK843" s="4"/>
      <c r="AL843" s="44"/>
      <c r="AM843" s="8"/>
      <c r="AN843" s="8"/>
      <c r="AO843" s="8"/>
      <c r="AP843" s="8"/>
      <c r="AQ843" s="8"/>
      <c r="AR843" s="8"/>
      <c r="AS843" s="8"/>
      <c r="AT843" s="46"/>
      <c r="AU843" s="8"/>
      <c r="AV843" s="8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4"/>
      <c r="BV843" s="4"/>
    </row>
    <row r="844" spans="1:74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28"/>
      <c r="AF844" s="4"/>
      <c r="AG844" s="4"/>
      <c r="AH844" s="4"/>
      <c r="AI844" s="4"/>
      <c r="AJ844" s="4"/>
      <c r="AK844" s="4"/>
      <c r="AL844" s="44"/>
      <c r="AM844" s="8"/>
      <c r="AN844" s="8"/>
      <c r="AO844" s="8"/>
      <c r="AP844" s="8"/>
      <c r="AQ844" s="8"/>
      <c r="AR844" s="8"/>
      <c r="AS844" s="8"/>
      <c r="AT844" s="46"/>
      <c r="AU844" s="8"/>
      <c r="AV844" s="8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4"/>
      <c r="BV844" s="4"/>
    </row>
    <row r="845" spans="1:74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28"/>
      <c r="AF845" s="4"/>
      <c r="AG845" s="4"/>
      <c r="AH845" s="4"/>
      <c r="AI845" s="4"/>
      <c r="AJ845" s="4"/>
      <c r="AK845" s="4"/>
      <c r="AL845" s="44"/>
      <c r="AM845" s="8"/>
      <c r="AN845" s="8"/>
      <c r="AO845" s="8"/>
      <c r="AP845" s="8"/>
      <c r="AQ845" s="8"/>
      <c r="AR845" s="8"/>
      <c r="AS845" s="8"/>
      <c r="AT845" s="46"/>
      <c r="AU845" s="8"/>
      <c r="AV845" s="8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4"/>
      <c r="BV845" s="4"/>
    </row>
    <row r="846" spans="1:74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28"/>
      <c r="AF846" s="4"/>
      <c r="AG846" s="4"/>
      <c r="AH846" s="4"/>
      <c r="AI846" s="4"/>
      <c r="AJ846" s="4"/>
      <c r="AK846" s="4"/>
      <c r="AL846" s="44"/>
      <c r="AM846" s="8"/>
      <c r="AN846" s="8"/>
      <c r="AO846" s="8"/>
      <c r="AP846" s="8"/>
      <c r="AQ846" s="8"/>
      <c r="AR846" s="8"/>
      <c r="AS846" s="8"/>
      <c r="AT846" s="46"/>
      <c r="AU846" s="8"/>
      <c r="AV846" s="8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4"/>
      <c r="BV846" s="4"/>
    </row>
    <row r="847" spans="1:74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28"/>
      <c r="AF847" s="4"/>
      <c r="AG847" s="4"/>
      <c r="AH847" s="4"/>
      <c r="AI847" s="4"/>
      <c r="AJ847" s="4"/>
      <c r="AK847" s="4"/>
      <c r="AL847" s="44"/>
      <c r="AM847" s="8"/>
      <c r="AN847" s="8"/>
      <c r="AO847" s="8"/>
      <c r="AP847" s="8"/>
      <c r="AQ847" s="8"/>
      <c r="AR847" s="8"/>
      <c r="AS847" s="8"/>
      <c r="AT847" s="46"/>
      <c r="AU847" s="8"/>
      <c r="AV847" s="8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4"/>
      <c r="BV847" s="4"/>
    </row>
    <row r="848" spans="1:74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28"/>
      <c r="AF848" s="4"/>
      <c r="AG848" s="4"/>
      <c r="AH848" s="4"/>
      <c r="AI848" s="4"/>
      <c r="AJ848" s="4"/>
      <c r="AK848" s="4"/>
      <c r="AL848" s="44"/>
      <c r="AM848" s="8"/>
      <c r="AN848" s="8"/>
      <c r="AO848" s="8"/>
      <c r="AP848" s="8"/>
      <c r="AQ848" s="8"/>
      <c r="AR848" s="8"/>
      <c r="AS848" s="8"/>
      <c r="AT848" s="46"/>
      <c r="AU848" s="8"/>
      <c r="AV848" s="8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4"/>
      <c r="BV848" s="4"/>
    </row>
    <row r="849" spans="1:74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28"/>
      <c r="AF849" s="4"/>
      <c r="AG849" s="4"/>
      <c r="AH849" s="4"/>
      <c r="AI849" s="4"/>
      <c r="AJ849" s="4"/>
      <c r="AK849" s="4"/>
      <c r="AL849" s="44"/>
      <c r="AM849" s="8"/>
      <c r="AN849" s="8"/>
      <c r="AO849" s="8"/>
      <c r="AP849" s="8"/>
      <c r="AQ849" s="8"/>
      <c r="AR849" s="8"/>
      <c r="AS849" s="8"/>
      <c r="AT849" s="46"/>
      <c r="AU849" s="8"/>
      <c r="AV849" s="8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4"/>
      <c r="BV849" s="4"/>
    </row>
    <row r="850" spans="1:74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28"/>
      <c r="AF850" s="4"/>
      <c r="AG850" s="4"/>
      <c r="AH850" s="4"/>
      <c r="AI850" s="4"/>
      <c r="AJ850" s="4"/>
      <c r="AK850" s="4"/>
      <c r="AL850" s="44"/>
      <c r="AM850" s="8"/>
      <c r="AN850" s="8"/>
      <c r="AO850" s="8"/>
      <c r="AP850" s="8"/>
      <c r="AQ850" s="8"/>
      <c r="AR850" s="8"/>
      <c r="AS850" s="8"/>
      <c r="AT850" s="46"/>
      <c r="AU850" s="8"/>
      <c r="AV850" s="8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4"/>
      <c r="BV850" s="4"/>
    </row>
    <row r="851" spans="1:74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28"/>
      <c r="AF851" s="4"/>
      <c r="AG851" s="4"/>
      <c r="AH851" s="4"/>
      <c r="AI851" s="4"/>
      <c r="AJ851" s="4"/>
      <c r="AK851" s="4"/>
      <c r="AL851" s="44"/>
      <c r="AM851" s="8"/>
      <c r="AN851" s="8"/>
      <c r="AO851" s="8"/>
      <c r="AP851" s="8"/>
      <c r="AQ851" s="8"/>
      <c r="AR851" s="8"/>
      <c r="AS851" s="8"/>
      <c r="AT851" s="46"/>
      <c r="AU851" s="8"/>
      <c r="AV851" s="8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4"/>
      <c r="BV851" s="4"/>
    </row>
    <row r="852" spans="1:74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28"/>
      <c r="AF852" s="4"/>
      <c r="AG852" s="4"/>
      <c r="AH852" s="4"/>
      <c r="AI852" s="4"/>
      <c r="AJ852" s="4"/>
      <c r="AK852" s="4"/>
      <c r="AL852" s="44"/>
      <c r="AM852" s="8"/>
      <c r="AN852" s="8"/>
      <c r="AO852" s="8"/>
      <c r="AP852" s="8"/>
      <c r="AQ852" s="8"/>
      <c r="AR852" s="8"/>
      <c r="AS852" s="8"/>
      <c r="AT852" s="46"/>
      <c r="AU852" s="8"/>
      <c r="AV852" s="8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4"/>
      <c r="BV852" s="4"/>
    </row>
    <row r="853" spans="1:74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28"/>
      <c r="AF853" s="4"/>
      <c r="AG853" s="4"/>
      <c r="AH853" s="4"/>
      <c r="AI853" s="4"/>
      <c r="AJ853" s="4"/>
      <c r="AK853" s="4"/>
      <c r="AL853" s="44"/>
      <c r="AM853" s="8"/>
      <c r="AN853" s="8"/>
      <c r="AO853" s="8"/>
      <c r="AP853" s="8"/>
      <c r="AQ853" s="8"/>
      <c r="AR853" s="8"/>
      <c r="AS853" s="8"/>
      <c r="AT853" s="46"/>
      <c r="AU853" s="8"/>
      <c r="AV853" s="8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4"/>
      <c r="BV853" s="4"/>
    </row>
    <row r="854" spans="1:74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28"/>
      <c r="AF854" s="4"/>
      <c r="AG854" s="4"/>
      <c r="AH854" s="4"/>
      <c r="AI854" s="4"/>
      <c r="AJ854" s="4"/>
      <c r="AK854" s="4"/>
      <c r="AL854" s="44"/>
      <c r="AM854" s="8"/>
      <c r="AN854" s="8"/>
      <c r="AO854" s="8"/>
      <c r="AP854" s="8"/>
      <c r="AQ854" s="8"/>
      <c r="AR854" s="8"/>
      <c r="AS854" s="8"/>
      <c r="AT854" s="46"/>
      <c r="AU854" s="8"/>
      <c r="AV854" s="8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4"/>
      <c r="BV854" s="4"/>
    </row>
    <row r="855" spans="1:74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28"/>
      <c r="AF855" s="4"/>
      <c r="AG855" s="4"/>
      <c r="AH855" s="4"/>
      <c r="AI855" s="4"/>
      <c r="AJ855" s="4"/>
      <c r="AK855" s="4"/>
      <c r="AL855" s="44"/>
      <c r="AM855" s="8"/>
      <c r="AN855" s="8"/>
      <c r="AO855" s="8"/>
      <c r="AP855" s="8"/>
      <c r="AQ855" s="8"/>
      <c r="AR855" s="8"/>
      <c r="AS855" s="8"/>
      <c r="AT855" s="46"/>
      <c r="AU855" s="8"/>
      <c r="AV855" s="8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4"/>
      <c r="BV855" s="4"/>
    </row>
    <row r="856" spans="1:74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28"/>
      <c r="AF856" s="4"/>
      <c r="AG856" s="4"/>
      <c r="AH856" s="4"/>
      <c r="AI856" s="4"/>
      <c r="AJ856" s="4"/>
      <c r="AK856" s="4"/>
      <c r="AL856" s="44"/>
      <c r="AM856" s="8"/>
      <c r="AN856" s="8"/>
      <c r="AO856" s="8"/>
      <c r="AP856" s="8"/>
      <c r="AQ856" s="8"/>
      <c r="AR856" s="8"/>
      <c r="AS856" s="8"/>
      <c r="AT856" s="46"/>
      <c r="AU856" s="8"/>
      <c r="AV856" s="8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4"/>
      <c r="BV856" s="4"/>
    </row>
    <row r="857" spans="1:74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28"/>
      <c r="AF857" s="4"/>
      <c r="AG857" s="4"/>
      <c r="AH857" s="4"/>
      <c r="AI857" s="4"/>
      <c r="AJ857" s="4"/>
      <c r="AK857" s="4"/>
      <c r="AL857" s="44"/>
      <c r="AM857" s="8"/>
      <c r="AN857" s="8"/>
      <c r="AO857" s="8"/>
      <c r="AP857" s="8"/>
      <c r="AQ857" s="8"/>
      <c r="AR857" s="8"/>
      <c r="AS857" s="8"/>
      <c r="AT857" s="46"/>
      <c r="AU857" s="8"/>
      <c r="AV857" s="8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4"/>
      <c r="BV857" s="4"/>
    </row>
    <row r="858" spans="1:74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28"/>
      <c r="AF858" s="4"/>
      <c r="AG858" s="4"/>
      <c r="AH858" s="4"/>
      <c r="AI858" s="4"/>
      <c r="AJ858" s="4"/>
      <c r="AK858" s="4"/>
      <c r="AL858" s="44"/>
      <c r="AM858" s="8"/>
      <c r="AN858" s="8"/>
      <c r="AO858" s="8"/>
      <c r="AP858" s="8"/>
      <c r="AQ858" s="8"/>
      <c r="AR858" s="8"/>
      <c r="AS858" s="8"/>
      <c r="AT858" s="46"/>
      <c r="AU858" s="8"/>
      <c r="AV858" s="8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4"/>
      <c r="BV858" s="4"/>
    </row>
    <row r="859" spans="1:74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28"/>
      <c r="AF859" s="4"/>
      <c r="AG859" s="4"/>
      <c r="AH859" s="4"/>
      <c r="AI859" s="4"/>
      <c r="AJ859" s="4"/>
      <c r="AK859" s="4"/>
      <c r="AL859" s="44"/>
      <c r="AM859" s="8"/>
      <c r="AN859" s="8"/>
      <c r="AO859" s="8"/>
      <c r="AP859" s="8"/>
      <c r="AQ859" s="8"/>
      <c r="AR859" s="8"/>
      <c r="AS859" s="8"/>
      <c r="AT859" s="46"/>
      <c r="AU859" s="8"/>
      <c r="AV859" s="8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4"/>
      <c r="BV859" s="4"/>
    </row>
    <row r="860" spans="1:74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28"/>
      <c r="AF860" s="4"/>
      <c r="AG860" s="4"/>
      <c r="AH860" s="4"/>
      <c r="AI860" s="4"/>
      <c r="AJ860" s="4"/>
      <c r="AK860" s="4"/>
      <c r="AL860" s="44"/>
      <c r="AM860" s="8"/>
      <c r="AN860" s="8"/>
      <c r="AO860" s="8"/>
      <c r="AP860" s="8"/>
      <c r="AQ860" s="8"/>
      <c r="AR860" s="8"/>
      <c r="AS860" s="8"/>
      <c r="AT860" s="46"/>
      <c r="AU860" s="8"/>
      <c r="AV860" s="8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4"/>
      <c r="BV860" s="4"/>
    </row>
    <row r="861" spans="1:74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28"/>
      <c r="AF861" s="4"/>
      <c r="AG861" s="4"/>
      <c r="AH861" s="4"/>
      <c r="AI861" s="4"/>
      <c r="AJ861" s="4"/>
      <c r="AK861" s="4"/>
      <c r="AL861" s="44"/>
      <c r="AM861" s="8"/>
      <c r="AN861" s="8"/>
      <c r="AO861" s="8"/>
      <c r="AP861" s="8"/>
      <c r="AQ861" s="8"/>
      <c r="AR861" s="8"/>
      <c r="AS861" s="8"/>
      <c r="AT861" s="46"/>
      <c r="AU861" s="8"/>
      <c r="AV861" s="8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4"/>
      <c r="BV861" s="4"/>
    </row>
    <row r="862" spans="1:74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28"/>
      <c r="AF862" s="4"/>
      <c r="AG862" s="4"/>
      <c r="AH862" s="4"/>
      <c r="AI862" s="4"/>
      <c r="AJ862" s="4"/>
      <c r="AK862" s="4"/>
      <c r="AL862" s="44"/>
      <c r="AM862" s="8"/>
      <c r="AN862" s="8"/>
      <c r="AO862" s="8"/>
      <c r="AP862" s="8"/>
      <c r="AQ862" s="8"/>
      <c r="AR862" s="8"/>
      <c r="AS862" s="8"/>
      <c r="AT862" s="46"/>
      <c r="AU862" s="8"/>
      <c r="AV862" s="8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4"/>
      <c r="BV862" s="4"/>
    </row>
    <row r="863" spans="1:74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28"/>
      <c r="AF863" s="4"/>
      <c r="AG863" s="4"/>
      <c r="AH863" s="4"/>
      <c r="AI863" s="4"/>
      <c r="AJ863" s="4"/>
      <c r="AK863" s="4"/>
      <c r="AL863" s="44"/>
      <c r="AM863" s="8"/>
      <c r="AN863" s="8"/>
      <c r="AO863" s="8"/>
      <c r="AP863" s="8"/>
      <c r="AQ863" s="8"/>
      <c r="AR863" s="8"/>
      <c r="AS863" s="8"/>
      <c r="AT863" s="46"/>
      <c r="AU863" s="8"/>
      <c r="AV863" s="8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4"/>
      <c r="BV863" s="4"/>
    </row>
    <row r="864" spans="1:74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28"/>
      <c r="AF864" s="4"/>
      <c r="AG864" s="4"/>
      <c r="AH864" s="4"/>
      <c r="AI864" s="4"/>
      <c r="AJ864" s="4"/>
      <c r="AK864" s="4"/>
      <c r="AL864" s="44"/>
      <c r="AM864" s="8"/>
      <c r="AN864" s="8"/>
      <c r="AO864" s="8"/>
      <c r="AP864" s="8"/>
      <c r="AQ864" s="8"/>
      <c r="AR864" s="8"/>
      <c r="AS864" s="8"/>
      <c r="AT864" s="46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4"/>
      <c r="BV864" s="4"/>
    </row>
    <row r="865" spans="1:74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28"/>
      <c r="AF865" s="4"/>
      <c r="AG865" s="4"/>
      <c r="AH865" s="4"/>
      <c r="AI865" s="4"/>
      <c r="AJ865" s="4"/>
      <c r="AK865" s="4"/>
      <c r="AL865" s="44"/>
      <c r="AM865" s="8"/>
      <c r="AN865" s="8"/>
      <c r="AO865" s="8"/>
      <c r="AP865" s="8"/>
      <c r="AQ865" s="8"/>
      <c r="AR865" s="8"/>
      <c r="AS865" s="8"/>
      <c r="AT865" s="46"/>
      <c r="AU865" s="8"/>
      <c r="AV865" s="8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4"/>
      <c r="BV865" s="4"/>
    </row>
    <row r="866" spans="1:74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28"/>
      <c r="AF866" s="4"/>
      <c r="AG866" s="4"/>
      <c r="AH866" s="4"/>
      <c r="AI866" s="4"/>
      <c r="AJ866" s="4"/>
      <c r="AK866" s="4"/>
      <c r="AL866" s="44"/>
      <c r="AM866" s="8"/>
      <c r="AN866" s="8"/>
      <c r="AO866" s="8"/>
      <c r="AP866" s="8"/>
      <c r="AQ866" s="8"/>
      <c r="AR866" s="8"/>
      <c r="AS866" s="8"/>
      <c r="AT866" s="46"/>
      <c r="AU866" s="8"/>
      <c r="AV866" s="8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4"/>
      <c r="BV866" s="4"/>
    </row>
    <row r="867" spans="1:74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28"/>
      <c r="AF867" s="4"/>
      <c r="AG867" s="4"/>
      <c r="AH867" s="4"/>
      <c r="AI867" s="4"/>
      <c r="AJ867" s="4"/>
      <c r="AK867" s="4"/>
      <c r="AL867" s="44"/>
      <c r="AM867" s="8"/>
      <c r="AN867" s="8"/>
      <c r="AO867" s="8"/>
      <c r="AP867" s="8"/>
      <c r="AQ867" s="8"/>
      <c r="AR867" s="8"/>
      <c r="AS867" s="8"/>
      <c r="AT867" s="46"/>
      <c r="AU867" s="8"/>
      <c r="AV867" s="8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4"/>
      <c r="BV867" s="4"/>
    </row>
    <row r="868" spans="1:74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28"/>
      <c r="AF868" s="4"/>
      <c r="AG868" s="4"/>
      <c r="AH868" s="4"/>
      <c r="AI868" s="4"/>
      <c r="AJ868" s="4"/>
      <c r="AK868" s="4"/>
      <c r="AL868" s="44"/>
      <c r="AM868" s="8"/>
      <c r="AN868" s="8"/>
      <c r="AO868" s="8"/>
      <c r="AP868" s="8"/>
      <c r="AQ868" s="8"/>
      <c r="AR868" s="8"/>
      <c r="AS868" s="8"/>
      <c r="AT868" s="46"/>
      <c r="AU868" s="8"/>
      <c r="AV868" s="8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4"/>
      <c r="BV868" s="4"/>
    </row>
    <row r="869" spans="1:74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28"/>
      <c r="AF869" s="4"/>
      <c r="AG869" s="4"/>
      <c r="AH869" s="4"/>
      <c r="AI869" s="4"/>
      <c r="AJ869" s="4"/>
      <c r="AK869" s="4"/>
      <c r="AL869" s="44"/>
      <c r="AM869" s="8"/>
      <c r="AN869" s="8"/>
      <c r="AO869" s="8"/>
      <c r="AP869" s="8"/>
      <c r="AQ869" s="8"/>
      <c r="AR869" s="8"/>
      <c r="AS869" s="8"/>
      <c r="AT869" s="46"/>
      <c r="AU869" s="8"/>
      <c r="AV869" s="8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4"/>
      <c r="BV869" s="4"/>
    </row>
    <row r="870" spans="1:74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28"/>
      <c r="AF870" s="4"/>
      <c r="AG870" s="4"/>
      <c r="AH870" s="4"/>
      <c r="AI870" s="4"/>
      <c r="AJ870" s="4"/>
      <c r="AK870" s="4"/>
      <c r="AL870" s="44"/>
      <c r="AM870" s="8"/>
      <c r="AN870" s="8"/>
      <c r="AO870" s="8"/>
      <c r="AP870" s="8"/>
      <c r="AQ870" s="8"/>
      <c r="AR870" s="8"/>
      <c r="AS870" s="8"/>
      <c r="AT870" s="46"/>
      <c r="AU870" s="8"/>
      <c r="AV870" s="8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4"/>
      <c r="BV870" s="4"/>
    </row>
    <row r="871" spans="1:74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28"/>
      <c r="AF871" s="4"/>
      <c r="AG871" s="4"/>
      <c r="AH871" s="4"/>
      <c r="AI871" s="4"/>
      <c r="AJ871" s="4"/>
      <c r="AK871" s="4"/>
      <c r="AL871" s="44"/>
      <c r="AM871" s="8"/>
      <c r="AN871" s="8"/>
      <c r="AO871" s="8"/>
      <c r="AP871" s="8"/>
      <c r="AQ871" s="8"/>
      <c r="AR871" s="8"/>
      <c r="AS871" s="8"/>
      <c r="AT871" s="46"/>
      <c r="AU871" s="8"/>
      <c r="AV871" s="8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4"/>
      <c r="BV871" s="4"/>
    </row>
    <row r="872" spans="1:74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28"/>
      <c r="AF872" s="4"/>
      <c r="AG872" s="4"/>
      <c r="AH872" s="4"/>
      <c r="AI872" s="4"/>
      <c r="AJ872" s="4"/>
      <c r="AK872" s="4"/>
      <c r="AL872" s="44"/>
      <c r="AM872" s="8"/>
      <c r="AN872" s="8"/>
      <c r="AO872" s="8"/>
      <c r="AP872" s="8"/>
      <c r="AQ872" s="8"/>
      <c r="AR872" s="8"/>
      <c r="AS872" s="8"/>
      <c r="AT872" s="46"/>
      <c r="AU872" s="8"/>
      <c r="AV872" s="8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4"/>
      <c r="BV872" s="4"/>
    </row>
    <row r="873" spans="1:74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28"/>
      <c r="AF873" s="4"/>
      <c r="AG873" s="4"/>
      <c r="AH873" s="4"/>
      <c r="AI873" s="4"/>
      <c r="AJ873" s="4"/>
      <c r="AK873" s="4"/>
      <c r="AL873" s="44"/>
      <c r="AM873" s="8"/>
      <c r="AN873" s="8"/>
      <c r="AO873" s="8"/>
      <c r="AP873" s="8"/>
      <c r="AQ873" s="8"/>
      <c r="AR873" s="8"/>
      <c r="AS873" s="8"/>
      <c r="AT873" s="46"/>
      <c r="AU873" s="8"/>
      <c r="AV873" s="8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4"/>
      <c r="BV873" s="4"/>
    </row>
    <row r="874" spans="1:74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28"/>
      <c r="AF874" s="4"/>
      <c r="AG874" s="4"/>
      <c r="AH874" s="4"/>
      <c r="AI874" s="4"/>
      <c r="AJ874" s="4"/>
      <c r="AK874" s="4"/>
      <c r="AL874" s="44"/>
      <c r="AM874" s="8"/>
      <c r="AN874" s="8"/>
      <c r="AO874" s="8"/>
      <c r="AP874" s="8"/>
      <c r="AQ874" s="8"/>
      <c r="AR874" s="8"/>
      <c r="AS874" s="8"/>
      <c r="AT874" s="46"/>
      <c r="AU874" s="8"/>
      <c r="AV874" s="8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4"/>
      <c r="BV874" s="4"/>
    </row>
    <row r="875" spans="1:74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28"/>
      <c r="AF875" s="4"/>
      <c r="AG875" s="4"/>
      <c r="AH875" s="4"/>
      <c r="AI875" s="4"/>
      <c r="AJ875" s="4"/>
      <c r="AK875" s="4"/>
      <c r="AL875" s="44"/>
      <c r="AM875" s="8"/>
      <c r="AN875" s="8"/>
      <c r="AO875" s="8"/>
      <c r="AP875" s="8"/>
      <c r="AQ875" s="8"/>
      <c r="AR875" s="8"/>
      <c r="AS875" s="8"/>
      <c r="AT875" s="46"/>
      <c r="AU875" s="8"/>
      <c r="AV875" s="8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4"/>
      <c r="BV875" s="4"/>
    </row>
    <row r="876" spans="1:74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28"/>
      <c r="AF876" s="4"/>
      <c r="AG876" s="4"/>
      <c r="AH876" s="4"/>
      <c r="AI876" s="4"/>
      <c r="AJ876" s="4"/>
      <c r="AK876" s="4"/>
      <c r="AL876" s="44"/>
      <c r="AM876" s="8"/>
      <c r="AN876" s="8"/>
      <c r="AO876" s="8"/>
      <c r="AP876" s="8"/>
      <c r="AQ876" s="8"/>
      <c r="AR876" s="8"/>
      <c r="AS876" s="8"/>
      <c r="AT876" s="46"/>
      <c r="AU876" s="8"/>
      <c r="AV876" s="8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4"/>
      <c r="BV876" s="4"/>
    </row>
    <row r="877" spans="1:74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28"/>
      <c r="AF877" s="4"/>
      <c r="AG877" s="4"/>
      <c r="AH877" s="4"/>
      <c r="AI877" s="4"/>
      <c r="AJ877" s="4"/>
      <c r="AK877" s="4"/>
      <c r="AL877" s="44"/>
      <c r="AM877" s="8"/>
      <c r="AN877" s="8"/>
      <c r="AO877" s="8"/>
      <c r="AP877" s="8"/>
      <c r="AQ877" s="8"/>
      <c r="AR877" s="8"/>
      <c r="AS877" s="8"/>
      <c r="AT877" s="46"/>
      <c r="AU877" s="8"/>
      <c r="AV877" s="8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4"/>
      <c r="BV877" s="4"/>
    </row>
    <row r="878" spans="1:74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28"/>
      <c r="AF878" s="4"/>
      <c r="AG878" s="4"/>
      <c r="AH878" s="4"/>
      <c r="AI878" s="4"/>
      <c r="AJ878" s="4"/>
      <c r="AK878" s="4"/>
      <c r="AL878" s="44"/>
      <c r="AM878" s="8"/>
      <c r="AN878" s="8"/>
      <c r="AO878" s="8"/>
      <c r="AP878" s="8"/>
      <c r="AQ878" s="8"/>
      <c r="AR878" s="8"/>
      <c r="AS878" s="8"/>
      <c r="AT878" s="46"/>
      <c r="AU878" s="8"/>
      <c r="AV878" s="8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4"/>
      <c r="BV878" s="4"/>
    </row>
    <row r="879" spans="1:74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28"/>
      <c r="AF879" s="4"/>
      <c r="AG879" s="4"/>
      <c r="AH879" s="4"/>
      <c r="AI879" s="4"/>
      <c r="AJ879" s="4"/>
      <c r="AK879" s="4"/>
      <c r="AL879" s="44"/>
      <c r="AM879" s="8"/>
      <c r="AN879" s="8"/>
      <c r="AO879" s="8"/>
      <c r="AP879" s="8"/>
      <c r="AQ879" s="8"/>
      <c r="AR879" s="8"/>
      <c r="AS879" s="8"/>
      <c r="AT879" s="46"/>
      <c r="AU879" s="8"/>
      <c r="AV879" s="8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4"/>
      <c r="BV879" s="4"/>
    </row>
    <row r="880" spans="1:74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28"/>
      <c r="AF880" s="4"/>
      <c r="AG880" s="4"/>
      <c r="AH880" s="4"/>
      <c r="AI880" s="4"/>
      <c r="AJ880" s="4"/>
      <c r="AK880" s="4"/>
      <c r="AL880" s="44"/>
      <c r="AM880" s="8"/>
      <c r="AN880" s="8"/>
      <c r="AO880" s="8"/>
      <c r="AP880" s="8"/>
      <c r="AQ880" s="8"/>
      <c r="AR880" s="8"/>
      <c r="AS880" s="8"/>
      <c r="AT880" s="46"/>
      <c r="AU880" s="8"/>
      <c r="AV880" s="8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4"/>
      <c r="BV880" s="4"/>
    </row>
    <row r="881" spans="1:74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28"/>
      <c r="AF881" s="4"/>
      <c r="AG881" s="4"/>
      <c r="AH881" s="4"/>
      <c r="AI881" s="4"/>
      <c r="AJ881" s="4"/>
      <c r="AK881" s="4"/>
      <c r="AL881" s="44"/>
      <c r="AM881" s="8"/>
      <c r="AN881" s="8"/>
      <c r="AO881" s="8"/>
      <c r="AP881" s="8"/>
      <c r="AQ881" s="8"/>
      <c r="AR881" s="8"/>
      <c r="AS881" s="8"/>
      <c r="AT881" s="46"/>
      <c r="AU881" s="8"/>
      <c r="AV881" s="8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4"/>
      <c r="BV881" s="4"/>
    </row>
    <row r="882" spans="1:74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28"/>
      <c r="AF882" s="4"/>
      <c r="AG882" s="4"/>
      <c r="AH882" s="4"/>
      <c r="AI882" s="4"/>
      <c r="AJ882" s="4"/>
      <c r="AK882" s="4"/>
      <c r="AL882" s="44"/>
      <c r="AM882" s="8"/>
      <c r="AN882" s="8"/>
      <c r="AO882" s="8"/>
      <c r="AP882" s="8"/>
      <c r="AQ882" s="8"/>
      <c r="AR882" s="8"/>
      <c r="AS882" s="8"/>
      <c r="AT882" s="46"/>
      <c r="AU882" s="8"/>
      <c r="AV882" s="8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4"/>
      <c r="BV882" s="4"/>
    </row>
    <row r="883" spans="1:74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28"/>
      <c r="AF883" s="4"/>
      <c r="AG883" s="4"/>
      <c r="AH883" s="4"/>
      <c r="AI883" s="4"/>
      <c r="AJ883" s="4"/>
      <c r="AK883" s="4"/>
      <c r="AL883" s="44"/>
      <c r="AM883" s="8"/>
      <c r="AN883" s="8"/>
      <c r="AO883" s="8"/>
      <c r="AP883" s="8"/>
      <c r="AQ883" s="8"/>
      <c r="AR883" s="8"/>
      <c r="AS883" s="8"/>
      <c r="AT883" s="46"/>
      <c r="AU883" s="8"/>
      <c r="AV883" s="8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4"/>
      <c r="BV883" s="4"/>
    </row>
    <row r="884" spans="1:74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28"/>
      <c r="AF884" s="4"/>
      <c r="AG884" s="4"/>
      <c r="AH884" s="4"/>
      <c r="AI884" s="4"/>
      <c r="AJ884" s="4"/>
      <c r="AK884" s="4"/>
      <c r="AL884" s="44"/>
      <c r="AM884" s="8"/>
      <c r="AN884" s="8"/>
      <c r="AO884" s="8"/>
      <c r="AP884" s="8"/>
      <c r="AQ884" s="8"/>
      <c r="AR884" s="8"/>
      <c r="AS884" s="8"/>
      <c r="AT884" s="46"/>
      <c r="AU884" s="8"/>
      <c r="AV884" s="8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4"/>
      <c r="BV884" s="4"/>
    </row>
    <row r="885" spans="1:74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28"/>
      <c r="AF885" s="4"/>
      <c r="AG885" s="4"/>
      <c r="AH885" s="4"/>
      <c r="AI885" s="4"/>
      <c r="AJ885" s="4"/>
      <c r="AK885" s="4"/>
      <c r="AL885" s="44"/>
      <c r="AM885" s="8"/>
      <c r="AN885" s="8"/>
      <c r="AO885" s="8"/>
      <c r="AP885" s="8"/>
      <c r="AQ885" s="8"/>
      <c r="AR885" s="8"/>
      <c r="AS885" s="8"/>
      <c r="AT885" s="46"/>
      <c r="AU885" s="8"/>
      <c r="AV885" s="8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4"/>
      <c r="BV885" s="4"/>
    </row>
    <row r="886" spans="1:74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28"/>
      <c r="AF886" s="4"/>
      <c r="AG886" s="4"/>
      <c r="AH886" s="4"/>
      <c r="AI886" s="4"/>
      <c r="AJ886" s="4"/>
      <c r="AK886" s="4"/>
      <c r="AL886" s="44"/>
      <c r="AM886" s="8"/>
      <c r="AN886" s="8"/>
      <c r="AO886" s="8"/>
      <c r="AP886" s="8"/>
      <c r="AQ886" s="8"/>
      <c r="AR886" s="8"/>
      <c r="AS886" s="8"/>
      <c r="AT886" s="46"/>
      <c r="AU886" s="8"/>
      <c r="AV886" s="8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4"/>
      <c r="BV886" s="4"/>
    </row>
    <row r="887" spans="1:74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28"/>
      <c r="AF887" s="4"/>
      <c r="AG887" s="4"/>
      <c r="AH887" s="4"/>
      <c r="AI887" s="4"/>
      <c r="AJ887" s="4"/>
      <c r="AK887" s="4"/>
      <c r="AL887" s="44"/>
      <c r="AM887" s="8"/>
      <c r="AN887" s="8"/>
      <c r="AO887" s="8"/>
      <c r="AP887" s="8"/>
      <c r="AQ887" s="8"/>
      <c r="AR887" s="8"/>
      <c r="AS887" s="8"/>
      <c r="AT887" s="46"/>
      <c r="AU887" s="8"/>
      <c r="AV887" s="8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4"/>
      <c r="BV887" s="4"/>
    </row>
    <row r="888" spans="1:74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28"/>
      <c r="AF888" s="4"/>
      <c r="AG888" s="4"/>
      <c r="AH888" s="4"/>
      <c r="AI888" s="4"/>
      <c r="AJ888" s="4"/>
      <c r="AK888" s="4"/>
      <c r="AL888" s="44"/>
      <c r="AM888" s="8"/>
      <c r="AN888" s="8"/>
      <c r="AO888" s="8"/>
      <c r="AP888" s="8"/>
      <c r="AQ888" s="8"/>
      <c r="AR888" s="8"/>
      <c r="AS888" s="8"/>
      <c r="AT888" s="46"/>
      <c r="AU888" s="8"/>
      <c r="AV888" s="8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4"/>
      <c r="BV888" s="4"/>
    </row>
    <row r="889" spans="1:74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28"/>
      <c r="AF889" s="4"/>
      <c r="AG889" s="4"/>
      <c r="AH889" s="4"/>
      <c r="AI889" s="4"/>
      <c r="AJ889" s="4"/>
      <c r="AK889" s="4"/>
      <c r="AL889" s="44"/>
      <c r="AM889" s="8"/>
      <c r="AN889" s="8"/>
      <c r="AO889" s="8"/>
      <c r="AP889" s="8"/>
      <c r="AQ889" s="8"/>
      <c r="AR889" s="8"/>
      <c r="AS889" s="8"/>
      <c r="AT889" s="46"/>
      <c r="AU889" s="8"/>
      <c r="AV889" s="8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4"/>
      <c r="BV889" s="4"/>
    </row>
    <row r="890" spans="1:74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28"/>
      <c r="AF890" s="4"/>
      <c r="AG890" s="4"/>
      <c r="AH890" s="4"/>
      <c r="AI890" s="4"/>
      <c r="AJ890" s="4"/>
      <c r="AK890" s="4"/>
      <c r="AL890" s="44"/>
      <c r="AM890" s="8"/>
      <c r="AN890" s="8"/>
      <c r="AO890" s="8"/>
      <c r="AP890" s="8"/>
      <c r="AQ890" s="8"/>
      <c r="AR890" s="8"/>
      <c r="AS890" s="8"/>
      <c r="AT890" s="46"/>
      <c r="AU890" s="8"/>
      <c r="AV890" s="8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4"/>
      <c r="BV890" s="4"/>
    </row>
    <row r="891" spans="1:74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28"/>
      <c r="AF891" s="4"/>
      <c r="AG891" s="4"/>
      <c r="AH891" s="4"/>
      <c r="AI891" s="4"/>
      <c r="AJ891" s="4"/>
      <c r="AK891" s="4"/>
      <c r="AL891" s="44"/>
      <c r="AM891" s="8"/>
      <c r="AN891" s="8"/>
      <c r="AO891" s="8"/>
      <c r="AP891" s="8"/>
      <c r="AQ891" s="8"/>
      <c r="AR891" s="8"/>
      <c r="AS891" s="8"/>
      <c r="AT891" s="46"/>
      <c r="AU891" s="8"/>
      <c r="AV891" s="8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4"/>
      <c r="BV891" s="4"/>
    </row>
    <row r="892" spans="1:74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28"/>
      <c r="AF892" s="4"/>
      <c r="AG892" s="4"/>
      <c r="AH892" s="4"/>
      <c r="AI892" s="4"/>
      <c r="AJ892" s="4"/>
      <c r="AK892" s="4"/>
      <c r="AL892" s="44"/>
      <c r="AM892" s="8"/>
      <c r="AN892" s="8"/>
      <c r="AO892" s="8"/>
      <c r="AP892" s="8"/>
      <c r="AQ892" s="8"/>
      <c r="AR892" s="8"/>
      <c r="AS892" s="8"/>
      <c r="AT892" s="46"/>
      <c r="AU892" s="8"/>
      <c r="AV892" s="8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4"/>
      <c r="BV892" s="4"/>
    </row>
    <row r="893" spans="1:74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28"/>
      <c r="AF893" s="4"/>
      <c r="AG893" s="4"/>
      <c r="AH893" s="4"/>
      <c r="AI893" s="4"/>
      <c r="AJ893" s="4"/>
      <c r="AK893" s="4"/>
      <c r="AL893" s="44"/>
      <c r="AM893" s="8"/>
      <c r="AN893" s="8"/>
      <c r="AO893" s="8"/>
      <c r="AP893" s="8"/>
      <c r="AQ893" s="8"/>
      <c r="AR893" s="8"/>
      <c r="AS893" s="8"/>
      <c r="AT893" s="46"/>
      <c r="AU893" s="8"/>
      <c r="AV893" s="8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4"/>
      <c r="BV893" s="4"/>
    </row>
    <row r="894" spans="1:74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28"/>
      <c r="AF894" s="4"/>
      <c r="AG894" s="4"/>
      <c r="AH894" s="4"/>
      <c r="AI894" s="4"/>
      <c r="AJ894" s="4"/>
      <c r="AK894" s="4"/>
      <c r="AL894" s="44"/>
      <c r="AM894" s="8"/>
      <c r="AN894" s="8"/>
      <c r="AO894" s="8"/>
      <c r="AP894" s="8"/>
      <c r="AQ894" s="8"/>
      <c r="AR894" s="8"/>
      <c r="AS894" s="8"/>
      <c r="AT894" s="46"/>
      <c r="AU894" s="8"/>
      <c r="AV894" s="8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4"/>
      <c r="BV894" s="4"/>
    </row>
    <row r="895" spans="1:74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28"/>
      <c r="AF895" s="4"/>
      <c r="AG895" s="4"/>
      <c r="AH895" s="4"/>
      <c r="AI895" s="4"/>
      <c r="AJ895" s="4"/>
      <c r="AK895" s="4"/>
      <c r="AL895" s="44"/>
      <c r="AM895" s="8"/>
      <c r="AN895" s="8"/>
      <c r="AO895" s="8"/>
      <c r="AP895" s="8"/>
      <c r="AQ895" s="8"/>
      <c r="AR895" s="8"/>
      <c r="AS895" s="8"/>
      <c r="AT895" s="46"/>
      <c r="AU895" s="8"/>
      <c r="AV895" s="8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4"/>
      <c r="BV895" s="4"/>
    </row>
    <row r="896" spans="1:74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28"/>
      <c r="AF896" s="4"/>
      <c r="AG896" s="4"/>
      <c r="AH896" s="4"/>
      <c r="AI896" s="4"/>
      <c r="AJ896" s="4"/>
      <c r="AK896" s="4"/>
      <c r="AL896" s="44"/>
      <c r="AM896" s="8"/>
      <c r="AN896" s="8"/>
      <c r="AO896" s="8"/>
      <c r="AP896" s="8"/>
      <c r="AQ896" s="8"/>
      <c r="AR896" s="8"/>
      <c r="AS896" s="8"/>
      <c r="AT896" s="46"/>
      <c r="AU896" s="8"/>
      <c r="AV896" s="8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4"/>
      <c r="BV896" s="4"/>
    </row>
    <row r="897" spans="1:74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28"/>
      <c r="AF897" s="4"/>
      <c r="AG897" s="4"/>
      <c r="AH897" s="4"/>
      <c r="AI897" s="4"/>
      <c r="AJ897" s="4"/>
      <c r="AK897" s="4"/>
      <c r="AL897" s="44"/>
      <c r="AM897" s="8"/>
      <c r="AN897" s="8"/>
      <c r="AO897" s="8"/>
      <c r="AP897" s="8"/>
      <c r="AQ897" s="8"/>
      <c r="AR897" s="8"/>
      <c r="AS897" s="8"/>
      <c r="AT897" s="46"/>
      <c r="AU897" s="8"/>
      <c r="AV897" s="8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4"/>
      <c r="BV897" s="4"/>
    </row>
    <row r="898" spans="1:74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28"/>
      <c r="AF898" s="4"/>
      <c r="AG898" s="4"/>
      <c r="AH898" s="4"/>
      <c r="AI898" s="4"/>
      <c r="AJ898" s="4"/>
      <c r="AK898" s="4"/>
      <c r="AL898" s="44"/>
      <c r="AM898" s="8"/>
      <c r="AN898" s="8"/>
      <c r="AO898" s="8"/>
      <c r="AP898" s="8"/>
      <c r="AQ898" s="8"/>
      <c r="AR898" s="8"/>
      <c r="AS898" s="8"/>
      <c r="AT898" s="46"/>
      <c r="AU898" s="8"/>
      <c r="AV898" s="8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4"/>
      <c r="BV898" s="4"/>
    </row>
    <row r="899" spans="1:74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28"/>
      <c r="AF899" s="4"/>
      <c r="AG899" s="4"/>
      <c r="AH899" s="4"/>
      <c r="AI899" s="4"/>
      <c r="AJ899" s="4"/>
      <c r="AK899" s="4"/>
      <c r="AL899" s="44"/>
      <c r="AM899" s="8"/>
      <c r="AN899" s="8"/>
      <c r="AO899" s="8"/>
      <c r="AP899" s="8"/>
      <c r="AQ899" s="8"/>
      <c r="AR899" s="8"/>
      <c r="AS899" s="8"/>
      <c r="AT899" s="46"/>
      <c r="AU899" s="8"/>
      <c r="AV899" s="8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4"/>
      <c r="BV899" s="4"/>
    </row>
    <row r="900" spans="1:74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28"/>
      <c r="AF900" s="4"/>
      <c r="AG900" s="4"/>
      <c r="AH900" s="4"/>
      <c r="AI900" s="4"/>
      <c r="AJ900" s="4"/>
      <c r="AK900" s="4"/>
      <c r="AL900" s="44"/>
      <c r="AM900" s="8"/>
      <c r="AN900" s="8"/>
      <c r="AO900" s="8"/>
      <c r="AP900" s="8"/>
      <c r="AQ900" s="8"/>
      <c r="AR900" s="8"/>
      <c r="AS900" s="8"/>
      <c r="AT900" s="46"/>
      <c r="AU900" s="8"/>
      <c r="AV900" s="8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4"/>
      <c r="BV900" s="4"/>
    </row>
    <row r="901" spans="1:74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28"/>
      <c r="AF901" s="4"/>
      <c r="AG901" s="4"/>
      <c r="AH901" s="4"/>
      <c r="AI901" s="4"/>
      <c r="AJ901" s="4"/>
      <c r="AK901" s="4"/>
      <c r="AL901" s="44"/>
      <c r="AM901" s="8"/>
      <c r="AN901" s="8"/>
      <c r="AO901" s="8"/>
      <c r="AP901" s="8"/>
      <c r="AQ901" s="8"/>
      <c r="AR901" s="8"/>
      <c r="AS901" s="8"/>
      <c r="AT901" s="46"/>
      <c r="AU901" s="8"/>
      <c r="AV901" s="8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4"/>
      <c r="BV901" s="4"/>
    </row>
    <row r="902" spans="1:74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28"/>
      <c r="AF902" s="4"/>
      <c r="AG902" s="4"/>
      <c r="AH902" s="4"/>
      <c r="AI902" s="4"/>
      <c r="AJ902" s="4"/>
      <c r="AK902" s="4"/>
      <c r="AL902" s="44"/>
      <c r="AM902" s="8"/>
      <c r="AN902" s="8"/>
      <c r="AO902" s="8"/>
      <c r="AP902" s="8"/>
      <c r="AQ902" s="8"/>
      <c r="AR902" s="8"/>
      <c r="AS902" s="8"/>
      <c r="AT902" s="46"/>
      <c r="AU902" s="8"/>
      <c r="AV902" s="8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4"/>
      <c r="BV902" s="4"/>
    </row>
    <row r="903" spans="1:74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28"/>
      <c r="AF903" s="4"/>
      <c r="AG903" s="4"/>
      <c r="AH903" s="4"/>
      <c r="AI903" s="4"/>
      <c r="AJ903" s="4"/>
      <c r="AK903" s="4"/>
      <c r="AL903" s="44"/>
      <c r="AM903" s="8"/>
      <c r="AN903" s="8"/>
      <c r="AO903" s="8"/>
      <c r="AP903" s="8"/>
      <c r="AQ903" s="8"/>
      <c r="AR903" s="8"/>
      <c r="AS903" s="8"/>
      <c r="AT903" s="46"/>
      <c r="AU903" s="8"/>
      <c r="AV903" s="8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4"/>
      <c r="BV903" s="4"/>
    </row>
    <row r="904" spans="1:74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28"/>
      <c r="AF904" s="4"/>
      <c r="AG904" s="4"/>
      <c r="AH904" s="4"/>
      <c r="AI904" s="4"/>
      <c r="AJ904" s="4"/>
      <c r="AK904" s="4"/>
      <c r="AL904" s="44"/>
      <c r="AM904" s="8"/>
      <c r="AN904" s="8"/>
      <c r="AO904" s="8"/>
      <c r="AP904" s="8"/>
      <c r="AQ904" s="8"/>
      <c r="AR904" s="8"/>
      <c r="AS904" s="8"/>
      <c r="AT904" s="46"/>
      <c r="AU904" s="8"/>
      <c r="AV904" s="8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4"/>
      <c r="BV904" s="4"/>
    </row>
    <row r="905" spans="1:74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28"/>
      <c r="AF905" s="4"/>
      <c r="AG905" s="4"/>
      <c r="AH905" s="4"/>
      <c r="AI905" s="4"/>
      <c r="AJ905" s="4"/>
      <c r="AK905" s="4"/>
      <c r="AL905" s="44"/>
      <c r="AM905" s="8"/>
      <c r="AN905" s="8"/>
      <c r="AO905" s="8"/>
      <c r="AP905" s="8"/>
      <c r="AQ905" s="8"/>
      <c r="AR905" s="8"/>
      <c r="AS905" s="8"/>
      <c r="AT905" s="46"/>
      <c r="AU905" s="8"/>
      <c r="AV905" s="8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4"/>
      <c r="BV905" s="4"/>
    </row>
    <row r="906" spans="1:74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28"/>
      <c r="AF906" s="4"/>
      <c r="AG906" s="4"/>
      <c r="AH906" s="4"/>
      <c r="AI906" s="4"/>
      <c r="AJ906" s="4"/>
      <c r="AK906" s="4"/>
      <c r="AL906" s="44"/>
      <c r="AM906" s="8"/>
      <c r="AN906" s="8"/>
      <c r="AO906" s="8"/>
      <c r="AP906" s="8"/>
      <c r="AQ906" s="8"/>
      <c r="AR906" s="8"/>
      <c r="AS906" s="8"/>
      <c r="AT906" s="46"/>
      <c r="AU906" s="8"/>
      <c r="AV906" s="8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4"/>
      <c r="BV906" s="4"/>
    </row>
    <row r="907" spans="1:74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28"/>
      <c r="AF907" s="4"/>
      <c r="AG907" s="4"/>
      <c r="AH907" s="4"/>
      <c r="AI907" s="4"/>
      <c r="AJ907" s="4"/>
      <c r="AK907" s="4"/>
      <c r="AL907" s="44"/>
      <c r="AM907" s="8"/>
      <c r="AN907" s="8"/>
      <c r="AO907" s="8"/>
      <c r="AP907" s="8"/>
      <c r="AQ907" s="8"/>
      <c r="AR907" s="8"/>
      <c r="AS907" s="8"/>
      <c r="AT907" s="46"/>
      <c r="AU907" s="8"/>
      <c r="AV907" s="8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4"/>
      <c r="BV907" s="4"/>
    </row>
    <row r="908" spans="1:74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28"/>
      <c r="AF908" s="4"/>
      <c r="AG908" s="4"/>
      <c r="AH908" s="4"/>
      <c r="AI908" s="4"/>
      <c r="AJ908" s="4"/>
      <c r="AK908" s="4"/>
      <c r="AL908" s="44"/>
      <c r="AM908" s="8"/>
      <c r="AN908" s="8"/>
      <c r="AO908" s="8"/>
      <c r="AP908" s="8"/>
      <c r="AQ908" s="8"/>
      <c r="AR908" s="8"/>
      <c r="AS908" s="8"/>
      <c r="AT908" s="46"/>
      <c r="AU908" s="8"/>
      <c r="AV908" s="8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4"/>
      <c r="BV908" s="4"/>
    </row>
    <row r="909" spans="1:74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28"/>
      <c r="AF909" s="4"/>
      <c r="AG909" s="4"/>
      <c r="AH909" s="4"/>
      <c r="AI909" s="4"/>
      <c r="AJ909" s="4"/>
      <c r="AK909" s="4"/>
      <c r="AL909" s="44"/>
      <c r="AM909" s="8"/>
      <c r="AN909" s="8"/>
      <c r="AO909" s="8"/>
      <c r="AP909" s="8"/>
      <c r="AQ909" s="8"/>
      <c r="AR909" s="8"/>
      <c r="AS909" s="8"/>
      <c r="AT909" s="46"/>
      <c r="AU909" s="8"/>
      <c r="AV909" s="8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4"/>
      <c r="BV909" s="4"/>
    </row>
    <row r="910" spans="1:74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28"/>
      <c r="AF910" s="4"/>
      <c r="AG910" s="4"/>
      <c r="AH910" s="4"/>
      <c r="AI910" s="4"/>
      <c r="AJ910" s="4"/>
      <c r="AK910" s="4"/>
      <c r="AL910" s="44"/>
      <c r="AM910" s="8"/>
      <c r="AN910" s="8"/>
      <c r="AO910" s="8"/>
      <c r="AP910" s="8"/>
      <c r="AQ910" s="8"/>
      <c r="AR910" s="8"/>
      <c r="AS910" s="8"/>
      <c r="AT910" s="46"/>
      <c r="AU910" s="8"/>
      <c r="AV910" s="8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4"/>
      <c r="BV910" s="4"/>
    </row>
    <row r="911" spans="1:74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28"/>
      <c r="AF911" s="4"/>
      <c r="AG911" s="4"/>
      <c r="AH911" s="4"/>
      <c r="AI911" s="4"/>
      <c r="AJ911" s="4"/>
      <c r="AK911" s="4"/>
      <c r="AL911" s="44"/>
      <c r="AM911" s="8"/>
      <c r="AN911" s="8"/>
      <c r="AO911" s="8"/>
      <c r="AP911" s="8"/>
      <c r="AQ911" s="8"/>
      <c r="AR911" s="8"/>
      <c r="AS911" s="8"/>
      <c r="AT911" s="46"/>
      <c r="AU911" s="8"/>
      <c r="AV911" s="8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4"/>
      <c r="BV911" s="4"/>
    </row>
    <row r="912" spans="1:74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28"/>
      <c r="AF912" s="4"/>
      <c r="AG912" s="4"/>
      <c r="AH912" s="4"/>
      <c r="AI912" s="4"/>
      <c r="AJ912" s="4"/>
      <c r="AK912" s="4"/>
      <c r="AL912" s="44"/>
      <c r="AM912" s="8"/>
      <c r="AN912" s="8"/>
      <c r="AO912" s="8"/>
      <c r="AP912" s="8"/>
      <c r="AQ912" s="8"/>
      <c r="AR912" s="8"/>
      <c r="AS912" s="8"/>
      <c r="AT912" s="46"/>
      <c r="AU912" s="8"/>
      <c r="AV912" s="8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4"/>
      <c r="BV912" s="4"/>
    </row>
    <row r="913" spans="1:74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28"/>
      <c r="AF913" s="4"/>
      <c r="AG913" s="4"/>
      <c r="AH913" s="4"/>
      <c r="AI913" s="4"/>
      <c r="AJ913" s="4"/>
      <c r="AK913" s="4"/>
      <c r="AL913" s="44"/>
      <c r="AM913" s="8"/>
      <c r="AN913" s="8"/>
      <c r="AO913" s="8"/>
      <c r="AP913" s="8"/>
      <c r="AQ913" s="8"/>
      <c r="AR913" s="8"/>
      <c r="AS913" s="8"/>
      <c r="AT913" s="46"/>
      <c r="AU913" s="8"/>
      <c r="AV913" s="8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4"/>
      <c r="BV913" s="4"/>
    </row>
    <row r="914" spans="1:74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28"/>
      <c r="AF914" s="4"/>
      <c r="AG914" s="4"/>
      <c r="AH914" s="4"/>
      <c r="AI914" s="4"/>
      <c r="AJ914" s="4"/>
      <c r="AK914" s="4"/>
      <c r="AL914" s="44"/>
      <c r="AM914" s="8"/>
      <c r="AN914" s="8"/>
      <c r="AO914" s="8"/>
      <c r="AP914" s="8"/>
      <c r="AQ914" s="8"/>
      <c r="AR914" s="8"/>
      <c r="AS914" s="8"/>
      <c r="AT914" s="46"/>
      <c r="AU914" s="8"/>
      <c r="AV914" s="8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4"/>
      <c r="BV914" s="4"/>
    </row>
    <row r="915" spans="1:74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28"/>
      <c r="AF915" s="4"/>
      <c r="AG915" s="4"/>
      <c r="AH915" s="4"/>
      <c r="AI915" s="4"/>
      <c r="AJ915" s="4"/>
      <c r="AK915" s="4"/>
      <c r="AL915" s="44"/>
      <c r="AM915" s="8"/>
      <c r="AN915" s="8"/>
      <c r="AO915" s="8"/>
      <c r="AP915" s="8"/>
      <c r="AQ915" s="8"/>
      <c r="AR915" s="8"/>
      <c r="AS915" s="8"/>
      <c r="AT915" s="46"/>
      <c r="AU915" s="8"/>
      <c r="AV915" s="8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4"/>
      <c r="BV915" s="4"/>
    </row>
    <row r="916" spans="1:74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28"/>
      <c r="AF916" s="4"/>
      <c r="AG916" s="4"/>
      <c r="AH916" s="4"/>
      <c r="AI916" s="4"/>
      <c r="AJ916" s="4"/>
      <c r="AK916" s="4"/>
      <c r="AL916" s="44"/>
      <c r="AM916" s="8"/>
      <c r="AN916" s="8"/>
      <c r="AO916" s="8"/>
      <c r="AP916" s="8"/>
      <c r="AQ916" s="8"/>
      <c r="AR916" s="8"/>
      <c r="AS916" s="8"/>
      <c r="AT916" s="46"/>
      <c r="AU916" s="8"/>
      <c r="AV916" s="8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4"/>
      <c r="BV916" s="4"/>
    </row>
    <row r="917" spans="1:74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28"/>
      <c r="AF917" s="4"/>
      <c r="AG917" s="4"/>
      <c r="AH917" s="4"/>
      <c r="AI917" s="4"/>
      <c r="AJ917" s="4"/>
      <c r="AK917" s="4"/>
      <c r="AL917" s="44"/>
      <c r="AM917" s="8"/>
      <c r="AN917" s="8"/>
      <c r="AO917" s="8"/>
      <c r="AP917" s="8"/>
      <c r="AQ917" s="8"/>
      <c r="AR917" s="8"/>
      <c r="AS917" s="8"/>
      <c r="AT917" s="46"/>
      <c r="AU917" s="8"/>
      <c r="AV917" s="8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4"/>
      <c r="BV917" s="4"/>
    </row>
    <row r="918" spans="1:74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28"/>
      <c r="AF918" s="4"/>
      <c r="AG918" s="4"/>
      <c r="AH918" s="4"/>
      <c r="AI918" s="4"/>
      <c r="AJ918" s="4"/>
      <c r="AK918" s="4"/>
      <c r="AL918" s="44"/>
      <c r="AM918" s="8"/>
      <c r="AN918" s="8"/>
      <c r="AO918" s="8"/>
      <c r="AP918" s="8"/>
      <c r="AQ918" s="8"/>
      <c r="AR918" s="8"/>
      <c r="AS918" s="8"/>
      <c r="AT918" s="46"/>
      <c r="AU918" s="8"/>
      <c r="AV918" s="8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4"/>
      <c r="BV918" s="4"/>
    </row>
    <row r="919" spans="1:74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28"/>
      <c r="AF919" s="4"/>
      <c r="AG919" s="4"/>
      <c r="AH919" s="4"/>
      <c r="AI919" s="4"/>
      <c r="AJ919" s="4"/>
      <c r="AK919" s="4"/>
      <c r="AL919" s="44"/>
      <c r="AM919" s="8"/>
      <c r="AN919" s="8"/>
      <c r="AO919" s="8"/>
      <c r="AP919" s="8"/>
      <c r="AQ919" s="8"/>
      <c r="AR919" s="8"/>
      <c r="AS919" s="8"/>
      <c r="AT919" s="46"/>
      <c r="AU919" s="8"/>
      <c r="AV919" s="8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4"/>
      <c r="BV919" s="4"/>
    </row>
    <row r="920" spans="1:74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28"/>
      <c r="AF920" s="4"/>
      <c r="AG920" s="4"/>
      <c r="AH920" s="4"/>
      <c r="AI920" s="4"/>
      <c r="AJ920" s="4"/>
      <c r="AK920" s="4"/>
      <c r="AL920" s="44"/>
      <c r="AM920" s="8"/>
      <c r="AN920" s="8"/>
      <c r="AO920" s="8"/>
      <c r="AP920" s="8"/>
      <c r="AQ920" s="8"/>
      <c r="AR920" s="8"/>
      <c r="AS920" s="8"/>
      <c r="AT920" s="46"/>
      <c r="AU920" s="8"/>
      <c r="AV920" s="8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4"/>
      <c r="BV920" s="4"/>
    </row>
    <row r="921" spans="1:74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28"/>
      <c r="AF921" s="4"/>
      <c r="AG921" s="4"/>
      <c r="AH921" s="4"/>
      <c r="AI921" s="4"/>
      <c r="AJ921" s="4"/>
      <c r="AK921" s="4"/>
      <c r="AL921" s="44"/>
      <c r="AM921" s="8"/>
      <c r="AN921" s="8"/>
      <c r="AO921" s="8"/>
      <c r="AP921" s="8"/>
      <c r="AQ921" s="8"/>
      <c r="AR921" s="8"/>
      <c r="AS921" s="8"/>
      <c r="AT921" s="46"/>
      <c r="AU921" s="8"/>
      <c r="AV921" s="8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4"/>
      <c r="BV921" s="4"/>
    </row>
    <row r="922" spans="1:74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28"/>
      <c r="AF922" s="4"/>
      <c r="AG922" s="4"/>
      <c r="AH922" s="4"/>
      <c r="AI922" s="4"/>
      <c r="AJ922" s="4"/>
      <c r="AK922" s="4"/>
      <c r="AL922" s="44"/>
      <c r="AM922" s="8"/>
      <c r="AN922" s="8"/>
      <c r="AO922" s="8"/>
      <c r="AP922" s="8"/>
      <c r="AQ922" s="8"/>
      <c r="AR922" s="8"/>
      <c r="AS922" s="8"/>
      <c r="AT922" s="46"/>
      <c r="AU922" s="8"/>
      <c r="AV922" s="8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4"/>
      <c r="BV922" s="4"/>
    </row>
    <row r="923" spans="1:74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28"/>
      <c r="AF923" s="4"/>
      <c r="AG923" s="4"/>
      <c r="AH923" s="4"/>
      <c r="AI923" s="4"/>
      <c r="AJ923" s="4"/>
      <c r="AK923" s="4"/>
      <c r="AL923" s="44"/>
      <c r="AM923" s="8"/>
      <c r="AN923" s="8"/>
      <c r="AO923" s="8"/>
      <c r="AP923" s="8"/>
      <c r="AQ923" s="8"/>
      <c r="AR923" s="8"/>
      <c r="AS923" s="8"/>
      <c r="AT923" s="46"/>
      <c r="AU923" s="8"/>
      <c r="AV923" s="8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4"/>
      <c r="BV923" s="4"/>
    </row>
    <row r="924" spans="1:74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28"/>
      <c r="AF924" s="4"/>
      <c r="AG924" s="4"/>
      <c r="AH924" s="4"/>
      <c r="AI924" s="4"/>
      <c r="AJ924" s="4"/>
      <c r="AK924" s="4"/>
      <c r="AL924" s="44"/>
      <c r="AM924" s="8"/>
      <c r="AN924" s="8"/>
      <c r="AO924" s="8"/>
      <c r="AP924" s="8"/>
      <c r="AQ924" s="8"/>
      <c r="AR924" s="8"/>
      <c r="AS924" s="8"/>
      <c r="AT924" s="46"/>
      <c r="AU924" s="8"/>
      <c r="AV924" s="8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4"/>
      <c r="BV924" s="4"/>
    </row>
    <row r="925" spans="1:74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28"/>
      <c r="AF925" s="4"/>
      <c r="AG925" s="4"/>
      <c r="AH925" s="4"/>
      <c r="AI925" s="4"/>
      <c r="AJ925" s="4"/>
      <c r="AK925" s="4"/>
      <c r="AL925" s="44"/>
      <c r="AM925" s="8"/>
      <c r="AN925" s="8"/>
      <c r="AO925" s="8"/>
      <c r="AP925" s="8"/>
      <c r="AQ925" s="8"/>
      <c r="AR925" s="8"/>
      <c r="AS925" s="8"/>
      <c r="AT925" s="46"/>
      <c r="AU925" s="8"/>
      <c r="AV925" s="8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4"/>
      <c r="BV925" s="4"/>
    </row>
    <row r="926" spans="1:74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28"/>
      <c r="AF926" s="4"/>
      <c r="AG926" s="4"/>
      <c r="AH926" s="4"/>
      <c r="AI926" s="4"/>
      <c r="AJ926" s="4"/>
      <c r="AK926" s="4"/>
      <c r="AL926" s="44"/>
      <c r="AM926" s="8"/>
      <c r="AN926" s="8"/>
      <c r="AO926" s="8"/>
      <c r="AP926" s="8"/>
      <c r="AQ926" s="8"/>
      <c r="AR926" s="8"/>
      <c r="AS926" s="8"/>
      <c r="AT926" s="46"/>
      <c r="AU926" s="8"/>
      <c r="AV926" s="8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4"/>
      <c r="BV926" s="4"/>
    </row>
    <row r="927" spans="1:74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28"/>
      <c r="AF927" s="4"/>
      <c r="AG927" s="4"/>
      <c r="AH927" s="4"/>
      <c r="AI927" s="4"/>
      <c r="AJ927" s="4"/>
      <c r="AK927" s="4"/>
      <c r="AL927" s="44"/>
      <c r="AM927" s="8"/>
      <c r="AN927" s="8"/>
      <c r="AO927" s="8"/>
      <c r="AP927" s="8"/>
      <c r="AQ927" s="8"/>
      <c r="AR927" s="8"/>
      <c r="AS927" s="8"/>
      <c r="AT927" s="46"/>
      <c r="AU927" s="8"/>
      <c r="AV927" s="8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4"/>
      <c r="BV927" s="4"/>
    </row>
    <row r="928" spans="1:74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28"/>
      <c r="AF928" s="4"/>
      <c r="AG928" s="4"/>
      <c r="AH928" s="4"/>
      <c r="AI928" s="4"/>
      <c r="AJ928" s="4"/>
      <c r="AK928" s="4"/>
      <c r="AL928" s="44"/>
      <c r="AM928" s="8"/>
      <c r="AN928" s="8"/>
      <c r="AO928" s="8"/>
      <c r="AP928" s="8"/>
      <c r="AQ928" s="8"/>
      <c r="AR928" s="8"/>
      <c r="AS928" s="8"/>
      <c r="AT928" s="46"/>
      <c r="AU928" s="8"/>
      <c r="AV928" s="8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4"/>
      <c r="BV928" s="4"/>
    </row>
    <row r="929" spans="1:74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28"/>
      <c r="AF929" s="4"/>
      <c r="AG929" s="4"/>
      <c r="AH929" s="4"/>
      <c r="AI929" s="4"/>
      <c r="AJ929" s="4"/>
      <c r="AK929" s="4"/>
      <c r="AL929" s="44"/>
      <c r="AM929" s="8"/>
      <c r="AN929" s="8"/>
      <c r="AO929" s="8"/>
      <c r="AP929" s="8"/>
      <c r="AQ929" s="8"/>
      <c r="AR929" s="8"/>
      <c r="AS929" s="8"/>
      <c r="AT929" s="46"/>
      <c r="AU929" s="8"/>
      <c r="AV929" s="8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4"/>
      <c r="BV929" s="4"/>
    </row>
    <row r="930" spans="1:74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28"/>
      <c r="AF930" s="4"/>
      <c r="AG930" s="4"/>
      <c r="AH930" s="4"/>
      <c r="AI930" s="4"/>
      <c r="AJ930" s="4"/>
      <c r="AK930" s="4"/>
      <c r="AL930" s="44"/>
      <c r="AM930" s="8"/>
      <c r="AN930" s="8"/>
      <c r="AO930" s="8"/>
      <c r="AP930" s="8"/>
      <c r="AQ930" s="8"/>
      <c r="AR930" s="8"/>
      <c r="AS930" s="8"/>
      <c r="AT930" s="46"/>
      <c r="AU930" s="8"/>
      <c r="AV930" s="8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4"/>
      <c r="BV930" s="4"/>
    </row>
    <row r="931" spans="1:74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28"/>
      <c r="AF931" s="4"/>
      <c r="AG931" s="4"/>
      <c r="AH931" s="4"/>
      <c r="AI931" s="4"/>
      <c r="AJ931" s="4"/>
      <c r="AK931" s="4"/>
      <c r="AL931" s="44"/>
      <c r="AM931" s="8"/>
      <c r="AN931" s="8"/>
      <c r="AO931" s="8"/>
      <c r="AP931" s="8"/>
      <c r="AQ931" s="8"/>
      <c r="AR931" s="8"/>
      <c r="AS931" s="8"/>
      <c r="AT931" s="46"/>
      <c r="AU931" s="8"/>
      <c r="AV931" s="8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4"/>
      <c r="BV931" s="4"/>
    </row>
    <row r="932" spans="1:74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28"/>
      <c r="AF932" s="4"/>
      <c r="AG932" s="4"/>
      <c r="AH932" s="4"/>
      <c r="AI932" s="4"/>
      <c r="AJ932" s="4"/>
      <c r="AK932" s="4"/>
      <c r="AL932" s="44"/>
      <c r="AM932" s="8"/>
      <c r="AN932" s="8"/>
      <c r="AO932" s="8"/>
      <c r="AP932" s="8"/>
      <c r="AQ932" s="8"/>
      <c r="AR932" s="8"/>
      <c r="AS932" s="8"/>
      <c r="AT932" s="46"/>
      <c r="AU932" s="8"/>
      <c r="AV932" s="8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4"/>
      <c r="BV932" s="4"/>
    </row>
    <row r="933" spans="1:74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28"/>
      <c r="AF933" s="4"/>
      <c r="AG933" s="4"/>
      <c r="AH933" s="4"/>
      <c r="AI933" s="4"/>
      <c r="AJ933" s="4"/>
      <c r="AK933" s="4"/>
      <c r="AL933" s="44"/>
      <c r="AM933" s="8"/>
      <c r="AN933" s="8"/>
      <c r="AO933" s="8"/>
      <c r="AP933" s="8"/>
      <c r="AQ933" s="8"/>
      <c r="AR933" s="8"/>
      <c r="AS933" s="8"/>
      <c r="AT933" s="46"/>
      <c r="AU933" s="8"/>
      <c r="AV933" s="8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4"/>
      <c r="BV933" s="4"/>
    </row>
    <row r="934" spans="1:74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28"/>
      <c r="AF934" s="4"/>
      <c r="AG934" s="4"/>
      <c r="AH934" s="4"/>
      <c r="AI934" s="4"/>
      <c r="AJ934" s="4"/>
      <c r="AK934" s="4"/>
      <c r="AL934" s="44"/>
      <c r="AM934" s="8"/>
      <c r="AN934" s="8"/>
      <c r="AO934" s="8"/>
      <c r="AP934" s="8"/>
      <c r="AQ934" s="8"/>
      <c r="AR934" s="8"/>
      <c r="AS934" s="8"/>
      <c r="AT934" s="46"/>
      <c r="AU934" s="8"/>
      <c r="AV934" s="8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4"/>
      <c r="BV934" s="4"/>
    </row>
    <row r="935" spans="1:74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28"/>
      <c r="AF935" s="4"/>
      <c r="AG935" s="4"/>
      <c r="AH935" s="4"/>
      <c r="AI935" s="4"/>
      <c r="AJ935" s="4"/>
      <c r="AK935" s="4"/>
      <c r="AL935" s="44"/>
      <c r="AM935" s="8"/>
      <c r="AN935" s="8"/>
      <c r="AO935" s="8"/>
      <c r="AP935" s="8"/>
      <c r="AQ935" s="8"/>
      <c r="AR935" s="8"/>
      <c r="AS935" s="8"/>
      <c r="AT935" s="46"/>
      <c r="AU935" s="8"/>
      <c r="AV935" s="8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4"/>
      <c r="BV935" s="4"/>
    </row>
    <row r="936" spans="1:74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28"/>
      <c r="AF936" s="4"/>
      <c r="AG936" s="4"/>
      <c r="AH936" s="4"/>
      <c r="AI936" s="4"/>
      <c r="AJ936" s="4"/>
      <c r="AK936" s="4"/>
      <c r="AL936" s="44"/>
      <c r="AM936" s="8"/>
      <c r="AN936" s="8"/>
      <c r="AO936" s="8"/>
      <c r="AP936" s="8"/>
      <c r="AQ936" s="8"/>
      <c r="AR936" s="8"/>
      <c r="AS936" s="8"/>
      <c r="AT936" s="46"/>
      <c r="AU936" s="8"/>
      <c r="AV936" s="8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4"/>
      <c r="BV936" s="4"/>
    </row>
    <row r="937" spans="1:74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28"/>
      <c r="AF937" s="4"/>
      <c r="AG937" s="4"/>
      <c r="AH937" s="4"/>
      <c r="AI937" s="4"/>
      <c r="AJ937" s="4"/>
      <c r="AK937" s="4"/>
      <c r="AL937" s="44"/>
      <c r="AM937" s="8"/>
      <c r="AN937" s="8"/>
      <c r="AO937" s="8"/>
      <c r="AP937" s="8"/>
      <c r="AQ937" s="8"/>
      <c r="AR937" s="8"/>
      <c r="AS937" s="8"/>
      <c r="AT937" s="46"/>
      <c r="AU937" s="8"/>
      <c r="AV937" s="8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4"/>
      <c r="BV937" s="4"/>
    </row>
    <row r="938" spans="1:74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28"/>
      <c r="AF938" s="4"/>
      <c r="AG938" s="4"/>
      <c r="AH938" s="4"/>
      <c r="AI938" s="4"/>
      <c r="AJ938" s="4"/>
      <c r="AK938" s="4"/>
      <c r="AL938" s="44"/>
      <c r="AM938" s="8"/>
      <c r="AN938" s="8"/>
      <c r="AO938" s="8"/>
      <c r="AP938" s="8"/>
      <c r="AQ938" s="8"/>
      <c r="AR938" s="8"/>
      <c r="AS938" s="8"/>
      <c r="AT938" s="46"/>
      <c r="AU938" s="8"/>
      <c r="AV938" s="8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4"/>
      <c r="BV938" s="4"/>
    </row>
    <row r="939" spans="1:74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28"/>
      <c r="AF939" s="4"/>
      <c r="AG939" s="4"/>
      <c r="AH939" s="4"/>
      <c r="AI939" s="4"/>
      <c r="AJ939" s="4"/>
      <c r="AK939" s="4"/>
      <c r="AL939" s="44"/>
      <c r="AM939" s="8"/>
      <c r="AN939" s="8"/>
      <c r="AO939" s="8"/>
      <c r="AP939" s="8"/>
      <c r="AQ939" s="8"/>
      <c r="AR939" s="8"/>
      <c r="AS939" s="8"/>
      <c r="AT939" s="46"/>
      <c r="AU939" s="8"/>
      <c r="AV939" s="8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4"/>
      <c r="BV939" s="4"/>
    </row>
    <row r="940" spans="1:74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28"/>
      <c r="AF940" s="4"/>
      <c r="AG940" s="4"/>
      <c r="AH940" s="4"/>
      <c r="AI940" s="4"/>
      <c r="AJ940" s="4"/>
      <c r="AK940" s="4"/>
      <c r="AL940" s="44"/>
      <c r="AM940" s="8"/>
      <c r="AN940" s="8"/>
      <c r="AO940" s="8"/>
      <c r="AP940" s="8"/>
      <c r="AQ940" s="8"/>
      <c r="AR940" s="8"/>
      <c r="AS940" s="8"/>
      <c r="AT940" s="46"/>
      <c r="AU940" s="8"/>
      <c r="AV940" s="8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4"/>
      <c r="BV940" s="4"/>
    </row>
    <row r="941" spans="1:74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28"/>
      <c r="AF941" s="4"/>
      <c r="AG941" s="4"/>
      <c r="AH941" s="4"/>
      <c r="AI941" s="4"/>
      <c r="AJ941" s="4"/>
      <c r="AK941" s="4"/>
      <c r="AL941" s="44"/>
      <c r="AM941" s="8"/>
      <c r="AN941" s="8"/>
      <c r="AO941" s="8"/>
      <c r="AP941" s="8"/>
      <c r="AQ941" s="8"/>
      <c r="AR941" s="8"/>
      <c r="AS941" s="8"/>
      <c r="AT941" s="46"/>
      <c r="AU941" s="8"/>
      <c r="AV941" s="8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4"/>
      <c r="BV941" s="4"/>
    </row>
    <row r="942" spans="1:74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28"/>
      <c r="AF942" s="4"/>
      <c r="AG942" s="4"/>
      <c r="AH942" s="4"/>
      <c r="AI942" s="4"/>
      <c r="AJ942" s="4"/>
      <c r="AK942" s="4"/>
      <c r="AL942" s="44"/>
      <c r="AM942" s="8"/>
      <c r="AN942" s="8"/>
      <c r="AO942" s="8"/>
      <c r="AP942" s="8"/>
      <c r="AQ942" s="8"/>
      <c r="AR942" s="8"/>
      <c r="AS942" s="8"/>
      <c r="AT942" s="46"/>
      <c r="AU942" s="8"/>
      <c r="AV942" s="8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4"/>
      <c r="BV942" s="4"/>
    </row>
    <row r="943" spans="1:74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28"/>
      <c r="AF943" s="4"/>
      <c r="AG943" s="4"/>
      <c r="AH943" s="4"/>
      <c r="AI943" s="4"/>
      <c r="AJ943" s="4"/>
      <c r="AK943" s="4"/>
      <c r="AL943" s="44"/>
      <c r="AM943" s="8"/>
      <c r="AN943" s="8"/>
      <c r="AO943" s="8"/>
      <c r="AP943" s="8"/>
      <c r="AQ943" s="8"/>
      <c r="AR943" s="8"/>
      <c r="AS943" s="8"/>
      <c r="AT943" s="46"/>
      <c r="AU943" s="8"/>
      <c r="AV943" s="8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4"/>
      <c r="BV943" s="4"/>
    </row>
    <row r="944" spans="1:74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28"/>
      <c r="AF944" s="4"/>
      <c r="AG944" s="4"/>
      <c r="AH944" s="4"/>
      <c r="AI944" s="4"/>
      <c r="AJ944" s="4"/>
      <c r="AK944" s="4"/>
      <c r="AL944" s="44"/>
      <c r="AM944" s="8"/>
      <c r="AN944" s="8"/>
      <c r="AO944" s="8"/>
      <c r="AP944" s="8"/>
      <c r="AQ944" s="8"/>
      <c r="AR944" s="8"/>
      <c r="AS944" s="8"/>
      <c r="AT944" s="46"/>
      <c r="AU944" s="8"/>
      <c r="AV944" s="8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4"/>
      <c r="BV944" s="4"/>
    </row>
    <row r="945" spans="1:74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28"/>
      <c r="AF945" s="4"/>
      <c r="AG945" s="4"/>
      <c r="AH945" s="4"/>
      <c r="AI945" s="4"/>
      <c r="AJ945" s="4"/>
      <c r="AK945" s="4"/>
      <c r="AL945" s="44"/>
      <c r="AM945" s="8"/>
      <c r="AN945" s="8"/>
      <c r="AO945" s="8"/>
      <c r="AP945" s="8"/>
      <c r="AQ945" s="8"/>
      <c r="AR945" s="8"/>
      <c r="AS945" s="8"/>
      <c r="AT945" s="46"/>
      <c r="AU945" s="8"/>
      <c r="AV945" s="8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4"/>
      <c r="BV945" s="4"/>
    </row>
    <row r="946" spans="1:74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28"/>
      <c r="AF946" s="4"/>
      <c r="AG946" s="4"/>
      <c r="AH946" s="4"/>
      <c r="AI946" s="4"/>
      <c r="AJ946" s="4"/>
      <c r="AK946" s="4"/>
      <c r="AL946" s="44"/>
      <c r="AM946" s="8"/>
      <c r="AN946" s="8"/>
      <c r="AO946" s="8"/>
      <c r="AP946" s="8"/>
      <c r="AQ946" s="8"/>
      <c r="AR946" s="8"/>
      <c r="AS946" s="8"/>
      <c r="AT946" s="46"/>
      <c r="AU946" s="8"/>
      <c r="AV946" s="8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4"/>
      <c r="BV946" s="4"/>
    </row>
    <row r="947" spans="1:74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28"/>
      <c r="AF947" s="4"/>
      <c r="AG947" s="4"/>
      <c r="AH947" s="4"/>
      <c r="AI947" s="4"/>
      <c r="AJ947" s="4"/>
      <c r="AK947" s="4"/>
      <c r="AL947" s="44"/>
      <c r="AM947" s="8"/>
      <c r="AN947" s="8"/>
      <c r="AO947" s="8"/>
      <c r="AP947" s="8"/>
      <c r="AQ947" s="8"/>
      <c r="AR947" s="8"/>
      <c r="AS947" s="8"/>
      <c r="AT947" s="46"/>
      <c r="AU947" s="8"/>
      <c r="AV947" s="8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4"/>
      <c r="BV947" s="4"/>
    </row>
    <row r="948" spans="1:74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28"/>
      <c r="AF948" s="4"/>
      <c r="AG948" s="4"/>
      <c r="AH948" s="4"/>
      <c r="AI948" s="4"/>
      <c r="AJ948" s="4"/>
      <c r="AK948" s="4"/>
      <c r="AL948" s="44"/>
      <c r="AM948" s="8"/>
      <c r="AN948" s="8"/>
      <c r="AO948" s="8"/>
      <c r="AP948" s="8"/>
      <c r="AQ948" s="8"/>
      <c r="AR948" s="8"/>
      <c r="AS948" s="8"/>
      <c r="AT948" s="46"/>
      <c r="AU948" s="8"/>
      <c r="AV948" s="8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4"/>
      <c r="BV948" s="4"/>
    </row>
    <row r="949" spans="1:74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28"/>
      <c r="AF949" s="4"/>
      <c r="AG949" s="4"/>
      <c r="AH949" s="4"/>
      <c r="AI949" s="4"/>
      <c r="AJ949" s="4"/>
      <c r="AK949" s="4"/>
      <c r="AL949" s="44"/>
      <c r="AM949" s="8"/>
      <c r="AN949" s="8"/>
      <c r="AO949" s="8"/>
      <c r="AP949" s="8"/>
      <c r="AQ949" s="8"/>
      <c r="AR949" s="8"/>
      <c r="AS949" s="8"/>
      <c r="AT949" s="46"/>
      <c r="AU949" s="8"/>
      <c r="AV949" s="8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4"/>
      <c r="BV949" s="4"/>
    </row>
    <row r="950" spans="1:74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28"/>
      <c r="AF950" s="4"/>
      <c r="AG950" s="4"/>
      <c r="AH950" s="4"/>
      <c r="AI950" s="4"/>
      <c r="AJ950" s="4"/>
      <c r="AK950" s="4"/>
      <c r="AL950" s="44"/>
      <c r="AM950" s="8"/>
      <c r="AN950" s="8"/>
      <c r="AO950" s="8"/>
      <c r="AP950" s="8"/>
      <c r="AQ950" s="8"/>
      <c r="AR950" s="8"/>
      <c r="AS950" s="8"/>
      <c r="AT950" s="46"/>
      <c r="AU950" s="8"/>
      <c r="AV950" s="8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4"/>
      <c r="BV950" s="4"/>
    </row>
    <row r="951" spans="1:74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28"/>
      <c r="AF951" s="4"/>
      <c r="AG951" s="4"/>
      <c r="AH951" s="4"/>
      <c r="AI951" s="4"/>
      <c r="AJ951" s="4"/>
      <c r="AK951" s="4"/>
      <c r="AL951" s="44"/>
      <c r="AM951" s="8"/>
      <c r="AN951" s="8"/>
      <c r="AO951" s="8"/>
      <c r="AP951" s="8"/>
      <c r="AQ951" s="8"/>
      <c r="AR951" s="8"/>
      <c r="AS951" s="8"/>
      <c r="AT951" s="46"/>
      <c r="AU951" s="8"/>
      <c r="AV951" s="8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4"/>
      <c r="BV951" s="4"/>
    </row>
    <row r="952" spans="1:74" s="16" customFormat="1" x14ac:dyDescent="0.25">
      <c r="A952" s="26"/>
      <c r="B952" s="6"/>
      <c r="C952" s="7"/>
      <c r="D952" s="7"/>
      <c r="E952" s="7"/>
      <c r="F952" s="7"/>
      <c r="G952" s="7"/>
      <c r="H952" s="7"/>
      <c r="I952" s="4"/>
      <c r="J952" s="7"/>
      <c r="K952" s="7"/>
      <c r="L952" s="7"/>
      <c r="M952" s="7"/>
      <c r="N952" s="4"/>
      <c r="O952" s="4"/>
      <c r="P952" s="4"/>
      <c r="Q952" s="4"/>
      <c r="R952" s="4"/>
      <c r="S952" s="7"/>
      <c r="T952" s="7"/>
      <c r="U952" s="7"/>
      <c r="V952" s="7"/>
      <c r="W952" s="7"/>
      <c r="X952" s="7"/>
      <c r="Y952" s="4"/>
      <c r="Z952" s="4"/>
      <c r="AA952" s="4"/>
      <c r="AB952" s="4"/>
      <c r="AC952" s="4"/>
      <c r="AD952" s="4"/>
      <c r="AE952" s="28"/>
      <c r="AF952" s="4"/>
      <c r="AG952" s="4"/>
      <c r="AH952" s="4"/>
      <c r="AI952" s="4"/>
      <c r="AJ952" s="4"/>
      <c r="AK952" s="4"/>
      <c r="AL952" s="44"/>
      <c r="AM952" s="8"/>
      <c r="AN952" s="8"/>
      <c r="AO952" s="8"/>
      <c r="AP952" s="8"/>
      <c r="AQ952" s="8"/>
      <c r="AR952" s="8"/>
      <c r="AS952" s="8"/>
      <c r="AT952" s="46"/>
      <c r="AU952" s="8"/>
      <c r="AV952" s="8"/>
      <c r="AW952" s="8"/>
      <c r="AX952" s="8"/>
      <c r="AY952" s="8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  <c r="BS952" s="8"/>
      <c r="BT952" s="8"/>
      <c r="BU952" s="4"/>
      <c r="BV952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Leathers!$A$2:$A$100</xm:f>
          </x14:formula1>
          <xm:sqref>AU192:AU1048576 AU187 AE2:AE191</xm:sqref>
        </x14:dataValidation>
        <x14:dataValidation type="list" allowBlank="1" showInputMessage="1" showErrorMessage="1" xr:uid="{4DC84553-A26B-423A-B797-F1F5985274F8}">
          <x14:formula1>
            <xm:f>Groups!$A$2:$A$71</xm:f>
          </x14:formula1>
          <xm:sqref>E2:E166 E183:E191 E181 E177 E174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zoomScale="87" zoomScaleNormal="87" workbookViewId="0">
      <pane xSplit="1" ySplit="1" topLeftCell="AM165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AW168" sqref="AW168"/>
    </sheetView>
  </sheetViews>
  <sheetFormatPr defaultRowHeight="15" x14ac:dyDescent="0.25"/>
  <cols>
    <col min="1" max="1" width="20.5703125" style="5" bestFit="1" customWidth="1"/>
    <col min="2" max="2" width="33.42578125" style="5" bestFit="1" customWidth="1"/>
    <col min="3" max="3" width="32.85546875" style="4" bestFit="1" customWidth="1"/>
    <col min="4" max="4" width="39.42578125" style="4" bestFit="1" customWidth="1"/>
    <col min="5" max="5" width="21" style="4" bestFit="1" customWidth="1"/>
    <col min="6" max="6" width="25.85546875" style="4" bestFit="1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28.710937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0.5703125" style="2" bestFit="1" customWidth="1"/>
    <col min="76" max="76" width="167.85546875" style="2" bestFit="1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311</v>
      </c>
      <c r="D1" s="29" t="s">
        <v>881</v>
      </c>
      <c r="E1" s="29" t="s">
        <v>426</v>
      </c>
      <c r="F1" s="29" t="s">
        <v>459</v>
      </c>
      <c r="G1" s="29" t="s">
        <v>1281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448</v>
      </c>
      <c r="O1" s="30" t="s">
        <v>449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660</v>
      </c>
      <c r="V1" s="29" t="s">
        <v>661</v>
      </c>
      <c r="W1" s="29" t="s">
        <v>669</v>
      </c>
      <c r="X1" s="31" t="s">
        <v>273</v>
      </c>
      <c r="Y1" s="29" t="s">
        <v>274</v>
      </c>
      <c r="Z1" s="29" t="s">
        <v>662</v>
      </c>
      <c r="AA1" s="29" t="s">
        <v>663</v>
      </c>
      <c r="AB1" s="29" t="s">
        <v>670</v>
      </c>
      <c r="AC1" s="29" t="s">
        <v>664</v>
      </c>
      <c r="AD1" s="31" t="s">
        <v>10</v>
      </c>
      <c r="AE1" s="29" t="s">
        <v>11</v>
      </c>
      <c r="AF1" s="29" t="s">
        <v>665</v>
      </c>
      <c r="AG1" s="29" t="s">
        <v>666</v>
      </c>
      <c r="AH1" s="29" t="s">
        <v>671</v>
      </c>
      <c r="AI1" s="31" t="s">
        <v>12</v>
      </c>
      <c r="AJ1" s="29" t="s">
        <v>13</v>
      </c>
      <c r="AK1" s="29" t="s">
        <v>667</v>
      </c>
      <c r="AL1" s="29" t="s">
        <v>668</v>
      </c>
      <c r="AM1" s="29" t="s">
        <v>673</v>
      </c>
      <c r="AN1" s="30" t="s">
        <v>303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312</v>
      </c>
      <c r="AX1" s="30" t="s">
        <v>313</v>
      </c>
      <c r="AY1" s="30" t="s">
        <v>406</v>
      </c>
      <c r="AZ1" s="30" t="s">
        <v>24</v>
      </c>
      <c r="BA1" s="30" t="s">
        <v>1383</v>
      </c>
      <c r="BB1" s="30" t="s">
        <v>674</v>
      </c>
      <c r="BC1" s="30" t="s">
        <v>676</v>
      </c>
      <c r="BD1" s="30" t="s">
        <v>25</v>
      </c>
      <c r="BE1" s="30" t="s">
        <v>26</v>
      </c>
      <c r="BF1" s="30" t="s">
        <v>314</v>
      </c>
      <c r="BG1" s="30" t="s">
        <v>315</v>
      </c>
      <c r="BH1" s="30" t="s">
        <v>854</v>
      </c>
      <c r="BI1" s="30" t="s">
        <v>316</v>
      </c>
      <c r="BJ1" s="30" t="s">
        <v>317</v>
      </c>
      <c r="BK1" s="30" t="s">
        <v>27</v>
      </c>
      <c r="BL1" s="30" t="s">
        <v>318</v>
      </c>
      <c r="BM1" s="30" t="s">
        <v>632</v>
      </c>
      <c r="BN1" s="30" t="s">
        <v>633</v>
      </c>
      <c r="BO1" s="30" t="s">
        <v>675</v>
      </c>
      <c r="BP1" s="30" t="s">
        <v>679</v>
      </c>
      <c r="BQ1" s="30" t="s">
        <v>631</v>
      </c>
      <c r="BR1" s="30" t="s">
        <v>29</v>
      </c>
      <c r="BS1" s="30" t="s">
        <v>28</v>
      </c>
      <c r="BT1" s="30" t="s">
        <v>319</v>
      </c>
      <c r="BU1" s="30" t="s">
        <v>428</v>
      </c>
      <c r="BV1" s="30" t="s">
        <v>885</v>
      </c>
      <c r="BW1" s="30" t="s">
        <v>411</v>
      </c>
      <c r="BX1" s="30" t="s">
        <v>879</v>
      </c>
      <c r="BY1" s="30" t="s">
        <v>681</v>
      </c>
      <c r="BZ1" s="30" t="s">
        <v>31</v>
      </c>
      <c r="CA1" s="30" t="s">
        <v>32</v>
      </c>
      <c r="CB1" s="30" t="s">
        <v>856</v>
      </c>
      <c r="CC1" s="30" t="s">
        <v>860</v>
      </c>
      <c r="CD1" s="30" t="s">
        <v>857</v>
      </c>
      <c r="CE1" s="30" t="s">
        <v>858</v>
      </c>
      <c r="CF1" s="30" t="s">
        <v>859</v>
      </c>
      <c r="CG1" s="30" t="s">
        <v>861</v>
      </c>
      <c r="CH1" s="30" t="s">
        <v>862</v>
      </c>
      <c r="CI1" s="30" t="s">
        <v>1144</v>
      </c>
      <c r="CJ1" s="30" t="s">
        <v>1145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179</v>
      </c>
      <c r="C2" s="28" t="s">
        <v>180</v>
      </c>
      <c r="D2" s="28" t="s">
        <v>45</v>
      </c>
      <c r="E2" s="28" t="s">
        <v>427</v>
      </c>
      <c r="F2" s="28" t="s">
        <v>460</v>
      </c>
      <c r="G2" s="28" t="s">
        <v>685</v>
      </c>
      <c r="H2" s="2">
        <f>MROUND((
  (IF(AND(_xlfn.XLOOKUP(B2,'Base stats'!B:B,'Base stats'!AJ:AJ)=0,BI2="None",_xlfn.XLOOKUP(_xlfn.XLOOKUP(B2,'Base stats'!B:B,'Base stats'!E:E),Groups!A:A,Groups!B:B)=0), (18 + BR2 * 2.7) * 0.5,
    IF(AND(_xlfn.XLOOKUP(B2,'Base stats'!B:B,'Base stats'!AJ:AJ)=0,OR(AO2&lt;0.55,AND(BI2="Intermediate",_xlfn.XLOOKUP(_xlfn.XLOOKUP(B2,'Base stats'!B:B,'Base stats'!E:E),Groups!A:A,Groups!B:B)&lt;2))), (18 + BR2 * 2.7),
      IF(OR(BI2="Advanced",_xlfn.XLOOKUP(B2,'Base stats'!B:B,'Base stats'!AJ:AJ)=1,_xlfn.XLOOKUP(_xlfn.XLOOKUP(B2,'Base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IF(_xlfn.XLOOKUP(_xlfn.XLOOKUP(B2,'Base stats'!B:B,'Base stats'!E:E),Groups!A:A,Groups!C:C)="Untamable",1,IF(_xlfn.XLOOKUP(B2,'Base stats'!B:B,'Base stats'!AJ:AJ)=1,0.99,MIN(MROUND((1-0.6282*EXP(-0.459*AO2))*_xlfn.XLOOKUP(_xlfn.XLOOKUP(B2,'Base stats'!B:B,'Base stats'!E:E),Groups!A:A,Groups!C:C)*IF(_xlfn.XLOOKUP(B2,'Base stats'!B:B,'Base stats'!O:O)=1,0.5,IF(_xlfn.XLOOKUP(B2,'Base stats'!B:B,'Base stats'!O:O)=2,0,1)),0.05),0.985)))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IF(_xlfn.XLOOKUP(_xlfn.XLOOKUP(B2,'Base stats'!B:B,'Base stats'!E:E),Groups!A:A,Groups!L:L)=1,MIN(MROUND(_xlfn.XLOOKUP(B2,'Animals CE'!B:B,'Animals CE'!Z:Z)/2+0.05,0.05),200%),"No")</f>
        <v>No</v>
      </c>
      <c r="O2" s="8" t="str">
        <f>IF(_xlfn.XLOOKUP(_xlfn.XLOOKUP(B2,'Base stats'!B:B,'Base stats'!E:E),Groups!A:A,Groups!L:L)=1,MIN(MROUND(_xlfn.XLOOKUP(B2,'Animals CE'!B:B,'Animals CE'!AA:AA)/2+0.05,0.05),200%),"No")</f>
        <v>No</v>
      </c>
      <c r="P2" s="2" t="str">
        <f>_xlfn.XLOOKUP(B2,'Base stats'!B:B,'Base stats'!R:R)</f>
        <v>Standard</v>
      </c>
      <c r="Q2" s="13">
        <f>MROUND((LOG10(_xlfn.XLOOKUP(B2,'Base stats'!B:B,'Base stats'!AP:AP))*(AO2^0.5)+(_xlfn.XLOOKUP(B2,'Base stats'!B:B,'Base stats'!AP:AP)/1000)^(2/3)+_xlfn.XLOOKUP(B2,'Base stats'!B:B,'Base stats'!AY:AY)/2)+0.5,0.5)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stats'!AQ:AQ))*(AO2^0.5)+(_xlfn.XLOOKUP(B2,'Base stats'!B:B,'Base stats'!AQ:AQ)/1000)^(2/3)+_xlfn.XLOOKUP(B2,'Base stats'!B:B,'Base stats'!AY:AY))+_xlfn.XLOOKUP(B2,'Base stats'!B:B,'Base stats'!AW:AW)+0.5,0.5))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stats'!AS:AS))*(AO2^0.5)+(_xlfn.XLOOKUP(B2,'Base stats'!B:B,'Base stats'!AS:AS)/1000)^(2/3)+_xlfn.XLOOKUP(B2,'Base stats'!B:B,'Base stats'!AX:AX))+0.5+IF(_xlfn.XLOOKUP(_xlfn.XLOOKUP(B2,'Base stats'!B:B,'Base stats'!E:E),Groups!A:A,Groups!U:U)&lt;&gt;3,_xlfn.XLOOKUP(B2,'Base stats'!B:B,'Base stats'!AY:AY),0),0.5))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stats'!AR:AR)="No","No",MROUND((LOG10(_xlfn.XLOOKUP(B2,'Base stats'!B:B,'Base stats'!AR:AR))*(AO2^0.75)+(_xlfn.XLOOKUP(B2,'Base stats'!B:B,'Base stats'!AR:AR)/1000)^(2/3)+_xlfn.XLOOKUP(B2,'Base stats'!B:B,'Base stats'!AV:AV)+_xlfn.XLOOKUP(B2,'Base stats'!B:B,'Base stats'!AY:AY))+0.5,0.5))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stats'!AQ:AQ))*(AO2^0.75)+(_xlfn.XLOOKUP(B2,'Base stats'!B:B,'Base stats'!AQ:AQ)/1000)^(2/3)+_xlfn.XLOOKUP(B2,'Base stats'!B:B,'Base stats'!AW:AW)+_xlfn.XLOOKUP(B2,'Base stats'!B:B,'Base stats'!AY:AY))+0.5,0.5))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FrontRightPaw,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IFERROR(IF(_xlfn.XLOOKUP(B2,'Base stats'!B:B,'Base stats'!F:F)="Lay eggs","Lay eggs",MIN(20,MAX(5.5,ROUND(((_xlfn.XLOOKUP(B2,'Base stats'!B:B,'Base stats'!F:F)-25)*(14.5/615) + 5.5)*2,0)/2))),"Cannot breed")</f>
        <v>6.5</v>
      </c>
      <c r="AT2" s="8">
        <f>IF(OR(A2="Queen",A2="Larva",A2="Megachicken",A2="Megatardi",A2="Toxscorpion"),"No",IFERROR(MAX(IF(_xlfn.XLOOKUP(B2,'Base stats'!B:B,'Base stats'!G:G)&lt;0.5,0.2,0.3),MROUND(_xlfn.XLOOKUP(B2,'Base stats'!B:B,'Base stats'!G:G)/(365/60),0.2)),"Unknown"))</f>
        <v>0.8</v>
      </c>
      <c r="AU2" s="8">
        <f t="shared" ref="AU2:AU65" si="0"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_xlfn.XLOOKUP(B2,'Base stats'!B:B,'Base stats'!AF:AF)</f>
        <v>&lt;li&gt;Bear_Grizzly&lt;/li&gt;</v>
      </c>
      <c r="BB2" s="2" t="str">
        <f>_xlfn.XLOOKUP(B2,'Base stats'!B:B,'Base stats'!AE:AE)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stats'!Z:Z)=0),0,IF(OR(_xlfn.XLOOKUP(Animals!B2,'Base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stats'!AA:AA),0.005))</f>
        <v>0.1</v>
      </c>
      <c r="BE2" s="23">
        <f>MIN(1,MROUND(IF(AND(AO2&lt;0.5,_xlfn.XLOOKUP(B2,'Base stats'!B:B,'Base stats'!Z:Z)=0),0,IF(_xlfn.XLOOKUP(_xlfn.XLOOKUP(B2,'Base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stats'!AB:AB),0.005))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stats'!AL:AL)="Standard","No",MROUND((_xlfn.XLOOKUP(B2,'Base stats'!B:B,'Base stats'!AL:AL)/3.6)/I2,0.1))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stats'!AC:AC)&lt;&gt;"No",_xlfn.XLOOKUP(B2,'Base stats'!B:B,'Base stats'!AC:AC),"")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stats'!AC:AC)&lt;&gt;"No",_xlfn.XLOOKUP(B2,'Base stats'!B:B,'Base stats'!AC:AC),"")
  )
)</f>
        <v>AttackTarget</v>
      </c>
      <c r="BQ2" s="25">
        <f>IF(
   AND(
      'Base stats'!AL2="Standard",_xlfn.XLOOKUP(_xlfn.XLOOKUP(B2,'Base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stats'!AT:AT) * 1.8) * 2) * 2.5 + 10 + I2 * 2,5)+IF(_xlfn.XLOOKUP(B2,'Base stats'!B:B,'Base stats'!AI:AI)=1,50,0)</f>
        <v>250</v>
      </c>
      <c r="BS2" s="8">
        <f>MROUND(AO2 * 0.2 + AQ2 * 0.8,0.05)</f>
        <v>1.2000000000000002</v>
      </c>
      <c r="BT2" s="8" t="str">
        <f>_xlfn.XLOOKUP(B2,'Base stats'!B:B,'Base stats'!AD:AD)</f>
        <v>No</v>
      </c>
      <c r="BU2" s="2" t="str">
        <f>IF(AND(J2&lt;=0.95,OR(_xlfn.XLOOKUP(B2,'Base stats'!B:B,'Base stats'!AI:AI)=1,_xlfn.XLOOKUP(B2,'Base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stats'!AG:AG)=1,"true","false")</f>
        <v>false</v>
      </c>
      <c r="BW2" s="25" t="str">
        <f>IF(E2="BaseInsect","AnimalInsect",
IF(J2&gt;0.95,"AnimalExotic",
_xlfn.TEXTJOIN(", ",TRUE,
IF(OR(_xlfn.XLOOKUP(B2,'Base stats'!B:B,'Base stats'!AK:AK)=1,AND(_xlfn.XLOOKUP(B2,'Base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stats'!AI:AI)=1,AND(BI2&lt;&gt;"None",BR2&gt;=60),ISNUMBER(SEARCH("Attack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stats'!AH:AH)=1,"true","false")</f>
        <v>false</v>
      </c>
      <c r="BZ2" s="25">
        <f>IF(_xlfn.XLOOKUP(B2,'Base stats'!B:B,'Base stats'!N:N)=1,"No",MAX(0.01,MIN(MROUND(IF(OR(_xlfn.XLOOKUP(B2,'Base stats'!B:B,'Base stats'!AK:AK)=1,AND(BJ2="True",CC2="False")),POWER(10,3.47*LOG10(_xlfn.XLOOKUP(B2,'Base stats'!B:B,'Base stats'!C:C)*1000)^-0.96),POWER(10,4.15*LOG10(_xlfn.XLOOKUP(B2,'Base stats'!B:B,'Base stats'!C:C)*1000)^-0.73))*IF(OR(_xlfn.XLOOKUP(B2,'Base stats'!B:B,'Base stats'!AK:AK)=1,_xlfn.XLOOKUP(B2,'Base stats'!B:B,'Base stats'!AI:AI)=1),0.5,1)/100,0.025),1)))</f>
        <v>0.05</v>
      </c>
      <c r="CA2" s="25" t="str">
        <f>IF(P2="Standard","No",MAX(0.01,IF(_xlfn.XLOOKUP(B2,'Base stats'!B:B,'Base stats'!N:N)=0,MROUND(BZ2*P2,0.05),MIN(1,MAX(0.025,MROUND(IF(OR(CC2="true",AND(BJ2="false",BO2="false")),POWER(10,4.15*LOG10(_xlfn.XLOOKUP(B2,'Base stats'!B:B,'Base stats'!C:C)*1000)^-0.73),POWER(10,3.47*LOG10(_xlfn.XLOOKUP(B2,'Base stats'!B:B,'Base stats'!C:C)*1000)^-0.96))*IF(_xlfn.XLOOKUP(B2,'Base stats'!B:B,'Base stats'!AI:AI)=1,0.5,1)/100,0.025))))))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183</v>
      </c>
      <c r="C3" s="28" t="s">
        <v>683</v>
      </c>
      <c r="D3" s="28" t="s">
        <v>45</v>
      </c>
      <c r="E3" s="28" t="s">
        <v>427</v>
      </c>
      <c r="F3" s="28" t="s">
        <v>460</v>
      </c>
      <c r="G3" s="28" t="s">
        <v>685</v>
      </c>
      <c r="H3" s="2">
        <f>MROUND((
  (IF(AND(_xlfn.XLOOKUP(B3,'Base stats'!B:B,'Base stats'!AJ:AJ)=0,BI3="None",_xlfn.XLOOKUP(_xlfn.XLOOKUP(B3,'Base stats'!B:B,'Base stats'!E:E),Groups!A:A,Groups!B:B)=0), (18 + BR3 * 2.7) * 0.5,
    IF(AND(_xlfn.XLOOKUP(B3,'Base stats'!B:B,'Base stats'!AJ:AJ)=0,OR(AO3&lt;0.55,AND(BI3="Intermediate",_xlfn.XLOOKUP(_xlfn.XLOOKUP(B3,'Base stats'!B:B,'Base stats'!E:E),Groups!A:A,Groups!B:B)&lt;2))), (18 + BR3 * 2.7),
      IF(OR(BI3="Advanced",_xlfn.XLOOKUP(B3,'Base stats'!B:B,'Base stats'!AJ:AJ)=1,_xlfn.XLOOKUP(_xlfn.XLOOKUP(B3,'Base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IF(_xlfn.XLOOKUP(_xlfn.XLOOKUP(B3,'Base stats'!B:B,'Base stats'!E:E),Groups!A:A,Groups!C:C)="Untamable",1,IF(_xlfn.XLOOKUP(B3,'Base stats'!B:B,'Base stats'!AJ:AJ)=1,0.99,MIN(MROUND((1-0.6282*EXP(-0.459*AO3))*_xlfn.XLOOKUP(_xlfn.XLOOKUP(B3,'Base stats'!B:B,'Base stats'!E:E),Groups!A:A,Groups!C:C)*IF(_xlfn.XLOOKUP(B3,'Base stats'!B:B,'Base stats'!O:O)=1,0.5,IF(_xlfn.XLOOKUP(B3,'Base stats'!B:B,'Base stats'!O:O)=2,0,1)),0.05),0.985)))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IF(_xlfn.XLOOKUP(_xlfn.XLOOKUP(B3,'Base stats'!B:B,'Base stats'!E:E),Groups!A:A,Groups!L:L)=1,MIN(MROUND(_xlfn.XLOOKUP(B3,'Animals CE'!B:B,'Animals CE'!Z:Z)/2+0.05,0.05),200%),"No")</f>
        <v>No</v>
      </c>
      <c r="O3" s="8" t="str">
        <f>IF(_xlfn.XLOOKUP(_xlfn.XLOOKUP(B3,'Base stats'!B:B,'Base stats'!E:E),Groups!A:A,Groups!L:L)=1,MIN(MROUND(_xlfn.XLOOKUP(B3,'Animals CE'!B:B,'Animals CE'!AA:AA)/2+0.05,0.05),200%),"No")</f>
        <v>No</v>
      </c>
      <c r="P3" s="2" t="str">
        <f>_xlfn.XLOOKUP(B3,'Base stats'!B:B,'Base stats'!R:R)</f>
        <v>Standard</v>
      </c>
      <c r="Q3" s="13">
        <f>MROUND((LOG10(_xlfn.XLOOKUP(B3,'Base stats'!B:B,'Base stats'!AP:AP))*(AO3^0.5)+(_xlfn.XLOOKUP(B3,'Base stats'!B:B,'Base stats'!AP:AP)/1000)^(2/3)+_xlfn.XLOOKUP(B3,'Base stats'!B:B,'Base stats'!AY:AY)/2)+0.5,0.5)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stats'!AQ:AQ))*(AO3^0.5)+(_xlfn.XLOOKUP(B3,'Base stats'!B:B,'Base stats'!AQ:AQ)/1000)^(2/3)+_xlfn.XLOOKUP(B3,'Base stats'!B:B,'Base stats'!AY:AY))+_xlfn.XLOOKUP(B3,'Base stats'!B:B,'Base stats'!AW:AW)+0.5,0.5))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stats'!AS:AS))*(AO3^0.5)+(_xlfn.XLOOKUP(B3,'Base stats'!B:B,'Base stats'!AS:AS)/1000)^(2/3)+_xlfn.XLOOKUP(B3,'Base stats'!B:B,'Base stats'!AX:AX))+0.5+IF(_xlfn.XLOOKUP(_xlfn.XLOOKUP(B3,'Base stats'!B:B,'Base stats'!E:E),Groups!A:A,Groups!U:U)&lt;&gt;3,_xlfn.XLOOKUP(B3,'Base stats'!B:B,'Base stats'!AY:AY),0),0.5))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stats'!AR:AR)="No","No",MROUND((LOG10(_xlfn.XLOOKUP(B3,'Base stats'!B:B,'Base stats'!AR:AR))*(AO3^0.75)+(_xlfn.XLOOKUP(B3,'Base stats'!B:B,'Base stats'!AR:AR)/1000)^(2/3)+_xlfn.XLOOKUP(B3,'Base stats'!B:B,'Base stats'!AV:AV)+_xlfn.XLOOKUP(B3,'Base stats'!B:B,'Base stats'!AY:AY))+0.5,0.5))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stats'!AQ:AQ))*(AO3^0.75)+(_xlfn.XLOOKUP(B3,'Base stats'!B:B,'Base stats'!AQ:AQ)/1000)^(2/3)+_xlfn.XLOOKUP(B3,'Base stats'!B:B,'Base stats'!AW:AW)+_xlfn.XLOOKUP(B3,'Base stats'!B:B,'Base stats'!AY:AY))+0.5,0.5))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FrontRightPaw,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1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IFERROR(IF(_xlfn.XLOOKUP(B3,'Base stats'!B:B,'Base stats'!F:F)="Lay eggs","Lay eggs",MIN(20,MAX(5.5,ROUND(((_xlfn.XLOOKUP(B3,'Base stats'!B:B,'Base stats'!F:F)-25)*(14.5/615) + 5.5)*2,0)/2))),"Cannot breed")</f>
        <v>7.5</v>
      </c>
      <c r="AT3" s="8">
        <f>IF(OR(A3="Queen",A3="Larva",A3="Megachicken",A3="Megatardi",A3="Toxscorpion"),"No",IFERROR(MAX(IF(_xlfn.XLOOKUP(B3,'Base stats'!B:B,'Base stats'!G:G)&lt;0.5,0.2,0.3),MROUND(_xlfn.XLOOKUP(B3,'Base stats'!B:B,'Base stats'!G:G)/(365/60),0.2)),"Unknown"))</f>
        <v>0.60000000000000009</v>
      </c>
      <c r="AU3" s="8">
        <f t="shared" si="0"/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_xlfn.XLOOKUP(B3,'Base stats'!B:B,'Base stats'!AF:AF)</f>
        <v>No</v>
      </c>
      <c r="BB3" s="2" t="str">
        <f>_xlfn.XLOOKUP(B3,'Base stats'!B:B,'Base stats'!AE:AE)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stats'!Z:Z)=0),0,IF(OR(_xlfn.XLOOKUP(Animals!B3,'Base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stats'!AA:AA),0.005))</f>
        <v>0.1</v>
      </c>
      <c r="BE3" s="23">
        <f>MIN(1,MROUND(IF(AND(AO3&lt;0.5,_xlfn.XLOOKUP(B3,'Base stats'!B:B,'Base stats'!Z:Z)=0),0,IF(_xlfn.XLOOKUP(_xlfn.XLOOKUP(B3,'Base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stats'!AB:AB),0.005))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stats'!AL:AL)="Standard","No",MROUND((_xlfn.XLOOKUP(B3,'Base stats'!B:B,'Base stats'!AL:AL)/3.6)/I3,0.1))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stats'!AC:AC)&lt;&gt;"No",_xlfn.XLOOKUP(B3,'Base stats'!B:B,'Base stats'!AC:AC),"")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stats'!AC:AC)&lt;&gt;"No",_xlfn.XLOOKUP(B3,'Base stats'!B:B,'Base stats'!AC:AC),"")
  )
)</f>
        <v>AttackTarget, Forage</v>
      </c>
      <c r="BQ3" s="25">
        <f>IF(
   AND(
      'Base stats'!AL3="Standard",_xlfn.XLOOKUP(_xlfn.XLOOKUP(B3,'Base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stats'!AT:AT) * 1.8) * 2) * 2.5 + 10 + I3 * 2,5)+IF(_xlfn.XLOOKUP(B3,'Base stats'!B:B,'Base stats'!AI:AI)=1,50,0)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stats'!AD:AD)</f>
        <v>No</v>
      </c>
      <c r="BU3" s="2" t="str">
        <f>IF(AND(J3&lt;=0.95,OR(_xlfn.XLOOKUP(B3,'Base stats'!B:B,'Base stats'!AI:AI)=1,_xlfn.XLOOKUP(B3,'Base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stats'!AG:AG)=1,"true","false")</f>
        <v>false</v>
      </c>
      <c r="BW3" s="25" t="str">
        <f>IF(E3="BaseInsect","AnimalInsect",
IF(J3&gt;0.95,"AnimalExotic",
_xlfn.TEXTJOIN(", ",TRUE,
IF(OR(_xlfn.XLOOKUP(B3,'Base stats'!B:B,'Base stats'!AK:AK)=1,AND(_xlfn.XLOOKUP(B3,'Base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stats'!AI:AI)=1,AND(BI3&lt;&gt;"None",BR3&gt;=60),ISNUMBER(SEARCH("Attack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stats'!AH:AH)=1,"true","false")</f>
        <v>false</v>
      </c>
      <c r="BZ3" s="25">
        <f>IF(_xlfn.XLOOKUP(B3,'Base stats'!B:B,'Base stats'!N:N)=1,"No",MAX(0.01,MIN(MROUND(IF(OR(_xlfn.XLOOKUP(B3,'Base stats'!B:B,'Base stats'!AK:AK)=1,AND(BJ3="True",CC3="False")),POWER(10,3.47*LOG10(_xlfn.XLOOKUP(B3,'Base stats'!B:B,'Base stats'!C:C)*1000)^-0.96),POWER(10,4.15*LOG10(_xlfn.XLOOKUP(B3,'Base stats'!B:B,'Base stats'!C:C)*1000)^-0.73))*IF(OR(_xlfn.XLOOKUP(B3,'Base stats'!B:B,'Base stats'!AK:AK)=1,_xlfn.XLOOKUP(B3,'Base stats'!B:B,'Base stats'!AI:AI)=1),0.5,1)/100,0.025),1)))</f>
        <v>0.05</v>
      </c>
      <c r="CA3" s="25" t="str">
        <f>IF(P3="Standard","No",MAX(0.01,IF(_xlfn.XLOOKUP(B3,'Base stats'!B:B,'Base stats'!N:N)=0,MROUND(BZ3*P3,0.05),MIN(1,MAX(0.025,MROUND(IF(OR(CC3="true",AND(BJ3="false",BO3="false")),POWER(10,4.15*LOG10(_xlfn.XLOOKUP(B3,'Base stats'!B:B,'Base stats'!C:C)*1000)^-0.73),POWER(10,3.47*LOG10(_xlfn.XLOOKUP(B3,'Base stats'!B:B,'Base stats'!C:C)*1000)^-0.96))*IF(_xlfn.XLOOKUP(B3,'Base stats'!B:B,'Base stats'!AI:AI)=1,0.5,1)/100,0.025))))))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185</v>
      </c>
      <c r="C4" s="28" t="s">
        <v>684</v>
      </c>
      <c r="D4" s="28" t="s">
        <v>45</v>
      </c>
      <c r="E4" s="28" t="s">
        <v>685</v>
      </c>
      <c r="F4" s="28" t="s">
        <v>685</v>
      </c>
      <c r="G4" s="28" t="s">
        <v>685</v>
      </c>
      <c r="H4" s="2">
        <f>MROUND((
  (IF(AND(_xlfn.XLOOKUP(B4,'Base stats'!B:B,'Base stats'!AJ:AJ)=0,BI4="None",_xlfn.XLOOKUP(_xlfn.XLOOKUP(B4,'Base stats'!B:B,'Base stats'!E:E),Groups!A:A,Groups!B:B)=0), (18 + BR4 * 2.7) * 0.5,
    IF(AND(_xlfn.XLOOKUP(B4,'Base stats'!B:B,'Base stats'!AJ:AJ)=0,OR(AO4&lt;0.55,AND(BI4="Intermediate",_xlfn.XLOOKUP(_xlfn.XLOOKUP(B4,'Base stats'!B:B,'Base stats'!E:E),Groups!A:A,Groups!B:B)&lt;2))), (18 + BR4 * 2.7),
      IF(OR(BI4="Advanced",_xlfn.XLOOKUP(B4,'Base stats'!B:B,'Base stats'!AJ:AJ)=1,_xlfn.XLOOKUP(_xlfn.XLOOKUP(B4,'Base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IF(_xlfn.XLOOKUP(_xlfn.XLOOKUP(B4,'Base stats'!B:B,'Base stats'!E:E),Groups!A:A,Groups!C:C)="Untamable",1,IF(_xlfn.XLOOKUP(B4,'Base stats'!B:B,'Base stats'!AJ:AJ)=1,0.99,MIN(MROUND((1-0.6282*EXP(-0.459*AO4))*_xlfn.XLOOKUP(_xlfn.XLOOKUP(B4,'Base stats'!B:B,'Base stats'!E:E),Groups!A:A,Groups!C:C)*IF(_xlfn.XLOOKUP(B4,'Base stats'!B:B,'Base stats'!O:O)=1,0.5,IF(_xlfn.XLOOKUP(B4,'Base stats'!B:B,'Base stats'!O:O)=2,0,1)),0.05),0.985)))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IF(_xlfn.XLOOKUP(_xlfn.XLOOKUP(B4,'Base stats'!B:B,'Base stats'!E:E),Groups!A:A,Groups!L:L)=1,MIN(MROUND(_xlfn.XLOOKUP(B4,'Animals CE'!B:B,'Animals CE'!Z:Z)/2+0.05,0.05),200%),"No")</f>
        <v>No</v>
      </c>
      <c r="O4" s="8" t="str">
        <f>IF(_xlfn.XLOOKUP(_xlfn.XLOOKUP(B4,'Base stats'!B:B,'Base stats'!E:E),Groups!A:A,Groups!L:L)=1,MIN(MROUND(_xlfn.XLOOKUP(B4,'Animals CE'!B:B,'Animals CE'!AA:AA)/2+0.05,0.05),200%),"No")</f>
        <v>No</v>
      </c>
      <c r="P4" s="2">
        <f>_xlfn.XLOOKUP(B4,'Base stats'!B:B,'Base stats'!R:R)</f>
        <v>0.8</v>
      </c>
      <c r="Q4" s="13">
        <f>MROUND((LOG10(_xlfn.XLOOKUP(B4,'Base stats'!B:B,'Base stats'!AP:AP))*(AO4^0.5)+(_xlfn.XLOOKUP(B4,'Base stats'!B:B,'Base stats'!AP:AP)/1000)^(2/3)+_xlfn.XLOOKUP(B4,'Base stats'!B:B,'Base stats'!AY:AY)/2)+0.5,0.5)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stats'!AQ:AQ))*(AO4^0.5)+(_xlfn.XLOOKUP(B4,'Base stats'!B:B,'Base stats'!AQ:AQ)/1000)^(2/3)+_xlfn.XLOOKUP(B4,'Base stats'!B:B,'Base stats'!AY:AY))+_xlfn.XLOOKUP(B4,'Base stats'!B:B,'Base stats'!AW:AW)+0.5,0.5))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stats'!AS:AS))*(AO4^0.5)+(_xlfn.XLOOKUP(B4,'Base stats'!B:B,'Base stats'!AS:AS)/1000)^(2/3)+_xlfn.XLOOKUP(B4,'Base stats'!B:B,'Base stats'!AX:AX))+0.5+IF(_xlfn.XLOOKUP(_xlfn.XLOOKUP(B4,'Base stats'!B:B,'Base stats'!E:E),Groups!A:A,Groups!U:U)&lt;&gt;3,_xlfn.XLOOKUP(B4,'Base stats'!B:B,'Base stats'!AY:AY),0),0.5))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stats'!AR:AR)="No","No",MROUND((LOG10(_xlfn.XLOOKUP(B4,'Base stats'!B:B,'Base stats'!AR:AR))*(AO4^0.75)+(_xlfn.XLOOKUP(B4,'Base stats'!B:B,'Base stats'!AR:AR)/1000)^(2/3)+_xlfn.XLOOKUP(B4,'Base stats'!B:B,'Base stats'!AV:AV)+_xlfn.XLOOKUP(B4,'Base stats'!B:B,'Base stats'!AY:AY))+0.5,0.5))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stats'!AQ:AQ))*(AO4^0.75)+(_xlfn.XLOOKUP(B4,'Base stats'!B:B,'Base stats'!AQ:AQ)/1000)^(2/3)+_xlfn.XLOOKUP(B4,'Base stats'!B:B,'Base stats'!AW:AW)+_xlfn.XLOOKUP(B4,'Base stats'!B:B,'Base stats'!AY:AY))+0.5,0.5))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FrontRightPaw,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1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IFERROR(IF(_xlfn.XLOOKUP(B4,'Base stats'!B:B,'Base stats'!F:F)="Lay eggs","Lay eggs",MIN(20,MAX(5.5,ROUND(((_xlfn.XLOOKUP(B4,'Base stats'!B:B,'Base stats'!F:F)-25)*(14.5/615) + 5.5)*2,0)/2))),"Cannot breed")</f>
        <v>6.5</v>
      </c>
      <c r="AT4" s="8">
        <f>IF(OR(A4="Queen",A4="Larva",A4="Megachicken",A4="Megatardi",A4="Toxscorpion"),"No",IFERROR(MAX(IF(_xlfn.XLOOKUP(B4,'Base stats'!B:B,'Base stats'!G:G)&lt;0.5,0.2,0.3),MROUND(_xlfn.XLOOKUP(B4,'Base stats'!B:B,'Base stats'!G:G)/(365/60),0.2)),"Unknown"))</f>
        <v>0.3</v>
      </c>
      <c r="AU4" s="8">
        <f t="shared" si="0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_xlfn.XLOOKUP(B4,'Base stats'!B:B,'Base stats'!AF:AF)</f>
        <v>No</v>
      </c>
      <c r="BB4" s="2" t="str">
        <f>_xlfn.XLOOKUP(B4,'Base stats'!B:B,'Base stats'!AE:AE)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stats'!Z:Z)=0),0,IF(OR(_xlfn.XLOOKUP(Animals!B4,'Base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stats'!AA:AA),0.005))</f>
        <v>0</v>
      </c>
      <c r="BE4" s="23">
        <f>MIN(1,MROUND(IF(AND(AO4&lt;0.5,_xlfn.XLOOKUP(B4,'Base stats'!B:B,'Base stats'!Z:Z)=0),0,IF(_xlfn.XLOOKUP(_xlfn.XLOOKUP(B4,'Base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stats'!AB:AB),0.005))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stats'!AL:AL)="Standard","No",MROUND((_xlfn.XLOOKUP(B4,'Base stats'!B:B,'Base stats'!AL:AL)/3.6)/I4,0.1))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stats'!AC:AC)&lt;&gt;"No",_xlfn.XLOOKUP(B4,'Base stats'!B:B,'Base stats'!AC:AC),"")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stats'!AC:AC)&lt;&gt;"No",_xlfn.XLOOKUP(B4,'Base stats'!B:B,'Base stats'!AC:AC),"")
  )
)</f>
        <v>Forage, Comfort</v>
      </c>
      <c r="BQ4" s="25">
        <f>IF(
   AND(
      'Base stats'!AL4="Standard",_xlfn.XLOOKUP(_xlfn.XLOOKUP(B4,'Base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stats'!AT:AT) * 1.8) * 2) * 2.5 + 10 + I4 * 2,5)+IF(_xlfn.XLOOKUP(B4,'Base stats'!B:B,'Base stats'!AI:AI)=1,50,0)</f>
        <v>45</v>
      </c>
      <c r="BS4" s="8">
        <f t="shared" si="5"/>
        <v>0.30000000000000004</v>
      </c>
      <c r="BT4" s="8" t="str">
        <f>_xlfn.XLOOKUP(B4,'Base stats'!B:B,'Base stats'!AD:AD)</f>
        <v>No</v>
      </c>
      <c r="BU4" s="2" t="str">
        <f>IF(AND(J4&lt;=0.95,OR(_xlfn.XLOOKUP(B4,'Base stats'!B:B,'Base stats'!AI:AI)=1,_xlfn.XLOOKUP(B4,'Base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stats'!AG:AG)=1,"true","false")</f>
        <v>false</v>
      </c>
      <c r="BW4" s="25" t="str">
        <f>IF(E4="BaseInsect","AnimalInsect",
IF(J4&gt;0.95,"AnimalExotic",
_xlfn.TEXTJOIN(", ",TRUE,
IF(OR(_xlfn.XLOOKUP(B4,'Base stats'!B:B,'Base stats'!AK:AK)=1,AND(_xlfn.XLOOKUP(B4,'Base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stats'!AI:AI)=1,AND(BI4&lt;&gt;"None",BR4&gt;=60),ISNUMBER(SEARCH("Attack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stats'!AH:AH)=1,"true","false")</f>
        <v>false</v>
      </c>
      <c r="BZ4" s="25">
        <f>IF(_xlfn.XLOOKUP(B4,'Base stats'!B:B,'Base stats'!N:N)=1,"No",MAX(0.01,MIN(MROUND(IF(OR(_xlfn.XLOOKUP(B4,'Base stats'!B:B,'Base stats'!AK:AK)=1,AND(BJ4="True",CC4="False")),POWER(10,3.47*LOG10(_xlfn.XLOOKUP(B4,'Base stats'!B:B,'Base stats'!C:C)*1000)^-0.96),POWER(10,4.15*LOG10(_xlfn.XLOOKUP(B4,'Base stats'!B:B,'Base stats'!C:C)*1000)^-0.73))*IF(OR(_xlfn.XLOOKUP(B4,'Base stats'!B:B,'Base stats'!AK:AK)=1,_xlfn.XLOOKUP(B4,'Base stats'!B:B,'Base stats'!AI:AI)=1),0.5,1)/100,0.025),1)))</f>
        <v>0.375</v>
      </c>
      <c r="CA4" s="25">
        <f>IF(P4="Standard","No",MAX(0.01,IF(_xlfn.XLOOKUP(B4,'Base stats'!B:B,'Base stats'!N:N)=0,MROUND(BZ4*P4,0.05),MIN(1,MAX(0.025,MROUND(IF(OR(CC4="true",AND(BJ4="false",BO4="false")),POWER(10,4.15*LOG10(_xlfn.XLOOKUP(B4,'Base stats'!B:B,'Base stats'!C:C)*1000)^-0.73),POWER(10,3.47*LOG10(_xlfn.XLOOKUP(B4,'Base stats'!B:B,'Base stats'!C:C)*1000)^-0.96))*IF(_xlfn.XLOOKUP(B4,'Base stats'!B:B,'Base stats'!AI:AI)=1,0.5,1)/100,0.025))))))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686</v>
      </c>
      <c r="D5" s="28" t="s">
        <v>45</v>
      </c>
      <c r="E5" s="28" t="s">
        <v>687</v>
      </c>
      <c r="F5" s="28" t="s">
        <v>688</v>
      </c>
      <c r="G5" s="28" t="s">
        <v>685</v>
      </c>
      <c r="H5" s="2">
        <f>MROUND((
  (IF(AND(_xlfn.XLOOKUP(B5,'Base stats'!B:B,'Base stats'!AJ:AJ)=0,BI5="None",_xlfn.XLOOKUP(_xlfn.XLOOKUP(B5,'Base stats'!B:B,'Base stats'!E:E),Groups!A:A,Groups!B:B)=0), (18 + BR5 * 2.7) * 0.5,
    IF(AND(_xlfn.XLOOKUP(B5,'Base stats'!B:B,'Base stats'!AJ:AJ)=0,OR(AO5&lt;0.55,AND(BI5="Intermediate",_xlfn.XLOOKUP(_xlfn.XLOOKUP(B5,'Base stats'!B:B,'Base stats'!E:E),Groups!A:A,Groups!B:B)&lt;2))), (18 + BR5 * 2.7),
      IF(OR(BI5="Advanced",_xlfn.XLOOKUP(B5,'Base stats'!B:B,'Base stats'!AJ:AJ)=1,_xlfn.XLOOKUP(_xlfn.XLOOKUP(B5,'Base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IF(_xlfn.XLOOKUP(_xlfn.XLOOKUP(B5,'Base stats'!B:B,'Base stats'!E:E),Groups!A:A,Groups!C:C)="Untamable",1,IF(_xlfn.XLOOKUP(B5,'Base stats'!B:B,'Base stats'!AJ:AJ)=1,0.99,MIN(MROUND((1-0.6282*EXP(-0.459*AO5))*_xlfn.XLOOKUP(_xlfn.XLOOKUP(B5,'Base stats'!B:B,'Base stats'!E:E),Groups!A:A,Groups!C:C)*IF(_xlfn.XLOOKUP(B5,'Base stats'!B:B,'Base stats'!O:O)=1,0.5,IF(_xlfn.XLOOKUP(B5,'Base stats'!B:B,'Base stats'!O:O)=2,0,1)),0.05),0.985)))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IF(_xlfn.XLOOKUP(_xlfn.XLOOKUP(B5,'Base stats'!B:B,'Base stats'!E:E),Groups!A:A,Groups!L:L)=1,MIN(MROUND(_xlfn.XLOOKUP(B5,'Animals CE'!B:B,'Animals CE'!Z:Z)/2+0.05,0.05),200%),"No")</f>
        <v>No</v>
      </c>
      <c r="O5" s="8" t="str">
        <f>IF(_xlfn.XLOOKUP(_xlfn.XLOOKUP(B5,'Base stats'!B:B,'Base stats'!E:E),Groups!A:A,Groups!L:L)=1,MIN(MROUND(_xlfn.XLOOKUP(B5,'Animals CE'!B:B,'Animals CE'!AA:AA)/2+0.05,0.05),200%),"No")</f>
        <v>No</v>
      </c>
      <c r="P5" s="2" t="str">
        <f>_xlfn.XLOOKUP(B5,'Base stats'!B:B,'Base stats'!R:R)</f>
        <v>Standard</v>
      </c>
      <c r="Q5" s="13">
        <f>MROUND((LOG10(_xlfn.XLOOKUP(B5,'Base stats'!B:B,'Base stats'!AP:AP))*(AO5^0.5)+(_xlfn.XLOOKUP(B5,'Base stats'!B:B,'Base stats'!AP:AP)/1000)^(2/3)+_xlfn.XLOOKUP(B5,'Base stats'!B:B,'Base stats'!AY:AY)/2)+0.5,0.5)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stats'!AQ:AQ))*(AO5^0.5)+(_xlfn.XLOOKUP(B5,'Base stats'!B:B,'Base stats'!AQ:AQ)/1000)^(2/3)+_xlfn.XLOOKUP(B5,'Base stats'!B:B,'Base stats'!AY:AY))+_xlfn.XLOOKUP(B5,'Base stats'!B:B,'Base stats'!AW:AW)+0.5,0.5))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stats'!AS:AS))*(AO5^0.5)+(_xlfn.XLOOKUP(B5,'Base stats'!B:B,'Base stats'!AS:AS)/1000)^(2/3)+_xlfn.XLOOKUP(B5,'Base stats'!B:B,'Base stats'!AX:AX))+0.5+IF(_xlfn.XLOOKUP(_xlfn.XLOOKUP(B5,'Base stats'!B:B,'Base stats'!E:E),Groups!A:A,Groups!U:U)&lt;&gt;3,_xlfn.XLOOKUP(B5,'Base stats'!B:B,'Base stats'!AY:AY),0),0.5))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stats'!AR:AR)="No","No",MROUND((LOG10(_xlfn.XLOOKUP(B5,'Base stats'!B:B,'Base stats'!AR:AR))*(AO5^0.75)+(_xlfn.XLOOKUP(B5,'Base stats'!B:B,'Base stats'!AR:AR)/1000)^(2/3)+_xlfn.XLOOKUP(B5,'Base stats'!B:B,'Base stats'!AV:AV)+_xlfn.XLOOKUP(B5,'Base stats'!B:B,'Base stats'!AY:AY))+0.5,0.5))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stats'!AQ:AQ))*(AO5^0.75)+(_xlfn.XLOOKUP(B5,'Base stats'!B:B,'Base stats'!AQ:AQ)/1000)^(2/3)+_xlfn.XLOOKUP(B5,'Base stats'!B:B,'Base stats'!AW:AW)+_xlfn.XLOOKUP(B5,'Base stats'!B:B,'Base stats'!AY:AY))+0.5,0.5))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1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IFERROR(IF(_xlfn.XLOOKUP(B5,'Base stats'!B:B,'Base stats'!F:F)="Lay eggs","Lay eggs",MIN(20,MAX(5.5,ROUND(((_xlfn.XLOOKUP(B5,'Base stats'!B:B,'Base stats'!F:F)-25)*(14.5/615) + 5.5)*2,0)/2))),"Cannot breed")</f>
        <v>Lay eggs</v>
      </c>
      <c r="AT5" s="8">
        <f>IF(OR(A5="Queen",A5="Larva",A5="Megachicken",A5="Megatardi",A5="Toxscorpion"),"No",IFERROR(MAX(IF(_xlfn.XLOOKUP(B5,'Base stats'!B:B,'Base stats'!G:G)&lt;0.5,0.2,0.3),MROUND(_xlfn.XLOOKUP(B5,'Base stats'!B:B,'Base stats'!G:G)/(365/60),0.2)),"Unknown"))</f>
        <v>0.4</v>
      </c>
      <c r="AU5" s="8">
        <f t="shared" si="0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_xlfn.XLOOKUP(B5,'Base stats'!B:B,'Base stats'!AF:AF)</f>
        <v>&lt;li&gt;Cassowary&lt;/li&gt;</v>
      </c>
      <c r="BB5" s="2" t="str">
        <f>_xlfn.XLOOKUP(B5,'Base stats'!B:B,'Base stats'!AE:AE)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stats'!Z:Z)=0),0,IF(OR(_xlfn.XLOOKUP(Animals!B5,'Base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stats'!AA:AA),0.005))</f>
        <v>0</v>
      </c>
      <c r="BE5" s="23">
        <f>MIN(1,MROUND(IF(AND(AO5&lt;0.5,_xlfn.XLOOKUP(B5,'Base stats'!B:B,'Base stats'!Z:Z)=0),0,IF(_xlfn.XLOOKUP(_xlfn.XLOOKUP(B5,'Base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stats'!AB:AB),0.005))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stats'!AL:AL)="Standard","No",MROUND((_xlfn.XLOOKUP(B5,'Base stats'!B:B,'Base stats'!AL:AL)/3.6)/I5,0.1))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stats'!AC:AC)&lt;&gt;"No",_xlfn.XLOOKUP(B5,'Base stats'!B:B,'Base stats'!AC:AC),"")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stats'!AC:AC)&lt;&gt;"No",_xlfn.XLOOKUP(B5,'Base stats'!B:B,'Base stats'!AC:AC),"")
  )
)</f>
        <v>No</v>
      </c>
      <c r="BQ5" s="25" t="str">
        <f>IF(
   AND(
      'Base stats'!AL5="Standard",_xlfn.XLOOKUP(_xlfn.XLOOKUP(B5,'Base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stats'!AT:AT) * 1.8) * 2) * 2.5 + 10 + I5 * 2,5)+IF(_xlfn.XLOOKUP(B5,'Base stats'!B:B,'Base stats'!AI:AI)=1,50,0)</f>
        <v>90</v>
      </c>
      <c r="BS5" s="8">
        <f t="shared" si="5"/>
        <v>0.9</v>
      </c>
      <c r="BT5" s="8" t="str">
        <f>_xlfn.XLOOKUP(B5,'Base stats'!B:B,'Base stats'!AD:AD)</f>
        <v>2~6</v>
      </c>
      <c r="BU5" s="2" t="str">
        <f>IF(AND(J5&lt;=0.95,OR(_xlfn.XLOOKUP(B5,'Base stats'!B:B,'Base stats'!AI:AI)=1,_xlfn.XLOOKUP(B5,'Base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stats'!AG:AG)=1,"true","false")</f>
        <v>false</v>
      </c>
      <c r="BW5" s="25" t="str">
        <f>IF(E5="BaseInsect","AnimalInsect",
IF(J5&gt;0.95,"AnimalExotic",
_xlfn.TEXTJOIN(", ",TRUE,
IF(OR(_xlfn.XLOOKUP(B5,'Base stats'!B:B,'Base stats'!AK:AK)=1,AND(_xlfn.XLOOKUP(B5,'Base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stats'!AI:AI)=1,AND(BI5&lt;&gt;"None",BR5&gt;=60),ISNUMBER(SEARCH("Attack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Grasslands LavaField</v>
      </c>
      <c r="BY5" s="25" t="str">
        <f>IF(_xlfn.XLOOKUP(B5,'Base stats'!B:B,'Base stats'!AH:AH)=1,"true","false")</f>
        <v>false</v>
      </c>
      <c r="BZ5" s="25">
        <f>IF(_xlfn.XLOOKUP(B5,'Base stats'!B:B,'Base stats'!N:N)=1,"No",MAX(0.01,MIN(MROUND(IF(OR(_xlfn.XLOOKUP(B5,'Base stats'!B:B,'Base stats'!AK:AK)=1,AND(BJ5="True",CC5="False")),POWER(10,3.47*LOG10(_xlfn.XLOOKUP(B5,'Base stats'!B:B,'Base stats'!C:C)*1000)^-0.96),POWER(10,4.15*LOG10(_xlfn.XLOOKUP(B5,'Base stats'!B:B,'Base stats'!C:C)*1000)^-0.73))*IF(OR(_xlfn.XLOOKUP(B5,'Base stats'!B:B,'Base stats'!AK:AK)=1,_xlfn.XLOOKUP(B5,'Base stats'!B:B,'Base stats'!AI:AI)=1),0.5,1)/100,0.025),1)))</f>
        <v>0.2</v>
      </c>
      <c r="CA5" s="25" t="str">
        <f>IF(P5="Standard","No",MAX(0.01,IF(_xlfn.XLOOKUP(B5,'Base stats'!B:B,'Base stats'!N:N)=0,MROUND(BZ5*P5,0.05),MIN(1,MAX(0.025,MROUND(IF(OR(CC5="true",AND(BJ5="false",BO5="false")),POWER(10,4.15*LOG10(_xlfn.XLOOKUP(B5,'Base stats'!B:B,'Base stats'!C:C)*1000)^-0.73),POWER(10,3.47*LOG10(_xlfn.XLOOKUP(B5,'Base stats'!B:B,'Base stats'!C:C)*1000)^-0.96))*IF(_xlfn.XLOOKUP(B5,'Base stats'!B:B,'Base stats'!AI:AI)=1,0.5,1)/100,0.025))))))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689</v>
      </c>
      <c r="D6" s="28" t="s">
        <v>45</v>
      </c>
      <c r="E6" s="28" t="s">
        <v>687</v>
      </c>
      <c r="F6" s="28" t="s">
        <v>688</v>
      </c>
      <c r="G6" s="28" t="s">
        <v>685</v>
      </c>
      <c r="H6" s="2">
        <f>MROUND((
  (IF(AND(_xlfn.XLOOKUP(B6,'Base stats'!B:B,'Base stats'!AJ:AJ)=0,BI6="None",_xlfn.XLOOKUP(_xlfn.XLOOKUP(B6,'Base stats'!B:B,'Base stats'!E:E),Groups!A:A,Groups!B:B)=0), (18 + BR6 * 2.7) * 0.5,
    IF(AND(_xlfn.XLOOKUP(B6,'Base stats'!B:B,'Base stats'!AJ:AJ)=0,OR(AO6&lt;0.55,AND(BI6="Intermediate",_xlfn.XLOOKUP(_xlfn.XLOOKUP(B6,'Base stats'!B:B,'Base stats'!E:E),Groups!A:A,Groups!B:B)&lt;2))), (18 + BR6 * 2.7),
      IF(OR(BI6="Advanced",_xlfn.XLOOKUP(B6,'Base stats'!B:B,'Base stats'!AJ:AJ)=1,_xlfn.XLOOKUP(_xlfn.XLOOKUP(B6,'Base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IF(_xlfn.XLOOKUP(_xlfn.XLOOKUP(B6,'Base stats'!B:B,'Base stats'!E:E),Groups!A:A,Groups!C:C)="Untamable",1,IF(_xlfn.XLOOKUP(B6,'Base stats'!B:B,'Base stats'!AJ:AJ)=1,0.99,MIN(MROUND((1-0.6282*EXP(-0.459*AO6))*_xlfn.XLOOKUP(_xlfn.XLOOKUP(B6,'Base stats'!B:B,'Base stats'!E:E),Groups!A:A,Groups!C:C)*IF(_xlfn.XLOOKUP(B6,'Base stats'!B:B,'Base stats'!O:O)=1,0.5,IF(_xlfn.XLOOKUP(B6,'Base stats'!B:B,'Base stats'!O:O)=2,0,1)),0.05),0.985)))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IF(_xlfn.XLOOKUP(_xlfn.XLOOKUP(B6,'Base stats'!B:B,'Base stats'!E:E),Groups!A:A,Groups!L:L)=1,MIN(MROUND(_xlfn.XLOOKUP(B6,'Animals CE'!B:B,'Animals CE'!Z:Z)/2+0.05,0.05),200%),"No")</f>
        <v>No</v>
      </c>
      <c r="O6" s="8" t="str">
        <f>IF(_xlfn.XLOOKUP(_xlfn.XLOOKUP(B6,'Base stats'!B:B,'Base stats'!E:E),Groups!A:A,Groups!L:L)=1,MIN(MROUND(_xlfn.XLOOKUP(B6,'Animals CE'!B:B,'Animals CE'!AA:AA)/2+0.05,0.05),200%),"No")</f>
        <v>No</v>
      </c>
      <c r="P6" s="2" t="str">
        <f>_xlfn.XLOOKUP(B6,'Base stats'!B:B,'Base stats'!R:R)</f>
        <v>Standard</v>
      </c>
      <c r="Q6" s="13">
        <f>MROUND((LOG10(_xlfn.XLOOKUP(B6,'Base stats'!B:B,'Base stats'!AP:AP))*(AO6^0.5)+(_xlfn.XLOOKUP(B6,'Base stats'!B:B,'Base stats'!AP:AP)/1000)^(2/3)+_xlfn.XLOOKUP(B6,'Base stats'!B:B,'Base stats'!AY:AY)/2)+0.5,0.5)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stats'!AQ:AQ))*(AO6^0.5)+(_xlfn.XLOOKUP(B6,'Base stats'!B:B,'Base stats'!AQ:AQ)/1000)^(2/3)+_xlfn.XLOOKUP(B6,'Base stats'!B:B,'Base stats'!AY:AY))+_xlfn.XLOOKUP(B6,'Base stats'!B:B,'Base stats'!AW:AW)+0.5,0.5))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stats'!AS:AS))*(AO6^0.5)+(_xlfn.XLOOKUP(B6,'Base stats'!B:B,'Base stats'!AS:AS)/1000)^(2/3)+_xlfn.XLOOKUP(B6,'Base stats'!B:B,'Base stats'!AX:AX))+0.5+IF(_xlfn.XLOOKUP(_xlfn.XLOOKUP(B6,'Base stats'!B:B,'Base stats'!E:E),Groups!A:A,Groups!U:U)&lt;&gt;3,_xlfn.XLOOKUP(B6,'Base stats'!B:B,'Base stats'!AY:AY),0),0.5))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stats'!AR:AR)="No","No",MROUND((LOG10(_xlfn.XLOOKUP(B6,'Base stats'!B:B,'Base stats'!AR:AR))*(AO6^0.75)+(_xlfn.XLOOKUP(B6,'Base stats'!B:B,'Base stats'!AR:AR)/1000)^(2/3)+_xlfn.XLOOKUP(B6,'Base stats'!B:B,'Base stats'!AV:AV)+_xlfn.XLOOKUP(B6,'Base stats'!B:B,'Base stats'!AY:AY))+0.5,0.5))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stats'!AQ:AQ))*(AO6^0.75)+(_xlfn.XLOOKUP(B6,'Base stats'!B:B,'Base stats'!AQ:AQ)/1000)^(2/3)+_xlfn.XLOOKUP(B6,'Base stats'!B:B,'Base stats'!AW:AW)+_xlfn.XLOOKUP(B6,'Base stats'!B:B,'Base stats'!AY:AY))+0.5,0.5))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1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IFERROR(IF(_xlfn.XLOOKUP(B6,'Base stats'!B:B,'Base stats'!F:F)="Lay eggs","Lay eggs",MIN(20,MAX(5.5,ROUND(((_xlfn.XLOOKUP(B6,'Base stats'!B:B,'Base stats'!F:F)-25)*(14.5/615) + 5.5)*2,0)/2))),"Cannot breed")</f>
        <v>Lay eggs</v>
      </c>
      <c r="AT6" s="8">
        <f>IF(OR(A6="Queen",A6="Larva",A6="Megachicken",A6="Megatardi",A6="Toxscorpion"),"No",IFERROR(MAX(IF(_xlfn.XLOOKUP(B6,'Base stats'!B:B,'Base stats'!G:G)&lt;0.5,0.2,0.3),MROUND(_xlfn.XLOOKUP(B6,'Base stats'!B:B,'Base stats'!G:G)/(365/60),0.2)),"Unknown"))</f>
        <v>0.60000000000000009</v>
      </c>
      <c r="AU6" s="8">
        <f t="shared" si="0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_xlfn.XLOOKUP(B6,'Base stats'!B:B,'Base stats'!AF:AF)</f>
        <v>No</v>
      </c>
      <c r="BB6" s="2" t="str">
        <f>_xlfn.XLOOKUP(B6,'Base stats'!B:B,'Base stats'!AE:AE)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stats'!Z:Z)=0),0,IF(OR(_xlfn.XLOOKUP(Animals!B6,'Base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stats'!AA:AA),0.005))</f>
        <v>2.5000000000000001E-2</v>
      </c>
      <c r="BE6" s="23">
        <f>MIN(1,MROUND(IF(AND(AO6&lt;0.5,_xlfn.XLOOKUP(B6,'Base stats'!B:B,'Base stats'!Z:Z)=0),0,IF(_xlfn.XLOOKUP(_xlfn.XLOOKUP(B6,'Base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stats'!AB:AB),0.005))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stats'!AL:AL)="Standard","No",MROUND((_xlfn.XLOOKUP(B6,'Base stats'!B:B,'Base stats'!AL:AL)/3.6)/I6,0.1))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stats'!AC:AC)&lt;&gt;"No",_xlfn.XLOOKUP(B6,'Base stats'!B:B,'Base stats'!AC:AC),"")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stats'!AC:AC)&lt;&gt;"No",_xlfn.XLOOKUP(B6,'Base stats'!B:B,'Base stats'!AC:AC),"")
  )
)</f>
        <v>No</v>
      </c>
      <c r="BQ6" s="25" t="str">
        <f>IF(
   AND(
      'Base stats'!AL6="Standard",_xlfn.XLOOKUP(_xlfn.XLOOKUP(B6,'Base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stats'!AT:AT) * 1.8) * 2) * 2.5 + 10 + I6 * 2,5)+IF(_xlfn.XLOOKUP(B6,'Base stats'!B:B,'Base stats'!AI:AI)=1,50,0)</f>
        <v>70</v>
      </c>
      <c r="BS6" s="8">
        <f t="shared" si="5"/>
        <v>0.65</v>
      </c>
      <c r="BT6" s="8" t="str">
        <f>_xlfn.XLOOKUP(B6,'Base stats'!B:B,'Base stats'!AD:AD)</f>
        <v>No</v>
      </c>
      <c r="BU6" s="2" t="str">
        <f>IF(AND(J6&lt;=0.95,OR(_xlfn.XLOOKUP(B6,'Base stats'!B:B,'Base stats'!AI:AI)=1,_xlfn.XLOOKUP(B6,'Base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stats'!AG:AG)=1,"true","false")</f>
        <v>false</v>
      </c>
      <c r="BW6" s="25" t="str">
        <f>IF(E6="BaseInsect","AnimalInsect",
IF(J6&gt;0.95,"AnimalExotic",
_xlfn.TEXTJOIN(", ",TRUE,
IF(OR(_xlfn.XLOOKUP(B6,'Base stats'!B:B,'Base stats'!AK:AK)=1,AND(_xlfn.XLOOKUP(B6,'Base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stats'!AI:AI)=1,AND(BI6&lt;&gt;"None",BR6&gt;=60),ISNUMBER(SEARCH("Attack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stats'!AH:AH)=1,"true","false")</f>
        <v>false</v>
      </c>
      <c r="BZ6" s="25">
        <f>IF(_xlfn.XLOOKUP(B6,'Base stats'!B:B,'Base stats'!N:N)=1,"No",MAX(0.01,MIN(MROUND(IF(OR(_xlfn.XLOOKUP(B6,'Base stats'!B:B,'Base stats'!AK:AK)=1,AND(BJ6="True",CC6="False")),POWER(10,3.47*LOG10(_xlfn.XLOOKUP(B6,'Base stats'!B:B,'Base stats'!C:C)*1000)^-0.96),POWER(10,4.15*LOG10(_xlfn.XLOOKUP(B6,'Base stats'!B:B,'Base stats'!C:C)*1000)^-0.73))*IF(OR(_xlfn.XLOOKUP(B6,'Base stats'!B:B,'Base stats'!AK:AK)=1,_xlfn.XLOOKUP(B6,'Base stats'!B:B,'Base stats'!AI:AI)=1),0.5,1)/100,0.025),1)))</f>
        <v>0.22500000000000001</v>
      </c>
      <c r="CA6" s="25" t="str">
        <f>IF(P6="Standard","No",MAX(0.01,IF(_xlfn.XLOOKUP(B6,'Base stats'!B:B,'Base stats'!N:N)=0,MROUND(BZ6*P6,0.05),MIN(1,MAX(0.025,MROUND(IF(OR(CC6="true",AND(BJ6="false",BO6="false")),POWER(10,4.15*LOG10(_xlfn.XLOOKUP(B6,'Base stats'!B:B,'Base stats'!C:C)*1000)^-0.73),POWER(10,3.47*LOG10(_xlfn.XLOOKUP(B6,'Base stats'!B:B,'Base stats'!C:C)*1000)^-0.96))*IF(_xlfn.XLOOKUP(B6,'Base stats'!B:B,'Base stats'!AI:AI)=1,0.5,1)/100,0.025))))))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690</v>
      </c>
      <c r="D7" s="28" t="s">
        <v>45</v>
      </c>
      <c r="E7" s="28" t="s">
        <v>687</v>
      </c>
      <c r="F7" s="28" t="s">
        <v>688</v>
      </c>
      <c r="G7" s="28" t="s">
        <v>685</v>
      </c>
      <c r="H7" s="2">
        <f>MROUND((
  (IF(AND(_xlfn.XLOOKUP(B7,'Base stats'!B:B,'Base stats'!AJ:AJ)=0,BI7="None",_xlfn.XLOOKUP(_xlfn.XLOOKUP(B7,'Base stats'!B:B,'Base stats'!E:E),Groups!A:A,Groups!B:B)=0), (18 + BR7 * 2.7) * 0.5,
    IF(AND(_xlfn.XLOOKUP(B7,'Base stats'!B:B,'Base stats'!AJ:AJ)=0,OR(AO7&lt;0.55,AND(BI7="Intermediate",_xlfn.XLOOKUP(_xlfn.XLOOKUP(B7,'Base stats'!B:B,'Base stats'!E:E),Groups!A:A,Groups!B:B)&lt;2))), (18 + BR7 * 2.7),
      IF(OR(BI7="Advanced",_xlfn.XLOOKUP(B7,'Base stats'!B:B,'Base stats'!AJ:AJ)=1,_xlfn.XLOOKUP(_xlfn.XLOOKUP(B7,'Base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IF(_xlfn.XLOOKUP(_xlfn.XLOOKUP(B7,'Base stats'!B:B,'Base stats'!E:E),Groups!A:A,Groups!C:C)="Untamable",1,IF(_xlfn.XLOOKUP(B7,'Base stats'!B:B,'Base stats'!AJ:AJ)=1,0.99,MIN(MROUND((1-0.6282*EXP(-0.459*AO7))*_xlfn.XLOOKUP(_xlfn.XLOOKUP(B7,'Base stats'!B:B,'Base stats'!E:E),Groups!A:A,Groups!C:C)*IF(_xlfn.XLOOKUP(B7,'Base stats'!B:B,'Base stats'!O:O)=1,0.5,IF(_xlfn.XLOOKUP(B7,'Base stats'!B:B,'Base stats'!O:O)=2,0,1)),0.05),0.985)))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IF(_xlfn.XLOOKUP(_xlfn.XLOOKUP(B7,'Base stats'!B:B,'Base stats'!E:E),Groups!A:A,Groups!L:L)=1,MIN(MROUND(_xlfn.XLOOKUP(B7,'Animals CE'!B:B,'Animals CE'!Z:Z)/2+0.05,0.05),200%),"No")</f>
        <v>No</v>
      </c>
      <c r="O7" s="8" t="str">
        <f>IF(_xlfn.XLOOKUP(_xlfn.XLOOKUP(B7,'Base stats'!B:B,'Base stats'!E:E),Groups!A:A,Groups!L:L)=1,MIN(MROUND(_xlfn.XLOOKUP(B7,'Animals CE'!B:B,'Animals CE'!AA:AA)/2+0.05,0.05),200%),"No")</f>
        <v>No</v>
      </c>
      <c r="P7" s="2" t="str">
        <f>_xlfn.XLOOKUP(B7,'Base stats'!B:B,'Base stats'!R:R)</f>
        <v>Standard</v>
      </c>
      <c r="Q7" s="13">
        <f>MROUND((LOG10(_xlfn.XLOOKUP(B7,'Base stats'!B:B,'Base stats'!AP:AP))*(AO7^0.5)+(_xlfn.XLOOKUP(B7,'Base stats'!B:B,'Base stats'!AP:AP)/1000)^(2/3)+_xlfn.XLOOKUP(B7,'Base stats'!B:B,'Base stats'!AY:AY)/2)+0.5,0.5)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stats'!AQ:AQ))*(AO7^0.5)+(_xlfn.XLOOKUP(B7,'Base stats'!B:B,'Base stats'!AQ:AQ)/1000)^(2/3)+_xlfn.XLOOKUP(B7,'Base stats'!B:B,'Base stats'!AY:AY))+_xlfn.XLOOKUP(B7,'Base stats'!B:B,'Base stats'!AW:AW)+0.5,0.5))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stats'!AS:AS))*(AO7^0.5)+(_xlfn.XLOOKUP(B7,'Base stats'!B:B,'Base stats'!AS:AS)/1000)^(2/3)+_xlfn.XLOOKUP(B7,'Base stats'!B:B,'Base stats'!AX:AX))+0.5+IF(_xlfn.XLOOKUP(_xlfn.XLOOKUP(B7,'Base stats'!B:B,'Base stats'!E:E),Groups!A:A,Groups!U:U)&lt;&gt;3,_xlfn.XLOOKUP(B7,'Base stats'!B:B,'Base stats'!AY:AY),0),0.5))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stats'!AR:AR)="No","No",MROUND((LOG10(_xlfn.XLOOKUP(B7,'Base stats'!B:B,'Base stats'!AR:AR))*(AO7^0.75)+(_xlfn.XLOOKUP(B7,'Base stats'!B:B,'Base stats'!AR:AR)/1000)^(2/3)+_xlfn.XLOOKUP(B7,'Base stats'!B:B,'Base stats'!AV:AV)+_xlfn.XLOOKUP(B7,'Base stats'!B:B,'Base stats'!AY:AY))+0.5,0.5))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stats'!AQ:AQ))*(AO7^0.75)+(_xlfn.XLOOKUP(B7,'Base stats'!B:B,'Base stats'!AQ:AQ)/1000)^(2/3)+_xlfn.XLOOKUP(B7,'Base stats'!B:B,'Base stats'!AW:AW)+_xlfn.XLOOKUP(B7,'Base stats'!B:B,'Base stats'!AY:AY))+0.5,0.5))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1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IFERROR(IF(_xlfn.XLOOKUP(B7,'Base stats'!B:B,'Base stats'!F:F)="Lay eggs","Lay eggs",MIN(20,MAX(5.5,ROUND(((_xlfn.XLOOKUP(B7,'Base stats'!B:B,'Base stats'!F:F)-25)*(14.5/615) + 5.5)*2,0)/2))),"Cannot breed")</f>
        <v>Lay eggs</v>
      </c>
      <c r="AT7" s="8">
        <f>IF(OR(A7="Queen",A7="Larva",A7="Megachicken",A7="Megatardi",A7="Toxscorpion"),"No",IFERROR(MAX(IF(_xlfn.XLOOKUP(B7,'Base stats'!B:B,'Base stats'!G:G)&lt;0.5,0.2,0.3),MROUND(_xlfn.XLOOKUP(B7,'Base stats'!B:B,'Base stats'!G:G)/(365/60),0.2)),"Unknown"))</f>
        <v>0.4</v>
      </c>
      <c r="AU7" s="8">
        <f t="shared" si="0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_xlfn.XLOOKUP(B7,'Base stats'!B:B,'Base stats'!AF:AF)</f>
        <v>&lt;li&gt;Cassowary&lt;/li&gt;</v>
      </c>
      <c r="BB7" s="2" t="str">
        <f>_xlfn.XLOOKUP(B7,'Base stats'!B:B,'Base stats'!AE:AE)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stats'!Z:Z)=0),0,IF(OR(_xlfn.XLOOKUP(Animals!B7,'Base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stats'!AA:AA),0.005))</f>
        <v>0</v>
      </c>
      <c r="BE7" s="23">
        <f>MIN(1,MROUND(IF(AND(AO7&lt;0.5,_xlfn.XLOOKUP(B7,'Base stats'!B:B,'Base stats'!Z:Z)=0),0,IF(_xlfn.XLOOKUP(_xlfn.XLOOKUP(B7,'Base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stats'!AB:AB),0.005))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stats'!AL:AL)="Standard","No",MROUND((_xlfn.XLOOKUP(B7,'Base stats'!B:B,'Base stats'!AL:AL)/3.6)/I7,0.1))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stats'!AC:AC)&lt;&gt;"No",_xlfn.XLOOKUP(B7,'Base stats'!B:B,'Base stats'!AC:AC),"")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stats'!AC:AC)&lt;&gt;"No",_xlfn.XLOOKUP(B7,'Base stats'!B:B,'Base stats'!AC:AC),"")
  )
)</f>
        <v>No</v>
      </c>
      <c r="BQ7" s="25" t="str">
        <f>IF(
   AND(
      'Base stats'!AL7="Standard",_xlfn.XLOOKUP(_xlfn.XLOOKUP(B7,'Base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stats'!AT:AT) * 1.8) * 2) * 2.5 + 10 + I7 * 2,5)+IF(_xlfn.XLOOKUP(B7,'Base stats'!B:B,'Base stats'!AI:AI)=1,50,0)</f>
        <v>60</v>
      </c>
      <c r="BS7" s="8">
        <f t="shared" si="5"/>
        <v>0.60000000000000009</v>
      </c>
      <c r="BT7" s="8" t="str">
        <f>_xlfn.XLOOKUP(B7,'Base stats'!B:B,'Base stats'!AD:AD)</f>
        <v>2~6</v>
      </c>
      <c r="BU7" s="2" t="str">
        <f>IF(AND(J7&lt;=0.95,OR(_xlfn.XLOOKUP(B7,'Base stats'!B:B,'Base stats'!AI:AI)=1,_xlfn.XLOOKUP(B7,'Base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stats'!AG:AG)=1,"true","false")</f>
        <v>false</v>
      </c>
      <c r="BW7" s="25" t="str">
        <f>IF(E7="BaseInsect","AnimalInsect",
IF(J7&gt;0.95,"AnimalExotic",
_xlfn.TEXTJOIN(", ",TRUE,
IF(OR(_xlfn.XLOOKUP(B7,'Base stats'!B:B,'Base stats'!AK:AK)=1,AND(_xlfn.XLOOKUP(B7,'Base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stats'!AI:AI)=1,AND(BI7&lt;&gt;"None",BR7&gt;=60),ISNUMBER(SEARCH("Attack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stats'!AH:AH)=1,"true","false")</f>
        <v>false</v>
      </c>
      <c r="BZ7" s="25">
        <f>IF(_xlfn.XLOOKUP(B7,'Base stats'!B:B,'Base stats'!N:N)=1,"No",MAX(0.01,MIN(MROUND(IF(OR(_xlfn.XLOOKUP(B7,'Base stats'!B:B,'Base stats'!AK:AK)=1,AND(BJ7="True",CC7="False")),POWER(10,3.47*LOG10(_xlfn.XLOOKUP(B7,'Base stats'!B:B,'Base stats'!C:C)*1000)^-0.96),POWER(10,4.15*LOG10(_xlfn.XLOOKUP(B7,'Base stats'!B:B,'Base stats'!C:C)*1000)^-0.73))*IF(OR(_xlfn.XLOOKUP(B7,'Base stats'!B:B,'Base stats'!AK:AK)=1,_xlfn.XLOOKUP(B7,'Base stats'!B:B,'Base stats'!AI:AI)=1),0.5,1)/100,0.025),1)))</f>
        <v>0.22500000000000001</v>
      </c>
      <c r="CA7" s="25" t="str">
        <f>IF(P7="Standard","No",MAX(0.01,IF(_xlfn.XLOOKUP(B7,'Base stats'!B:B,'Base stats'!N:N)=0,MROUND(BZ7*P7,0.05),MIN(1,MAX(0.025,MROUND(IF(OR(CC7="true",AND(BJ7="false",BO7="false")),POWER(10,4.15*LOG10(_xlfn.XLOOKUP(B7,'Base stats'!B:B,'Base stats'!C:C)*1000)^-0.73),POWER(10,3.47*LOG10(_xlfn.XLOOKUP(B7,'Base stats'!B:B,'Base stats'!C:C)*1000)^-0.96))*IF(_xlfn.XLOOKUP(B7,'Base stats'!B:B,'Base stats'!AI:AI)=1,0.5,1)/100,0.025))))))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927</v>
      </c>
      <c r="C8" s="28" t="s">
        <v>691</v>
      </c>
      <c r="D8" s="28" t="s">
        <v>45</v>
      </c>
      <c r="E8" s="28" t="s">
        <v>687</v>
      </c>
      <c r="F8" s="28" t="s">
        <v>688</v>
      </c>
      <c r="G8" s="28" t="s">
        <v>685</v>
      </c>
      <c r="H8" s="2">
        <f>MROUND((
  (IF(AND(_xlfn.XLOOKUP(B8,'Base stats'!B:B,'Base stats'!AJ:AJ)=0,BI8="None",_xlfn.XLOOKUP(_xlfn.XLOOKUP(B8,'Base stats'!B:B,'Base stats'!E:E),Groups!A:A,Groups!B:B)=0), (18 + BR8 * 2.7) * 0.5,
    IF(AND(_xlfn.XLOOKUP(B8,'Base stats'!B:B,'Base stats'!AJ:AJ)=0,OR(AO8&lt;0.55,AND(BI8="Intermediate",_xlfn.XLOOKUP(_xlfn.XLOOKUP(B8,'Base stats'!B:B,'Base stats'!E:E),Groups!A:A,Groups!B:B)&lt;2))), (18 + BR8 * 2.7),
      IF(OR(BI8="Advanced",_xlfn.XLOOKUP(B8,'Base stats'!B:B,'Base stats'!AJ:AJ)=1,_xlfn.XLOOKUP(_xlfn.XLOOKUP(B8,'Base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IF(_xlfn.XLOOKUP(_xlfn.XLOOKUP(B8,'Base stats'!B:B,'Base stats'!E:E),Groups!A:A,Groups!C:C)="Untamable",1,IF(_xlfn.XLOOKUP(B8,'Base stats'!B:B,'Base stats'!AJ:AJ)=1,0.99,MIN(MROUND((1-0.6282*EXP(-0.459*AO8))*_xlfn.XLOOKUP(_xlfn.XLOOKUP(B8,'Base stats'!B:B,'Base stats'!E:E),Groups!A:A,Groups!C:C)*IF(_xlfn.XLOOKUP(B8,'Base stats'!B:B,'Base stats'!O:O)=1,0.5,IF(_xlfn.XLOOKUP(B8,'Base stats'!B:B,'Base stats'!O:O)=2,0,1)),0.05),0.985)))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IF(_xlfn.XLOOKUP(_xlfn.XLOOKUP(B8,'Base stats'!B:B,'Base stats'!E:E),Groups!A:A,Groups!L:L)=1,MIN(MROUND(_xlfn.XLOOKUP(B8,'Animals CE'!B:B,'Animals CE'!Z:Z)/2+0.05,0.05),200%),"No")</f>
        <v>No</v>
      </c>
      <c r="O8" s="8" t="str">
        <f>IF(_xlfn.XLOOKUP(_xlfn.XLOOKUP(B8,'Base stats'!B:B,'Base stats'!E:E),Groups!A:A,Groups!L:L)=1,MIN(MROUND(_xlfn.XLOOKUP(B8,'Animals CE'!B:B,'Animals CE'!AA:AA)/2+0.05,0.05),200%),"No")</f>
        <v>No</v>
      </c>
      <c r="P8" s="2" t="str">
        <f>_xlfn.XLOOKUP(B8,'Base stats'!B:B,'Base stats'!R:R)</f>
        <v>Standard</v>
      </c>
      <c r="Q8" s="13">
        <f>MROUND((LOG10(_xlfn.XLOOKUP(B8,'Base stats'!B:B,'Base stats'!AP:AP))*(AO8^0.5)+(_xlfn.XLOOKUP(B8,'Base stats'!B:B,'Base stats'!AP:AP)/1000)^(2/3)+_xlfn.XLOOKUP(B8,'Base stats'!B:B,'Base stats'!AY:AY)/2)+0.5,0.5)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stats'!AQ:AQ))*(AO8^0.5)+(_xlfn.XLOOKUP(B8,'Base stats'!B:B,'Base stats'!AQ:AQ)/1000)^(2/3)+_xlfn.XLOOKUP(B8,'Base stats'!B:B,'Base stats'!AY:AY))+_xlfn.XLOOKUP(B8,'Base stats'!B:B,'Base stats'!AW:AW)+0.5,0.5))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stats'!AS:AS))*(AO8^0.5)+(_xlfn.XLOOKUP(B8,'Base stats'!B:B,'Base stats'!AS:AS)/1000)^(2/3)+_xlfn.XLOOKUP(B8,'Base stats'!B:B,'Base stats'!AX:AX))+0.5+IF(_xlfn.XLOOKUP(_xlfn.XLOOKUP(B8,'Base stats'!B:B,'Base stats'!E:E),Groups!A:A,Groups!U:U)&lt;&gt;3,_xlfn.XLOOKUP(B8,'Base stats'!B:B,'Base stats'!AY:AY),0),0.5))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stats'!AR:AR)="No","No",MROUND((LOG10(_xlfn.XLOOKUP(B8,'Base stats'!B:B,'Base stats'!AR:AR))*(AO8^0.75)+(_xlfn.XLOOKUP(B8,'Base stats'!B:B,'Base stats'!AR:AR)/1000)^(2/3)+_xlfn.XLOOKUP(B8,'Base stats'!B:B,'Base stats'!AV:AV)+_xlfn.XLOOKUP(B8,'Base stats'!B:B,'Base stats'!AY:AY))+0.5,0.5))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stats'!AQ:AQ))*(AO8^0.75)+(_xlfn.XLOOKUP(B8,'Base stats'!B:B,'Base stats'!AQ:AQ)/1000)^(2/3)+_xlfn.XLOOKUP(B8,'Base stats'!B:B,'Base stats'!AW:AW)+_xlfn.XLOOKUP(B8,'Base stats'!B:B,'Base stats'!AY:AY))+0.5,0.5))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1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IFERROR(IF(_xlfn.XLOOKUP(B8,'Base stats'!B:B,'Base stats'!F:F)="Lay eggs","Lay eggs",MIN(20,MAX(5.5,ROUND(((_xlfn.XLOOKUP(B8,'Base stats'!B:B,'Base stats'!F:F)-25)*(14.5/615) + 5.5)*2,0)/2))),"Cannot breed")</f>
        <v>Lay eggs</v>
      </c>
      <c r="AT8" s="8">
        <f>IF(OR(A8="Queen",A8="Larva",A8="Megachicken",A8="Megatardi",A8="Toxscorpion"),"No",IFERROR(MAX(IF(_xlfn.XLOOKUP(B8,'Base stats'!B:B,'Base stats'!G:G)&lt;0.5,0.2,0.3),MROUND(_xlfn.XLOOKUP(B8,'Base stats'!B:B,'Base stats'!G:G)/(365/60),0.2)),"Unknown"))</f>
        <v>0.3</v>
      </c>
      <c r="AU8" s="8">
        <f t="shared" si="0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_xlfn.XLOOKUP(B8,'Base stats'!B:B,'Base stats'!AF:AF)</f>
        <v>No</v>
      </c>
      <c r="BB8" s="2" t="str">
        <f>_xlfn.XLOOKUP(B8,'Base stats'!B:B,'Base stats'!AE:AE)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stats'!Z:Z)=0),0,IF(OR(_xlfn.XLOOKUP(Animals!B8,'Base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stats'!AA:AA),0.005))</f>
        <v>0</v>
      </c>
      <c r="BE8" s="23">
        <f>MIN(1,MROUND(IF(AND(AO8&lt;0.5,_xlfn.XLOOKUP(B8,'Base stats'!B:B,'Base stats'!Z:Z)=0),0,IF(_xlfn.XLOOKUP(_xlfn.XLOOKUP(B8,'Base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stats'!AB:AB),0.005))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8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stats'!AL:AL)="Standard","No",MROUND((_xlfn.XLOOKUP(B8,'Base stats'!B:B,'Base stats'!AL:AL)/3.6)/I8,0.1))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stats'!AC:AC)&lt;&gt;"No",_xlfn.XLOOKUP(B8,'Base stats'!B:B,'Base stats'!AC:AC),"")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stats'!AC:AC)&lt;&gt;"No",_xlfn.XLOOKUP(B8,'Base stats'!B:B,'Base stats'!AC:AC),"")
  )
)</f>
        <v>No</v>
      </c>
      <c r="BQ8" s="25" t="str">
        <f>IF(
   AND(
      'Base stats'!AL8="Standard",_xlfn.XLOOKUP(_xlfn.XLOOKUP(B8,'Base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stats'!AT:AT) * 1.8) * 2) * 2.5 + 10 + I8 * 2,5)+IF(_xlfn.XLOOKUP(B8,'Base stats'!B:B,'Base stats'!AI:AI)=1,50,0)</f>
        <v>35</v>
      </c>
      <c r="BS8" s="8">
        <f t="shared" si="5"/>
        <v>0.4</v>
      </c>
      <c r="BT8" s="8" t="str">
        <f>_xlfn.XLOOKUP(B8,'Base stats'!B:B,'Base stats'!AD:AD)</f>
        <v>3~10</v>
      </c>
      <c r="BU8" s="2" t="str">
        <f>IF(AND(J8&lt;=0.95,OR(_xlfn.XLOOKUP(B8,'Base stats'!B:B,'Base stats'!AI:AI)=1,_xlfn.XLOOKUP(B8,'Base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stats'!AG:AG)=1,"true","false")</f>
        <v>false</v>
      </c>
      <c r="BW8" s="25" t="str">
        <f>IF(E8="BaseInsect","AnimalInsect",
IF(J8&gt;0.95,"AnimalExotic",
_xlfn.TEXTJOIN(", ",TRUE,
IF(OR(_xlfn.XLOOKUP(B8,'Base stats'!B:B,'Base stats'!AK:AK)=1,AND(_xlfn.XLOOKUP(B8,'Base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stats'!AI:AI)=1,AND(BI8&lt;&gt;"None",BR8&gt;=60),ISNUMBER(SEARCH("Attack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stats'!AH:AH)=1,"true","false")</f>
        <v>false</v>
      </c>
      <c r="BZ8" s="25">
        <f>IF(_xlfn.XLOOKUP(B8,'Base stats'!B:B,'Base stats'!N:N)=1,"No",MAX(0.01,MIN(MROUND(IF(OR(_xlfn.XLOOKUP(B8,'Base stats'!B:B,'Base stats'!AK:AK)=1,AND(BJ8="True",CC8="False")),POWER(10,3.47*LOG10(_xlfn.XLOOKUP(B8,'Base stats'!B:B,'Base stats'!C:C)*1000)^-0.96),POWER(10,4.15*LOG10(_xlfn.XLOOKUP(B8,'Base stats'!B:B,'Base stats'!C:C)*1000)^-0.73))*IF(OR(_xlfn.XLOOKUP(B8,'Base stats'!B:B,'Base stats'!AK:AK)=1,_xlfn.XLOOKUP(B8,'Base stats'!B:B,'Base stats'!AI:AI)=1),0.5,1)/100,0.025),1)))</f>
        <v>0.375</v>
      </c>
      <c r="CA8" s="25" t="str">
        <f>IF(P8="Standard","No",MAX(0.01,IF(_xlfn.XLOOKUP(B8,'Base stats'!B:B,'Base stats'!N:N)=0,MROUND(BZ8*P8,0.05),MIN(1,MAX(0.025,MROUND(IF(OR(CC8="true",AND(BJ8="false",BO8="false")),POWER(10,4.15*LOG10(_xlfn.XLOOKUP(B8,'Base stats'!B:B,'Base stats'!C:C)*1000)^-0.73),POWER(10,3.47*LOG10(_xlfn.XLOOKUP(B8,'Base stats'!B:B,'Base stats'!C:C)*1000)^-0.96))*IF(_xlfn.XLOOKUP(B8,'Base stats'!B:B,'Base stats'!AI:AI)=1,0.5,1)/100,0.025))))))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929</v>
      </c>
      <c r="C9" s="28" t="s">
        <v>692</v>
      </c>
      <c r="D9" s="28" t="s">
        <v>45</v>
      </c>
      <c r="E9" s="28" t="s">
        <v>685</v>
      </c>
      <c r="F9" s="28" t="s">
        <v>685</v>
      </c>
      <c r="G9" s="28" t="s">
        <v>685</v>
      </c>
      <c r="H9" s="2">
        <f>MROUND((
  (IF(AND(_xlfn.XLOOKUP(B9,'Base stats'!B:B,'Base stats'!AJ:AJ)=0,BI9="None",_xlfn.XLOOKUP(_xlfn.XLOOKUP(B9,'Base stats'!B:B,'Base stats'!E:E),Groups!A:A,Groups!B:B)=0), (18 + BR9 * 2.7) * 0.5,
    IF(AND(_xlfn.XLOOKUP(B9,'Base stats'!B:B,'Base stats'!AJ:AJ)=0,OR(AO9&lt;0.55,AND(BI9="Intermediate",_xlfn.XLOOKUP(_xlfn.XLOOKUP(B9,'Base stats'!B:B,'Base stats'!E:E),Groups!A:A,Groups!B:B)&lt;2))), (18 + BR9 * 2.7),
      IF(OR(BI9="Advanced",_xlfn.XLOOKUP(B9,'Base stats'!B:B,'Base stats'!AJ:AJ)=1,_xlfn.XLOOKUP(_xlfn.XLOOKUP(B9,'Base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IF(_xlfn.XLOOKUP(_xlfn.XLOOKUP(B9,'Base stats'!B:B,'Base stats'!E:E),Groups!A:A,Groups!C:C)="Untamable",1,IF(_xlfn.XLOOKUP(B9,'Base stats'!B:B,'Base stats'!AJ:AJ)=1,0.99,MIN(MROUND((1-0.6282*EXP(-0.459*AO9))*_xlfn.XLOOKUP(_xlfn.XLOOKUP(B9,'Base stats'!B:B,'Base stats'!E:E),Groups!A:A,Groups!C:C)*IF(_xlfn.XLOOKUP(B9,'Base stats'!B:B,'Base stats'!O:O)=1,0.5,IF(_xlfn.XLOOKUP(B9,'Base stats'!B:B,'Base stats'!O:O)=2,0,1)),0.05),0.985)))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IF(_xlfn.XLOOKUP(_xlfn.XLOOKUP(B9,'Base stats'!B:B,'Base stats'!E:E),Groups!A:A,Groups!L:L)=1,MIN(MROUND(_xlfn.XLOOKUP(B9,'Animals CE'!B:B,'Animals CE'!Z:Z)/2+0.05,0.05),200%),"No")</f>
        <v>No</v>
      </c>
      <c r="O9" s="8" t="str">
        <f>IF(_xlfn.XLOOKUP(_xlfn.XLOOKUP(B9,'Base stats'!B:B,'Base stats'!E:E),Groups!A:A,Groups!L:L)=1,MIN(MROUND(_xlfn.XLOOKUP(B9,'Animals CE'!B:B,'Animals CE'!AA:AA)/2+0.05,0.05),200%),"No")</f>
        <v>No</v>
      </c>
      <c r="P9" s="2" t="str">
        <f>_xlfn.XLOOKUP(B9,'Base stats'!B:B,'Base stats'!R:R)</f>
        <v>Standard</v>
      </c>
      <c r="Q9" s="13">
        <f>MROUND((LOG10(_xlfn.XLOOKUP(B9,'Base stats'!B:B,'Base stats'!AP:AP))*(AO9^0.5)+(_xlfn.XLOOKUP(B9,'Base stats'!B:B,'Base stats'!AP:AP)/1000)^(2/3)+_xlfn.XLOOKUP(B9,'Base stats'!B:B,'Base stats'!AY:AY)/2)+0.5,0.5)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stats'!AQ:AQ))*(AO9^0.5)+(_xlfn.XLOOKUP(B9,'Base stats'!B:B,'Base stats'!AQ:AQ)/1000)^(2/3)+_xlfn.XLOOKUP(B9,'Base stats'!B:B,'Base stats'!AY:AY))+_xlfn.XLOOKUP(B9,'Base stats'!B:B,'Base stats'!AW:AW)+0.5,0.5))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stats'!AS:AS))*(AO9^0.5)+(_xlfn.XLOOKUP(B9,'Base stats'!B:B,'Base stats'!AS:AS)/1000)^(2/3)+_xlfn.XLOOKUP(B9,'Base stats'!B:B,'Base stats'!AX:AX))+0.5+IF(_xlfn.XLOOKUP(_xlfn.XLOOKUP(B9,'Base stats'!B:B,'Base stats'!E:E),Groups!A:A,Groups!U:U)&lt;&gt;3,_xlfn.XLOOKUP(B9,'Base stats'!B:B,'Base stats'!AY:AY),0),0.5))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stats'!AR:AR)="No","No",MROUND((LOG10(_xlfn.XLOOKUP(B9,'Base stats'!B:B,'Base stats'!AR:AR))*(AO9^0.75)+(_xlfn.XLOOKUP(B9,'Base stats'!B:B,'Base stats'!AR:AR)/1000)^(2/3)+_xlfn.XLOOKUP(B9,'Base stats'!B:B,'Base stats'!AV:AV)+_xlfn.XLOOKUP(B9,'Base stats'!B:B,'Base stats'!AY:AY))+0.5,0.5))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stats'!AQ:AQ))*(AO9^0.75)+(_xlfn.XLOOKUP(B9,'Base stats'!B:B,'Base stats'!AQ:AQ)/1000)^(2/3)+_xlfn.XLOOKUP(B9,'Base stats'!B:B,'Base stats'!AW:AW)+_xlfn.XLOOKUP(B9,'Base stats'!B:B,'Base stats'!AY:AY))+0.5,0.5))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1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IFERROR(IF(_xlfn.XLOOKUP(B9,'Base stats'!B:B,'Base stats'!F:F)="Lay eggs","Lay eggs",MIN(20,MAX(5.5,ROUND(((_xlfn.XLOOKUP(B9,'Base stats'!B:B,'Base stats'!F:F)-25)*(14.5/615) + 5.5)*2,0)/2))),"Cannot breed")</f>
        <v>Lay eggs</v>
      </c>
      <c r="AT9" s="8">
        <f>IF(OR(A9="Queen",A9="Larva",A9="Megachicken",A9="Megatardi",A9="Toxscorpion"),"No",IFERROR(MAX(IF(_xlfn.XLOOKUP(B9,'Base stats'!B:B,'Base stats'!G:G)&lt;0.5,0.2,0.3),MROUND(_xlfn.XLOOKUP(B9,'Base stats'!B:B,'Base stats'!G:G)/(365/60),0.2)),"Unknown"))</f>
        <v>0.3</v>
      </c>
      <c r="AU9" s="8">
        <f t="shared" si="0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_xlfn.XLOOKUP(B9,'Base stats'!B:B,'Base stats'!AF:AF)</f>
        <v>No</v>
      </c>
      <c r="BB9" s="2" t="str">
        <f>_xlfn.XLOOKUP(B9,'Base stats'!B:B,'Base stats'!AE:AE)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stats'!Z:Z)=0),0,IF(OR(_xlfn.XLOOKUP(Animals!B9,'Base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stats'!AA:AA),0.005))</f>
        <v>0</v>
      </c>
      <c r="BE9" s="23">
        <f>MIN(1,MROUND(IF(AND(AO9&lt;0.5,_xlfn.XLOOKUP(B9,'Base stats'!B:B,'Base stats'!Z:Z)=0),0,IF(_xlfn.XLOOKUP(_xlfn.XLOOKUP(B9,'Base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stats'!AB:AB),0.005))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8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stats'!AL:AL)="Standard","No",MROUND((_xlfn.XLOOKUP(B9,'Base stats'!B:B,'Base stats'!AL:AL)/3.6)/I9,0.1))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stats'!AC:AC)&lt;&gt;"No",_xlfn.XLOOKUP(B9,'Base stats'!B:B,'Base stats'!AC:AC),"")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stats'!AC:AC)&lt;&gt;"No",_xlfn.XLOOKUP(B9,'Base stats'!B:B,'Base stats'!AC:AC),"")
  )
)</f>
        <v>No</v>
      </c>
      <c r="BQ9" s="25">
        <f>IF(
   AND(
      'Base stats'!AL9="Standard",_xlfn.XLOOKUP(_xlfn.XLOOKUP(B9,'Base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stats'!AT:AT) * 1.8) * 2) * 2.5 + 10 + I9 * 2,5)+IF(_xlfn.XLOOKUP(B9,'Base stats'!B:B,'Base stats'!AI:AI)=1,50,0)</f>
        <v>30</v>
      </c>
      <c r="BS9" s="8">
        <f t="shared" si="5"/>
        <v>0.4</v>
      </c>
      <c r="BT9" s="8" t="str">
        <f>_xlfn.XLOOKUP(B9,'Base stats'!B:B,'Base stats'!AD:AD)</f>
        <v>3~10</v>
      </c>
      <c r="BU9" s="2" t="str">
        <f>IF(AND(J9&lt;=0.95,OR(_xlfn.XLOOKUP(B9,'Base stats'!B:B,'Base stats'!AI:AI)=1,_xlfn.XLOOKUP(B9,'Base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stats'!AG:AG)=1,"true","false")</f>
        <v>false</v>
      </c>
      <c r="BW9" s="25" t="str">
        <f>IF(E9="BaseInsect","AnimalInsect",
IF(J9&gt;0.95,"AnimalExotic",
_xlfn.TEXTJOIN(", ",TRUE,
IF(OR(_xlfn.XLOOKUP(B9,'Base stats'!B:B,'Base stats'!AK:AK)=1,AND(_xlfn.XLOOKUP(B9,'Base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stats'!AI:AI)=1,AND(BI9&lt;&gt;"None",BR9&gt;=60),ISNUMBER(SEARCH("Attack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stats'!AH:AH)=1,"true","false")</f>
        <v>false</v>
      </c>
      <c r="BZ9" s="25">
        <f>IF(_xlfn.XLOOKUP(B9,'Base stats'!B:B,'Base stats'!N:N)=1,"No",MAX(0.01,MIN(MROUND(IF(OR(_xlfn.XLOOKUP(B9,'Base stats'!B:B,'Base stats'!AK:AK)=1,AND(BJ9="True",CC9="False")),POWER(10,3.47*LOG10(_xlfn.XLOOKUP(B9,'Base stats'!B:B,'Base stats'!C:C)*1000)^-0.96),POWER(10,4.15*LOG10(_xlfn.XLOOKUP(B9,'Base stats'!B:B,'Base stats'!C:C)*1000)^-0.73))*IF(OR(_xlfn.XLOOKUP(B9,'Base stats'!B:B,'Base stats'!AK:AK)=1,_xlfn.XLOOKUP(B9,'Base stats'!B:B,'Base stats'!AI:AI)=1),0.5,1)/100,0.025),1)))</f>
        <v>0.35000000000000003</v>
      </c>
      <c r="CA9" s="25" t="str">
        <f>IF(P9="Standard","No",MAX(0.01,IF(_xlfn.XLOOKUP(B9,'Base stats'!B:B,'Base stats'!N:N)=0,MROUND(BZ9*P9,0.05),MIN(1,MAX(0.025,MROUND(IF(OR(CC9="true",AND(BJ9="false",BO9="false")),POWER(10,4.15*LOG10(_xlfn.XLOOKUP(B9,'Base stats'!B:B,'Base stats'!C:C)*1000)^-0.73),POWER(10,3.47*LOG10(_xlfn.XLOOKUP(B9,'Base stats'!B:B,'Base stats'!C:C)*1000)^-0.96))*IF(_xlfn.XLOOKUP(B9,'Base stats'!B:B,'Base stats'!AI:AI)=1,0.5,1)/100,0.025))))))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928</v>
      </c>
      <c r="C10" s="28" t="s">
        <v>693</v>
      </c>
      <c r="D10" s="28" t="s">
        <v>45</v>
      </c>
      <c r="E10" s="28" t="s">
        <v>685</v>
      </c>
      <c r="F10" s="28" t="s">
        <v>685</v>
      </c>
      <c r="G10" s="28" t="s">
        <v>685</v>
      </c>
      <c r="H10" s="2">
        <f>MROUND((
  (IF(AND(_xlfn.XLOOKUP(B10,'Base stats'!B:B,'Base stats'!AJ:AJ)=0,BI10="None",_xlfn.XLOOKUP(_xlfn.XLOOKUP(B10,'Base stats'!B:B,'Base stats'!E:E),Groups!A:A,Groups!B:B)=0), (18 + BR10 * 2.7) * 0.5,
    IF(AND(_xlfn.XLOOKUP(B10,'Base stats'!B:B,'Base stats'!AJ:AJ)=0,OR(AO10&lt;0.55,AND(BI10="Intermediate",_xlfn.XLOOKUP(_xlfn.XLOOKUP(B10,'Base stats'!B:B,'Base stats'!E:E),Groups!A:A,Groups!B:B)&lt;2))), (18 + BR10 * 2.7),
      IF(OR(BI10="Advanced",_xlfn.XLOOKUP(B10,'Base stats'!B:B,'Base stats'!AJ:AJ)=1,_xlfn.XLOOKUP(_xlfn.XLOOKUP(B10,'Base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IF(_xlfn.XLOOKUP(_xlfn.XLOOKUP(B10,'Base stats'!B:B,'Base stats'!E:E),Groups!A:A,Groups!C:C)="Untamable",1,IF(_xlfn.XLOOKUP(B10,'Base stats'!B:B,'Base stats'!AJ:AJ)=1,0.99,MIN(MROUND((1-0.6282*EXP(-0.459*AO10))*_xlfn.XLOOKUP(_xlfn.XLOOKUP(B10,'Base stats'!B:B,'Base stats'!E:E),Groups!A:A,Groups!C:C)*IF(_xlfn.XLOOKUP(B10,'Base stats'!B:B,'Base stats'!O:O)=1,0.5,IF(_xlfn.XLOOKUP(B10,'Base stats'!B:B,'Base stats'!O:O)=2,0,1)),0.05),0.985)))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IF(_xlfn.XLOOKUP(_xlfn.XLOOKUP(B10,'Base stats'!B:B,'Base stats'!E:E),Groups!A:A,Groups!L:L)=1,MIN(MROUND(_xlfn.XLOOKUP(B10,'Animals CE'!B:B,'Animals CE'!Z:Z)/2+0.05,0.05),200%),"No")</f>
        <v>No</v>
      </c>
      <c r="O10" s="8" t="str">
        <f>IF(_xlfn.XLOOKUP(_xlfn.XLOOKUP(B10,'Base stats'!B:B,'Base stats'!E:E),Groups!A:A,Groups!L:L)=1,MIN(MROUND(_xlfn.XLOOKUP(B10,'Animals CE'!B:B,'Animals CE'!AA:AA)/2+0.05,0.05),200%),"No")</f>
        <v>No</v>
      </c>
      <c r="P10" s="2" t="str">
        <f>_xlfn.XLOOKUP(B10,'Base stats'!B:B,'Base stats'!R:R)</f>
        <v>Standard</v>
      </c>
      <c r="Q10" s="13">
        <f>MROUND((LOG10(_xlfn.XLOOKUP(B10,'Base stats'!B:B,'Base stats'!AP:AP))*(AO10^0.5)+(_xlfn.XLOOKUP(B10,'Base stats'!B:B,'Base stats'!AP:AP)/1000)^(2/3)+_xlfn.XLOOKUP(B10,'Base stats'!B:B,'Base stats'!AY:AY)/2)+0.5,0.5)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stats'!AQ:AQ))*(AO10^0.5)+(_xlfn.XLOOKUP(B10,'Base stats'!B:B,'Base stats'!AQ:AQ)/1000)^(2/3)+_xlfn.XLOOKUP(B10,'Base stats'!B:B,'Base stats'!AY:AY))+_xlfn.XLOOKUP(B10,'Base stats'!B:B,'Base stats'!AW:AW)+0.5,0.5))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stats'!AS:AS))*(AO10^0.5)+(_xlfn.XLOOKUP(B10,'Base stats'!B:B,'Base stats'!AS:AS)/1000)^(2/3)+_xlfn.XLOOKUP(B10,'Base stats'!B:B,'Base stats'!AX:AX))+0.5+IF(_xlfn.XLOOKUP(_xlfn.XLOOKUP(B10,'Base stats'!B:B,'Base stats'!E:E),Groups!A:A,Groups!U:U)&lt;&gt;3,_xlfn.XLOOKUP(B10,'Base stats'!B:B,'Base stats'!AY:AY),0),0.5))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stats'!AR:AR)="No","No",MROUND((LOG10(_xlfn.XLOOKUP(B10,'Base stats'!B:B,'Base stats'!AR:AR))*(AO10^0.75)+(_xlfn.XLOOKUP(B10,'Base stats'!B:B,'Base stats'!AR:AR)/1000)^(2/3)+_xlfn.XLOOKUP(B10,'Base stats'!B:B,'Base stats'!AV:AV)+_xlfn.XLOOKUP(B10,'Base stats'!B:B,'Base stats'!AY:AY))+0.5,0.5))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stats'!AQ:AQ))*(AO10^0.75)+(_xlfn.XLOOKUP(B10,'Base stats'!B:B,'Base stats'!AQ:AQ)/1000)^(2/3)+_xlfn.XLOOKUP(B10,'Base stats'!B:B,'Base stats'!AW:AW)+_xlfn.XLOOKUP(B10,'Base stats'!B:B,'Base stats'!AY:AY))+0.5,0.5))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1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IFERROR(IF(_xlfn.XLOOKUP(B10,'Base stats'!B:B,'Base stats'!F:F)="Lay eggs","Lay eggs",MIN(20,MAX(5.5,ROUND(((_xlfn.XLOOKUP(B10,'Base stats'!B:B,'Base stats'!F:F)-25)*(14.5/615) + 5.5)*2,0)/2))),"Cannot breed")</f>
        <v>Lay eggs</v>
      </c>
      <c r="AT10" s="8">
        <f>IF(OR(A10="Queen",A10="Larva",A10="Megachicken",A10="Megatardi",A10="Toxscorpion"),"No",IFERROR(MAX(IF(_xlfn.XLOOKUP(B10,'Base stats'!B:B,'Base stats'!G:G)&lt;0.5,0.2,0.3),MROUND(_xlfn.XLOOKUP(B10,'Base stats'!B:B,'Base stats'!G:G)/(365/60),0.2)),"Unknown"))</f>
        <v>0.3</v>
      </c>
      <c r="AU10" s="8">
        <f t="shared" si="0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_xlfn.XLOOKUP(B10,'Base stats'!B:B,'Base stats'!AF:AF)</f>
        <v>No</v>
      </c>
      <c r="BB10" s="2" t="str">
        <f>_xlfn.XLOOKUP(B10,'Base stats'!B:B,'Base stats'!AE:AE)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stats'!Z:Z)=0),0,IF(OR(_xlfn.XLOOKUP(Animals!B10,'Base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stats'!AA:AA),0.005))</f>
        <v>0</v>
      </c>
      <c r="BE10" s="23">
        <f>MIN(1,MROUND(IF(AND(AO10&lt;0.5,_xlfn.XLOOKUP(B10,'Base stats'!B:B,'Base stats'!Z:Z)=0),0,IF(_xlfn.XLOOKUP(_xlfn.XLOOKUP(B10,'Base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stats'!AB:AB),0.005))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8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stats'!AL:AL)="Standard","No",MROUND((_xlfn.XLOOKUP(B10,'Base stats'!B:B,'Base stats'!AL:AL)/3.6)/I10,0.1))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stats'!AC:AC)&lt;&gt;"No",_xlfn.XLOOKUP(B10,'Base stats'!B:B,'Base stats'!AC:AC),"")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stats'!AC:AC)&lt;&gt;"No",_xlfn.XLOOKUP(B10,'Base stats'!B:B,'Base stats'!AC:AC),"")
  )
)</f>
        <v>No</v>
      </c>
      <c r="BQ10" s="25">
        <f>IF(
   AND(
      'Base stats'!AL10="Standard",_xlfn.XLOOKUP(_xlfn.XLOOKUP(B10,'Base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stats'!AT:AT) * 1.8) * 2) * 2.5 + 10 + I10 * 2,5)+IF(_xlfn.XLOOKUP(B10,'Base stats'!B:B,'Base stats'!AI:AI)=1,50,0)</f>
        <v>25</v>
      </c>
      <c r="BS10" s="8">
        <f t="shared" si="5"/>
        <v>0.25</v>
      </c>
      <c r="BT10" s="8" t="str">
        <f>_xlfn.XLOOKUP(B10,'Base stats'!B:B,'Base stats'!AD:AD)</f>
        <v>3~10</v>
      </c>
      <c r="BU10" s="2" t="str">
        <f>IF(AND(J10&lt;=0.95,OR(_xlfn.XLOOKUP(B10,'Base stats'!B:B,'Base stats'!AI:AI)=1,_xlfn.XLOOKUP(B10,'Base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stats'!AG:AG)=1,"true","false")</f>
        <v>false</v>
      </c>
      <c r="BW10" s="25" t="str">
        <f>IF(E10="BaseInsect","AnimalInsect",
IF(J10&gt;0.95,"AnimalExotic",
_xlfn.TEXTJOIN(", ",TRUE,
IF(OR(_xlfn.XLOOKUP(B10,'Base stats'!B:B,'Base stats'!AK:AK)=1,AND(_xlfn.XLOOKUP(B10,'Base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stats'!AI:AI)=1,AND(BI10&lt;&gt;"None",BR10&gt;=60),ISNUMBER(SEARCH("Attack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stats'!AH:AH)=1,"true","false")</f>
        <v>false</v>
      </c>
      <c r="BZ10" s="25">
        <f>IF(_xlfn.XLOOKUP(B10,'Base stats'!B:B,'Base stats'!N:N)=1,"No",MAX(0.01,MIN(MROUND(IF(OR(_xlfn.XLOOKUP(B10,'Base stats'!B:B,'Base stats'!AK:AK)=1,AND(BJ10="True",CC10="False")),POWER(10,3.47*LOG10(_xlfn.XLOOKUP(B10,'Base stats'!B:B,'Base stats'!C:C)*1000)^-0.96),POWER(10,4.15*LOG10(_xlfn.XLOOKUP(B10,'Base stats'!B:B,'Base stats'!C:C)*1000)^-0.73))*IF(OR(_xlfn.XLOOKUP(B10,'Base stats'!B:B,'Base stats'!AK:AK)=1,_xlfn.XLOOKUP(B10,'Base stats'!B:B,'Base stats'!AI:AI)=1),0.5,1)/100,0.025),1)))</f>
        <v>0.70000000000000007</v>
      </c>
      <c r="CA10" s="25" t="str">
        <f>IF(P10="Standard","No",MAX(0.01,IF(_xlfn.XLOOKUP(B10,'Base stats'!B:B,'Base stats'!N:N)=0,MROUND(BZ10*P10,0.05),MIN(1,MAX(0.025,MROUND(IF(OR(CC10="true",AND(BJ10="false",BO10="false")),POWER(10,4.15*LOG10(_xlfn.XLOOKUP(B10,'Base stats'!B:B,'Base stats'!C:C)*1000)^-0.73),POWER(10,3.47*LOG10(_xlfn.XLOOKUP(B10,'Base stats'!B:B,'Base stats'!C:C)*1000)^-0.96))*IF(_xlfn.XLOOKUP(B10,'Base stats'!B:B,'Base stats'!AI:AI)=1,0.5,1)/100,0.025))))))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694</v>
      </c>
      <c r="D11" s="28" t="s">
        <v>45</v>
      </c>
      <c r="E11" s="28" t="s">
        <v>685</v>
      </c>
      <c r="F11" s="28" t="s">
        <v>685</v>
      </c>
      <c r="G11" s="28" t="s">
        <v>685</v>
      </c>
      <c r="H11" s="2">
        <f>MROUND((
  (IF(AND(_xlfn.XLOOKUP(B11,'Base stats'!B:B,'Base stats'!AJ:AJ)=0,BI11="None",_xlfn.XLOOKUP(_xlfn.XLOOKUP(B11,'Base stats'!B:B,'Base stats'!E:E),Groups!A:A,Groups!B:B)=0), (18 + BR11 * 2.7) * 0.5,
    IF(AND(_xlfn.XLOOKUP(B11,'Base stats'!B:B,'Base stats'!AJ:AJ)=0,OR(AO11&lt;0.55,AND(BI11="Intermediate",_xlfn.XLOOKUP(_xlfn.XLOOKUP(B11,'Base stats'!B:B,'Base stats'!E:E),Groups!A:A,Groups!B:B)&lt;2))), (18 + BR11 * 2.7),
      IF(OR(BI11="Advanced",_xlfn.XLOOKUP(B11,'Base stats'!B:B,'Base stats'!AJ:AJ)=1,_xlfn.XLOOKUP(_xlfn.XLOOKUP(B11,'Base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IF(_xlfn.XLOOKUP(_xlfn.XLOOKUP(B11,'Base stats'!B:B,'Base stats'!E:E),Groups!A:A,Groups!C:C)="Untamable",1,IF(_xlfn.XLOOKUP(B11,'Base stats'!B:B,'Base stats'!AJ:AJ)=1,0.99,MIN(MROUND((1-0.6282*EXP(-0.459*AO11))*_xlfn.XLOOKUP(_xlfn.XLOOKUP(B11,'Base stats'!B:B,'Base stats'!E:E),Groups!A:A,Groups!C:C)*IF(_xlfn.XLOOKUP(B11,'Base stats'!B:B,'Base stats'!O:O)=1,0.5,IF(_xlfn.XLOOKUP(B11,'Base stats'!B:B,'Base stats'!O:O)=2,0,1)),0.05),0.985)))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IF(_xlfn.XLOOKUP(_xlfn.XLOOKUP(B11,'Base stats'!B:B,'Base stats'!E:E),Groups!A:A,Groups!L:L)=1,MIN(MROUND(_xlfn.XLOOKUP(B11,'Animals CE'!B:B,'Animals CE'!Z:Z)/2+0.05,0.05),200%),"No")</f>
        <v>No</v>
      </c>
      <c r="O11" s="8" t="str">
        <f>IF(_xlfn.XLOOKUP(_xlfn.XLOOKUP(B11,'Base stats'!B:B,'Base stats'!E:E),Groups!A:A,Groups!L:L)=1,MIN(MROUND(_xlfn.XLOOKUP(B11,'Animals CE'!B:B,'Animals CE'!AA:AA)/2+0.05,0.05),200%),"No")</f>
        <v>No</v>
      </c>
      <c r="P11" s="2" t="str">
        <f>_xlfn.XLOOKUP(B11,'Base stats'!B:B,'Base stats'!R:R)</f>
        <v>Standard</v>
      </c>
      <c r="Q11" s="13">
        <f>MROUND((LOG10(_xlfn.XLOOKUP(B11,'Base stats'!B:B,'Base stats'!AP:AP))*(AO11^0.5)+(_xlfn.XLOOKUP(B11,'Base stats'!B:B,'Base stats'!AP:AP)/1000)^(2/3)+_xlfn.XLOOKUP(B11,'Base stats'!B:B,'Base stats'!AY:AY)/2)+0.5,0.5)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stats'!AQ:AQ))*(AO11^0.5)+(_xlfn.XLOOKUP(B11,'Base stats'!B:B,'Base stats'!AQ:AQ)/1000)^(2/3)+_xlfn.XLOOKUP(B11,'Base stats'!B:B,'Base stats'!AY:AY))+_xlfn.XLOOKUP(B11,'Base stats'!B:B,'Base stats'!AW:AW)+0.5,0.5))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stats'!AS:AS))*(AO11^0.5)+(_xlfn.XLOOKUP(B11,'Base stats'!B:B,'Base stats'!AS:AS)/1000)^(2/3)+_xlfn.XLOOKUP(B11,'Base stats'!B:B,'Base stats'!AX:AX))+0.5+IF(_xlfn.XLOOKUP(_xlfn.XLOOKUP(B11,'Base stats'!B:B,'Base stats'!E:E),Groups!A:A,Groups!U:U)&lt;&gt;3,_xlfn.XLOOKUP(B11,'Base stats'!B:B,'Base stats'!AY:AY),0),0.5))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stats'!AR:AR)="No","No",MROUND((LOG10(_xlfn.XLOOKUP(B11,'Base stats'!B:B,'Base stats'!AR:AR))*(AO11^0.75)+(_xlfn.XLOOKUP(B11,'Base stats'!B:B,'Base stats'!AR:AR)/1000)^(2/3)+_xlfn.XLOOKUP(B11,'Base stats'!B:B,'Base stats'!AV:AV)+_xlfn.XLOOKUP(B11,'Base stats'!B:B,'Base stats'!AY:AY))+0.5,0.5))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stats'!AQ:AQ))*(AO11^0.75)+(_xlfn.XLOOKUP(B11,'Base stats'!B:B,'Base stats'!AQ:AQ)/1000)^(2/3)+_xlfn.XLOOKUP(B11,'Base stats'!B:B,'Base stats'!AW:AW)+_xlfn.XLOOKUP(B11,'Base stats'!B:B,'Base stats'!AY:AY))+0.5,0.5))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1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IFERROR(IF(_xlfn.XLOOKUP(B11,'Base stats'!B:B,'Base stats'!F:F)="Lay eggs","Lay eggs",MIN(20,MAX(5.5,ROUND(((_xlfn.XLOOKUP(B11,'Base stats'!B:B,'Base stats'!F:F)-25)*(14.5/615) + 5.5)*2,0)/2))),"Cannot breed")</f>
        <v>Lay eggs</v>
      </c>
      <c r="AT11" s="8">
        <f>IF(OR(A11="Queen",A11="Larva",A11="Megachicken",A11="Megatardi",A11="Toxscorpion"),"No",IFERROR(MAX(IF(_xlfn.XLOOKUP(B11,'Base stats'!B:B,'Base stats'!G:G)&lt;0.5,0.2,0.3),MROUND(_xlfn.XLOOKUP(B11,'Base stats'!B:B,'Base stats'!G:G)/(365/60),0.2)),"Unknown"))</f>
        <v>0.2</v>
      </c>
      <c r="AU11" s="8">
        <f t="shared" si="0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_xlfn.XLOOKUP(B11,'Base stats'!B:B,'Base stats'!AF:AF)</f>
        <v>No</v>
      </c>
      <c r="BB11" s="2" t="str">
        <f>_xlfn.XLOOKUP(B11,'Base stats'!B:B,'Base stats'!AE:AE)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stats'!Z:Z)=0),0,IF(OR(_xlfn.XLOOKUP(Animals!B11,'Base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stats'!AA:AA),0.005))</f>
        <v>0</v>
      </c>
      <c r="BE11" s="23">
        <f>MIN(1,MROUND(IF(AND(AO11&lt;0.5,_xlfn.XLOOKUP(B11,'Base stats'!B:B,'Base stats'!Z:Z)=0),0,IF(_xlfn.XLOOKUP(_xlfn.XLOOKUP(B11,'Base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stats'!AB:AB),0.005))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8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stats'!AL:AL)="Standard","No",MROUND((_xlfn.XLOOKUP(B11,'Base stats'!B:B,'Base stats'!AL:AL)/3.6)/I11,0.1))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stats'!AC:AC)&lt;&gt;"No",_xlfn.XLOOKUP(B11,'Base stats'!B:B,'Base stats'!AC:AC),"")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stats'!AC:AC)&lt;&gt;"No",_xlfn.XLOOKUP(B11,'Base stats'!B:B,'Base stats'!AC:AC),"")
  )
)</f>
        <v>No</v>
      </c>
      <c r="BQ11" s="25" t="str">
        <f>IF(
   AND(
      'Base stats'!AL11="Standard",_xlfn.XLOOKUP(_xlfn.XLOOKUP(B11,'Base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stats'!AT:AT) * 1.8) * 2) * 2.5 + 10 + I11 * 2,5)+IF(_xlfn.XLOOKUP(B11,'Base stats'!B:B,'Base stats'!AI:AI)=1,50,0)</f>
        <v>30</v>
      </c>
      <c r="BS11" s="8">
        <f t="shared" si="5"/>
        <v>0.30000000000000004</v>
      </c>
      <c r="BT11" s="8" t="str">
        <f>_xlfn.XLOOKUP(B11,'Base stats'!B:B,'Base stats'!AD:AD)</f>
        <v>3~10</v>
      </c>
      <c r="BU11" s="2" t="str">
        <f>IF(AND(J11&lt;=0.95,OR(_xlfn.XLOOKUP(B11,'Base stats'!B:B,'Base stats'!AI:AI)=1,_xlfn.XLOOKUP(B11,'Base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stats'!AG:AG)=1,"true","false")</f>
        <v>false</v>
      </c>
      <c r="BW11" s="25" t="str">
        <f>IF(E11="BaseInsect","AnimalInsect",
IF(J11&gt;0.95,"AnimalExotic",
_xlfn.TEXTJOIN(", ",TRUE,
IF(OR(_xlfn.XLOOKUP(B11,'Base stats'!B:B,'Base stats'!AK:AK)=1,AND(_xlfn.XLOOKUP(B11,'Base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stats'!AI:AI)=1,AND(BI11&lt;&gt;"None",BR11&gt;=60),ISNUMBER(SEARCH("Attack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stats'!AH:AH)=1,"true","false")</f>
        <v>false</v>
      </c>
      <c r="BZ11" s="25">
        <f>IF(_xlfn.XLOOKUP(B11,'Base stats'!B:B,'Base stats'!N:N)=1,"No",MAX(0.01,MIN(MROUND(IF(OR(_xlfn.XLOOKUP(B11,'Base stats'!B:B,'Base stats'!AK:AK)=1,AND(BJ11="True",CC11="False")),POWER(10,3.47*LOG10(_xlfn.XLOOKUP(B11,'Base stats'!B:B,'Base stats'!C:C)*1000)^-0.96),POWER(10,4.15*LOG10(_xlfn.XLOOKUP(B11,'Base stats'!B:B,'Base stats'!C:C)*1000)^-0.73))*IF(OR(_xlfn.XLOOKUP(B11,'Base stats'!B:B,'Base stats'!AK:AK)=1,_xlfn.XLOOKUP(B11,'Base stats'!B:B,'Base stats'!AI:AI)=1),0.5,1)/100,0.025),1)))</f>
        <v>0.5</v>
      </c>
      <c r="CA11" s="25" t="str">
        <f>IF(P11="Standard","No",MAX(0.01,IF(_xlfn.XLOOKUP(B11,'Base stats'!B:B,'Base stats'!N:N)=0,MROUND(BZ11*P11,0.05),MIN(1,MAX(0.025,MROUND(IF(OR(CC11="true",AND(BJ11="false",BO11="false")),POWER(10,4.15*LOG10(_xlfn.XLOOKUP(B11,'Base stats'!B:B,'Base stats'!C:C)*1000)^-0.73),POWER(10,3.47*LOG10(_xlfn.XLOOKUP(B11,'Base stats'!B:B,'Base stats'!C:C)*1000)^-0.96))*IF(_xlfn.XLOOKUP(B11,'Base stats'!B:B,'Base stats'!AI:AI)=1,0.5,1)/100,0.025))))))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91</v>
      </c>
      <c r="C12" s="28" t="s">
        <v>695</v>
      </c>
      <c r="D12" s="28" t="s">
        <v>45</v>
      </c>
      <c r="E12" s="28" t="s">
        <v>685</v>
      </c>
      <c r="F12" s="28" t="s">
        <v>685</v>
      </c>
      <c r="G12" s="28" t="s">
        <v>685</v>
      </c>
      <c r="H12" s="2">
        <f>MROUND((
  (IF(AND(_xlfn.XLOOKUP(B12,'Base stats'!B:B,'Base stats'!AJ:AJ)=0,BI12="None",_xlfn.XLOOKUP(_xlfn.XLOOKUP(B12,'Base stats'!B:B,'Base stats'!E:E),Groups!A:A,Groups!B:B)=0), (18 + BR12 * 2.7) * 0.5,
    IF(AND(_xlfn.XLOOKUP(B12,'Base stats'!B:B,'Base stats'!AJ:AJ)=0,OR(AO12&lt;0.55,AND(BI12="Intermediate",_xlfn.XLOOKUP(_xlfn.XLOOKUP(B12,'Base stats'!B:B,'Base stats'!E:E),Groups!A:A,Groups!B:B)&lt;2))), (18 + BR12 * 2.7),
      IF(OR(BI12="Advanced",_xlfn.XLOOKUP(B12,'Base stats'!B:B,'Base stats'!AJ:AJ)=1,_xlfn.XLOOKUP(_xlfn.XLOOKUP(B12,'Base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IF(_xlfn.XLOOKUP(_xlfn.XLOOKUP(B12,'Base stats'!B:B,'Base stats'!E:E),Groups!A:A,Groups!C:C)="Untamable",1,IF(_xlfn.XLOOKUP(B12,'Base stats'!B:B,'Base stats'!AJ:AJ)=1,0.99,MIN(MROUND((1-0.6282*EXP(-0.459*AO12))*_xlfn.XLOOKUP(_xlfn.XLOOKUP(B12,'Base stats'!B:B,'Base stats'!E:E),Groups!A:A,Groups!C:C)*IF(_xlfn.XLOOKUP(B12,'Base stats'!B:B,'Base stats'!O:O)=1,0.5,IF(_xlfn.XLOOKUP(B12,'Base stats'!B:B,'Base stats'!O:O)=2,0,1)),0.05),0.985)))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IF(_xlfn.XLOOKUP(_xlfn.XLOOKUP(B12,'Base stats'!B:B,'Base stats'!E:E),Groups!A:A,Groups!L:L)=1,MIN(MROUND(_xlfn.XLOOKUP(B12,'Animals CE'!B:B,'Animals CE'!Z:Z)/2+0.05,0.05),200%),"No")</f>
        <v>No</v>
      </c>
      <c r="O12" s="8" t="str">
        <f>IF(_xlfn.XLOOKUP(_xlfn.XLOOKUP(B12,'Base stats'!B:B,'Base stats'!E:E),Groups!A:A,Groups!L:L)=1,MIN(MROUND(_xlfn.XLOOKUP(B12,'Animals CE'!B:B,'Animals CE'!AA:AA)/2+0.05,0.05),200%),"No")</f>
        <v>No</v>
      </c>
      <c r="P12" s="2" t="str">
        <f>_xlfn.XLOOKUP(B12,'Base stats'!B:B,'Base stats'!R:R)</f>
        <v>Standard</v>
      </c>
      <c r="Q12" s="13">
        <f>MROUND((LOG10(_xlfn.XLOOKUP(B12,'Base stats'!B:B,'Base stats'!AP:AP))*(AO12^0.5)+(_xlfn.XLOOKUP(B12,'Base stats'!B:B,'Base stats'!AP:AP)/1000)^(2/3)+_xlfn.XLOOKUP(B12,'Base stats'!B:B,'Base stats'!AY:AY)/2)+0.5,0.5)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stats'!AQ:AQ))*(AO12^0.5)+(_xlfn.XLOOKUP(B12,'Base stats'!B:B,'Base stats'!AQ:AQ)/1000)^(2/3)+_xlfn.XLOOKUP(B12,'Base stats'!B:B,'Base stats'!AY:AY))+_xlfn.XLOOKUP(B12,'Base stats'!B:B,'Base stats'!AW:AW)+0.5,0.5))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stats'!AS:AS))*(AO12^0.5)+(_xlfn.XLOOKUP(B12,'Base stats'!B:B,'Base stats'!AS:AS)/1000)^(2/3)+_xlfn.XLOOKUP(B12,'Base stats'!B:B,'Base stats'!AX:AX))+0.5+IF(_xlfn.XLOOKUP(_xlfn.XLOOKUP(B12,'Base stats'!B:B,'Base stats'!E:E),Groups!A:A,Groups!U:U)&lt;&gt;3,_xlfn.XLOOKUP(B12,'Base stats'!B:B,'Base stats'!AY:AY),0),0.5))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stats'!AR:AR)="No","No",MROUND((LOG10(_xlfn.XLOOKUP(B12,'Base stats'!B:B,'Base stats'!AR:AR))*(AO12^0.75)+(_xlfn.XLOOKUP(B12,'Base stats'!B:B,'Base stats'!AR:AR)/1000)^(2/3)+_xlfn.XLOOKUP(B12,'Base stats'!B:B,'Base stats'!AV:AV)+_xlfn.XLOOKUP(B12,'Base stats'!B:B,'Base stats'!AY:AY))+0.5,0.5))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stats'!AQ:AQ))*(AO12^0.75)+(_xlfn.XLOOKUP(B12,'Base stats'!B:B,'Base stats'!AQ:AQ)/1000)^(2/3)+_xlfn.XLOOKUP(B12,'Base stats'!B:B,'Base stats'!AW:AW)+_xlfn.XLOOKUP(B12,'Base stats'!B:B,'Base stats'!AY:AY))+0.5,0.5))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1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IFERROR(IF(_xlfn.XLOOKUP(B12,'Base stats'!B:B,'Base stats'!F:F)="Lay eggs","Lay eggs",MIN(20,MAX(5.5,ROUND(((_xlfn.XLOOKUP(B12,'Base stats'!B:B,'Base stats'!F:F)-25)*(14.5/615) + 5.5)*2,0)/2))),"Cannot breed")</f>
        <v>14</v>
      </c>
      <c r="AT12" s="8">
        <f>IF(OR(A12="Queen",A12="Larva",A12="Megachicken",A12="Megatardi",A12="Toxscorpion"),"No",IFERROR(MAX(IF(_xlfn.XLOOKUP(B12,'Base stats'!B:B,'Base stats'!G:G)&lt;0.5,0.2,0.3),MROUND(_xlfn.XLOOKUP(B12,'Base stats'!B:B,'Base stats'!G:G)/(365/60),0.2)),"Unknown"))</f>
        <v>0.4</v>
      </c>
      <c r="AU12" s="8">
        <f t="shared" si="0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_xlfn.XLOOKUP(B12,'Base stats'!B:B,'Base stats'!AF:AF)</f>
        <v>No</v>
      </c>
      <c r="BB12" s="2" t="str">
        <f>_xlfn.XLOOKUP(B12,'Base stats'!B:B,'Base stats'!AE:AE)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stats'!Z:Z)=0),0,IF(OR(_xlfn.XLOOKUP(Animals!B12,'Base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stats'!AA:AA),0.005))</f>
        <v>0</v>
      </c>
      <c r="BE12" s="23">
        <f>MIN(1,MROUND(IF(AND(AO12&lt;0.5,_xlfn.XLOOKUP(B12,'Base stats'!B:B,'Base stats'!Z:Z)=0),0,IF(_xlfn.XLOOKUP(_xlfn.XLOOKUP(B12,'Base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stats'!AB:AB),0.005))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stats'!AL:AL)="Standard","No",MROUND((_xlfn.XLOOKUP(B12,'Base stats'!B:B,'Base stats'!AL:AL)/3.6)/I12,0.1))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stats'!AC:AC)&lt;&gt;"No",_xlfn.XLOOKUP(B12,'Base stats'!B:B,'Base stats'!AC:AC),"")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stats'!AC:AC)&lt;&gt;"No",_xlfn.XLOOKUP(B12,'Base stats'!B:B,'Base stats'!AC:AC),"")
  )
)</f>
        <v>No</v>
      </c>
      <c r="BQ12" s="25" t="str">
        <f>IF(
   AND(
      'Base stats'!AL12="Standard",_xlfn.XLOOKUP(_xlfn.XLOOKUP(B12,'Base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stats'!AT:AT) * 1.8) * 2) * 2.5 + 10 + I12 * 2,5)+IF(_xlfn.XLOOKUP(B12,'Base stats'!B:B,'Base stats'!AI:AI)=1,50,0)</f>
        <v>180</v>
      </c>
      <c r="BS12" s="8">
        <f t="shared" si="5"/>
        <v>1.4500000000000002</v>
      </c>
      <c r="BT12" s="8" t="str">
        <f>_xlfn.XLOOKUP(B12,'Base stats'!B:B,'Base stats'!AD:AD)</f>
        <v>3~10</v>
      </c>
      <c r="BU12" s="2" t="str">
        <f>IF(AND(J12&lt;=0.95,OR(_xlfn.XLOOKUP(B12,'Base stats'!B:B,'Base stats'!AI:AI)=1,_xlfn.XLOOKUP(B12,'Base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stats'!AG:AG)=1,"true","false")</f>
        <v>true</v>
      </c>
      <c r="BW12" s="25" t="str">
        <f>IF(E12="BaseInsect","AnimalInsect",
IF(J12&gt;0.95,"AnimalExotic",
_xlfn.TEXTJOIN(", ",TRUE,
IF(OR(_xlfn.XLOOKUP(B12,'Base stats'!B:B,'Base stats'!AK:AK)=1,AND(_xlfn.XLOOKUP(B12,'Base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stats'!AI:AI)=1,AND(BI12&lt;&gt;"None",BR12&gt;=60),ISNUMBER(SEARCH("Attack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stats'!AH:AH)=1,"true","false")</f>
        <v>false</v>
      </c>
      <c r="BZ12" s="25">
        <f>IF(_xlfn.XLOOKUP(B12,'Base stats'!B:B,'Base stats'!N:N)=1,"No",MAX(0.01,MIN(MROUND(IF(OR(_xlfn.XLOOKUP(B12,'Base stats'!B:B,'Base stats'!AK:AK)=1,AND(BJ12="True",CC12="False")),POWER(10,3.47*LOG10(_xlfn.XLOOKUP(B12,'Base stats'!B:B,'Base stats'!C:C)*1000)^-0.96),POWER(10,4.15*LOG10(_xlfn.XLOOKUP(B12,'Base stats'!B:B,'Base stats'!C:C)*1000)^-0.73))*IF(OR(_xlfn.XLOOKUP(B12,'Base stats'!B:B,'Base stats'!AK:AK)=1,_xlfn.XLOOKUP(B12,'Base stats'!B:B,'Base stats'!AI:AI)=1),0.5,1)/100,0.025),1)))</f>
        <v>0.15000000000000002</v>
      </c>
      <c r="CA12" s="25" t="str">
        <f>IF(P12="Standard","No",MAX(0.01,IF(_xlfn.XLOOKUP(B12,'Base stats'!B:B,'Base stats'!N:N)=0,MROUND(BZ12*P12,0.05),MIN(1,MAX(0.025,MROUND(IF(OR(CC12="true",AND(BJ12="false",BO12="false")),POWER(10,4.15*LOG10(_xlfn.XLOOKUP(B12,'Base stats'!B:B,'Base stats'!C:C)*1000)^-0.73),POWER(10,3.47*LOG10(_xlfn.XLOOKUP(B12,'Base stats'!B:B,'Base stats'!C:C)*1000)^-0.96))*IF(_xlfn.XLOOKUP(B12,'Base stats'!B:B,'Base stats'!AI:AI)=1,0.5,1)/100,0.025))))))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101</v>
      </c>
      <c r="C13" s="28" t="s">
        <v>696</v>
      </c>
      <c r="D13" s="28" t="s">
        <v>45</v>
      </c>
      <c r="E13" s="28" t="s">
        <v>685</v>
      </c>
      <c r="F13" s="28" t="s">
        <v>685</v>
      </c>
      <c r="G13" s="28" t="s">
        <v>685</v>
      </c>
      <c r="H13" s="2">
        <f>MROUND((
  (IF(AND(_xlfn.XLOOKUP(B13,'Base stats'!B:B,'Base stats'!AJ:AJ)=0,BI13="None",_xlfn.XLOOKUP(_xlfn.XLOOKUP(B13,'Base stats'!B:B,'Base stats'!E:E),Groups!A:A,Groups!B:B)=0), (18 + BR13 * 2.7) * 0.5,
    IF(AND(_xlfn.XLOOKUP(B13,'Base stats'!B:B,'Base stats'!AJ:AJ)=0,OR(AO13&lt;0.55,AND(BI13="Intermediate",_xlfn.XLOOKUP(_xlfn.XLOOKUP(B13,'Base stats'!B:B,'Base stats'!E:E),Groups!A:A,Groups!B:B)&lt;2))), (18 + BR13 * 2.7),
      IF(OR(BI13="Advanced",_xlfn.XLOOKUP(B13,'Base stats'!B:B,'Base stats'!AJ:AJ)=1,_xlfn.XLOOKUP(_xlfn.XLOOKUP(B13,'Base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IF(_xlfn.XLOOKUP(_xlfn.XLOOKUP(B13,'Base stats'!B:B,'Base stats'!E:E),Groups!A:A,Groups!C:C)="Untamable",1,IF(_xlfn.XLOOKUP(B13,'Base stats'!B:B,'Base stats'!AJ:AJ)=1,0.99,MIN(MROUND((1-0.6282*EXP(-0.459*AO13))*_xlfn.XLOOKUP(_xlfn.XLOOKUP(B13,'Base stats'!B:B,'Base stats'!E:E),Groups!A:A,Groups!C:C)*IF(_xlfn.XLOOKUP(B13,'Base stats'!B:B,'Base stats'!O:O)=1,0.5,IF(_xlfn.XLOOKUP(B13,'Base stats'!B:B,'Base stats'!O:O)=2,0,1)),0.05),0.985)))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IF(_xlfn.XLOOKUP(_xlfn.XLOOKUP(B13,'Base stats'!B:B,'Base stats'!E:E),Groups!A:A,Groups!L:L)=1,MIN(MROUND(_xlfn.XLOOKUP(B13,'Animals CE'!B:B,'Animals CE'!Z:Z)/2+0.05,0.05),200%),"No")</f>
        <v>No</v>
      </c>
      <c r="O13" s="8" t="str">
        <f>IF(_xlfn.XLOOKUP(_xlfn.XLOOKUP(B13,'Base stats'!B:B,'Base stats'!E:E),Groups!A:A,Groups!L:L)=1,MIN(MROUND(_xlfn.XLOOKUP(B13,'Animals CE'!B:B,'Animals CE'!AA:AA)/2+0.05,0.05),200%),"No")</f>
        <v>No</v>
      </c>
      <c r="P13" s="2" t="str">
        <f>_xlfn.XLOOKUP(B13,'Base stats'!B:B,'Base stats'!R:R)</f>
        <v>Standard</v>
      </c>
      <c r="Q13" s="13">
        <f>MROUND((LOG10(_xlfn.XLOOKUP(B13,'Base stats'!B:B,'Base stats'!AP:AP))*(AO13^0.5)+(_xlfn.XLOOKUP(B13,'Base stats'!B:B,'Base stats'!AP:AP)/1000)^(2/3)+_xlfn.XLOOKUP(B13,'Base stats'!B:B,'Base stats'!AY:AY)/2)+0.5,0.5)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stats'!AQ:AQ))*(AO13^0.5)+(_xlfn.XLOOKUP(B13,'Base stats'!B:B,'Base stats'!AQ:AQ)/1000)^(2/3)+_xlfn.XLOOKUP(B13,'Base stats'!B:B,'Base stats'!AY:AY))+_xlfn.XLOOKUP(B13,'Base stats'!B:B,'Base stats'!AW:AW)+0.5,0.5))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stats'!AS:AS))*(AO13^0.5)+(_xlfn.XLOOKUP(B13,'Base stats'!B:B,'Base stats'!AS:AS)/1000)^(2/3)+_xlfn.XLOOKUP(B13,'Base stats'!B:B,'Base stats'!AX:AX))+0.5+IF(_xlfn.XLOOKUP(_xlfn.XLOOKUP(B13,'Base stats'!B:B,'Base stats'!E:E),Groups!A:A,Groups!U:U)&lt;&gt;3,_xlfn.XLOOKUP(B13,'Base stats'!B:B,'Base stats'!AY:AY),0),0.5))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stats'!AR:AR)="No","No",MROUND((LOG10(_xlfn.XLOOKUP(B13,'Base stats'!B:B,'Base stats'!AR:AR))*(AO13^0.75)+(_xlfn.XLOOKUP(B13,'Base stats'!B:B,'Base stats'!AR:AR)/1000)^(2/3)+_xlfn.XLOOKUP(B13,'Base stats'!B:B,'Base stats'!AV:AV)+_xlfn.XLOOKUP(B13,'Base stats'!B:B,'Base stats'!AY:AY))+0.5,0.5))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stats'!AQ:AQ))*(AO13^0.75)+(_xlfn.XLOOKUP(B13,'Base stats'!B:B,'Base stats'!AQ:AQ)/1000)^(2/3)+_xlfn.XLOOKUP(B13,'Base stats'!B:B,'Base stats'!AW:AW)+_xlfn.XLOOKUP(B13,'Base stats'!B:B,'Base stats'!AY:AY))+0.5,0.5))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1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IFERROR(IF(_xlfn.XLOOKUP(B13,'Base stats'!B:B,'Base stats'!F:F)="Lay eggs","Lay eggs",MIN(20,MAX(5.5,ROUND(((_xlfn.XLOOKUP(B13,'Base stats'!B:B,'Base stats'!F:F)-25)*(14.5/615) + 5.5)*2,0)/2))),"Cannot breed")</f>
        <v>13</v>
      </c>
      <c r="AT13" s="8">
        <f>IF(OR(A13="Queen",A13="Larva",A13="Megachicken",A13="Megatardi",A13="Toxscorpion"),"No",IFERROR(MAX(IF(_xlfn.XLOOKUP(B13,'Base stats'!B:B,'Base stats'!G:G)&lt;0.5,0.2,0.3),MROUND(_xlfn.XLOOKUP(B13,'Base stats'!B:B,'Base stats'!G:G)/(365/60),0.2)),"Unknown"))</f>
        <v>0.3</v>
      </c>
      <c r="AU13" s="8">
        <f t="shared" si="0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_xlfn.XLOOKUP(B13,'Base stats'!B:B,'Base stats'!AF:AF)</f>
        <v>No</v>
      </c>
      <c r="BB13" s="2" t="str">
        <f>_xlfn.XLOOKUP(B13,'Base stats'!B:B,'Base stats'!AE:AE)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stats'!Z:Z)=0),0,IF(OR(_xlfn.XLOOKUP(Animals!B13,'Base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stats'!AA:AA),0.005))</f>
        <v>0</v>
      </c>
      <c r="BE13" s="23">
        <f>MIN(1,MROUND(IF(AND(AO13&lt;0.5,_xlfn.XLOOKUP(B13,'Base stats'!B:B,'Base stats'!Z:Z)=0),0,IF(_xlfn.XLOOKUP(_xlfn.XLOOKUP(B13,'Base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stats'!AB:AB),0.005))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stats'!AL:AL)="Standard","No",MROUND((_xlfn.XLOOKUP(B13,'Base stats'!B:B,'Base stats'!AL:AL)/3.6)/I13,0.1))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stats'!AC:AC)&lt;&gt;"No",_xlfn.XLOOKUP(B13,'Base stats'!B:B,'Base stats'!AC:AC),"")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stats'!AC:AC)&lt;&gt;"No",_xlfn.XLOOKUP(B13,'Base stats'!B:B,'Base stats'!AC:AC),"")
  )
)</f>
        <v>No</v>
      </c>
      <c r="BQ13" s="25" t="str">
        <f>IF(
   AND(
      'Base stats'!AL13="Standard",_xlfn.XLOOKUP(_xlfn.XLOOKUP(B13,'Base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stats'!AT:AT) * 1.8) * 2) * 2.5 + 10 + I13 * 2,5)+IF(_xlfn.XLOOKUP(B13,'Base stats'!B:B,'Base stats'!AI:AI)=1,50,0)</f>
        <v>80</v>
      </c>
      <c r="BS13" s="8">
        <f t="shared" si="5"/>
        <v>0.70000000000000007</v>
      </c>
      <c r="BT13" s="8" t="str">
        <f>_xlfn.XLOOKUP(B13,'Base stats'!B:B,'Base stats'!AD:AD)</f>
        <v>3~8</v>
      </c>
      <c r="BU13" s="2" t="str">
        <f>IF(AND(J13&lt;=0.95,OR(_xlfn.XLOOKUP(B13,'Base stats'!B:B,'Base stats'!AI:AI)=1,_xlfn.XLOOKUP(B13,'Base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stats'!AG:AG)=1,"true","false")</f>
        <v>true</v>
      </c>
      <c r="BW13" s="25" t="str">
        <f>IF(E13="BaseInsect","AnimalInsect",
IF(J13&gt;0.95,"AnimalExotic",
_xlfn.TEXTJOIN(", ",TRUE,
IF(OR(_xlfn.XLOOKUP(B13,'Base stats'!B:B,'Base stats'!AK:AK)=1,AND(_xlfn.XLOOKUP(B13,'Base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stats'!AI:AI)=1,AND(BI13&lt;&gt;"None",BR13&gt;=60),ISNUMBER(SEARCH("Attack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stats'!AH:AH)=1,"true","false")</f>
        <v>false</v>
      </c>
      <c r="BZ13" s="25">
        <f>IF(_xlfn.XLOOKUP(B13,'Base stats'!B:B,'Base stats'!N:N)=1,"No",MAX(0.01,MIN(MROUND(IF(OR(_xlfn.XLOOKUP(B13,'Base stats'!B:B,'Base stats'!AK:AK)=1,AND(BJ13="True",CC13="False")),POWER(10,3.47*LOG10(_xlfn.XLOOKUP(B13,'Base stats'!B:B,'Base stats'!C:C)*1000)^-0.96),POWER(10,4.15*LOG10(_xlfn.XLOOKUP(B13,'Base stats'!B:B,'Base stats'!C:C)*1000)^-0.73))*IF(OR(_xlfn.XLOOKUP(B13,'Base stats'!B:B,'Base stats'!AK:AK)=1,_xlfn.XLOOKUP(B13,'Base stats'!B:B,'Base stats'!AI:AI)=1),0.5,1)/100,0.025),1)))</f>
        <v>0.2</v>
      </c>
      <c r="CA13" s="25" t="str">
        <f>IF(P13="Standard","No",MAX(0.01,IF(_xlfn.XLOOKUP(B13,'Base stats'!B:B,'Base stats'!N:N)=0,MROUND(BZ13*P13,0.05),MIN(1,MAX(0.025,MROUND(IF(OR(CC13="true",AND(BJ13="false",BO13="false")),POWER(10,4.15*LOG10(_xlfn.XLOOKUP(B13,'Base stats'!B:B,'Base stats'!C:C)*1000)^-0.73),POWER(10,3.47*LOG10(_xlfn.XLOOKUP(B13,'Base stats'!B:B,'Base stats'!C:C)*1000)^-0.96))*IF(_xlfn.XLOOKUP(B13,'Base stats'!B:B,'Base stats'!AI:AI)=1,0.5,1)/100,0.025))))))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886</v>
      </c>
      <c r="C14" s="28" t="s">
        <v>697</v>
      </c>
      <c r="D14" s="28" t="s">
        <v>45</v>
      </c>
      <c r="E14" s="28" t="s">
        <v>685</v>
      </c>
      <c r="F14" s="28" t="s">
        <v>685</v>
      </c>
      <c r="G14" s="28" t="s">
        <v>685</v>
      </c>
      <c r="H14" s="2">
        <f>MROUND((
  (IF(AND(_xlfn.XLOOKUP(B14,'Base stats'!B:B,'Base stats'!AJ:AJ)=0,BI14="None",_xlfn.XLOOKUP(_xlfn.XLOOKUP(B14,'Base stats'!B:B,'Base stats'!E:E),Groups!A:A,Groups!B:B)=0), (18 + BR14 * 2.7) * 0.5,
    IF(AND(_xlfn.XLOOKUP(B14,'Base stats'!B:B,'Base stats'!AJ:AJ)=0,OR(AO14&lt;0.55,AND(BI14="Intermediate",_xlfn.XLOOKUP(_xlfn.XLOOKUP(B14,'Base stats'!B:B,'Base stats'!E:E),Groups!A:A,Groups!B:B)&lt;2))), (18 + BR14 * 2.7),
      IF(OR(BI14="Advanced",_xlfn.XLOOKUP(B14,'Base stats'!B:B,'Base stats'!AJ:AJ)=1,_xlfn.XLOOKUP(_xlfn.XLOOKUP(B14,'Base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IF(_xlfn.XLOOKUP(_xlfn.XLOOKUP(B14,'Base stats'!B:B,'Base stats'!E:E),Groups!A:A,Groups!C:C)="Untamable",1,IF(_xlfn.XLOOKUP(B14,'Base stats'!B:B,'Base stats'!AJ:AJ)=1,0.99,MIN(MROUND((1-0.6282*EXP(-0.459*AO14))*_xlfn.XLOOKUP(_xlfn.XLOOKUP(B14,'Base stats'!B:B,'Base stats'!E:E),Groups!A:A,Groups!C:C)*IF(_xlfn.XLOOKUP(B14,'Base stats'!B:B,'Base stats'!O:O)=1,0.5,IF(_xlfn.XLOOKUP(B14,'Base stats'!B:B,'Base stats'!O:O)=2,0,1)),0.05),0.985)))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IF(_xlfn.XLOOKUP(_xlfn.XLOOKUP(B14,'Base stats'!B:B,'Base stats'!E:E),Groups!A:A,Groups!L:L)=1,MIN(MROUND(_xlfn.XLOOKUP(B14,'Animals CE'!B:B,'Animals CE'!Z:Z)/2+0.05,0.05),200%),"No")</f>
        <v>No</v>
      </c>
      <c r="O14" s="8" t="str">
        <f>IF(_xlfn.XLOOKUP(_xlfn.XLOOKUP(B14,'Base stats'!B:B,'Base stats'!E:E),Groups!A:A,Groups!L:L)=1,MIN(MROUND(_xlfn.XLOOKUP(B14,'Animals CE'!B:B,'Animals CE'!AA:AA)/2+0.05,0.05),200%),"No")</f>
        <v>No</v>
      </c>
      <c r="P14" s="2" t="str">
        <f>_xlfn.XLOOKUP(B14,'Base stats'!B:B,'Base stats'!R:R)</f>
        <v>Standard</v>
      </c>
      <c r="Q14" s="13">
        <f>MROUND((LOG10(_xlfn.XLOOKUP(B14,'Base stats'!B:B,'Base stats'!AP:AP))*(AO14^0.5)+(_xlfn.XLOOKUP(B14,'Base stats'!B:B,'Base stats'!AP:AP)/1000)^(2/3)+_xlfn.XLOOKUP(B14,'Base stats'!B:B,'Base stats'!AY:AY)/2)+0.5,0.5)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stats'!AQ:AQ))*(AO14^0.5)+(_xlfn.XLOOKUP(B14,'Base stats'!B:B,'Base stats'!AQ:AQ)/1000)^(2/3)+_xlfn.XLOOKUP(B14,'Base stats'!B:B,'Base stats'!AY:AY))+_xlfn.XLOOKUP(B14,'Base stats'!B:B,'Base stats'!AW:AW)+0.5,0.5))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stats'!AS:AS))*(AO14^0.5)+(_xlfn.XLOOKUP(B14,'Base stats'!B:B,'Base stats'!AS:AS)/1000)^(2/3)+_xlfn.XLOOKUP(B14,'Base stats'!B:B,'Base stats'!AX:AX))+0.5+IF(_xlfn.XLOOKUP(_xlfn.XLOOKUP(B14,'Base stats'!B:B,'Base stats'!E:E),Groups!A:A,Groups!U:U)&lt;&gt;3,_xlfn.XLOOKUP(B14,'Base stats'!B:B,'Base stats'!AY:AY),0),0.5))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stats'!AR:AR)="No","No",MROUND((LOG10(_xlfn.XLOOKUP(B14,'Base stats'!B:B,'Base stats'!AR:AR))*(AO14^0.75)+(_xlfn.XLOOKUP(B14,'Base stats'!B:B,'Base stats'!AR:AR)/1000)^(2/3)+_xlfn.XLOOKUP(B14,'Base stats'!B:B,'Base stats'!AV:AV)+_xlfn.XLOOKUP(B14,'Base stats'!B:B,'Base stats'!AY:AY))+0.5,0.5))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stats'!AQ:AQ))*(AO14^0.75)+(_xlfn.XLOOKUP(B14,'Base stats'!B:B,'Base stats'!AQ:AQ)/1000)^(2/3)+_xlfn.XLOOKUP(B14,'Base stats'!B:B,'Base stats'!AW:AW)+_xlfn.XLOOKUP(B14,'Base stats'!B:B,'Base stats'!AY:AY))+0.5,0.5))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1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IFERROR(IF(_xlfn.XLOOKUP(B14,'Base stats'!B:B,'Base stats'!F:F)="Lay eggs","Lay eggs",MIN(20,MAX(5.5,ROUND(((_xlfn.XLOOKUP(B14,'Base stats'!B:B,'Base stats'!F:F)-25)*(14.5/615) + 5.5)*2,0)/2))),"Cannot breed")</f>
        <v>6.5</v>
      </c>
      <c r="AT14" s="8">
        <f>IF(OR(A14="Queen",A14="Larva",A14="Megachicken",A14="Megatardi",A14="Toxscorpion"),"No",IFERROR(MAX(IF(_xlfn.XLOOKUP(B14,'Base stats'!B:B,'Base stats'!G:G)&lt;0.5,0.2,0.3),MROUND(_xlfn.XLOOKUP(B14,'Base stats'!B:B,'Base stats'!G:G)/(365/60),0.2)),"Unknown"))</f>
        <v>0.3</v>
      </c>
      <c r="AU14" s="8">
        <f t="shared" si="0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_xlfn.XLOOKUP(B14,'Base stats'!B:B,'Base stats'!AF:AF)</f>
        <v>No</v>
      </c>
      <c r="BB14" s="2" t="str">
        <f>_xlfn.XLOOKUP(B14,'Base stats'!B:B,'Base stats'!AE:AE)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stats'!Z:Z)=0),0,IF(OR(_xlfn.XLOOKUP(Animals!B14,'Base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stats'!AA:AA),0.005))</f>
        <v>0</v>
      </c>
      <c r="BE14" s="23">
        <f>MIN(1,MROUND(IF(AND(AO14&lt;0.5,_xlfn.XLOOKUP(B14,'Base stats'!B:B,'Base stats'!Z:Z)=0),0,IF(_xlfn.XLOOKUP(_xlfn.XLOOKUP(B14,'Base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stats'!AB:AB),0.005))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stats'!AL:AL)="Standard","No",MROUND((_xlfn.XLOOKUP(B14,'Base stats'!B:B,'Base stats'!AL:AL)/3.6)/I14,0.1))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stats'!AC:AC)&lt;&gt;"No",_xlfn.XLOOKUP(B14,'Base stats'!B:B,'Base stats'!AC:AC),"")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stats'!AC:AC)&lt;&gt;"No",_xlfn.XLOOKUP(B14,'Base stats'!B:B,'Base stats'!AC:AC),"")
  )
)</f>
        <v>Forage, Comfort</v>
      </c>
      <c r="BQ14" s="25" t="str">
        <f>IF(
   AND(
      'Base stats'!AL14="Standard",_xlfn.XLOOKUP(_xlfn.XLOOKUP(B14,'Base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stats'!AT:AT) * 1.8) * 2) * 2.5 + 10 + I14 * 2,5)+IF(_xlfn.XLOOKUP(B14,'Base stats'!B:B,'Base stats'!AI:AI)=1,50,0)</f>
        <v>35</v>
      </c>
      <c r="BS14" s="8">
        <f t="shared" si="5"/>
        <v>0.25</v>
      </c>
      <c r="BT14" s="8" t="str">
        <f>_xlfn.XLOOKUP(B14,'Base stats'!B:B,'Base stats'!AD:AD)</f>
        <v>2~6</v>
      </c>
      <c r="BU14" s="2" t="str">
        <f>IF(AND(J14&lt;=0.95,OR(_xlfn.XLOOKUP(B14,'Base stats'!B:B,'Base stats'!AI:AI)=1,_xlfn.XLOOKUP(B14,'Base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stats'!AG:AG)=1,"true","false")</f>
        <v>false</v>
      </c>
      <c r="BW14" s="25" t="str">
        <f>IF(E14="BaseInsect","AnimalInsect",
IF(J14&gt;0.95,"AnimalExotic",
_xlfn.TEXTJOIN(", ",TRUE,
IF(OR(_xlfn.XLOOKUP(B14,'Base stats'!B:B,'Base stats'!AK:AK)=1,AND(_xlfn.XLOOKUP(B14,'Base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stats'!AI:AI)=1,AND(BI14&lt;&gt;"None",BR14&gt;=60),ISNUMBER(SEARCH("Attack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stats'!AH:AH)=1,"true","false")</f>
        <v>false</v>
      </c>
      <c r="BZ14" s="25">
        <f>IF(_xlfn.XLOOKUP(B14,'Base stats'!B:B,'Base stats'!N:N)=1,"No",MAX(0.01,MIN(MROUND(IF(OR(_xlfn.XLOOKUP(B14,'Base stats'!B:B,'Base stats'!AK:AK)=1,AND(BJ14="True",CC14="False")),POWER(10,3.47*LOG10(_xlfn.XLOOKUP(B14,'Base stats'!B:B,'Base stats'!C:C)*1000)^-0.96),POWER(10,4.15*LOG10(_xlfn.XLOOKUP(B14,'Base stats'!B:B,'Base stats'!C:C)*1000)^-0.73))*IF(OR(_xlfn.XLOOKUP(B14,'Base stats'!B:B,'Base stats'!AK:AK)=1,_xlfn.XLOOKUP(B14,'Base stats'!B:B,'Base stats'!AI:AI)=1),0.5,1)/100,0.025),1)))</f>
        <v>0.125</v>
      </c>
      <c r="CA14" s="25" t="str">
        <f>IF(P14="Standard","No",MAX(0.01,IF(_xlfn.XLOOKUP(B14,'Base stats'!B:B,'Base stats'!N:N)=0,MROUND(BZ14*P14,0.05),MIN(1,MAX(0.025,MROUND(IF(OR(CC14="true",AND(BJ14="false",BO14="false")),POWER(10,4.15*LOG10(_xlfn.XLOOKUP(B14,'Base stats'!B:B,'Base stats'!C:C)*1000)^-0.73),POWER(10,3.47*LOG10(_xlfn.XLOOKUP(B14,'Base stats'!B:B,'Base stats'!C:C)*1000)^-0.96))*IF(_xlfn.XLOOKUP(B14,'Base stats'!B:B,'Base stats'!AI:AI)=1,0.5,1)/100,0.025))))))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887</v>
      </c>
      <c r="C15" s="28" t="s">
        <v>698</v>
      </c>
      <c r="D15" s="28" t="s">
        <v>45</v>
      </c>
      <c r="E15" s="28" t="s">
        <v>685</v>
      </c>
      <c r="F15" s="28" t="s">
        <v>685</v>
      </c>
      <c r="G15" s="28" t="s">
        <v>685</v>
      </c>
      <c r="H15" s="2">
        <f>MROUND((
  (IF(AND(_xlfn.XLOOKUP(B15,'Base stats'!B:B,'Base stats'!AJ:AJ)=0,BI15="None",_xlfn.XLOOKUP(_xlfn.XLOOKUP(B15,'Base stats'!B:B,'Base stats'!E:E),Groups!A:A,Groups!B:B)=0), (18 + BR15 * 2.7) * 0.5,
    IF(AND(_xlfn.XLOOKUP(B15,'Base stats'!B:B,'Base stats'!AJ:AJ)=0,OR(AO15&lt;0.55,AND(BI15="Intermediate",_xlfn.XLOOKUP(_xlfn.XLOOKUP(B15,'Base stats'!B:B,'Base stats'!E:E),Groups!A:A,Groups!B:B)&lt;2))), (18 + BR15 * 2.7),
      IF(OR(BI15="Advanced",_xlfn.XLOOKUP(B15,'Base stats'!B:B,'Base stats'!AJ:AJ)=1,_xlfn.XLOOKUP(_xlfn.XLOOKUP(B15,'Base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IF(_xlfn.XLOOKUP(_xlfn.XLOOKUP(B15,'Base stats'!B:B,'Base stats'!E:E),Groups!A:A,Groups!C:C)="Untamable",1,IF(_xlfn.XLOOKUP(B15,'Base stats'!B:B,'Base stats'!AJ:AJ)=1,0.99,MIN(MROUND((1-0.6282*EXP(-0.459*AO15))*_xlfn.XLOOKUP(_xlfn.XLOOKUP(B15,'Base stats'!B:B,'Base stats'!E:E),Groups!A:A,Groups!C:C)*IF(_xlfn.XLOOKUP(B15,'Base stats'!B:B,'Base stats'!O:O)=1,0.5,IF(_xlfn.XLOOKUP(B15,'Base stats'!B:B,'Base stats'!O:O)=2,0,1)),0.05),0.985)))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IF(_xlfn.XLOOKUP(_xlfn.XLOOKUP(B15,'Base stats'!B:B,'Base stats'!E:E),Groups!A:A,Groups!L:L)=1,MIN(MROUND(_xlfn.XLOOKUP(B15,'Animals CE'!B:B,'Animals CE'!Z:Z)/2+0.05,0.05),200%),"No")</f>
        <v>No</v>
      </c>
      <c r="O15" s="8" t="str">
        <f>IF(_xlfn.XLOOKUP(_xlfn.XLOOKUP(B15,'Base stats'!B:B,'Base stats'!E:E),Groups!A:A,Groups!L:L)=1,MIN(MROUND(_xlfn.XLOOKUP(B15,'Animals CE'!B:B,'Animals CE'!AA:AA)/2+0.05,0.05),200%),"No")</f>
        <v>No</v>
      </c>
      <c r="P15" s="2" t="str">
        <f>_xlfn.XLOOKUP(B15,'Base stats'!B:B,'Base stats'!R:R)</f>
        <v>Standard</v>
      </c>
      <c r="Q15" s="13">
        <f>MROUND((LOG10(_xlfn.XLOOKUP(B15,'Base stats'!B:B,'Base stats'!AP:AP))*(AO15^0.5)+(_xlfn.XLOOKUP(B15,'Base stats'!B:B,'Base stats'!AP:AP)/1000)^(2/3)+_xlfn.XLOOKUP(B15,'Base stats'!B:B,'Base stats'!AY:AY)/2)+0.5,0.5)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stats'!AQ:AQ))*(AO15^0.5)+(_xlfn.XLOOKUP(B15,'Base stats'!B:B,'Base stats'!AQ:AQ)/1000)^(2/3)+_xlfn.XLOOKUP(B15,'Base stats'!B:B,'Base stats'!AY:AY))+_xlfn.XLOOKUP(B15,'Base stats'!B:B,'Base stats'!AW:AW)+0.5,0.5))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stats'!AS:AS))*(AO15^0.5)+(_xlfn.XLOOKUP(B15,'Base stats'!B:B,'Base stats'!AS:AS)/1000)^(2/3)+_xlfn.XLOOKUP(B15,'Base stats'!B:B,'Base stats'!AX:AX))+0.5+IF(_xlfn.XLOOKUP(_xlfn.XLOOKUP(B15,'Base stats'!B:B,'Base stats'!E:E),Groups!A:A,Groups!U:U)&lt;&gt;3,_xlfn.XLOOKUP(B15,'Base stats'!B:B,'Base stats'!AY:AY),0),0.5))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stats'!AR:AR)="No","No",MROUND((LOG10(_xlfn.XLOOKUP(B15,'Base stats'!B:B,'Base stats'!AR:AR))*(AO15^0.75)+(_xlfn.XLOOKUP(B15,'Base stats'!B:B,'Base stats'!AR:AR)/1000)^(2/3)+_xlfn.XLOOKUP(B15,'Base stats'!B:B,'Base stats'!AV:AV)+_xlfn.XLOOKUP(B15,'Base stats'!B:B,'Base stats'!AY:AY))+0.5,0.5))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stats'!AQ:AQ))*(AO15^0.75)+(_xlfn.XLOOKUP(B15,'Base stats'!B:B,'Base stats'!AQ:AQ)/1000)^(2/3)+_xlfn.XLOOKUP(B15,'Base stats'!B:B,'Base stats'!AW:AW)+_xlfn.XLOOKUP(B15,'Base stats'!B:B,'Base stats'!AY:AY))+0.5,0.5))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1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IFERROR(IF(_xlfn.XLOOKUP(B15,'Base stats'!B:B,'Base stats'!F:F)="Lay eggs","Lay eggs",MIN(20,MAX(5.5,ROUND(((_xlfn.XLOOKUP(B15,'Base stats'!B:B,'Base stats'!F:F)-25)*(14.5/615) + 5.5)*2,0)/2))),"Cannot breed")</f>
        <v>6.5</v>
      </c>
      <c r="AT15" s="8">
        <f>IF(OR(A15="Queen",A15="Larva",A15="Megachicken",A15="Megatardi",A15="Toxscorpion"),"No",IFERROR(MAX(IF(_xlfn.XLOOKUP(B15,'Base stats'!B:B,'Base stats'!G:G)&lt;0.5,0.2,0.3),MROUND(_xlfn.XLOOKUP(B15,'Base stats'!B:B,'Base stats'!G:G)/(365/60),0.2)),"Unknown"))</f>
        <v>0.3</v>
      </c>
      <c r="AU15" s="8">
        <f t="shared" si="0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_xlfn.XLOOKUP(B15,'Base stats'!B:B,'Base stats'!AF:AF)</f>
        <v>&lt;li&gt;YorkshireTerrier&lt;/li&gt;</v>
      </c>
      <c r="BB15" s="2" t="str">
        <f>_xlfn.XLOOKUP(B15,'Base stats'!B:B,'Base stats'!AE:AE)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stats'!Z:Z)=0),0,IF(OR(_xlfn.XLOOKUP(Animals!B15,'Base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stats'!AA:AA),0.005))</f>
        <v>0</v>
      </c>
      <c r="BE15" s="23">
        <f>MIN(1,MROUND(IF(AND(AO15&lt;0.5,_xlfn.XLOOKUP(B15,'Base stats'!B:B,'Base stats'!Z:Z)=0),0,IF(_xlfn.XLOOKUP(_xlfn.XLOOKUP(B15,'Base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stats'!AB:AB),0.005))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stats'!AL:AL)="Standard","No",MROUND((_xlfn.XLOOKUP(B15,'Base stats'!B:B,'Base stats'!AL:AL)/3.6)/I15,0.1))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stats'!AC:AC)&lt;&gt;"No",_xlfn.XLOOKUP(B15,'Base stats'!B:B,'Base stats'!AC:AC),"")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stats'!AC:AC)&lt;&gt;"No",_xlfn.XLOOKUP(B15,'Base stats'!B:B,'Base stats'!AC:AC),"")
  )
)</f>
        <v>AttackTarget, Forage, Comfort</v>
      </c>
      <c r="BQ15" s="25" t="str">
        <f>IF(
   AND(
      'Base stats'!AL15="Standard",_xlfn.XLOOKUP(_xlfn.XLOOKUP(B15,'Base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stats'!AT:AT) * 1.8) * 2) * 2.5 + 10 + I15 * 2,5)+IF(_xlfn.XLOOKUP(B15,'Base stats'!B:B,'Base stats'!AI:AI)=1,50,0)</f>
        <v>80</v>
      </c>
      <c r="BS15" s="8">
        <f t="shared" si="5"/>
        <v>0.5</v>
      </c>
      <c r="BT15" s="8" t="str">
        <f>_xlfn.XLOOKUP(B15,'Base stats'!B:B,'Base stats'!AD:AD)</f>
        <v>2~6</v>
      </c>
      <c r="BU15" s="2" t="str">
        <f>IF(AND(J15&lt;=0.95,OR(_xlfn.XLOOKUP(B15,'Base stats'!B:B,'Base stats'!AI:AI)=1,_xlfn.XLOOKUP(B15,'Base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stats'!AG:AG)=1,"true","false")</f>
        <v>false</v>
      </c>
      <c r="BW15" s="25" t="str">
        <f>IF(E15="BaseInsect","AnimalInsect",
IF(J15&gt;0.95,"AnimalExotic",
_xlfn.TEXTJOIN(", ",TRUE,
IF(OR(_xlfn.XLOOKUP(B15,'Base stats'!B:B,'Base stats'!AK:AK)=1,AND(_xlfn.XLOOKUP(B15,'Base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stats'!AI:AI)=1,AND(BI15&lt;&gt;"None",BR15&gt;=60),ISNUMBER(SEARCH("Attack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stats'!AH:AH)=1,"true","false")</f>
        <v>false</v>
      </c>
      <c r="BZ15" s="25">
        <f>IF(_xlfn.XLOOKUP(B15,'Base stats'!B:B,'Base stats'!N:N)=1,"No",MAX(0.01,MIN(MROUND(IF(OR(_xlfn.XLOOKUP(B15,'Base stats'!B:B,'Base stats'!AK:AK)=1,AND(BJ15="True",CC15="False")),POWER(10,3.47*LOG10(_xlfn.XLOOKUP(B15,'Base stats'!B:B,'Base stats'!C:C)*1000)^-0.96),POWER(10,4.15*LOG10(_xlfn.XLOOKUP(B15,'Base stats'!B:B,'Base stats'!C:C)*1000)^-0.73))*IF(OR(_xlfn.XLOOKUP(B15,'Base stats'!B:B,'Base stats'!AK:AK)=1,_xlfn.XLOOKUP(B15,'Base stats'!B:B,'Base stats'!AI:AI)=1),0.5,1)/100,0.025),1)))</f>
        <v>7.5000000000000011E-2</v>
      </c>
      <c r="CA15" s="25" t="str">
        <f>IF(P15="Standard","No",MAX(0.01,IF(_xlfn.XLOOKUP(B15,'Base stats'!B:B,'Base stats'!N:N)=0,MROUND(BZ15*P15,0.05),MIN(1,MAX(0.025,MROUND(IF(OR(CC15="true",AND(BJ15="false",BO15="false")),POWER(10,4.15*LOG10(_xlfn.XLOOKUP(B15,'Base stats'!B:B,'Base stats'!C:C)*1000)^-0.73),POWER(10,3.47*LOG10(_xlfn.XLOOKUP(B15,'Base stats'!B:B,'Base stats'!C:C)*1000)^-0.96))*IF(_xlfn.XLOOKUP(B15,'Base stats'!B:B,'Base stats'!AI:AI)=1,0.5,1)/100,0.025))))))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888</v>
      </c>
      <c r="C16" s="28" t="s">
        <v>699</v>
      </c>
      <c r="D16" s="28" t="s">
        <v>45</v>
      </c>
      <c r="E16" s="28" t="s">
        <v>685</v>
      </c>
      <c r="F16" s="28" t="s">
        <v>685</v>
      </c>
      <c r="G16" s="28" t="s">
        <v>685</v>
      </c>
      <c r="H16" s="2">
        <f>MROUND((
  (IF(AND(_xlfn.XLOOKUP(B16,'Base stats'!B:B,'Base stats'!AJ:AJ)=0,BI16="None",_xlfn.XLOOKUP(_xlfn.XLOOKUP(B16,'Base stats'!B:B,'Base stats'!E:E),Groups!A:A,Groups!B:B)=0), (18 + BR16 * 2.7) * 0.5,
    IF(AND(_xlfn.XLOOKUP(B16,'Base stats'!B:B,'Base stats'!AJ:AJ)=0,OR(AO16&lt;0.55,AND(BI16="Intermediate",_xlfn.XLOOKUP(_xlfn.XLOOKUP(B16,'Base stats'!B:B,'Base stats'!E:E),Groups!A:A,Groups!B:B)&lt;2))), (18 + BR16 * 2.7),
      IF(OR(BI16="Advanced",_xlfn.XLOOKUP(B16,'Base stats'!B:B,'Base stats'!AJ:AJ)=1,_xlfn.XLOOKUP(_xlfn.XLOOKUP(B16,'Base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IF(_xlfn.XLOOKUP(_xlfn.XLOOKUP(B16,'Base stats'!B:B,'Base stats'!E:E),Groups!A:A,Groups!C:C)="Untamable",1,IF(_xlfn.XLOOKUP(B16,'Base stats'!B:B,'Base stats'!AJ:AJ)=1,0.99,MIN(MROUND((1-0.6282*EXP(-0.459*AO16))*_xlfn.XLOOKUP(_xlfn.XLOOKUP(B16,'Base stats'!B:B,'Base stats'!E:E),Groups!A:A,Groups!C:C)*IF(_xlfn.XLOOKUP(B16,'Base stats'!B:B,'Base stats'!O:O)=1,0.5,IF(_xlfn.XLOOKUP(B16,'Base stats'!B:B,'Base stats'!O:O)=2,0,1)),0.05),0.985)))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IF(_xlfn.XLOOKUP(_xlfn.XLOOKUP(B16,'Base stats'!B:B,'Base stats'!E:E),Groups!A:A,Groups!L:L)=1,MIN(MROUND(_xlfn.XLOOKUP(B16,'Animals CE'!B:B,'Animals CE'!Z:Z)/2+0.05,0.05),200%),"No")</f>
        <v>No</v>
      </c>
      <c r="O16" s="8" t="str">
        <f>IF(_xlfn.XLOOKUP(_xlfn.XLOOKUP(B16,'Base stats'!B:B,'Base stats'!E:E),Groups!A:A,Groups!L:L)=1,MIN(MROUND(_xlfn.XLOOKUP(B16,'Animals CE'!B:B,'Animals CE'!AA:AA)/2+0.05,0.05),200%),"No")</f>
        <v>No</v>
      </c>
      <c r="P16" s="2" t="str">
        <f>_xlfn.XLOOKUP(B16,'Base stats'!B:B,'Base stats'!R:R)</f>
        <v>Standard</v>
      </c>
      <c r="Q16" s="13">
        <f>MROUND((LOG10(_xlfn.XLOOKUP(B16,'Base stats'!B:B,'Base stats'!AP:AP))*(AO16^0.5)+(_xlfn.XLOOKUP(B16,'Base stats'!B:B,'Base stats'!AP:AP)/1000)^(2/3)+_xlfn.XLOOKUP(B16,'Base stats'!B:B,'Base stats'!AY:AY)/2)+0.5,0.5)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stats'!AQ:AQ))*(AO16^0.5)+(_xlfn.XLOOKUP(B16,'Base stats'!B:B,'Base stats'!AQ:AQ)/1000)^(2/3)+_xlfn.XLOOKUP(B16,'Base stats'!B:B,'Base stats'!AY:AY))+_xlfn.XLOOKUP(B16,'Base stats'!B:B,'Base stats'!AW:AW)+0.5,0.5))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stats'!AS:AS))*(AO16^0.5)+(_xlfn.XLOOKUP(B16,'Base stats'!B:B,'Base stats'!AS:AS)/1000)^(2/3)+_xlfn.XLOOKUP(B16,'Base stats'!B:B,'Base stats'!AX:AX))+0.5+IF(_xlfn.XLOOKUP(_xlfn.XLOOKUP(B16,'Base stats'!B:B,'Base stats'!E:E),Groups!A:A,Groups!U:U)&lt;&gt;3,_xlfn.XLOOKUP(B16,'Base stats'!B:B,'Base stats'!AY:AY),0),0.5))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stats'!AR:AR)="No","No",MROUND((LOG10(_xlfn.XLOOKUP(B16,'Base stats'!B:B,'Base stats'!AR:AR))*(AO16^0.75)+(_xlfn.XLOOKUP(B16,'Base stats'!B:B,'Base stats'!AR:AR)/1000)^(2/3)+_xlfn.XLOOKUP(B16,'Base stats'!B:B,'Base stats'!AV:AV)+_xlfn.XLOOKUP(B16,'Base stats'!B:B,'Base stats'!AY:AY))+0.5,0.5))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stats'!AQ:AQ))*(AO16^0.75)+(_xlfn.XLOOKUP(B16,'Base stats'!B:B,'Base stats'!AQ:AQ)/1000)^(2/3)+_xlfn.XLOOKUP(B16,'Base stats'!B:B,'Base stats'!AW:AW)+_xlfn.XLOOKUP(B16,'Base stats'!B:B,'Base stats'!AY:AY))+0.5,0.5))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1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IFERROR(IF(_xlfn.XLOOKUP(B16,'Base stats'!B:B,'Base stats'!F:F)="Lay eggs","Lay eggs",MIN(20,MAX(5.5,ROUND(((_xlfn.XLOOKUP(B16,'Base stats'!B:B,'Base stats'!F:F)-25)*(14.5/615) + 5.5)*2,0)/2))),"Cannot breed")</f>
        <v>6.5</v>
      </c>
      <c r="AT16" s="8">
        <f>IF(OR(A16="Queen",A16="Larva",A16="Megachicken",A16="Megatardi",A16="Toxscorpion"),"No",IFERROR(MAX(IF(_xlfn.XLOOKUP(B16,'Base stats'!B:B,'Base stats'!G:G)&lt;0.5,0.2,0.3),MROUND(_xlfn.XLOOKUP(B16,'Base stats'!B:B,'Base stats'!G:G)/(365/60),0.2)),"Unknown"))</f>
        <v>0.3</v>
      </c>
      <c r="AU16" s="8">
        <f t="shared" si="0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_xlfn.XLOOKUP(B16,'Base stats'!B:B,'Base stats'!AF:AF)</f>
        <v>&lt;li&gt;YorkshireTerrier&lt;/li&gt;</v>
      </c>
      <c r="BB16" s="2" t="str">
        <f>_xlfn.XLOOKUP(B16,'Base stats'!B:B,'Base stats'!AE:AE)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stats'!Z:Z)=0),0,IF(OR(_xlfn.XLOOKUP(Animals!B16,'Base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stats'!AA:AA),0.005))</f>
        <v>0</v>
      </c>
      <c r="BE16" s="23">
        <f>MIN(1,MROUND(IF(AND(AO16&lt;0.5,_xlfn.XLOOKUP(B16,'Base stats'!B:B,'Base stats'!Z:Z)=0),0,IF(_xlfn.XLOOKUP(_xlfn.XLOOKUP(B16,'Base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stats'!AB:AB),0.005))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stats'!AL:AL)="Standard","No",MROUND((_xlfn.XLOOKUP(B16,'Base stats'!B:B,'Base stats'!AL:AL)/3.6)/I16,0.1))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stats'!AC:AC)&lt;&gt;"No",_xlfn.XLOOKUP(B16,'Base stats'!B:B,'Base stats'!AC:AC),"")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stats'!AC:AC)&lt;&gt;"No",_xlfn.XLOOKUP(B16,'Base stats'!B:B,'Base stats'!AC:AC),"")
  )
)</f>
        <v>AttackTarget, Forage, Comfort</v>
      </c>
      <c r="BQ16" s="25" t="str">
        <f>IF(
   AND(
      'Base stats'!AL16="Standard",_xlfn.XLOOKUP(_xlfn.XLOOKUP(B16,'Base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stats'!AT:AT) * 1.8) * 2) * 2.5 + 10 + I16 * 2,5)+IF(_xlfn.XLOOKUP(B16,'Base stats'!B:B,'Base stats'!AI:AI)=1,50,0)</f>
        <v>85</v>
      </c>
      <c r="BS16" s="8">
        <f t="shared" si="5"/>
        <v>0.55000000000000004</v>
      </c>
      <c r="BT16" s="8" t="str">
        <f>_xlfn.XLOOKUP(B16,'Base stats'!B:B,'Base stats'!AD:AD)</f>
        <v>2~6</v>
      </c>
      <c r="BU16" s="2" t="str">
        <f>IF(AND(J16&lt;=0.95,OR(_xlfn.XLOOKUP(B16,'Base stats'!B:B,'Base stats'!AI:AI)=1,_xlfn.XLOOKUP(B16,'Base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stats'!AG:AG)=1,"true","false")</f>
        <v>false</v>
      </c>
      <c r="BW16" s="25" t="str">
        <f>IF(E16="BaseInsect","AnimalInsect",
IF(J16&gt;0.95,"AnimalExotic",
_xlfn.TEXTJOIN(", ",TRUE,
IF(OR(_xlfn.XLOOKUP(B16,'Base stats'!B:B,'Base stats'!AK:AK)=1,AND(_xlfn.XLOOKUP(B16,'Base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stats'!AI:AI)=1,AND(BI16&lt;&gt;"None",BR16&gt;=60),ISNUMBER(SEARCH("Attack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stats'!AH:AH)=1,"true","false")</f>
        <v>false</v>
      </c>
      <c r="BZ16" s="25">
        <f>IF(_xlfn.XLOOKUP(B16,'Base stats'!B:B,'Base stats'!N:N)=1,"No",MAX(0.01,MIN(MROUND(IF(OR(_xlfn.XLOOKUP(B16,'Base stats'!B:B,'Base stats'!AK:AK)=1,AND(BJ16="True",CC16="False")),POWER(10,3.47*LOG10(_xlfn.XLOOKUP(B16,'Base stats'!B:B,'Base stats'!C:C)*1000)^-0.96),POWER(10,4.15*LOG10(_xlfn.XLOOKUP(B16,'Base stats'!B:B,'Base stats'!C:C)*1000)^-0.73))*IF(OR(_xlfn.XLOOKUP(B16,'Base stats'!B:B,'Base stats'!AK:AK)=1,_xlfn.XLOOKUP(B16,'Base stats'!B:B,'Base stats'!AI:AI)=1),0.5,1)/100,0.025),1)))</f>
        <v>7.5000000000000011E-2</v>
      </c>
      <c r="CA16" s="25" t="str">
        <f>IF(P16="Standard","No",MAX(0.01,IF(_xlfn.XLOOKUP(B16,'Base stats'!B:B,'Base stats'!N:N)=0,MROUND(BZ16*P16,0.05),MIN(1,MAX(0.025,MROUND(IF(OR(CC16="true",AND(BJ16="false",BO16="false")),POWER(10,4.15*LOG10(_xlfn.XLOOKUP(B16,'Base stats'!B:B,'Base stats'!C:C)*1000)^-0.73),POWER(10,3.47*LOG10(_xlfn.XLOOKUP(B16,'Base stats'!B:B,'Base stats'!C:C)*1000)^-0.96))*IF(_xlfn.XLOOKUP(B16,'Base stats'!B:B,'Base stats'!AI:AI)=1,0.5,1)/100,0.025))))))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81</v>
      </c>
      <c r="C17" s="28" t="s">
        <v>700</v>
      </c>
      <c r="D17" s="28" t="s">
        <v>45</v>
      </c>
      <c r="E17" s="28" t="s">
        <v>701</v>
      </c>
      <c r="F17" s="28" t="s">
        <v>702</v>
      </c>
      <c r="G17" s="28" t="s">
        <v>685</v>
      </c>
      <c r="H17" s="2">
        <f>MROUND((
  (IF(AND(_xlfn.XLOOKUP(B17,'Base stats'!B:B,'Base stats'!AJ:AJ)=0,BI17="None",_xlfn.XLOOKUP(_xlfn.XLOOKUP(B17,'Base stats'!B:B,'Base stats'!E:E),Groups!A:A,Groups!B:B)=0), (18 + BR17 * 2.7) * 0.5,
    IF(AND(_xlfn.XLOOKUP(B17,'Base stats'!B:B,'Base stats'!AJ:AJ)=0,OR(AO17&lt;0.55,AND(BI17="Intermediate",_xlfn.XLOOKUP(_xlfn.XLOOKUP(B17,'Base stats'!B:B,'Base stats'!E:E),Groups!A:A,Groups!B:B)&lt;2))), (18 + BR17 * 2.7),
      IF(OR(BI17="Advanced",_xlfn.XLOOKUP(B17,'Base stats'!B:B,'Base stats'!AJ:AJ)=1,_xlfn.XLOOKUP(_xlfn.XLOOKUP(B17,'Base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IF(_xlfn.XLOOKUP(_xlfn.XLOOKUP(B17,'Base stats'!B:B,'Base stats'!E:E),Groups!A:A,Groups!C:C)="Untamable",1,IF(_xlfn.XLOOKUP(B17,'Base stats'!B:B,'Base stats'!AJ:AJ)=1,0.99,MIN(MROUND((1-0.6282*EXP(-0.459*AO17))*_xlfn.XLOOKUP(_xlfn.XLOOKUP(B17,'Base stats'!B:B,'Base stats'!E:E),Groups!A:A,Groups!C:C)*IF(_xlfn.XLOOKUP(B17,'Base stats'!B:B,'Base stats'!O:O)=1,0.5,IF(_xlfn.XLOOKUP(B17,'Base stats'!B:B,'Base stats'!O:O)=2,0,1)),0.05),0.985)))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IF(_xlfn.XLOOKUP(_xlfn.XLOOKUP(B17,'Base stats'!B:B,'Base stats'!E:E),Groups!A:A,Groups!L:L)=1,MIN(MROUND(_xlfn.XLOOKUP(B17,'Animals CE'!B:B,'Animals CE'!Z:Z)/2+0.05,0.05),200%),"No")</f>
        <v>No</v>
      </c>
      <c r="O17" s="8" t="str">
        <f>IF(_xlfn.XLOOKUP(_xlfn.XLOOKUP(B17,'Base stats'!B:B,'Base stats'!E:E),Groups!A:A,Groups!L:L)=1,MIN(MROUND(_xlfn.XLOOKUP(B17,'Animals CE'!B:B,'Animals CE'!AA:AA)/2+0.05,0.05),200%),"No")</f>
        <v>No</v>
      </c>
      <c r="P17" s="2" t="str">
        <f>_xlfn.XLOOKUP(B17,'Base stats'!B:B,'Base stats'!R:R)</f>
        <v>Standard</v>
      </c>
      <c r="Q17" s="13">
        <f>MROUND((LOG10(_xlfn.XLOOKUP(B17,'Base stats'!B:B,'Base stats'!AP:AP))*(AO17^0.5)+(_xlfn.XLOOKUP(B17,'Base stats'!B:B,'Base stats'!AP:AP)/1000)^(2/3)+_xlfn.XLOOKUP(B17,'Base stats'!B:B,'Base stats'!AY:AY)/2)+0.5,0.5)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stats'!AQ:AQ))*(AO17^0.5)+(_xlfn.XLOOKUP(B17,'Base stats'!B:B,'Base stats'!AQ:AQ)/1000)^(2/3)+_xlfn.XLOOKUP(B17,'Base stats'!B:B,'Base stats'!AY:AY))+_xlfn.XLOOKUP(B17,'Base stats'!B:B,'Base stats'!AW:AW)+0.5,0.5))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stats'!AS:AS))*(AO17^0.5)+(_xlfn.XLOOKUP(B17,'Base stats'!B:B,'Base stats'!AS:AS)/1000)^(2/3)+_xlfn.XLOOKUP(B17,'Base stats'!B:B,'Base stats'!AX:AX))+0.5+IF(_xlfn.XLOOKUP(_xlfn.XLOOKUP(B17,'Base stats'!B:B,'Base stats'!E:E),Groups!A:A,Groups!U:U)&lt;&gt;3,_xlfn.XLOOKUP(B17,'Base stats'!B:B,'Base stats'!AY:AY),0),0.5))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stats'!AR:AR)="No","No",MROUND((LOG10(_xlfn.XLOOKUP(B17,'Base stats'!B:B,'Base stats'!AR:AR))*(AO17^0.75)+(_xlfn.XLOOKUP(B17,'Base stats'!B:B,'Base stats'!AR:AR)/1000)^(2/3)+_xlfn.XLOOKUP(B17,'Base stats'!B:B,'Base stats'!AV:AV)+_xlfn.XLOOKUP(B17,'Base stats'!B:B,'Base stats'!AY:AY))+0.5,0.5))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stats'!AQ:AQ))*(AO17^0.75)+(_xlfn.XLOOKUP(B17,'Base stats'!B:B,'Base stats'!AQ:AQ)/1000)^(2/3)+_xlfn.XLOOKUP(B17,'Base stats'!B:B,'Base stats'!AW:AW)+_xlfn.XLOOKUP(B17,'Base stats'!B:B,'Base stats'!AY:AY))+0.5,0.5))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FrontRightPaw,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1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IFERROR(IF(_xlfn.XLOOKUP(B17,'Base stats'!B:B,'Base stats'!F:F)="Lay eggs","Lay eggs",MIN(20,MAX(5.5,ROUND(((_xlfn.XLOOKUP(B17,'Base stats'!B:B,'Base stats'!F:F)-25)*(14.5/615) + 5.5)*2,0)/2))),"Cannot breed")</f>
        <v>7</v>
      </c>
      <c r="AT17" s="8">
        <f>IF(OR(A17="Queen",A17="Larva",A17="Megachicken",A17="Megatardi",A17="Toxscorpion"),"No",IFERROR(MAX(IF(_xlfn.XLOOKUP(B17,'Base stats'!B:B,'Base stats'!G:G)&lt;0.5,0.2,0.3),MROUND(_xlfn.XLOOKUP(B17,'Base stats'!B:B,'Base stats'!G:G)/(365/60),0.2)),"Unknown"))</f>
        <v>0.4</v>
      </c>
      <c r="AU17" s="8">
        <f t="shared" si="0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_xlfn.XLOOKUP(B17,'Base stats'!B:B,'Base stats'!AF:AF)</f>
        <v>No</v>
      </c>
      <c r="BB17" s="2" t="str">
        <f>_xlfn.XLOOKUP(B17,'Base stats'!B:B,'Base stats'!AE:AE)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stats'!Z:Z)=0),0,IF(OR(_xlfn.XLOOKUP(Animals!B17,'Base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stats'!AA:AA),0.005))</f>
        <v>0.1</v>
      </c>
      <c r="BE17" s="23">
        <f>MIN(1,MROUND(IF(AND(AO17&lt;0.5,_xlfn.XLOOKUP(B17,'Base stats'!B:B,'Base stats'!Z:Z)=0),0,IF(_xlfn.XLOOKUP(_xlfn.XLOOKUP(B17,'Base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stats'!AB:AB),0.005))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stats'!AL:AL)="Standard","No",MROUND((_xlfn.XLOOKUP(B17,'Base stats'!B:B,'Base stats'!AL:AL)/3.6)/I17,0.1))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stats'!AC:AC)&lt;&gt;"No",_xlfn.XLOOKUP(B17,'Base stats'!B:B,'Base stats'!AC:AC),"")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stats'!AC:AC)&lt;&gt;"No",_xlfn.XLOOKUP(B17,'Base stats'!B:B,'Base stats'!AC:AC),"")
  )
)</f>
        <v>AttackTarget</v>
      </c>
      <c r="BQ17" s="25" t="str">
        <f>IF(
   AND(
      'Base stats'!AL17="Standard",_xlfn.XLOOKUP(_xlfn.XLOOKUP(B17,'Base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stats'!AT:AT) * 1.8) * 2) * 2.5 + 10 + I17 * 2,5)+IF(_xlfn.XLOOKUP(B17,'Base stats'!B:B,'Base stats'!AI:AI)=1,50,0)</f>
        <v>120</v>
      </c>
      <c r="BS17" s="8">
        <f t="shared" si="5"/>
        <v>0.65</v>
      </c>
      <c r="BT17" s="8" t="str">
        <f>_xlfn.XLOOKUP(B17,'Base stats'!B:B,'Base stats'!AD:AD)</f>
        <v>No</v>
      </c>
      <c r="BU17" s="2" t="str">
        <f>IF(AND(J17&lt;=0.95,OR(_xlfn.XLOOKUP(B17,'Base stats'!B:B,'Base stats'!AI:AI)=1,_xlfn.XLOOKUP(B17,'Base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stats'!AG:AG)=1,"true","false")</f>
        <v>false</v>
      </c>
      <c r="BW17" s="25" t="str">
        <f>IF(E17="BaseInsect","AnimalInsect",
IF(J17&gt;0.95,"AnimalExotic",
_xlfn.TEXTJOIN(", ",TRUE,
IF(OR(_xlfn.XLOOKUP(B17,'Base stats'!B:B,'Base stats'!AK:AK)=1,AND(_xlfn.XLOOKUP(B17,'Base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stats'!AI:AI)=1,AND(BI17&lt;&gt;"None",BR17&gt;=60),ISNUMBER(SEARCH("Attack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stats'!AH:AH)=1,"true","false")</f>
        <v>false</v>
      </c>
      <c r="BZ17" s="25">
        <f>IF(_xlfn.XLOOKUP(B17,'Base stats'!B:B,'Base stats'!N:N)=1,"No",MAX(0.01,MIN(MROUND(IF(OR(_xlfn.XLOOKUP(B17,'Base stats'!B:B,'Base stats'!AK:AK)=1,AND(BJ17="True",CC17="False")),POWER(10,3.47*LOG10(_xlfn.XLOOKUP(B17,'Base stats'!B:B,'Base stats'!C:C)*1000)^-0.96),POWER(10,4.15*LOG10(_xlfn.XLOOKUP(B17,'Base stats'!B:B,'Base stats'!C:C)*1000)^-0.73))*IF(OR(_xlfn.XLOOKUP(B17,'Base stats'!B:B,'Base stats'!AK:AK)=1,_xlfn.XLOOKUP(B17,'Base stats'!B:B,'Base stats'!AI:AI)=1),0.5,1)/100,0.025),1)))</f>
        <v>0.05</v>
      </c>
      <c r="CA17" s="25" t="str">
        <f>IF(P17="Standard","No",MAX(0.01,IF(_xlfn.XLOOKUP(B17,'Base stats'!B:B,'Base stats'!N:N)=0,MROUND(BZ17*P17,0.05),MIN(1,MAX(0.025,MROUND(IF(OR(CC17="true",AND(BJ17="false",BO17="false")),POWER(10,4.15*LOG10(_xlfn.XLOOKUP(B17,'Base stats'!B:B,'Base stats'!C:C)*1000)^-0.73),POWER(10,3.47*LOG10(_xlfn.XLOOKUP(B17,'Base stats'!B:B,'Base stats'!C:C)*1000)^-0.96))*IF(_xlfn.XLOOKUP(B17,'Base stats'!B:B,'Base stats'!AI:AI)=1,0.5,1)/100,0.025))))))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82</v>
      </c>
      <c r="C18" s="28" t="s">
        <v>703</v>
      </c>
      <c r="D18" s="28" t="s">
        <v>45</v>
      </c>
      <c r="E18" s="28" t="s">
        <v>701</v>
      </c>
      <c r="F18" s="28" t="s">
        <v>702</v>
      </c>
      <c r="G18" s="28" t="s">
        <v>685</v>
      </c>
      <c r="H18" s="2">
        <f>MROUND((
  (IF(AND(_xlfn.XLOOKUP(B18,'Base stats'!B:B,'Base stats'!AJ:AJ)=0,BI18="None",_xlfn.XLOOKUP(_xlfn.XLOOKUP(B18,'Base stats'!B:B,'Base stats'!E:E),Groups!A:A,Groups!B:B)=0), (18 + BR18 * 2.7) * 0.5,
    IF(AND(_xlfn.XLOOKUP(B18,'Base stats'!B:B,'Base stats'!AJ:AJ)=0,OR(AO18&lt;0.55,AND(BI18="Intermediate",_xlfn.XLOOKUP(_xlfn.XLOOKUP(B18,'Base stats'!B:B,'Base stats'!E:E),Groups!A:A,Groups!B:B)&lt;2))), (18 + BR18 * 2.7),
      IF(OR(BI18="Advanced",_xlfn.XLOOKUP(B18,'Base stats'!B:B,'Base stats'!AJ:AJ)=1,_xlfn.XLOOKUP(_xlfn.XLOOKUP(B18,'Base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IF(_xlfn.XLOOKUP(_xlfn.XLOOKUP(B18,'Base stats'!B:B,'Base stats'!E:E),Groups!A:A,Groups!C:C)="Untamable",1,IF(_xlfn.XLOOKUP(B18,'Base stats'!B:B,'Base stats'!AJ:AJ)=1,0.99,MIN(MROUND((1-0.6282*EXP(-0.459*AO18))*_xlfn.XLOOKUP(_xlfn.XLOOKUP(B18,'Base stats'!B:B,'Base stats'!E:E),Groups!A:A,Groups!C:C)*IF(_xlfn.XLOOKUP(B18,'Base stats'!B:B,'Base stats'!O:O)=1,0.5,IF(_xlfn.XLOOKUP(B18,'Base stats'!B:B,'Base stats'!O:O)=2,0,1)),0.05),0.985)))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IF(_xlfn.XLOOKUP(_xlfn.XLOOKUP(B18,'Base stats'!B:B,'Base stats'!E:E),Groups!A:A,Groups!L:L)=1,MIN(MROUND(_xlfn.XLOOKUP(B18,'Animals CE'!B:B,'Animals CE'!Z:Z)/2+0.05,0.05),200%),"No")</f>
        <v>No</v>
      </c>
      <c r="O18" s="8" t="str">
        <f>IF(_xlfn.XLOOKUP(_xlfn.XLOOKUP(B18,'Base stats'!B:B,'Base stats'!E:E),Groups!A:A,Groups!L:L)=1,MIN(MROUND(_xlfn.XLOOKUP(B18,'Animals CE'!B:B,'Animals CE'!AA:AA)/2+0.05,0.05),200%),"No")</f>
        <v>No</v>
      </c>
      <c r="P18" s="2" t="str">
        <f>_xlfn.XLOOKUP(B18,'Base stats'!B:B,'Base stats'!R:R)</f>
        <v>Standard</v>
      </c>
      <c r="Q18" s="13">
        <f>MROUND((LOG10(_xlfn.XLOOKUP(B18,'Base stats'!B:B,'Base stats'!AP:AP))*(AO18^0.5)+(_xlfn.XLOOKUP(B18,'Base stats'!B:B,'Base stats'!AP:AP)/1000)^(2/3)+_xlfn.XLOOKUP(B18,'Base stats'!B:B,'Base stats'!AY:AY)/2)+0.5,0.5)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stats'!AQ:AQ))*(AO18^0.5)+(_xlfn.XLOOKUP(B18,'Base stats'!B:B,'Base stats'!AQ:AQ)/1000)^(2/3)+_xlfn.XLOOKUP(B18,'Base stats'!B:B,'Base stats'!AY:AY))+_xlfn.XLOOKUP(B18,'Base stats'!B:B,'Base stats'!AW:AW)+0.5,0.5))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stats'!AS:AS))*(AO18^0.5)+(_xlfn.XLOOKUP(B18,'Base stats'!B:B,'Base stats'!AS:AS)/1000)^(2/3)+_xlfn.XLOOKUP(B18,'Base stats'!B:B,'Base stats'!AX:AX))+0.5+IF(_xlfn.XLOOKUP(_xlfn.XLOOKUP(B18,'Base stats'!B:B,'Base stats'!E:E),Groups!A:A,Groups!U:U)&lt;&gt;3,_xlfn.XLOOKUP(B18,'Base stats'!B:B,'Base stats'!AY:AY),0),0.5))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stats'!AR:AR)="No","No",MROUND((LOG10(_xlfn.XLOOKUP(B18,'Base stats'!B:B,'Base stats'!AR:AR))*(AO18^0.75)+(_xlfn.XLOOKUP(B18,'Base stats'!B:B,'Base stats'!AR:AR)/1000)^(2/3)+_xlfn.XLOOKUP(B18,'Base stats'!B:B,'Base stats'!AV:AV)+_xlfn.XLOOKUP(B18,'Base stats'!B:B,'Base stats'!AY:AY))+0.5,0.5))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stats'!AQ:AQ))*(AO18^0.75)+(_xlfn.XLOOKUP(B18,'Base stats'!B:B,'Base stats'!AQ:AQ)/1000)^(2/3)+_xlfn.XLOOKUP(B18,'Base stats'!B:B,'Base stats'!AW:AW)+_xlfn.XLOOKUP(B18,'Base stats'!B:B,'Base stats'!AY:AY))+0.5,0.5))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FrontRightPaw,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1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IFERROR(IF(_xlfn.XLOOKUP(B18,'Base stats'!B:B,'Base stats'!F:F)="Lay eggs","Lay eggs",MIN(20,MAX(5.5,ROUND(((_xlfn.XLOOKUP(B18,'Base stats'!B:B,'Base stats'!F:F)-25)*(14.5/615) + 5.5)*2,0)/2))),"Cannot breed")</f>
        <v>7</v>
      </c>
      <c r="AT18" s="8">
        <f>IF(OR(A18="Queen",A18="Larva",A18="Megachicken",A18="Megatardi",A18="Toxscorpion"),"No",IFERROR(MAX(IF(_xlfn.XLOOKUP(B18,'Base stats'!B:B,'Base stats'!G:G)&lt;0.5,0.2,0.3),MROUND(_xlfn.XLOOKUP(B18,'Base stats'!B:B,'Base stats'!G:G)/(365/60),0.2)),"Unknown"))</f>
        <v>0.4</v>
      </c>
      <c r="AU18" s="8">
        <f t="shared" si="0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_xlfn.XLOOKUP(B18,'Base stats'!B:B,'Base stats'!AF:AF)</f>
        <v>No</v>
      </c>
      <c r="BB18" s="2" t="str">
        <f>_xlfn.XLOOKUP(B18,'Base stats'!B:B,'Base stats'!AE:AE)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stats'!Z:Z)=0),0,IF(OR(_xlfn.XLOOKUP(Animals!B18,'Base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stats'!AA:AA),0.005))</f>
        <v>0.1</v>
      </c>
      <c r="BE18" s="23">
        <f>MIN(1,MROUND(IF(AND(AO18&lt;0.5,_xlfn.XLOOKUP(B18,'Base stats'!B:B,'Base stats'!Z:Z)=0),0,IF(_xlfn.XLOOKUP(_xlfn.XLOOKUP(B18,'Base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stats'!AB:AB),0.005))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stats'!AL:AL)="Standard","No",MROUND((_xlfn.XLOOKUP(B18,'Base stats'!B:B,'Base stats'!AL:AL)/3.6)/I18,0.1))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stats'!AC:AC)&lt;&gt;"No",_xlfn.XLOOKUP(B18,'Base stats'!B:B,'Base stats'!AC:AC),"")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stats'!AC:AC)&lt;&gt;"No",_xlfn.XLOOKUP(B18,'Base stats'!B:B,'Base stats'!AC:AC),"")
  )
)</f>
        <v>AttackTarget</v>
      </c>
      <c r="BQ18" s="25" t="str">
        <f>IF(
   AND(
      'Base stats'!AL18="Standard",_xlfn.XLOOKUP(_xlfn.XLOOKUP(B18,'Base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stats'!AT:AT) * 1.8) * 2) * 2.5 + 10 + I18 * 2,5)+IF(_xlfn.XLOOKUP(B18,'Base stats'!B:B,'Base stats'!AI:AI)=1,50,0)</f>
        <v>115</v>
      </c>
      <c r="BS18" s="8">
        <f t="shared" si="5"/>
        <v>0.60000000000000009</v>
      </c>
      <c r="BT18" s="8" t="str">
        <f>_xlfn.XLOOKUP(B18,'Base stats'!B:B,'Base stats'!AD:AD)</f>
        <v>No</v>
      </c>
      <c r="BU18" s="2" t="str">
        <f>IF(AND(J18&lt;=0.95,OR(_xlfn.XLOOKUP(B18,'Base stats'!B:B,'Base stats'!AI:AI)=1,_xlfn.XLOOKUP(B18,'Base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stats'!AG:AG)=1,"true","false")</f>
        <v>false</v>
      </c>
      <c r="BW18" s="25" t="str">
        <f>IF(E18="BaseInsect","AnimalInsect",
IF(J18&gt;0.95,"AnimalExotic",
_xlfn.TEXTJOIN(", ",TRUE,
IF(OR(_xlfn.XLOOKUP(B18,'Base stats'!B:B,'Base stats'!AK:AK)=1,AND(_xlfn.XLOOKUP(B18,'Base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stats'!AI:AI)=1,AND(BI18&lt;&gt;"None",BR18&gt;=60),ISNUMBER(SEARCH("Attack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stats'!AH:AH)=1,"true","false")</f>
        <v>false</v>
      </c>
      <c r="BZ18" s="25">
        <f>IF(_xlfn.XLOOKUP(B18,'Base stats'!B:B,'Base stats'!N:N)=1,"No",MAX(0.01,MIN(MROUND(IF(OR(_xlfn.XLOOKUP(B18,'Base stats'!B:B,'Base stats'!AK:AK)=1,AND(BJ18="True",CC18="False")),POWER(10,3.47*LOG10(_xlfn.XLOOKUP(B18,'Base stats'!B:B,'Base stats'!C:C)*1000)^-0.96),POWER(10,4.15*LOG10(_xlfn.XLOOKUP(B18,'Base stats'!B:B,'Base stats'!C:C)*1000)^-0.73))*IF(OR(_xlfn.XLOOKUP(B18,'Base stats'!B:B,'Base stats'!AK:AK)=1,_xlfn.XLOOKUP(B18,'Base stats'!B:B,'Base stats'!AI:AI)=1),0.5,1)/100,0.025),1)))</f>
        <v>0.05</v>
      </c>
      <c r="CA18" s="25" t="str">
        <f>IF(P18="Standard","No",MAX(0.01,IF(_xlfn.XLOOKUP(B18,'Base stats'!B:B,'Base stats'!N:N)=0,MROUND(BZ18*P18,0.05),MIN(1,MAX(0.025,MROUND(IF(OR(CC18="true",AND(BJ18="false",BO18="false")),POWER(10,4.15*LOG10(_xlfn.XLOOKUP(B18,'Base stats'!B:B,'Base stats'!C:C)*1000)^-0.73),POWER(10,3.47*LOG10(_xlfn.XLOOKUP(B18,'Base stats'!B:B,'Base stats'!C:C)*1000)^-0.96))*IF(_xlfn.XLOOKUP(B18,'Base stats'!B:B,'Base stats'!AI:AI)=1,0.5,1)/100,0.025))))))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84</v>
      </c>
      <c r="C19" s="28" t="s">
        <v>704</v>
      </c>
      <c r="D19" s="28" t="s">
        <v>45</v>
      </c>
      <c r="E19" s="28" t="s">
        <v>685</v>
      </c>
      <c r="F19" s="28" t="s">
        <v>685</v>
      </c>
      <c r="G19" s="28" t="s">
        <v>685</v>
      </c>
      <c r="H19" s="2">
        <f>MROUND((
  (IF(AND(_xlfn.XLOOKUP(B19,'Base stats'!B:B,'Base stats'!AJ:AJ)=0,BI19="None",_xlfn.XLOOKUP(_xlfn.XLOOKUP(B19,'Base stats'!B:B,'Base stats'!E:E),Groups!A:A,Groups!B:B)=0), (18 + BR19 * 2.7) * 0.5,
    IF(AND(_xlfn.XLOOKUP(B19,'Base stats'!B:B,'Base stats'!AJ:AJ)=0,OR(AO19&lt;0.55,AND(BI19="Intermediate",_xlfn.XLOOKUP(_xlfn.XLOOKUP(B19,'Base stats'!B:B,'Base stats'!E:E),Groups!A:A,Groups!B:B)&lt;2))), (18 + BR19 * 2.7),
      IF(OR(BI19="Advanced",_xlfn.XLOOKUP(B19,'Base stats'!B:B,'Base stats'!AJ:AJ)=1,_xlfn.XLOOKUP(_xlfn.XLOOKUP(B19,'Base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IF(_xlfn.XLOOKUP(_xlfn.XLOOKUP(B19,'Base stats'!B:B,'Base stats'!E:E),Groups!A:A,Groups!C:C)="Untamable",1,IF(_xlfn.XLOOKUP(B19,'Base stats'!B:B,'Base stats'!AJ:AJ)=1,0.99,MIN(MROUND((1-0.6282*EXP(-0.459*AO19))*_xlfn.XLOOKUP(_xlfn.XLOOKUP(B19,'Base stats'!B:B,'Base stats'!E:E),Groups!A:A,Groups!C:C)*IF(_xlfn.XLOOKUP(B19,'Base stats'!B:B,'Base stats'!O:O)=1,0.5,IF(_xlfn.XLOOKUP(B19,'Base stats'!B:B,'Base stats'!O:O)=2,0,1)),0.05),0.985)))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IF(_xlfn.XLOOKUP(_xlfn.XLOOKUP(B19,'Base stats'!B:B,'Base stats'!E:E),Groups!A:A,Groups!L:L)=1,MIN(MROUND(_xlfn.XLOOKUP(B19,'Animals CE'!B:B,'Animals CE'!Z:Z)/2+0.05,0.05),200%),"No")</f>
        <v>No</v>
      </c>
      <c r="O19" s="8" t="str">
        <f>IF(_xlfn.XLOOKUP(_xlfn.XLOOKUP(B19,'Base stats'!B:B,'Base stats'!E:E),Groups!A:A,Groups!L:L)=1,MIN(MROUND(_xlfn.XLOOKUP(B19,'Animals CE'!B:B,'Animals CE'!AA:AA)/2+0.05,0.05),200%),"No")</f>
        <v>No</v>
      </c>
      <c r="P19" s="2" t="str">
        <f>_xlfn.XLOOKUP(B19,'Base stats'!B:B,'Base stats'!R:R)</f>
        <v>Standard</v>
      </c>
      <c r="Q19" s="13">
        <f>MROUND((LOG10(_xlfn.XLOOKUP(B19,'Base stats'!B:B,'Base stats'!AP:AP))*(AO19^0.5)+(_xlfn.XLOOKUP(B19,'Base stats'!B:B,'Base stats'!AP:AP)/1000)^(2/3)+_xlfn.XLOOKUP(B19,'Base stats'!B:B,'Base stats'!AY:AY)/2)+0.5,0.5)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stats'!AQ:AQ))*(AO19^0.5)+(_xlfn.XLOOKUP(B19,'Base stats'!B:B,'Base stats'!AQ:AQ)/1000)^(2/3)+_xlfn.XLOOKUP(B19,'Base stats'!B:B,'Base stats'!AY:AY))+_xlfn.XLOOKUP(B19,'Base stats'!B:B,'Base stats'!AW:AW)+0.5,0.5))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stats'!AS:AS))*(AO19^0.5)+(_xlfn.XLOOKUP(B19,'Base stats'!B:B,'Base stats'!AS:AS)/1000)^(2/3)+_xlfn.XLOOKUP(B19,'Base stats'!B:B,'Base stats'!AX:AX))+0.5+IF(_xlfn.XLOOKUP(_xlfn.XLOOKUP(B19,'Base stats'!B:B,'Base stats'!E:E),Groups!A:A,Groups!U:U)&lt;&gt;3,_xlfn.XLOOKUP(B19,'Base stats'!B:B,'Base stats'!AY:AY),0),0.5))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stats'!AR:AR)="No","No",MROUND((LOG10(_xlfn.XLOOKUP(B19,'Base stats'!B:B,'Base stats'!AR:AR))*(AO19^0.75)+(_xlfn.XLOOKUP(B19,'Base stats'!B:B,'Base stats'!AR:AR)/1000)^(2/3)+_xlfn.XLOOKUP(B19,'Base stats'!B:B,'Base stats'!AV:AV)+_xlfn.XLOOKUP(B19,'Base stats'!B:B,'Base stats'!AY:AY))+0.5,0.5))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stats'!AQ:AQ))*(AO19^0.75)+(_xlfn.XLOOKUP(B19,'Base stats'!B:B,'Base stats'!AQ:AQ)/1000)^(2/3)+_xlfn.XLOOKUP(B19,'Base stats'!B:B,'Base stats'!AW:AW)+_xlfn.XLOOKUP(B19,'Base stats'!B:B,'Base stats'!AY:AY))+0.5,0.5))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FrontRightPaw,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1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IFERROR(IF(_xlfn.XLOOKUP(B19,'Base stats'!B:B,'Base stats'!F:F)="Lay eggs","Lay eggs",MIN(20,MAX(5.5,ROUND(((_xlfn.XLOOKUP(B19,'Base stats'!B:B,'Base stats'!F:F)-25)*(14.5/615) + 5.5)*2,0)/2))),"Cannot breed")</f>
        <v>6.5</v>
      </c>
      <c r="AT19" s="8">
        <f>IF(OR(A19="Queen",A19="Larva",A19="Megachicken",A19="Megatardi",A19="Toxscorpion"),"No",IFERROR(MAX(IF(_xlfn.XLOOKUP(B19,'Base stats'!B:B,'Base stats'!G:G)&lt;0.5,0.2,0.3),MROUND(_xlfn.XLOOKUP(B19,'Base stats'!B:B,'Base stats'!G:G)/(365/60),0.2)),"Unknown"))</f>
        <v>0.3</v>
      </c>
      <c r="AU19" s="8">
        <f t="shared" si="0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_xlfn.XLOOKUP(B19,'Base stats'!B:B,'Base stats'!AF:AF)</f>
        <v>No</v>
      </c>
      <c r="BB19" s="2" t="str">
        <f>_xlfn.XLOOKUP(B19,'Base stats'!B:B,'Base stats'!AE:AE)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stats'!Z:Z)=0),0,IF(OR(_xlfn.XLOOKUP(Animals!B19,'Base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stats'!AA:AA),0.005))</f>
        <v>0.1</v>
      </c>
      <c r="BE19" s="23">
        <f>MIN(1,MROUND(IF(AND(AO19&lt;0.5,_xlfn.XLOOKUP(B19,'Base stats'!B:B,'Base stats'!Z:Z)=0),0,IF(_xlfn.XLOOKUP(_xlfn.XLOOKUP(B19,'Base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stats'!AB:AB),0.005))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stats'!AL:AL)="Standard","No",MROUND((_xlfn.XLOOKUP(B19,'Base stats'!B:B,'Base stats'!AL:AL)/3.6)/I19,0.1))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stats'!AC:AC)&lt;&gt;"No",_xlfn.XLOOKUP(B19,'Base stats'!B:B,'Base stats'!AC:AC),"")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stats'!AC:AC)&lt;&gt;"No",_xlfn.XLOOKUP(B19,'Base stats'!B:B,'Base stats'!AC:AC),"")
  )
)</f>
        <v>AttackTarget</v>
      </c>
      <c r="BQ19" s="25" t="str">
        <f>IF(
   AND(
      'Base stats'!AL19="Standard",_xlfn.XLOOKUP(_xlfn.XLOOKUP(B19,'Base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stats'!AT:AT) * 1.8) * 2) * 2.5 + 10 + I19 * 2,5)+IF(_xlfn.XLOOKUP(B19,'Base stats'!B:B,'Base stats'!AI:AI)=1,50,0)</f>
        <v>80</v>
      </c>
      <c r="BS19" s="8">
        <f t="shared" si="5"/>
        <v>0.45</v>
      </c>
      <c r="BT19" s="8" t="str">
        <f>_xlfn.XLOOKUP(B19,'Base stats'!B:B,'Base stats'!AD:AD)</f>
        <v>No</v>
      </c>
      <c r="BU19" s="2" t="str">
        <f>IF(AND(J19&lt;=0.95,OR(_xlfn.XLOOKUP(B19,'Base stats'!B:B,'Base stats'!AI:AI)=1,_xlfn.XLOOKUP(B19,'Base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stats'!AG:AG)=1,"true","false")</f>
        <v>false</v>
      </c>
      <c r="BW19" s="25" t="str">
        <f>IF(E19="BaseInsect","AnimalInsect",
IF(J19&gt;0.95,"AnimalExotic",
_xlfn.TEXTJOIN(", ",TRUE,
IF(OR(_xlfn.XLOOKUP(B19,'Base stats'!B:B,'Base stats'!AK:AK)=1,AND(_xlfn.XLOOKUP(B19,'Base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stats'!AI:AI)=1,AND(BI19&lt;&gt;"None",BR19&gt;=60),ISNUMBER(SEARCH("Attack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stats'!AH:AH)=1,"true","false")</f>
        <v>false</v>
      </c>
      <c r="BZ19" s="25">
        <f>IF(_xlfn.XLOOKUP(B19,'Base stats'!B:B,'Base stats'!N:N)=1,"No",MAX(0.01,MIN(MROUND(IF(OR(_xlfn.XLOOKUP(B19,'Base stats'!B:B,'Base stats'!AK:AK)=1,AND(BJ19="True",CC19="False")),POWER(10,3.47*LOG10(_xlfn.XLOOKUP(B19,'Base stats'!B:B,'Base stats'!C:C)*1000)^-0.96),POWER(10,4.15*LOG10(_xlfn.XLOOKUP(B19,'Base stats'!B:B,'Base stats'!C:C)*1000)^-0.73))*IF(OR(_xlfn.XLOOKUP(B19,'Base stats'!B:B,'Base stats'!AK:AK)=1,_xlfn.XLOOKUP(B19,'Base stats'!B:B,'Base stats'!AI:AI)=1),0.5,1)/100,0.025),1)))</f>
        <v>7.5000000000000011E-2</v>
      </c>
      <c r="CA19" s="25" t="str">
        <f>IF(P19="Standard","No",MAX(0.01,IF(_xlfn.XLOOKUP(B19,'Base stats'!B:B,'Base stats'!N:N)=0,MROUND(BZ19*P19,0.05),MIN(1,MAX(0.025,MROUND(IF(OR(CC19="true",AND(BJ19="false",BO19="false")),POWER(10,4.15*LOG10(_xlfn.XLOOKUP(B19,'Base stats'!B:B,'Base stats'!C:C)*1000)^-0.73),POWER(10,3.47*LOG10(_xlfn.XLOOKUP(B19,'Base stats'!B:B,'Base stats'!C:C)*1000)^-0.96))*IF(_xlfn.XLOOKUP(B19,'Base stats'!B:B,'Base stats'!AI:AI)=1,0.5,1)/100,0.025))))))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86</v>
      </c>
      <c r="C20" s="28" t="s">
        <v>705</v>
      </c>
      <c r="D20" s="28" t="s">
        <v>45</v>
      </c>
      <c r="E20" s="28" t="s">
        <v>685</v>
      </c>
      <c r="F20" s="28" t="s">
        <v>685</v>
      </c>
      <c r="G20" s="28" t="s">
        <v>685</v>
      </c>
      <c r="H20" s="2">
        <f>MROUND((
  (IF(AND(_xlfn.XLOOKUP(B20,'Base stats'!B:B,'Base stats'!AJ:AJ)=0,BI20="None",_xlfn.XLOOKUP(_xlfn.XLOOKUP(B20,'Base stats'!B:B,'Base stats'!E:E),Groups!A:A,Groups!B:B)=0), (18 + BR20 * 2.7) * 0.5,
    IF(AND(_xlfn.XLOOKUP(B20,'Base stats'!B:B,'Base stats'!AJ:AJ)=0,OR(AO20&lt;0.55,AND(BI20="Intermediate",_xlfn.XLOOKUP(_xlfn.XLOOKUP(B20,'Base stats'!B:B,'Base stats'!E:E),Groups!A:A,Groups!B:B)&lt;2))), (18 + BR20 * 2.7),
      IF(OR(BI20="Advanced",_xlfn.XLOOKUP(B20,'Base stats'!B:B,'Base stats'!AJ:AJ)=1,_xlfn.XLOOKUP(_xlfn.XLOOKUP(B20,'Base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IF(_xlfn.XLOOKUP(_xlfn.XLOOKUP(B20,'Base stats'!B:B,'Base stats'!E:E),Groups!A:A,Groups!C:C)="Untamable",1,IF(_xlfn.XLOOKUP(B20,'Base stats'!B:B,'Base stats'!AJ:AJ)=1,0.99,MIN(MROUND((1-0.6282*EXP(-0.459*AO20))*_xlfn.XLOOKUP(_xlfn.XLOOKUP(B20,'Base stats'!B:B,'Base stats'!E:E),Groups!A:A,Groups!C:C)*IF(_xlfn.XLOOKUP(B20,'Base stats'!B:B,'Base stats'!O:O)=1,0.5,IF(_xlfn.XLOOKUP(B20,'Base stats'!B:B,'Base stats'!O:O)=2,0,1)),0.05),0.985)))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IF(_xlfn.XLOOKUP(_xlfn.XLOOKUP(B20,'Base stats'!B:B,'Base stats'!E:E),Groups!A:A,Groups!L:L)=1,MIN(MROUND(_xlfn.XLOOKUP(B20,'Animals CE'!B:B,'Animals CE'!Z:Z)/2+0.05,0.05),200%),"No")</f>
        <v>No</v>
      </c>
      <c r="O20" s="8" t="str">
        <f>IF(_xlfn.XLOOKUP(_xlfn.XLOOKUP(B20,'Base stats'!B:B,'Base stats'!E:E),Groups!A:A,Groups!L:L)=1,MIN(MROUND(_xlfn.XLOOKUP(B20,'Animals CE'!B:B,'Animals CE'!AA:AA)/2+0.05,0.05),200%),"No")</f>
        <v>No</v>
      </c>
      <c r="P20" s="2" t="str">
        <f>_xlfn.XLOOKUP(B20,'Base stats'!B:B,'Base stats'!R:R)</f>
        <v>Standard</v>
      </c>
      <c r="Q20" s="13">
        <f>MROUND((LOG10(_xlfn.XLOOKUP(B20,'Base stats'!B:B,'Base stats'!AP:AP))*(AO20^0.5)+(_xlfn.XLOOKUP(B20,'Base stats'!B:B,'Base stats'!AP:AP)/1000)^(2/3)+_xlfn.XLOOKUP(B20,'Base stats'!B:B,'Base stats'!AY:AY)/2)+0.5,0.5)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stats'!AQ:AQ))*(AO20^0.5)+(_xlfn.XLOOKUP(B20,'Base stats'!B:B,'Base stats'!AQ:AQ)/1000)^(2/3)+_xlfn.XLOOKUP(B20,'Base stats'!B:B,'Base stats'!AY:AY))+_xlfn.XLOOKUP(B20,'Base stats'!B:B,'Base stats'!AW:AW)+0.5,0.5))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stats'!AS:AS))*(AO20^0.5)+(_xlfn.XLOOKUP(B20,'Base stats'!B:B,'Base stats'!AS:AS)/1000)^(2/3)+_xlfn.XLOOKUP(B20,'Base stats'!B:B,'Base stats'!AX:AX))+0.5+IF(_xlfn.XLOOKUP(_xlfn.XLOOKUP(B20,'Base stats'!B:B,'Base stats'!E:E),Groups!A:A,Groups!U:U)&lt;&gt;3,_xlfn.XLOOKUP(B20,'Base stats'!B:B,'Base stats'!AY:AY),0),0.5))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stats'!AR:AR)="No","No",MROUND((LOG10(_xlfn.XLOOKUP(B20,'Base stats'!B:B,'Base stats'!AR:AR))*(AO20^0.75)+(_xlfn.XLOOKUP(B20,'Base stats'!B:B,'Base stats'!AR:AR)/1000)^(2/3)+_xlfn.XLOOKUP(B20,'Base stats'!B:B,'Base stats'!AV:AV)+_xlfn.XLOOKUP(B20,'Base stats'!B:B,'Base stats'!AY:AY))+0.5,0.5))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stats'!AQ:AQ))*(AO20^0.75)+(_xlfn.XLOOKUP(B20,'Base stats'!B:B,'Base stats'!AQ:AQ)/1000)^(2/3)+_xlfn.XLOOKUP(B20,'Base stats'!B:B,'Base stats'!AW:AW)+_xlfn.XLOOKUP(B20,'Base stats'!B:B,'Base stats'!AY:AY))+0.5,0.5))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FrontRightPaw,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1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IFERROR(IF(_xlfn.XLOOKUP(B20,'Base stats'!B:B,'Base stats'!F:F)="Lay eggs","Lay eggs",MIN(20,MAX(5.5,ROUND(((_xlfn.XLOOKUP(B20,'Base stats'!B:B,'Base stats'!F:F)-25)*(14.5/615) + 5.5)*2,0)/2))),"Cannot breed")</f>
        <v>6.5</v>
      </c>
      <c r="AT20" s="8">
        <f>IF(OR(A20="Queen",A20="Larva",A20="Megachicken",A20="Megatardi",A20="Toxscorpion"),"No",IFERROR(MAX(IF(_xlfn.XLOOKUP(B20,'Base stats'!B:B,'Base stats'!G:G)&lt;0.5,0.2,0.3),MROUND(_xlfn.XLOOKUP(B20,'Base stats'!B:B,'Base stats'!G:G)/(365/60),0.2)),"Unknown"))</f>
        <v>0.3</v>
      </c>
      <c r="AU20" s="8">
        <f t="shared" si="0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_xlfn.XLOOKUP(B20,'Base stats'!B:B,'Base stats'!AF:AF)</f>
        <v>No</v>
      </c>
      <c r="BB20" s="2" t="str">
        <f>_xlfn.XLOOKUP(B20,'Base stats'!B:B,'Base stats'!AE:AE)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stats'!Z:Z)=0),0,IF(OR(_xlfn.XLOOKUP(Animals!B20,'Base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stats'!AA:AA),0.005))</f>
        <v>0</v>
      </c>
      <c r="BE20" s="23">
        <f>MIN(1,MROUND(IF(AND(AO20&lt;0.5,_xlfn.XLOOKUP(B20,'Base stats'!B:B,'Base stats'!Z:Z)=0),0,IF(_xlfn.XLOOKUP(_xlfn.XLOOKUP(B20,'Base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stats'!AB:AB),0.005))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stats'!AL:AL)="Standard","No",MROUND((_xlfn.XLOOKUP(B20,'Base stats'!B:B,'Base stats'!AL:AL)/3.6)/I20,0.1))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stats'!AC:AC)&lt;&gt;"No",_xlfn.XLOOKUP(B20,'Base stats'!B:B,'Base stats'!AC:AC),"")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stats'!AC:AC)&lt;&gt;"No",_xlfn.XLOOKUP(B20,'Base stats'!B:B,'Base stats'!AC:AC),"")
  )
)</f>
        <v>Comfort</v>
      </c>
      <c r="BQ20" s="25" t="str">
        <f>IF(
   AND(
      'Base stats'!AL20="Standard",_xlfn.XLOOKUP(_xlfn.XLOOKUP(B20,'Base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stats'!AT:AT) * 1.8) * 2) * 2.5 + 10 + I20 * 2,5)+IF(_xlfn.XLOOKUP(B20,'Base stats'!B:B,'Base stats'!AI:AI)=1,50,0)</f>
        <v>45</v>
      </c>
      <c r="BS20" s="8">
        <f t="shared" si="5"/>
        <v>0.30000000000000004</v>
      </c>
      <c r="BT20" s="8" t="str">
        <f>_xlfn.XLOOKUP(B20,'Base stats'!B:B,'Base stats'!AD:AD)</f>
        <v>No</v>
      </c>
      <c r="BU20" s="2" t="str">
        <f>IF(AND(J20&lt;=0.95,OR(_xlfn.XLOOKUP(B20,'Base stats'!B:B,'Base stats'!AI:AI)=1,_xlfn.XLOOKUP(B20,'Base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stats'!AG:AG)=1,"true","false")</f>
        <v>false</v>
      </c>
      <c r="BW20" s="25" t="str">
        <f>IF(E20="BaseInsect","AnimalInsect",
IF(J20&gt;0.95,"AnimalExotic",
_xlfn.TEXTJOIN(", ",TRUE,
IF(OR(_xlfn.XLOOKUP(B20,'Base stats'!B:B,'Base stats'!AK:AK)=1,AND(_xlfn.XLOOKUP(B20,'Base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stats'!AI:AI)=1,AND(BI20&lt;&gt;"None",BR20&gt;=60),ISNUMBER(SEARCH("Attack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stats'!AH:AH)=1,"true","false")</f>
        <v>false</v>
      </c>
      <c r="BZ20" s="25">
        <f>IF(_xlfn.XLOOKUP(B20,'Base stats'!B:B,'Base stats'!N:N)=1,"No",MAX(0.01,MIN(MROUND(IF(OR(_xlfn.XLOOKUP(B20,'Base stats'!B:B,'Base stats'!AK:AK)=1,AND(BJ20="True",CC20="False")),POWER(10,3.47*LOG10(_xlfn.XLOOKUP(B20,'Base stats'!B:B,'Base stats'!C:C)*1000)^-0.96),POWER(10,4.15*LOG10(_xlfn.XLOOKUP(B20,'Base stats'!B:B,'Base stats'!C:C)*1000)^-0.73))*IF(OR(_xlfn.XLOOKUP(B20,'Base stats'!B:B,'Base stats'!AK:AK)=1,_xlfn.XLOOKUP(B20,'Base stats'!B:B,'Base stats'!AI:AI)=1),0.5,1)/100,0.025),1)))</f>
        <v>0.1</v>
      </c>
      <c r="CA20" s="25" t="str">
        <f>IF(P20="Standard","No",MAX(0.01,IF(_xlfn.XLOOKUP(B20,'Base stats'!B:B,'Base stats'!N:N)=0,MROUND(BZ20*P20,0.05),MIN(1,MAX(0.025,MROUND(IF(OR(CC20="true",AND(BJ20="false",BO20="false")),POWER(10,4.15*LOG10(_xlfn.XLOOKUP(B20,'Base stats'!B:B,'Base stats'!C:C)*1000)^-0.73),POWER(10,3.47*LOG10(_xlfn.XLOOKUP(B20,'Base stats'!B:B,'Base stats'!C:C)*1000)^-0.96))*IF(_xlfn.XLOOKUP(B20,'Base stats'!B:B,'Base stats'!AI:AI)=1,0.5,1)/100,0.025))))))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93</v>
      </c>
      <c r="C21" s="28" t="s">
        <v>706</v>
      </c>
      <c r="D21" s="28" t="s">
        <v>45</v>
      </c>
      <c r="E21" s="28" t="s">
        <v>685</v>
      </c>
      <c r="F21" s="28" t="s">
        <v>685</v>
      </c>
      <c r="G21" s="28" t="s">
        <v>685</v>
      </c>
      <c r="H21" s="2">
        <f>MROUND((
  (IF(AND(_xlfn.XLOOKUP(B21,'Base stats'!B:B,'Base stats'!AJ:AJ)=0,BI21="None",_xlfn.XLOOKUP(_xlfn.XLOOKUP(B21,'Base stats'!B:B,'Base stats'!E:E),Groups!A:A,Groups!B:B)=0), (18 + BR21 * 2.7) * 0.5,
    IF(AND(_xlfn.XLOOKUP(B21,'Base stats'!B:B,'Base stats'!AJ:AJ)=0,OR(AO21&lt;0.55,AND(BI21="Intermediate",_xlfn.XLOOKUP(_xlfn.XLOOKUP(B21,'Base stats'!B:B,'Base stats'!E:E),Groups!A:A,Groups!B:B)&lt;2))), (18 + BR21 * 2.7),
      IF(OR(BI21="Advanced",_xlfn.XLOOKUP(B21,'Base stats'!B:B,'Base stats'!AJ:AJ)=1,_xlfn.XLOOKUP(_xlfn.XLOOKUP(B21,'Base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IF(_xlfn.XLOOKUP(_xlfn.XLOOKUP(B21,'Base stats'!B:B,'Base stats'!E:E),Groups!A:A,Groups!C:C)="Untamable",1,IF(_xlfn.XLOOKUP(B21,'Base stats'!B:B,'Base stats'!AJ:AJ)=1,0.99,MIN(MROUND((1-0.6282*EXP(-0.459*AO21))*_xlfn.XLOOKUP(_xlfn.XLOOKUP(B21,'Base stats'!B:B,'Base stats'!E:E),Groups!A:A,Groups!C:C)*IF(_xlfn.XLOOKUP(B21,'Base stats'!B:B,'Base stats'!O:O)=1,0.5,IF(_xlfn.XLOOKUP(B21,'Base stats'!B:B,'Base stats'!O:O)=2,0,1)),0.05),0.985)))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IF(_xlfn.XLOOKUP(_xlfn.XLOOKUP(B21,'Base stats'!B:B,'Base stats'!E:E),Groups!A:A,Groups!L:L)=1,MIN(MROUND(_xlfn.XLOOKUP(B21,'Animals CE'!B:B,'Animals CE'!Z:Z)/2+0.05,0.05),200%),"No")</f>
        <v>No</v>
      </c>
      <c r="O21" s="8" t="str">
        <f>IF(_xlfn.XLOOKUP(_xlfn.XLOOKUP(B21,'Base stats'!B:B,'Base stats'!E:E),Groups!A:A,Groups!L:L)=1,MIN(MROUND(_xlfn.XLOOKUP(B21,'Animals CE'!B:B,'Animals CE'!AA:AA)/2+0.05,0.05),200%),"No")</f>
        <v>No</v>
      </c>
      <c r="P21" s="2" t="str">
        <f>_xlfn.XLOOKUP(B21,'Base stats'!B:B,'Base stats'!R:R)</f>
        <v>Standard</v>
      </c>
      <c r="Q21" s="13">
        <f>MROUND((LOG10(_xlfn.XLOOKUP(B21,'Base stats'!B:B,'Base stats'!AP:AP))*(AO21^0.5)+(_xlfn.XLOOKUP(B21,'Base stats'!B:B,'Base stats'!AP:AP)/1000)^(2/3)+_xlfn.XLOOKUP(B21,'Base stats'!B:B,'Base stats'!AY:AY)/2)+0.5,0.5)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stats'!AQ:AQ))*(AO21^0.5)+(_xlfn.XLOOKUP(B21,'Base stats'!B:B,'Base stats'!AQ:AQ)/1000)^(2/3)+_xlfn.XLOOKUP(B21,'Base stats'!B:B,'Base stats'!AY:AY))+_xlfn.XLOOKUP(B21,'Base stats'!B:B,'Base stats'!AW:AW)+0.5,0.5))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stats'!AS:AS))*(AO21^0.5)+(_xlfn.XLOOKUP(B21,'Base stats'!B:B,'Base stats'!AS:AS)/1000)^(2/3)+_xlfn.XLOOKUP(B21,'Base stats'!B:B,'Base stats'!AX:AX))+0.5+IF(_xlfn.XLOOKUP(_xlfn.XLOOKUP(B21,'Base stats'!B:B,'Base stats'!E:E),Groups!A:A,Groups!U:U)&lt;&gt;3,_xlfn.XLOOKUP(B21,'Base stats'!B:B,'Base stats'!AY:AY),0),0.5))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stats'!AR:AR)="No","No",MROUND((LOG10(_xlfn.XLOOKUP(B21,'Base stats'!B:B,'Base stats'!AR:AR))*(AO21^0.75)+(_xlfn.XLOOKUP(B21,'Base stats'!B:B,'Base stats'!AR:AR)/1000)^(2/3)+_xlfn.XLOOKUP(B21,'Base stats'!B:B,'Base stats'!AV:AV)+_xlfn.XLOOKUP(B21,'Base stats'!B:B,'Base stats'!AY:AY))+0.5,0.5))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stats'!AQ:AQ))*(AO21^0.75)+(_xlfn.XLOOKUP(B21,'Base stats'!B:B,'Base stats'!AQ:AQ)/1000)^(2/3)+_xlfn.XLOOKUP(B21,'Base stats'!B:B,'Base stats'!AW:AW)+_xlfn.XLOOKUP(B21,'Base stats'!B:B,'Base stats'!AY:AY))+0.5,0.5))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1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IFERROR(IF(_xlfn.XLOOKUP(B21,'Base stats'!B:B,'Base stats'!F:F)="Lay eggs","Lay eggs",MIN(20,MAX(5.5,ROUND(((_xlfn.XLOOKUP(B21,'Base stats'!B:B,'Base stats'!F:F)-25)*(14.5/615) + 5.5)*2,0)/2))),"Cannot breed")</f>
        <v>13</v>
      </c>
      <c r="AT21" s="8">
        <f>IF(OR(A21="Queen",A21="Larva",A21="Megachicken",A21="Megatardi",A21="Toxscorpion"),"No",IFERROR(MAX(IF(_xlfn.XLOOKUP(B21,'Base stats'!B:B,'Base stats'!G:G)&lt;0.5,0.2,0.3),MROUND(_xlfn.XLOOKUP(B21,'Base stats'!B:B,'Base stats'!G:G)/(365/60),0.2)),"Unknown"))</f>
        <v>0.4</v>
      </c>
      <c r="AU21" s="8">
        <f t="shared" si="0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_xlfn.XLOOKUP(B21,'Base stats'!B:B,'Base stats'!AF:AF)</f>
        <v>No</v>
      </c>
      <c r="BB21" s="2" t="str">
        <f>_xlfn.XLOOKUP(B21,'Base stats'!B:B,'Base stats'!AE:AE)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stats'!Z:Z)=0),0,IF(OR(_xlfn.XLOOKUP(Animals!B21,'Base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stats'!AA:AA),0.005))</f>
        <v>0</v>
      </c>
      <c r="BE21" s="23">
        <f>MIN(1,MROUND(IF(AND(AO21&lt;0.5,_xlfn.XLOOKUP(B21,'Base stats'!B:B,'Base stats'!Z:Z)=0),0,IF(_xlfn.XLOOKUP(_xlfn.XLOOKUP(B21,'Base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stats'!AB:AB),0.005))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stats'!AL:AL)="Standard","No",MROUND((_xlfn.XLOOKUP(B21,'Base stats'!B:B,'Base stats'!AL:AL)/3.6)/I21,0.1))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stats'!AC:AC)&lt;&gt;"No",_xlfn.XLOOKUP(B21,'Base stats'!B:B,'Base stats'!AC:AC),"")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stats'!AC:AC)&lt;&gt;"No",_xlfn.XLOOKUP(B21,'Base stats'!B:B,'Base stats'!AC:AC),"")
  )
)</f>
        <v>No</v>
      </c>
      <c r="BQ21" s="25" t="str">
        <f>IF(
   AND(
      'Base stats'!AL21="Standard",_xlfn.XLOOKUP(_xlfn.XLOOKUP(B21,'Base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stats'!AT:AT) * 1.8) * 2) * 2.5 + 10 + I21 * 2,5)+IF(_xlfn.XLOOKUP(B21,'Base stats'!B:B,'Base stats'!AI:AI)=1,50,0)</f>
        <v>195</v>
      </c>
      <c r="BS21" s="8">
        <f t="shared" si="5"/>
        <v>1.4500000000000002</v>
      </c>
      <c r="BT21" s="8" t="str">
        <f>_xlfn.XLOOKUP(B21,'Base stats'!B:B,'Base stats'!AD:AD)</f>
        <v>3~10</v>
      </c>
      <c r="BU21" s="2" t="str">
        <f>IF(AND(J21&lt;=0.95,OR(_xlfn.XLOOKUP(B21,'Base stats'!B:B,'Base stats'!AI:AI)=1,_xlfn.XLOOKUP(B21,'Base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stats'!AG:AG)=1,"true","false")</f>
        <v>true</v>
      </c>
      <c r="BW21" s="25" t="str">
        <f>IF(E21="BaseInsect","AnimalInsect",
IF(J21&gt;0.95,"AnimalExotic",
_xlfn.TEXTJOIN(", ",TRUE,
IF(OR(_xlfn.XLOOKUP(B21,'Base stats'!B:B,'Base stats'!AK:AK)=1,AND(_xlfn.XLOOKUP(B21,'Base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stats'!AI:AI)=1,AND(BI21&lt;&gt;"None",BR21&gt;=60),ISNUMBER(SEARCH("Attack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stats'!AH:AH)=1,"true","false")</f>
        <v>false</v>
      </c>
      <c r="BZ21" s="25">
        <f>IF(_xlfn.XLOOKUP(B21,'Base stats'!B:B,'Base stats'!N:N)=1,"No",MAX(0.01,MIN(MROUND(IF(OR(_xlfn.XLOOKUP(B21,'Base stats'!B:B,'Base stats'!AK:AK)=1,AND(BJ21="True",CC21="False")),POWER(10,3.47*LOG10(_xlfn.XLOOKUP(B21,'Base stats'!B:B,'Base stats'!C:C)*1000)^-0.96),POWER(10,4.15*LOG10(_xlfn.XLOOKUP(B21,'Base stats'!B:B,'Base stats'!C:C)*1000)^-0.73))*IF(OR(_xlfn.XLOOKUP(B21,'Base stats'!B:B,'Base stats'!AK:AK)=1,_xlfn.XLOOKUP(B21,'Base stats'!B:B,'Base stats'!AI:AI)=1),0.5,1)/100,0.025),1)))</f>
        <v>0.15000000000000002</v>
      </c>
      <c r="CA21" s="25" t="str">
        <f>IF(P21="Standard","No",MAX(0.01,IF(_xlfn.XLOOKUP(B21,'Base stats'!B:B,'Base stats'!N:N)=0,MROUND(BZ21*P21,0.05),MIN(1,MAX(0.025,MROUND(IF(OR(CC21="true",AND(BJ21="false",BO21="false")),POWER(10,4.15*LOG10(_xlfn.XLOOKUP(B21,'Base stats'!B:B,'Base stats'!C:C)*1000)^-0.73),POWER(10,3.47*LOG10(_xlfn.XLOOKUP(B21,'Base stats'!B:B,'Base stats'!C:C)*1000)^-0.96))*IF(_xlfn.XLOOKUP(B21,'Base stats'!B:B,'Base stats'!AI:AI)=1,0.5,1)/100,0.025))))))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99</v>
      </c>
      <c r="C22" s="28" t="s">
        <v>707</v>
      </c>
      <c r="D22" s="28" t="s">
        <v>45</v>
      </c>
      <c r="E22" s="28" t="s">
        <v>685</v>
      </c>
      <c r="F22" s="28" t="s">
        <v>685</v>
      </c>
      <c r="G22" s="28" t="s">
        <v>685</v>
      </c>
      <c r="H22" s="2">
        <f>MROUND((
  (IF(AND(_xlfn.XLOOKUP(B22,'Base stats'!B:B,'Base stats'!AJ:AJ)=0,BI22="None",_xlfn.XLOOKUP(_xlfn.XLOOKUP(B22,'Base stats'!B:B,'Base stats'!E:E),Groups!A:A,Groups!B:B)=0), (18 + BR22 * 2.7) * 0.5,
    IF(AND(_xlfn.XLOOKUP(B22,'Base stats'!B:B,'Base stats'!AJ:AJ)=0,OR(AO22&lt;0.55,AND(BI22="Intermediate",_xlfn.XLOOKUP(_xlfn.XLOOKUP(B22,'Base stats'!B:B,'Base stats'!E:E),Groups!A:A,Groups!B:B)&lt;2))), (18 + BR22 * 2.7),
      IF(OR(BI22="Advanced",_xlfn.XLOOKUP(B22,'Base stats'!B:B,'Base stats'!AJ:AJ)=1,_xlfn.XLOOKUP(_xlfn.XLOOKUP(B22,'Base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IF(_xlfn.XLOOKUP(_xlfn.XLOOKUP(B22,'Base stats'!B:B,'Base stats'!E:E),Groups!A:A,Groups!C:C)="Untamable",1,IF(_xlfn.XLOOKUP(B22,'Base stats'!B:B,'Base stats'!AJ:AJ)=1,0.99,MIN(MROUND((1-0.6282*EXP(-0.459*AO22))*_xlfn.XLOOKUP(_xlfn.XLOOKUP(B22,'Base stats'!B:B,'Base stats'!E:E),Groups!A:A,Groups!C:C)*IF(_xlfn.XLOOKUP(B22,'Base stats'!B:B,'Base stats'!O:O)=1,0.5,IF(_xlfn.XLOOKUP(B22,'Base stats'!B:B,'Base stats'!O:O)=2,0,1)),0.05),0.985)))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IF(_xlfn.XLOOKUP(_xlfn.XLOOKUP(B22,'Base stats'!B:B,'Base stats'!E:E),Groups!A:A,Groups!L:L)=1,MIN(MROUND(_xlfn.XLOOKUP(B22,'Animals CE'!B:B,'Animals CE'!Z:Z)/2+0.05,0.05),200%),"No")</f>
        <v>No</v>
      </c>
      <c r="O22" s="8" t="str">
        <f>IF(_xlfn.XLOOKUP(_xlfn.XLOOKUP(B22,'Base stats'!B:B,'Base stats'!E:E),Groups!A:A,Groups!L:L)=1,MIN(MROUND(_xlfn.XLOOKUP(B22,'Animals CE'!B:B,'Animals CE'!AA:AA)/2+0.05,0.05),200%),"No")</f>
        <v>No</v>
      </c>
      <c r="P22" s="2" t="str">
        <f>_xlfn.XLOOKUP(B22,'Base stats'!B:B,'Base stats'!R:R)</f>
        <v>Standard</v>
      </c>
      <c r="Q22" s="13">
        <f>MROUND((LOG10(_xlfn.XLOOKUP(B22,'Base stats'!B:B,'Base stats'!AP:AP))*(AO22^0.5)+(_xlfn.XLOOKUP(B22,'Base stats'!B:B,'Base stats'!AP:AP)/1000)^(2/3)+_xlfn.XLOOKUP(B22,'Base stats'!B:B,'Base stats'!AY:AY)/2)+0.5,0.5)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stats'!AQ:AQ))*(AO22^0.5)+(_xlfn.XLOOKUP(B22,'Base stats'!B:B,'Base stats'!AQ:AQ)/1000)^(2/3)+_xlfn.XLOOKUP(B22,'Base stats'!B:B,'Base stats'!AY:AY))+_xlfn.XLOOKUP(B22,'Base stats'!B:B,'Base stats'!AW:AW)+0.5,0.5))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stats'!AS:AS))*(AO22^0.5)+(_xlfn.XLOOKUP(B22,'Base stats'!B:B,'Base stats'!AS:AS)/1000)^(2/3)+_xlfn.XLOOKUP(B22,'Base stats'!B:B,'Base stats'!AX:AX))+0.5+IF(_xlfn.XLOOKUP(_xlfn.XLOOKUP(B22,'Base stats'!B:B,'Base stats'!E:E),Groups!A:A,Groups!U:U)&lt;&gt;3,_xlfn.XLOOKUP(B22,'Base stats'!B:B,'Base stats'!AY:AY),0),0.5))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stats'!AR:AR)="No","No",MROUND((LOG10(_xlfn.XLOOKUP(B22,'Base stats'!B:B,'Base stats'!AR:AR))*(AO22^0.75)+(_xlfn.XLOOKUP(B22,'Base stats'!B:B,'Base stats'!AR:AR)/1000)^(2/3)+_xlfn.XLOOKUP(B22,'Base stats'!B:B,'Base stats'!AV:AV)+_xlfn.XLOOKUP(B22,'Base stats'!B:B,'Base stats'!AY:AY))+0.5,0.5))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stats'!AQ:AQ))*(AO22^0.75)+(_xlfn.XLOOKUP(B22,'Base stats'!B:B,'Base stats'!AQ:AQ)/1000)^(2/3)+_xlfn.XLOOKUP(B22,'Base stats'!B:B,'Base stats'!AW:AW)+_xlfn.XLOOKUP(B22,'Base stats'!B:B,'Base stats'!AY:AY))+0.5,0.5))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1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IFERROR(IF(_xlfn.XLOOKUP(B22,'Base stats'!B:B,'Base stats'!F:F)="Lay eggs","Lay eggs",MIN(20,MAX(5.5,ROUND(((_xlfn.XLOOKUP(B22,'Base stats'!B:B,'Base stats'!F:F)-25)*(14.5/615) + 5.5)*2,0)/2))),"Cannot breed")</f>
        <v>13.5</v>
      </c>
      <c r="AT22" s="8">
        <f>IF(OR(A22="Queen",A22="Larva",A22="Megachicken",A22="Megatardi",A22="Toxscorpion"),"No",IFERROR(MAX(IF(_xlfn.XLOOKUP(B22,'Base stats'!B:B,'Base stats'!G:G)&lt;0.5,0.2,0.3),MROUND(_xlfn.XLOOKUP(B22,'Base stats'!B:B,'Base stats'!G:G)/(365/60),0.2)),"Unknown"))</f>
        <v>0.4</v>
      </c>
      <c r="AU22" s="8">
        <f t="shared" si="0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_xlfn.XLOOKUP(B22,'Base stats'!B:B,'Base stats'!AF:AF)</f>
        <v>No</v>
      </c>
      <c r="BB22" s="2" t="str">
        <f>_xlfn.XLOOKUP(B22,'Base stats'!B:B,'Base stats'!AE:AE)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stats'!Z:Z)=0),0,IF(OR(_xlfn.XLOOKUP(Animals!B22,'Base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stats'!AA:AA),0.005))</f>
        <v>0</v>
      </c>
      <c r="BE22" s="23">
        <f>MIN(1,MROUND(IF(AND(AO22&lt;0.5,_xlfn.XLOOKUP(B22,'Base stats'!B:B,'Base stats'!Z:Z)=0),0,IF(_xlfn.XLOOKUP(_xlfn.XLOOKUP(B22,'Base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stats'!AB:AB),0.005))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stats'!AL:AL)="Standard","No",MROUND((_xlfn.XLOOKUP(B22,'Base stats'!B:B,'Base stats'!AL:AL)/3.6)/I22,0.1))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stats'!AC:AC)&lt;&gt;"No",_xlfn.XLOOKUP(B22,'Base stats'!B:B,'Base stats'!AC:AC),"")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stats'!AC:AC)&lt;&gt;"No",_xlfn.XLOOKUP(B22,'Base stats'!B:B,'Base stats'!AC:AC),"")
  )
)</f>
        <v>No</v>
      </c>
      <c r="BQ22" s="25" t="str">
        <f>IF(
   AND(
      'Base stats'!AL22="Standard",_xlfn.XLOOKUP(_xlfn.XLOOKUP(B22,'Base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stats'!AT:AT) * 1.8) * 2) * 2.5 + 10 + I22 * 2,5)+IF(_xlfn.XLOOKUP(B22,'Base stats'!B:B,'Base stats'!AI:AI)=1,50,0)</f>
        <v>115</v>
      </c>
      <c r="BS22" s="8">
        <f t="shared" si="5"/>
        <v>0.9</v>
      </c>
      <c r="BT22" s="8" t="str">
        <f>_xlfn.XLOOKUP(B22,'Base stats'!B:B,'Base stats'!AD:AD)</f>
        <v>3~10</v>
      </c>
      <c r="BU22" s="2" t="str">
        <f>IF(AND(J22&lt;=0.95,OR(_xlfn.XLOOKUP(B22,'Base stats'!B:B,'Base stats'!AI:AI)=1,_xlfn.XLOOKUP(B22,'Base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stats'!AG:AG)=1,"true","false")</f>
        <v>true</v>
      </c>
      <c r="BW22" s="25" t="str">
        <f>IF(E22="BaseInsect","AnimalInsect",
IF(J22&gt;0.95,"AnimalExotic",
_xlfn.TEXTJOIN(", ",TRUE,
IF(OR(_xlfn.XLOOKUP(B22,'Base stats'!B:B,'Base stats'!AK:AK)=1,AND(_xlfn.XLOOKUP(B22,'Base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stats'!AI:AI)=1,AND(BI22&lt;&gt;"None",BR22&gt;=60),ISNUMBER(SEARCH("Attack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stats'!AH:AH)=1,"true","false")</f>
        <v>false</v>
      </c>
      <c r="BZ22" s="25">
        <f>IF(_xlfn.XLOOKUP(B22,'Base stats'!B:B,'Base stats'!N:N)=1,"No",MAX(0.01,MIN(MROUND(IF(OR(_xlfn.XLOOKUP(B22,'Base stats'!B:B,'Base stats'!AK:AK)=1,AND(BJ22="True",CC22="False")),POWER(10,3.47*LOG10(_xlfn.XLOOKUP(B22,'Base stats'!B:B,'Base stats'!C:C)*1000)^-0.96),POWER(10,4.15*LOG10(_xlfn.XLOOKUP(B22,'Base stats'!B:B,'Base stats'!C:C)*1000)^-0.73))*IF(OR(_xlfn.XLOOKUP(B22,'Base stats'!B:B,'Base stats'!AK:AK)=1,_xlfn.XLOOKUP(B22,'Base stats'!B:B,'Base stats'!AI:AI)=1),0.5,1)/100,0.025),1)))</f>
        <v>0.17500000000000002</v>
      </c>
      <c r="CA22" s="25" t="str">
        <f>IF(P22="Standard","No",MAX(0.01,IF(_xlfn.XLOOKUP(B22,'Base stats'!B:B,'Base stats'!N:N)=0,MROUND(BZ22*P22,0.05),MIN(1,MAX(0.025,MROUND(IF(OR(CC22="true",AND(BJ22="false",BO22="false")),POWER(10,4.15*LOG10(_xlfn.XLOOKUP(B22,'Base stats'!B:B,'Base stats'!C:C)*1000)^-0.73),POWER(10,3.47*LOG10(_xlfn.XLOOKUP(B22,'Base stats'!B:B,'Base stats'!C:C)*1000)^-0.96))*IF(_xlfn.XLOOKUP(B22,'Base stats'!B:B,'Base stats'!AI:AI)=1,0.5,1)/100,0.025))))))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889</v>
      </c>
      <c r="C23" s="28" t="s">
        <v>708</v>
      </c>
      <c r="D23" s="28" t="s">
        <v>45</v>
      </c>
      <c r="E23" s="28" t="s">
        <v>709</v>
      </c>
      <c r="F23" s="28" t="s">
        <v>710</v>
      </c>
      <c r="G23" s="28" t="s">
        <v>685</v>
      </c>
      <c r="H23" s="2">
        <f>MROUND((
  (IF(AND(_xlfn.XLOOKUP(B23,'Base stats'!B:B,'Base stats'!AJ:AJ)=0,BI23="None",_xlfn.XLOOKUP(_xlfn.XLOOKUP(B23,'Base stats'!B:B,'Base stats'!E:E),Groups!A:A,Groups!B:B)=0), (18 + BR23 * 2.7) * 0.5,
    IF(AND(_xlfn.XLOOKUP(B23,'Base stats'!B:B,'Base stats'!AJ:AJ)=0,OR(AO23&lt;0.55,AND(BI23="Intermediate",_xlfn.XLOOKUP(_xlfn.XLOOKUP(B23,'Base stats'!B:B,'Base stats'!E:E),Groups!A:A,Groups!B:B)&lt;2))), (18 + BR23 * 2.7),
      IF(OR(BI23="Advanced",_xlfn.XLOOKUP(B23,'Base stats'!B:B,'Base stats'!AJ:AJ)=1,_xlfn.XLOOKUP(_xlfn.XLOOKUP(B23,'Base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IF(_xlfn.XLOOKUP(_xlfn.XLOOKUP(B23,'Base stats'!B:B,'Base stats'!E:E),Groups!A:A,Groups!C:C)="Untamable",1,IF(_xlfn.XLOOKUP(B23,'Base stats'!B:B,'Base stats'!AJ:AJ)=1,0.99,MIN(MROUND((1-0.6282*EXP(-0.459*AO23))*_xlfn.XLOOKUP(_xlfn.XLOOKUP(B23,'Base stats'!B:B,'Base stats'!E:E),Groups!A:A,Groups!C:C)*IF(_xlfn.XLOOKUP(B23,'Base stats'!B:B,'Base stats'!O:O)=1,0.5,IF(_xlfn.XLOOKUP(B23,'Base stats'!B:B,'Base stats'!O:O)=2,0,1)),0.05),0.985)))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50</v>
      </c>
      <c r="N23" s="8" t="str">
        <f>IF(_xlfn.XLOOKUP(_xlfn.XLOOKUP(B23,'Base stats'!B:B,'Base stats'!E:E),Groups!A:A,Groups!L:L)=1,MIN(MROUND(_xlfn.XLOOKUP(B23,'Animals CE'!B:B,'Animals CE'!Z:Z)/2+0.05,0.05),200%),"No")</f>
        <v>No</v>
      </c>
      <c r="O23" s="8" t="str">
        <f>IF(_xlfn.XLOOKUP(_xlfn.XLOOKUP(B23,'Base stats'!B:B,'Base stats'!E:E),Groups!A:A,Groups!L:L)=1,MIN(MROUND(_xlfn.XLOOKUP(B23,'Animals CE'!B:B,'Animals CE'!AA:AA)/2+0.05,0.05),200%),"No")</f>
        <v>No</v>
      </c>
      <c r="P23" s="2" t="str">
        <f>_xlfn.XLOOKUP(B23,'Base stats'!B:B,'Base stats'!R:R)</f>
        <v>Standard</v>
      </c>
      <c r="Q23" s="13">
        <f>MROUND((LOG10(_xlfn.XLOOKUP(B23,'Base stats'!B:B,'Base stats'!AP:AP))*(AO23^0.5)+(_xlfn.XLOOKUP(B23,'Base stats'!B:B,'Base stats'!AP:AP)/1000)^(2/3)+_xlfn.XLOOKUP(B23,'Base stats'!B:B,'Base stats'!AY:AY)/2)+0.5,0.5)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stats'!AQ:AQ))*(AO23^0.5)+(_xlfn.XLOOKUP(B23,'Base stats'!B:B,'Base stats'!AQ:AQ)/1000)^(2/3)+_xlfn.XLOOKUP(B23,'Base stats'!B:B,'Base stats'!AY:AY))+_xlfn.XLOOKUP(B23,'Base stats'!B:B,'Base stats'!AW:AW)+0.5,0.5))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stats'!AS:AS))*(AO23^0.5)+(_xlfn.XLOOKUP(B23,'Base stats'!B:B,'Base stats'!AS:AS)/1000)^(2/3)+_xlfn.XLOOKUP(B23,'Base stats'!B:B,'Base stats'!AX:AX))+0.5+IF(_xlfn.XLOOKUP(_xlfn.XLOOKUP(B23,'Base stats'!B:B,'Base stats'!E:E),Groups!A:A,Groups!U:U)&lt;&gt;3,_xlfn.XLOOKUP(B23,'Base stats'!B:B,'Base stats'!AY:AY),0),0.5))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stats'!AR:AR)="No","No",MROUND((LOG10(_xlfn.XLOOKUP(B23,'Base stats'!B:B,'Base stats'!AR:AR))*(AO23^0.75)+(_xlfn.XLOOKUP(B23,'Base stats'!B:B,'Base stats'!AR:AR)/1000)^(2/3)+_xlfn.XLOOKUP(B23,'Base stats'!B:B,'Base stats'!AV:AV)+_xlfn.XLOOKUP(B23,'Base stats'!B:B,'Base stats'!AY:AY))+0.5,0.5))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stats'!AQ:AQ))*(AO23^0.75)+(_xlfn.XLOOKUP(B23,'Base stats'!B:B,'Base stats'!AQ:AQ)/1000)^(2/3)+_xlfn.XLOOKUP(B23,'Base stats'!B:B,'Base stats'!AW:AW)+_xlfn.XLOOKUP(B23,'Base stats'!B:B,'Base stats'!AY:AY))+0.5,0.5))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1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IFERROR(IF(_xlfn.XLOOKUP(B23,'Base stats'!B:B,'Base stats'!F:F)="Lay eggs","Lay eggs",MIN(20,MAX(5.5,ROUND(((_xlfn.XLOOKUP(B23,'Base stats'!B:B,'Base stats'!F:F)-25)*(14.5/615) + 5.5)*2,0)/2))),"Cannot breed")</f>
        <v>6</v>
      </c>
      <c r="AT23" s="8">
        <f>IF(OR(A23="Queen",A23="Larva",A23="Megachicken",A23="Megatardi",A23="Toxscorpion"),"No",IFERROR(MAX(IF(_xlfn.XLOOKUP(B23,'Base stats'!B:B,'Base stats'!G:G)&lt;0.5,0.2,0.3),MROUND(_xlfn.XLOOKUP(B23,'Base stats'!B:B,'Base stats'!G:G)/(365/60),0.2)),"Unknown"))</f>
        <v>0.3</v>
      </c>
      <c r="AU23" s="8">
        <f t="shared" si="0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_xlfn.XLOOKUP(B23,'Base stats'!B:B,'Base stats'!AF:AF)</f>
        <v>No</v>
      </c>
      <c r="BB23" s="2" t="str">
        <f>_xlfn.XLOOKUP(B23,'Base stats'!B:B,'Base stats'!AE:AE)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stats'!Z:Z)=0),0,IF(OR(_xlfn.XLOOKUP(Animals!B23,'Base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stats'!AA:AA),0.005))</f>
        <v>0</v>
      </c>
      <c r="BE23" s="23">
        <f>MIN(1,MROUND(IF(AND(AO23&lt;0.5,_xlfn.XLOOKUP(B23,'Base stats'!B:B,'Base stats'!Z:Z)=0),0,IF(_xlfn.XLOOKUP(_xlfn.XLOOKUP(B23,'Base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stats'!AB:AB),0.005))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stats'!AL:AL)="Standard","No",MROUND((_xlfn.XLOOKUP(B23,'Base stats'!B:B,'Base stats'!AL:AL)/3.6)/I23,0.1))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stats'!AC:AC)&lt;&gt;"No",_xlfn.XLOOKUP(B23,'Base stats'!B:B,'Base stats'!AC:AC),"")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stats'!AC:AC)&lt;&gt;"No",_xlfn.XLOOKUP(B23,'Base stats'!B:B,'Base stats'!AC:AC),"")
  )
)</f>
        <v>Comfort</v>
      </c>
      <c r="BQ23" s="25" t="str">
        <f>IF(
   AND(
      'Base stats'!AL23="Standard",_xlfn.XLOOKUP(_xlfn.XLOOKUP(B23,'Base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stats'!AT:AT) * 1.8) * 2) * 2.5 + 10 + I23 * 2,5)+IF(_xlfn.XLOOKUP(B23,'Base stats'!B:B,'Base stats'!AI:AI)=1,50,0)</f>
        <v>45</v>
      </c>
      <c r="BS23" s="8">
        <f t="shared" si="5"/>
        <v>0.30000000000000004</v>
      </c>
      <c r="BT23" s="8" t="str">
        <f>_xlfn.XLOOKUP(B23,'Base stats'!B:B,'Base stats'!AD:AD)</f>
        <v>No</v>
      </c>
      <c r="BU23" s="2" t="str">
        <f>IF(AND(J23&lt;=0.95,OR(_xlfn.XLOOKUP(B23,'Base stats'!B:B,'Base stats'!AI:AI)=1,_xlfn.XLOOKUP(B23,'Base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stats'!AG:AG)=1,"true","false")</f>
        <v>false</v>
      </c>
      <c r="BW23" s="25" t="str">
        <f>IF(E23="BaseInsect","AnimalInsect",
IF(J23&gt;0.95,"AnimalExotic",
_xlfn.TEXTJOIN(", ",TRUE,
IF(OR(_xlfn.XLOOKUP(B23,'Base stats'!B:B,'Base stats'!AK:AK)=1,AND(_xlfn.XLOOKUP(B23,'Base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stats'!AI:AI)=1,AND(BI23&lt;&gt;"None",BR23&gt;=60),ISNUMBER(SEARCH("Attack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AridShrubland Desert Grasslands LavaField GlacialPlain</v>
      </c>
      <c r="BY23" s="25" t="str">
        <f>IF(_xlfn.XLOOKUP(B23,'Base stats'!B:B,'Base stats'!AH:AH)=1,"true","false")</f>
        <v>false</v>
      </c>
      <c r="BZ23" s="25">
        <f>IF(_xlfn.XLOOKUP(B23,'Base stats'!B:B,'Base stats'!N:N)=1,"No",MAX(0.01,MIN(MROUND(IF(OR(_xlfn.XLOOKUP(B23,'Base stats'!B:B,'Base stats'!AK:AK)=1,AND(BJ23="True",CC23="False")),POWER(10,3.47*LOG10(_xlfn.XLOOKUP(B23,'Base stats'!B:B,'Base stats'!C:C)*1000)^-0.96),POWER(10,4.15*LOG10(_xlfn.XLOOKUP(B23,'Base stats'!B:B,'Base stats'!C:C)*1000)^-0.73))*IF(OR(_xlfn.XLOOKUP(B23,'Base stats'!B:B,'Base stats'!AK:AK)=1,_xlfn.XLOOKUP(B23,'Base stats'!B:B,'Base stats'!AI:AI)=1),0.5,1)/100,0.025),1)))</f>
        <v>0.42500000000000004</v>
      </c>
      <c r="CA23" s="25" t="str">
        <f>IF(P23="Standard","No",MAX(0.01,IF(_xlfn.XLOOKUP(B23,'Base stats'!B:B,'Base stats'!N:N)=0,MROUND(BZ23*P23,0.05),MIN(1,MAX(0.025,MROUND(IF(OR(CC23="true",AND(BJ23="false",BO23="false")),POWER(10,4.15*LOG10(_xlfn.XLOOKUP(B23,'Base stats'!B:B,'Base stats'!C:C)*1000)^-0.73),POWER(10,3.47*LOG10(_xlfn.XLOOKUP(B23,'Base stats'!B:B,'Base stats'!C:C)*1000)^-0.96))*IF(_xlfn.XLOOKUP(B23,'Base stats'!B:B,'Base stats'!AI:AI)=1,0.5,1)/100,0.025))))))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131</v>
      </c>
      <c r="C24" s="28" t="s">
        <v>711</v>
      </c>
      <c r="D24" s="28" t="s">
        <v>45</v>
      </c>
      <c r="E24" s="28" t="s">
        <v>709</v>
      </c>
      <c r="F24" s="28" t="s">
        <v>710</v>
      </c>
      <c r="G24" s="28" t="s">
        <v>685</v>
      </c>
      <c r="H24" s="2">
        <f>MROUND((
  (IF(AND(_xlfn.XLOOKUP(B24,'Base stats'!B:B,'Base stats'!AJ:AJ)=0,BI24="None",_xlfn.XLOOKUP(_xlfn.XLOOKUP(B24,'Base stats'!B:B,'Base stats'!E:E),Groups!A:A,Groups!B:B)=0), (18 + BR24 * 2.7) * 0.5,
    IF(AND(_xlfn.XLOOKUP(B24,'Base stats'!B:B,'Base stats'!AJ:AJ)=0,OR(AO24&lt;0.55,AND(BI24="Intermediate",_xlfn.XLOOKUP(_xlfn.XLOOKUP(B24,'Base stats'!B:B,'Base stats'!E:E),Groups!A:A,Groups!B:B)&lt;2))), (18 + BR24 * 2.7),
      IF(OR(BI24="Advanced",_xlfn.XLOOKUP(B24,'Base stats'!B:B,'Base stats'!AJ:AJ)=1,_xlfn.XLOOKUP(_xlfn.XLOOKUP(B24,'Base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IF(_xlfn.XLOOKUP(_xlfn.XLOOKUP(B24,'Base stats'!B:B,'Base stats'!E:E),Groups!A:A,Groups!C:C)="Untamable",1,IF(_xlfn.XLOOKUP(B24,'Base stats'!B:B,'Base stats'!AJ:AJ)=1,0.99,MIN(MROUND((1-0.6282*EXP(-0.459*AO24))*_xlfn.XLOOKUP(_xlfn.XLOOKUP(B24,'Base stats'!B:B,'Base stats'!E:E),Groups!A:A,Groups!C:C)*IF(_xlfn.XLOOKUP(B24,'Base stats'!B:B,'Base stats'!O:O)=1,0.5,IF(_xlfn.XLOOKUP(B24,'Base stats'!B:B,'Base stats'!O:O)=2,0,1)),0.05),0.985)))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IF(_xlfn.XLOOKUP(_xlfn.XLOOKUP(B24,'Base stats'!B:B,'Base stats'!E:E),Groups!A:A,Groups!L:L)=1,MIN(MROUND(_xlfn.XLOOKUP(B24,'Animals CE'!B:B,'Animals CE'!Z:Z)/2+0.05,0.05),200%),"No")</f>
        <v>No</v>
      </c>
      <c r="O24" s="8" t="str">
        <f>IF(_xlfn.XLOOKUP(_xlfn.XLOOKUP(B24,'Base stats'!B:B,'Base stats'!E:E),Groups!A:A,Groups!L:L)=1,MIN(MROUND(_xlfn.XLOOKUP(B24,'Animals CE'!B:B,'Animals CE'!AA:AA)/2+0.05,0.05),200%),"No")</f>
        <v>No</v>
      </c>
      <c r="P24" s="2" t="str">
        <f>_xlfn.XLOOKUP(B24,'Base stats'!B:B,'Base stats'!R:R)</f>
        <v>Standard</v>
      </c>
      <c r="Q24" s="13">
        <f>MROUND((LOG10(_xlfn.XLOOKUP(B24,'Base stats'!B:B,'Base stats'!AP:AP))*(AO24^0.5)+(_xlfn.XLOOKUP(B24,'Base stats'!B:B,'Base stats'!AP:AP)/1000)^(2/3)+_xlfn.XLOOKUP(B24,'Base stats'!B:B,'Base stats'!AY:AY)/2)+0.5,0.5)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stats'!AQ:AQ))*(AO24^0.5)+(_xlfn.XLOOKUP(B24,'Base stats'!B:B,'Base stats'!AQ:AQ)/1000)^(2/3)+_xlfn.XLOOKUP(B24,'Base stats'!B:B,'Base stats'!AY:AY))+_xlfn.XLOOKUP(B24,'Base stats'!B:B,'Base stats'!AW:AW)+0.5,0.5))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stats'!AS:AS))*(AO24^0.5)+(_xlfn.XLOOKUP(B24,'Base stats'!B:B,'Base stats'!AS:AS)/1000)^(2/3)+_xlfn.XLOOKUP(B24,'Base stats'!B:B,'Base stats'!AX:AX))+0.5+IF(_xlfn.XLOOKUP(_xlfn.XLOOKUP(B24,'Base stats'!B:B,'Base stats'!E:E),Groups!A:A,Groups!U:U)&lt;&gt;3,_xlfn.XLOOKUP(B24,'Base stats'!B:B,'Base stats'!AY:AY),0),0.5))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stats'!AR:AR)="No","No",MROUND((LOG10(_xlfn.XLOOKUP(B24,'Base stats'!B:B,'Base stats'!AR:AR))*(AO24^0.75)+(_xlfn.XLOOKUP(B24,'Base stats'!B:B,'Base stats'!AR:AR)/1000)^(2/3)+_xlfn.XLOOKUP(B24,'Base stats'!B:B,'Base stats'!AV:AV)+_xlfn.XLOOKUP(B24,'Base stats'!B:B,'Base stats'!AY:AY))+0.5,0.5))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stats'!AQ:AQ))*(AO24^0.75)+(_xlfn.XLOOKUP(B24,'Base stats'!B:B,'Base stats'!AQ:AQ)/1000)^(2/3)+_xlfn.XLOOKUP(B24,'Base stats'!B:B,'Base stats'!AW:AW)+_xlfn.XLOOKUP(B24,'Base stats'!B:B,'Base stats'!AY:AY))+0.5,0.5))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1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IFERROR(IF(_xlfn.XLOOKUP(B24,'Base stats'!B:B,'Base stats'!F:F)="Lay eggs","Lay eggs",MIN(20,MAX(5.5,ROUND(((_xlfn.XLOOKUP(B24,'Base stats'!B:B,'Base stats'!F:F)-25)*(14.5/615) + 5.5)*2,0)/2))),"Cannot breed")</f>
        <v>6</v>
      </c>
      <c r="AT24" s="8">
        <f>IF(OR(A24="Queen",A24="Larva",A24="Megachicken",A24="Megatardi",A24="Toxscorpion"),"No",IFERROR(MAX(IF(_xlfn.XLOOKUP(B24,'Base stats'!B:B,'Base stats'!G:G)&lt;0.5,0.2,0.3),MROUND(_xlfn.XLOOKUP(B24,'Base stats'!B:B,'Base stats'!G:G)/(365/60),0.2)),"Unknown"))</f>
        <v>0.3</v>
      </c>
      <c r="AU24" s="8">
        <f t="shared" si="0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_xlfn.XLOOKUP(B24,'Base stats'!B:B,'Base stats'!AF:AF)</f>
        <v>&lt;li&gt;Hare&lt;/li&gt;</v>
      </c>
      <c r="BB24" s="2" t="str">
        <f>_xlfn.XLOOKUP(B24,'Base stats'!B:B,'Base stats'!AE:AE)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stats'!Z:Z)=0),0,IF(OR(_xlfn.XLOOKUP(Animals!B24,'Base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stats'!AA:AA),0.005))</f>
        <v>0</v>
      </c>
      <c r="BE24" s="23">
        <f>MIN(1,MROUND(IF(AND(AO24&lt;0.5,_xlfn.XLOOKUP(B24,'Base stats'!B:B,'Base stats'!Z:Z)=0),0,IF(_xlfn.XLOOKUP(_xlfn.XLOOKUP(B24,'Base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stats'!AB:AB),0.005))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stats'!AL:AL)="Standard","No",MROUND((_xlfn.XLOOKUP(B24,'Base stats'!B:B,'Base stats'!AL:AL)/3.6)/I24,0.1))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stats'!AC:AC)&lt;&gt;"No",_xlfn.XLOOKUP(B24,'Base stats'!B:B,'Base stats'!AC:AC),"")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stats'!AC:AC)&lt;&gt;"No",_xlfn.XLOOKUP(B24,'Base stats'!B:B,'Base stats'!AC:AC),"")
  )
)</f>
        <v>Comfort</v>
      </c>
      <c r="BQ24" s="25" t="str">
        <f>IF(
   AND(
      'Base stats'!AL24="Standard",_xlfn.XLOOKUP(_xlfn.XLOOKUP(B24,'Base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stats'!AT:AT) * 1.8) * 2) * 2.5 + 10 + I24 * 2,5)+IF(_xlfn.XLOOKUP(B24,'Base stats'!B:B,'Base stats'!AI:AI)=1,50,0)</f>
        <v>45</v>
      </c>
      <c r="BS24" s="8">
        <f t="shared" si="5"/>
        <v>0.30000000000000004</v>
      </c>
      <c r="BT24" s="8" t="str">
        <f>_xlfn.XLOOKUP(B24,'Base stats'!B:B,'Base stats'!AD:AD)</f>
        <v>No</v>
      </c>
      <c r="BU24" s="2" t="str">
        <f>IF(AND(J24&lt;=0.95,OR(_xlfn.XLOOKUP(B24,'Base stats'!B:B,'Base stats'!AI:AI)=1,_xlfn.XLOOKUP(B24,'Base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stats'!AG:AG)=1,"true","false")</f>
        <v>false</v>
      </c>
      <c r="BW24" s="25" t="str">
        <f>IF(E24="BaseInsect","AnimalInsect",
IF(J24&gt;0.95,"AnimalExotic",
_xlfn.TEXTJOIN(", ",TRUE,
IF(OR(_xlfn.XLOOKUP(B24,'Base stats'!B:B,'Base stats'!AK:AK)=1,AND(_xlfn.XLOOKUP(B24,'Base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stats'!AI:AI)=1,AND(BI24&lt;&gt;"None",BR24&gt;=60),ISNUMBER(SEARCH("Attack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stats'!AH:AH)=1,"true","false")</f>
        <v>false</v>
      </c>
      <c r="BZ24" s="25">
        <f>IF(_xlfn.XLOOKUP(B24,'Base stats'!B:B,'Base stats'!N:N)=1,"No",MAX(0.01,MIN(MROUND(IF(OR(_xlfn.XLOOKUP(B24,'Base stats'!B:B,'Base stats'!AK:AK)=1,AND(BJ24="True",CC24="False")),POWER(10,3.47*LOG10(_xlfn.XLOOKUP(B24,'Base stats'!B:B,'Base stats'!C:C)*1000)^-0.96),POWER(10,4.15*LOG10(_xlfn.XLOOKUP(B24,'Base stats'!B:B,'Base stats'!C:C)*1000)^-0.73))*IF(OR(_xlfn.XLOOKUP(B24,'Base stats'!B:B,'Base stats'!AK:AK)=1,_xlfn.XLOOKUP(B24,'Base stats'!B:B,'Base stats'!AI:AI)=1),0.5,1)/100,0.025),1)))</f>
        <v>0.42500000000000004</v>
      </c>
      <c r="CA24" s="25" t="str">
        <f>IF(P24="Standard","No",MAX(0.01,IF(_xlfn.XLOOKUP(B24,'Base stats'!B:B,'Base stats'!N:N)=0,MROUND(BZ24*P24,0.05),MIN(1,MAX(0.025,MROUND(IF(OR(CC24="true",AND(BJ24="false",BO24="false")),POWER(10,4.15*LOG10(_xlfn.XLOOKUP(B24,'Base stats'!B:B,'Base stats'!C:C)*1000)^-0.73),POWER(10,3.47*LOG10(_xlfn.XLOOKUP(B24,'Base stats'!B:B,'Base stats'!C:C)*1000)^-0.96))*IF(_xlfn.XLOOKUP(B24,'Base stats'!B:B,'Base stats'!AI:AI)=1,0.5,1)/100,0.025))))))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1183</v>
      </c>
      <c r="C25" s="28" t="s">
        <v>712</v>
      </c>
      <c r="D25" s="28" t="s">
        <v>45</v>
      </c>
      <c r="E25" s="28" t="s">
        <v>685</v>
      </c>
      <c r="F25" s="28" t="s">
        <v>685</v>
      </c>
      <c r="G25" s="28" t="s">
        <v>685</v>
      </c>
      <c r="H25" s="2">
        <f>MROUND((
  (IF(AND(_xlfn.XLOOKUP(B25,'Base stats'!B:B,'Base stats'!AJ:AJ)=0,BI25="None",_xlfn.XLOOKUP(_xlfn.XLOOKUP(B25,'Base stats'!B:B,'Base stats'!E:E),Groups!A:A,Groups!B:B)=0), (18 + BR25 * 2.7) * 0.5,
    IF(AND(_xlfn.XLOOKUP(B25,'Base stats'!B:B,'Base stats'!AJ:AJ)=0,OR(AO25&lt;0.55,AND(BI25="Intermediate",_xlfn.XLOOKUP(_xlfn.XLOOKUP(B25,'Base stats'!B:B,'Base stats'!E:E),Groups!A:A,Groups!B:B)&lt;2))), (18 + BR25 * 2.7),
      IF(OR(BI25="Advanced",_xlfn.XLOOKUP(B25,'Base stats'!B:B,'Base stats'!AJ:AJ)=1,_xlfn.XLOOKUP(_xlfn.XLOOKUP(B25,'Base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1500</v>
      </c>
      <c r="I25" s="2">
        <f>MROUND(ROUNDDOWN(_xlfn.XLOOKUP(B25,'Base stats'!B:B,'Base stats'!L:L)/3.6/(23.3/11),1),0.5)</f>
        <v>3.5</v>
      </c>
      <c r="J25" s="2">
        <f>IF(_xlfn.XLOOKUP(_xlfn.XLOOKUP(B25,'Base stats'!B:B,'Base stats'!E:E),Groups!A:A,Groups!C:C)="Untamable",1,IF(_xlfn.XLOOKUP(B25,'Base stats'!B:B,'Base stats'!AJ:AJ)=1,0.99,MIN(MROUND((1-0.6282*EXP(-0.459*AO25))*_xlfn.XLOOKUP(_xlfn.XLOOKUP(B25,'Base stats'!B:B,'Base stats'!E:E),Groups!A:A,Groups!C:C)*IF(_xlfn.XLOOKUP(B25,'Base stats'!B:B,'Base stats'!O:O)=1,0.5,IF(_xlfn.XLOOKUP(B25,'Base stats'!B:B,'Base stats'!O:O)=2,0,1)),0.05),0.985)))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 t="str">
        <f>IF(_xlfn.XLOOKUP(_xlfn.XLOOKUP(B25,'Base stats'!B:B,'Base stats'!E:E),Groups!A:A,Groups!L:L)=1,MIN(MROUND(_xlfn.XLOOKUP(B25,'Animals CE'!B:B,'Animals CE'!Z:Z)/2+0.05,0.05),200%),"No")</f>
        <v>No</v>
      </c>
      <c r="O25" s="8" t="str">
        <f>IF(_xlfn.XLOOKUP(_xlfn.XLOOKUP(B25,'Base stats'!B:B,'Base stats'!E:E),Groups!A:A,Groups!L:L)=1,MIN(MROUND(_xlfn.XLOOKUP(B25,'Animals CE'!B:B,'Animals CE'!AA:AA)/2+0.05,0.05),200%),"No")</f>
        <v>No</v>
      </c>
      <c r="P25" s="2" t="str">
        <f>_xlfn.XLOOKUP(B25,'Base stats'!B:B,'Base stats'!R:R)</f>
        <v>Standard</v>
      </c>
      <c r="Q25" s="13">
        <f>MROUND((LOG10(_xlfn.XLOOKUP(B25,'Base stats'!B:B,'Base stats'!AP:AP))*(AO25^0.5)+(_xlfn.XLOOKUP(B25,'Base stats'!B:B,'Base stats'!AP:AP)/1000)^(2/3)+_xlfn.XLOOKUP(B25,'Base stats'!B:B,'Base stats'!AY:AY)/2)+0.5,0.5)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stats'!AQ:AQ))*(AO25^0.5)+(_xlfn.XLOOKUP(B25,'Base stats'!B:B,'Base stats'!AQ:AQ)/1000)^(2/3)+_xlfn.XLOOKUP(B25,'Base stats'!B:B,'Base stats'!AY:AY))+_xlfn.XLOOKUP(B25,'Base stats'!B:B,'Base stats'!AW:AW)+0.5,0.5))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stats'!AS:AS))*(AO25^0.5)+(_xlfn.XLOOKUP(B25,'Base stats'!B:B,'Base stats'!AS:AS)/1000)^(2/3)+_xlfn.XLOOKUP(B25,'Base stats'!B:B,'Base stats'!AX:AX))+0.5+IF(_xlfn.XLOOKUP(_xlfn.XLOOKUP(B25,'Base stats'!B:B,'Base stats'!E:E),Groups!A:A,Groups!U:U)&lt;&gt;3,_xlfn.XLOOKUP(B25,'Base stats'!B:B,'Base stats'!AY:AY),0),0.5))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stats'!AR:AR)="No","No",MROUND((LOG10(_xlfn.XLOOKUP(B25,'Base stats'!B:B,'Base stats'!AR:AR))*(AO25^0.75)+(_xlfn.XLOOKUP(B25,'Base stats'!B:B,'Base stats'!AR:AR)/1000)^(2/3)+_xlfn.XLOOKUP(B25,'Base stats'!B:B,'Base stats'!AV:AV)+_xlfn.XLOOKUP(B25,'Base stats'!B:B,'Base stats'!AY:AY))+0.5,0.5))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stats'!AQ:AQ))*(AO25^0.75)+(_xlfn.XLOOKUP(B25,'Base stats'!B:B,'Base stats'!AQ:AQ)/1000)^(2/3)+_xlfn.XLOOKUP(B25,'Base stats'!B:B,'Base stats'!AW:AW)+_xlfn.XLOOKUP(B25,'Base stats'!B:B,'Base stats'!AY:AY))+0.5,0.5))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1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IFERROR(IF(_xlfn.XLOOKUP(B25,'Base stats'!B:B,'Base stats'!F:F)="Lay eggs","Lay eggs",MIN(20,MAX(5.5,ROUND(((_xlfn.XLOOKUP(B25,'Base stats'!B:B,'Base stats'!F:F)-25)*(14.5/615) + 5.5)*2,0)/2))),"Cannot breed")</f>
        <v>17</v>
      </c>
      <c r="AT25" s="8">
        <f>IF(OR(A25="Queen",A25="Larva",A25="Megachicken",A25="Megatardi",A25="Toxscorpion"),"No",IFERROR(MAX(IF(_xlfn.XLOOKUP(B25,'Base stats'!B:B,'Base stats'!G:G)&lt;0.5,0.2,0.3),MROUND(_xlfn.XLOOKUP(B25,'Base stats'!B:B,'Base stats'!G:G)/(365/60),0.2)),"Unknown"))</f>
        <v>0.8</v>
      </c>
      <c r="AU25" s="8">
        <f t="shared" si="0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_xlfn.XLOOKUP(B25,'Base stats'!B:B,'Base stats'!AF:AF)</f>
        <v>No</v>
      </c>
      <c r="BB25" s="2" t="str">
        <f>_xlfn.XLOOKUP(B25,'Base stats'!B:B,'Base stats'!AE:AE)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stats'!Z:Z)=0),0,IF(OR(_xlfn.XLOOKUP(Animals!B25,'Base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stats'!AA:AA),0.005))</f>
        <v>0.05</v>
      </c>
      <c r="BE25" s="23">
        <f>MIN(1,MROUND(IF(AND(AO25&lt;0.5,_xlfn.XLOOKUP(B25,'Base stats'!B:B,'Base stats'!Z:Z)=0),0,IF(_xlfn.XLOOKUP(_xlfn.XLOOKUP(B25,'Base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stats'!AB:AB),0.005))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stats'!AL:AL)="Standard","No",MROUND((_xlfn.XLOOKUP(B25,'Base stats'!B:B,'Base stats'!AL:AL)/3.6)/I25,0.1))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stats'!AC:AC)&lt;&gt;"No",_xlfn.XLOOKUP(B25,'Base stats'!B:B,'Base stats'!AC:AC),"")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stats'!AC:AC)&lt;&gt;"No",_xlfn.XLOOKUP(B25,'Base stats'!B:B,'Base stats'!AC:AC),"")
  )
)</f>
        <v>No</v>
      </c>
      <c r="BQ25" s="25" t="str">
        <f>IF(
   AND(
      'Base stats'!AL25="Standard",_xlfn.XLOOKUP(_xlfn.XLOOKUP(B25,'Base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stats'!AT:AT) * 1.8) * 2) * 2.5 + 10 + I25 * 2,5)+IF(_xlfn.XLOOKUP(B25,'Base stats'!B:B,'Base stats'!AI:AI)=1,50,0)</f>
        <v>430</v>
      </c>
      <c r="BS25" s="8">
        <f t="shared" si="5"/>
        <v>2.5</v>
      </c>
      <c r="BT25" s="8" t="str">
        <f>_xlfn.XLOOKUP(B25,'Base stats'!B:B,'Base stats'!AD:AD)</f>
        <v>No</v>
      </c>
      <c r="BU25" s="2" t="str">
        <f>IF(AND(J25&lt;=0.95,OR(_xlfn.XLOOKUP(B25,'Base stats'!B:B,'Base stats'!AI:AI)=1,_xlfn.XLOOKUP(B25,'Base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stats'!AG:AG)=1,"true","false")</f>
        <v>false</v>
      </c>
      <c r="BW25" s="25" t="str">
        <f>IF(E25="BaseInsect","AnimalInsect",
IF(J25&gt;0.95,"AnimalExotic",
_xlfn.TEXTJOIN(", ",TRUE,
IF(OR(_xlfn.XLOOKUP(B25,'Base stats'!B:B,'Base stats'!AK:AK)=1,AND(_xlfn.XLOOKUP(B25,'Base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stats'!AI:AI)=1,AND(BI25&lt;&gt;"None",BR25&gt;=60),ISNUMBER(SEARCH("Attack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stats'!AH:AH)=1,"true","false")</f>
        <v>false</v>
      </c>
      <c r="BZ25" s="25">
        <f>IF(_xlfn.XLOOKUP(B25,'Base stats'!B:B,'Base stats'!N:N)=1,"No",MAX(0.01,MIN(MROUND(IF(OR(_xlfn.XLOOKUP(B25,'Base stats'!B:B,'Base stats'!AK:AK)=1,AND(BJ25="True",CC25="False")),POWER(10,3.47*LOG10(_xlfn.XLOOKUP(B25,'Base stats'!B:B,'Base stats'!C:C)*1000)^-0.96),POWER(10,4.15*LOG10(_xlfn.XLOOKUP(B25,'Base stats'!B:B,'Base stats'!C:C)*1000)^-0.73))*IF(OR(_xlfn.XLOOKUP(B25,'Base stats'!B:B,'Base stats'!AK:AK)=1,_xlfn.XLOOKUP(B25,'Base stats'!B:B,'Base stats'!AI:AI)=1),0.5,1)/100,0.025),1)))</f>
        <v>0.125</v>
      </c>
      <c r="CA25" s="25" t="str">
        <f>IF(P25="Standard","No",MAX(0.01,IF(_xlfn.XLOOKUP(B25,'Base stats'!B:B,'Base stats'!N:N)=0,MROUND(BZ25*P25,0.05),MIN(1,MAX(0.025,MROUND(IF(OR(CC25="true",AND(BJ25="false",BO25="false")),POWER(10,4.15*LOG10(_xlfn.XLOOKUP(B25,'Base stats'!B:B,'Base stats'!C:C)*1000)^-0.73),POWER(10,3.47*LOG10(_xlfn.XLOOKUP(B25,'Base stats'!B:B,'Base stats'!C:C)*1000)^-0.96))*IF(_xlfn.XLOOKUP(B25,'Base stats'!B:B,'Base stats'!AI:AI)=1,0.5,1)/100,0.025))))))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713</v>
      </c>
      <c r="D26" s="28" t="s">
        <v>45</v>
      </c>
      <c r="E26" s="28" t="s">
        <v>685</v>
      </c>
      <c r="F26" s="28" t="s">
        <v>685</v>
      </c>
      <c r="G26" s="28" t="s">
        <v>685</v>
      </c>
      <c r="H26" s="2">
        <f>MROUND((
  (IF(AND(_xlfn.XLOOKUP(B26,'Base stats'!B:B,'Base stats'!AJ:AJ)=0,BI26="None",_xlfn.XLOOKUP(_xlfn.XLOOKUP(B26,'Base stats'!B:B,'Base stats'!E:E),Groups!A:A,Groups!B:B)=0), (18 + BR26 * 2.7) * 0.5,
    IF(AND(_xlfn.XLOOKUP(B26,'Base stats'!B:B,'Base stats'!AJ:AJ)=0,OR(AO26&lt;0.55,AND(BI26="Intermediate",_xlfn.XLOOKUP(_xlfn.XLOOKUP(B26,'Base stats'!B:B,'Base stats'!E:E),Groups!A:A,Groups!B:B)&lt;2))), (18 + BR26 * 2.7),
      IF(OR(BI26="Advanced",_xlfn.XLOOKUP(B26,'Base stats'!B:B,'Base stats'!AJ:AJ)=1,_xlfn.XLOOKUP(_xlfn.XLOOKUP(B26,'Base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IF(_xlfn.XLOOKUP(_xlfn.XLOOKUP(B26,'Base stats'!B:B,'Base stats'!E:E),Groups!A:A,Groups!C:C)="Untamable",1,IF(_xlfn.XLOOKUP(B26,'Base stats'!B:B,'Base stats'!AJ:AJ)=1,0.99,MIN(MROUND((1-0.6282*EXP(-0.459*AO26))*_xlfn.XLOOKUP(_xlfn.XLOOKUP(B26,'Base stats'!B:B,'Base stats'!E:E),Groups!A:A,Groups!C:C)*IF(_xlfn.XLOOKUP(B26,'Base stats'!B:B,'Base stats'!O:O)=1,0.5,IF(_xlfn.XLOOKUP(B26,'Base stats'!B:B,'Base stats'!O:O)=2,0,1)),0.05),0.985)))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IF(_xlfn.XLOOKUP(_xlfn.XLOOKUP(B26,'Base stats'!B:B,'Base stats'!E:E),Groups!A:A,Groups!L:L)=1,MIN(MROUND(_xlfn.XLOOKUP(B26,'Animals CE'!B:B,'Animals CE'!Z:Z)/2+0.05,0.05),200%),"No")</f>
        <v>No</v>
      </c>
      <c r="O26" s="8" t="str">
        <f>IF(_xlfn.XLOOKUP(_xlfn.XLOOKUP(B26,'Base stats'!B:B,'Base stats'!E:E),Groups!A:A,Groups!L:L)=1,MIN(MROUND(_xlfn.XLOOKUP(B26,'Animals CE'!B:B,'Animals CE'!AA:AA)/2+0.05,0.05),200%),"No")</f>
        <v>No</v>
      </c>
      <c r="P26" s="2" t="str">
        <f>_xlfn.XLOOKUP(B26,'Base stats'!B:B,'Base stats'!R:R)</f>
        <v>Standard</v>
      </c>
      <c r="Q26" s="13">
        <f>MROUND((LOG10(_xlfn.XLOOKUP(B26,'Base stats'!B:B,'Base stats'!AP:AP))*(AO26^0.5)+(_xlfn.XLOOKUP(B26,'Base stats'!B:B,'Base stats'!AP:AP)/1000)^(2/3)+_xlfn.XLOOKUP(B26,'Base stats'!B:B,'Base stats'!AY:AY)/2)+0.5,0.5)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stats'!AQ:AQ))*(AO26^0.5)+(_xlfn.XLOOKUP(B26,'Base stats'!B:B,'Base stats'!AQ:AQ)/1000)^(2/3)+_xlfn.XLOOKUP(B26,'Base stats'!B:B,'Base stats'!AY:AY))+_xlfn.XLOOKUP(B26,'Base stats'!B:B,'Base stats'!AW:AW)+0.5,0.5))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stats'!AS:AS))*(AO26^0.5)+(_xlfn.XLOOKUP(B26,'Base stats'!B:B,'Base stats'!AS:AS)/1000)^(2/3)+_xlfn.XLOOKUP(B26,'Base stats'!B:B,'Base stats'!AX:AX))+0.5+IF(_xlfn.XLOOKUP(_xlfn.XLOOKUP(B26,'Base stats'!B:B,'Base stats'!E:E),Groups!A:A,Groups!U:U)&lt;&gt;3,_xlfn.XLOOKUP(B26,'Base stats'!B:B,'Base stats'!AY:AY),0),0.5))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stats'!AR:AR)="No","No",MROUND((LOG10(_xlfn.XLOOKUP(B26,'Base stats'!B:B,'Base stats'!AR:AR))*(AO26^0.75)+(_xlfn.XLOOKUP(B26,'Base stats'!B:B,'Base stats'!AR:AR)/1000)^(2/3)+_xlfn.XLOOKUP(B26,'Base stats'!B:B,'Base stats'!AV:AV)+_xlfn.XLOOKUP(B26,'Base stats'!B:B,'Base stats'!AY:AY))+0.5,0.5))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stats'!AQ:AQ))*(AO26^0.75)+(_xlfn.XLOOKUP(B26,'Base stats'!B:B,'Base stats'!AQ:AQ)/1000)^(2/3)+_xlfn.XLOOKUP(B26,'Base stats'!B:B,'Base stats'!AW:AW)+_xlfn.XLOOKUP(B26,'Base stats'!B:B,'Base stats'!AY:AY))+0.5,0.5))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1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IFERROR(IF(_xlfn.XLOOKUP(B26,'Base stats'!B:B,'Base stats'!F:F)="Lay eggs","Lay eggs",MIN(20,MAX(5.5,ROUND(((_xlfn.XLOOKUP(B26,'Base stats'!B:B,'Base stats'!F:F)-25)*(14.5/615) + 5.5)*2,0)/2))),"Cannot breed")</f>
        <v>20</v>
      </c>
      <c r="AT26" s="8">
        <f>IF(OR(A26="Queen",A26="Larva",A26="Megachicken",A26="Megatardi",A26="Toxscorpion"),"No",IFERROR(MAX(IF(_xlfn.XLOOKUP(B26,'Base stats'!B:B,'Base stats'!G:G)&lt;0.5,0.2,0.3),MROUND(_xlfn.XLOOKUP(B26,'Base stats'!B:B,'Base stats'!G:G)/(365/60),0.2)),"Unknown"))</f>
        <v>1.8</v>
      </c>
      <c r="AU26" s="8">
        <f t="shared" si="0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_xlfn.XLOOKUP(B26,'Base stats'!B:B,'Base stats'!AF:AF)</f>
        <v>No</v>
      </c>
      <c r="BB26" s="2" t="str">
        <f>_xlfn.XLOOKUP(B26,'Base stats'!B:B,'Base stats'!AE:AE)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stats'!Z:Z)=0),0,IF(OR(_xlfn.XLOOKUP(Animals!B26,'Base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stats'!AA:AA),0.005))</f>
        <v>2.5000000000000001E-2</v>
      </c>
      <c r="BE26" s="23">
        <f>MIN(1,MROUND(IF(AND(AO26&lt;0.5,_xlfn.XLOOKUP(B26,'Base stats'!B:B,'Base stats'!Z:Z)=0),0,IF(_xlfn.XLOOKUP(_xlfn.XLOOKUP(B26,'Base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stats'!AB:AB),0.005))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stats'!AL:AL)="Standard","No",MROUND((_xlfn.XLOOKUP(B26,'Base stats'!B:B,'Base stats'!AL:AL)/3.6)/I26,0.1))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stats'!AC:AC)&lt;&gt;"No",_xlfn.XLOOKUP(B26,'Base stats'!B:B,'Base stats'!AC:AC),"")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stats'!AC:AC)&lt;&gt;"No",_xlfn.XLOOKUP(B26,'Base stats'!B:B,'Base stats'!AC:AC),"")
  )
)</f>
        <v>WarTrumpet</v>
      </c>
      <c r="BQ26" s="25" t="str">
        <f>IF(
   AND(
      'Base stats'!AL26="Standard",_xlfn.XLOOKUP(_xlfn.XLOOKUP(B26,'Base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stats'!AT:AT) * 1.8) * 2) * 2.5 + 10 + I26 * 2,5)+IF(_xlfn.XLOOKUP(B26,'Base stats'!B:B,'Base stats'!AI:AI)=1,50,0)</f>
        <v>460</v>
      </c>
      <c r="BS26" s="8">
        <f t="shared" si="5"/>
        <v>3.1500000000000004</v>
      </c>
      <c r="BT26" s="8" t="str">
        <f>_xlfn.XLOOKUP(B26,'Base stats'!B:B,'Base stats'!AD:AD)</f>
        <v>3~10</v>
      </c>
      <c r="BU26" s="2" t="str">
        <f>IF(AND(J26&lt;=0.95,OR(_xlfn.XLOOKUP(B26,'Base stats'!B:B,'Base stats'!AI:AI)=1,_xlfn.XLOOKUP(B26,'Base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stats'!AG:AG)=1,"true","false")</f>
        <v>true</v>
      </c>
      <c r="BW26" s="25" t="str">
        <f>IF(E26="BaseInsect","AnimalInsect",
IF(J26&gt;0.95,"AnimalExotic",
_xlfn.TEXTJOIN(", ",TRUE,
IF(OR(_xlfn.XLOOKUP(B26,'Base stats'!B:B,'Base stats'!AK:AK)=1,AND(_xlfn.XLOOKUP(B26,'Base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stats'!AI:AI)=1,AND(BI26&lt;&gt;"None",BR26&gt;=60),ISNUMBER(SEARCH("Attack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stats'!AH:AH)=1,"true","false")</f>
        <v>false</v>
      </c>
      <c r="BZ26" s="25">
        <f>IF(_xlfn.XLOOKUP(B26,'Base stats'!B:B,'Base stats'!N:N)=1,"No",MAX(0.01,MIN(MROUND(IF(OR(_xlfn.XLOOKUP(B26,'Base stats'!B:B,'Base stats'!AK:AK)=1,AND(BJ26="True",CC26="False")),POWER(10,3.47*LOG10(_xlfn.XLOOKUP(B26,'Base stats'!B:B,'Base stats'!C:C)*1000)^-0.96),POWER(10,4.15*LOG10(_xlfn.XLOOKUP(B26,'Base stats'!B:B,'Base stats'!C:C)*1000)^-0.73))*IF(OR(_xlfn.XLOOKUP(B26,'Base stats'!B:B,'Base stats'!AK:AK)=1,_xlfn.XLOOKUP(B26,'Base stats'!B:B,'Base stats'!AI:AI)=1),0.5,1)/100,0.025),1)))</f>
        <v>0.1</v>
      </c>
      <c r="CA26" s="25" t="str">
        <f>IF(P26="Standard","No",MAX(0.01,IF(_xlfn.XLOOKUP(B26,'Base stats'!B:B,'Base stats'!N:N)=0,MROUND(BZ26*P26,0.05),MIN(1,MAX(0.025,MROUND(IF(OR(CC26="true",AND(BJ26="false",BO26="false")),POWER(10,4.15*LOG10(_xlfn.XLOOKUP(B26,'Base stats'!B:B,'Base stats'!C:C)*1000)^-0.73),POWER(10,3.47*LOG10(_xlfn.XLOOKUP(B26,'Base stats'!B:B,'Base stats'!C:C)*1000)^-0.96))*IF(_xlfn.XLOOKUP(B26,'Base stats'!B:B,'Base stats'!AI:AI)=1,0.5,1)/100,0.025))))))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118</v>
      </c>
      <c r="C27" s="28" t="s">
        <v>714</v>
      </c>
      <c r="D27" s="28" t="s">
        <v>45</v>
      </c>
      <c r="E27" s="28" t="s">
        <v>685</v>
      </c>
      <c r="F27" s="28" t="s">
        <v>685</v>
      </c>
      <c r="G27" s="28" t="s">
        <v>685</v>
      </c>
      <c r="H27" s="2">
        <f>MROUND((
  (IF(AND(_xlfn.XLOOKUP(B27,'Base stats'!B:B,'Base stats'!AJ:AJ)=0,BI27="None",_xlfn.XLOOKUP(_xlfn.XLOOKUP(B27,'Base stats'!B:B,'Base stats'!E:E),Groups!A:A,Groups!B:B)=0), (18 + BR27 * 2.7) * 0.5,
    IF(AND(_xlfn.XLOOKUP(B27,'Base stats'!B:B,'Base stats'!AJ:AJ)=0,OR(AO27&lt;0.55,AND(BI27="Intermediate",_xlfn.XLOOKUP(_xlfn.XLOOKUP(B27,'Base stats'!B:B,'Base stats'!E:E),Groups!A:A,Groups!B:B)&lt;2))), (18 + BR27 * 2.7),
      IF(OR(BI27="Advanced",_xlfn.XLOOKUP(B27,'Base stats'!B:B,'Base stats'!AJ:AJ)=1,_xlfn.XLOOKUP(_xlfn.XLOOKUP(B27,'Base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3350</v>
      </c>
      <c r="I27" s="2">
        <f>MROUND(ROUNDDOWN(_xlfn.XLOOKUP(B27,'Base stats'!B:B,'Base stats'!L:L)/3.6/(23.3/11),1),0.5)</f>
        <v>4.5</v>
      </c>
      <c r="J27" s="2">
        <f>IF(_xlfn.XLOOKUP(_xlfn.XLOOKUP(B27,'Base stats'!B:B,'Base stats'!E:E),Groups!A:A,Groups!C:C)="Untamable",1,IF(_xlfn.XLOOKUP(B27,'Base stats'!B:B,'Base stats'!AJ:AJ)=1,0.99,MIN(MROUND((1-0.6282*EXP(-0.459*AO27))*_xlfn.XLOOKUP(_xlfn.XLOOKUP(B27,'Base stats'!B:B,'Base stats'!E:E),Groups!A:A,Groups!C:C)*IF(_xlfn.XLOOKUP(B27,'Base stats'!B:B,'Base stats'!O:O)=1,0.5,IF(_xlfn.XLOOKUP(B27,'Base stats'!B:B,'Base stats'!O:O)=2,0,1)),0.05),0.985)))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IF(_xlfn.XLOOKUP(_xlfn.XLOOKUP(B27,'Base stats'!B:B,'Base stats'!E:E),Groups!A:A,Groups!L:L)=1,MIN(MROUND(_xlfn.XLOOKUP(B27,'Animals CE'!B:B,'Animals CE'!Z:Z)/2+0.05,0.05),200%),"No")</f>
        <v>1.1500000000000001</v>
      </c>
      <c r="O27" s="8">
        <f>IF(_xlfn.XLOOKUP(_xlfn.XLOOKUP(B27,'Base stats'!B:B,'Base stats'!E:E),Groups!A:A,Groups!L:L)=1,MIN(MROUND(_xlfn.XLOOKUP(B27,'Animals CE'!B:B,'Animals CE'!AA:AA)/2+0.05,0.05),200%),"No")</f>
        <v>1.1500000000000001</v>
      </c>
      <c r="P27" s="2">
        <f>_xlfn.XLOOKUP(B27,'Base stats'!B:B,'Base stats'!R:R)</f>
        <v>1</v>
      </c>
      <c r="Q27" s="13">
        <f>MROUND((LOG10(_xlfn.XLOOKUP(B27,'Base stats'!B:B,'Base stats'!AP:AP))*(AO27^0.5)+(_xlfn.XLOOKUP(B27,'Base stats'!B:B,'Base stats'!AP:AP)/1000)^(2/3)+_xlfn.XLOOKUP(B27,'Base stats'!B:B,'Base stats'!AY:AY)/2)+0.5,0.5)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stats'!AQ:AQ))*(AO27^0.5)+(_xlfn.XLOOKUP(B27,'Base stats'!B:B,'Base stats'!AQ:AQ)/1000)^(2/3)+_xlfn.XLOOKUP(B27,'Base stats'!B:B,'Base stats'!AY:AY))+_xlfn.XLOOKUP(B27,'Base stats'!B:B,'Base stats'!AW:AW)+0.5,0.5))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stats'!AS:AS))*(AO27^0.5)+(_xlfn.XLOOKUP(B27,'Base stats'!B:B,'Base stats'!AS:AS)/1000)^(2/3)+_xlfn.XLOOKUP(B27,'Base stats'!B:B,'Base stats'!AX:AX))+0.5+IF(_xlfn.XLOOKUP(_xlfn.XLOOKUP(B27,'Base stats'!B:B,'Base stats'!E:E),Groups!A:A,Groups!U:U)&lt;&gt;3,_xlfn.XLOOKUP(B27,'Base stats'!B:B,'Base stats'!AY:AY),0),0.5))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stats'!AR:AR)="No","No",MROUND((LOG10(_xlfn.XLOOKUP(B27,'Base stats'!B:B,'Base stats'!AR:AR))*(AO27^0.75)+(_xlfn.XLOOKUP(B27,'Base stats'!B:B,'Base stats'!AR:AR)/1000)^(2/3)+_xlfn.XLOOKUP(B27,'Base stats'!B:B,'Base stats'!AV:AV)+_xlfn.XLOOKUP(B27,'Base stats'!B:B,'Base stats'!AY:AY))+0.5,0.5))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stats'!AQ:AQ))*(AO27^0.75)+(_xlfn.XLOOKUP(B27,'Base stats'!B:B,'Base stats'!AQ:AQ)/1000)^(2/3)+_xlfn.XLOOKUP(B27,'Base stats'!B:B,'Base stats'!AW:AW)+_xlfn.XLOOKUP(B27,'Base stats'!B:B,'Base stats'!AY:AY))+0.5,0.5))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1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IFERROR(IF(_xlfn.XLOOKUP(B27,'Base stats'!B:B,'Base stats'!F:F)="Lay eggs","Lay eggs",MIN(20,MAX(5.5,ROUND(((_xlfn.XLOOKUP(B27,'Base stats'!B:B,'Base stats'!F:F)-25)*(14.5/615) + 5.5)*2,0)/2))),"Cannot breed")</f>
        <v>20</v>
      </c>
      <c r="AT27" s="8">
        <f>IF(OR(A27="Queen",A27="Larva",A27="Megachicken",A27="Megatardi",A27="Toxscorpion"),"No",IFERROR(MAX(IF(_xlfn.XLOOKUP(B27,'Base stats'!B:B,'Base stats'!G:G)&lt;0.5,0.2,0.3),MROUND(_xlfn.XLOOKUP(B27,'Base stats'!B:B,'Base stats'!G:G)/(365/60),0.2)),"Unknown"))</f>
        <v>2</v>
      </c>
      <c r="AU27" s="8">
        <f t="shared" si="0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_xlfn.XLOOKUP(B27,'Base stats'!B:B,'Base stats'!AF:AF)</f>
        <v>No</v>
      </c>
      <c r="BB27" s="2" t="str">
        <f>_xlfn.XLOOKUP(B27,'Base stats'!B:B,'Base stats'!AE:AE)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stats'!Z:Z)=0),0,IF(OR(_xlfn.XLOOKUP(Animals!B27,'Base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stats'!AA:AA),0.005))</f>
        <v>0</v>
      </c>
      <c r="BE27" s="23">
        <f>MIN(1,MROUND(IF(AND(AO27&lt;0.5,_xlfn.XLOOKUP(B27,'Base stats'!B:B,'Base stats'!Z:Z)=0),0,IF(_xlfn.XLOOKUP(_xlfn.XLOOKUP(B27,'Base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stats'!AB:AB),0.005))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stats'!AL:AL)="Standard","No",MROUND((_xlfn.XLOOKUP(B27,'Base stats'!B:B,'Base stats'!AL:AL)/3.6)/I27,0.1))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stats'!AC:AC)&lt;&gt;"No",_xlfn.XLOOKUP(B27,'Base stats'!B:B,'Base stats'!AC:AC),"")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stats'!AC:AC)&lt;&gt;"No",_xlfn.XLOOKUP(B27,'Base stats'!B:B,'Base stats'!AC:AC),"")
  )
)</f>
        <v>ThrumboRoar</v>
      </c>
      <c r="BQ27" s="25" t="str">
        <f>IF(
   AND(
      'Base stats'!AL27="Standard",_xlfn.XLOOKUP(_xlfn.XLOOKUP(B27,'Base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stats'!AT:AT) * 1.8) * 2) * 2.5 + 10 + I27 * 2,5)+IF(_xlfn.XLOOKUP(B27,'Base stats'!B:B,'Base stats'!AI:AI)=1,50,0)</f>
        <v>1125</v>
      </c>
      <c r="BS27" s="8">
        <f t="shared" si="5"/>
        <v>3.4000000000000004</v>
      </c>
      <c r="BT27" s="8" t="str">
        <f>_xlfn.XLOOKUP(B27,'Base stats'!B:B,'Base stats'!AD:AD)</f>
        <v>1~6</v>
      </c>
      <c r="BU27" s="2" t="str">
        <f>IF(AND(J27&lt;=0.95,OR(_xlfn.XLOOKUP(B27,'Base stats'!B:B,'Base stats'!AI:AI)=1,_xlfn.XLOOKUP(B27,'Base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stats'!AG:AG)=1,"true","false")</f>
        <v>false</v>
      </c>
      <c r="BW27" s="25" t="str">
        <f>IF(E27="BaseInsect","AnimalInsect",
IF(J27&gt;0.95,"AnimalExotic",
_xlfn.TEXTJOIN(", ",TRUE,
IF(OR(_xlfn.XLOOKUP(B27,'Base stats'!B:B,'Base stats'!AK:AK)=1,AND(_xlfn.XLOOKUP(B27,'Base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stats'!AI:AI)=1,AND(BI27&lt;&gt;"None",BR27&gt;=60),ISNUMBER(SEARCH("Attack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stats'!AH:AH)=1,"true","false")</f>
        <v>false</v>
      </c>
      <c r="BZ27" s="25">
        <f>IF(_xlfn.XLOOKUP(B27,'Base stats'!B:B,'Base stats'!N:N)=1,"No",MAX(0.01,MIN(MROUND(IF(OR(_xlfn.XLOOKUP(B27,'Base stats'!B:B,'Base stats'!AK:AK)=1,AND(BJ27="True",CC27="False")),POWER(10,3.47*LOG10(_xlfn.XLOOKUP(B27,'Base stats'!B:B,'Base stats'!C:C)*1000)^-0.96),POWER(10,4.15*LOG10(_xlfn.XLOOKUP(B27,'Base stats'!B:B,'Base stats'!C:C)*1000)^-0.73))*IF(OR(_xlfn.XLOOKUP(B27,'Base stats'!B:B,'Base stats'!AK:AK)=1,_xlfn.XLOOKUP(B27,'Base stats'!B:B,'Base stats'!AI:AI)=1),0.5,1)/100,0.025),1)))</f>
        <v>2.5000000000000001E-2</v>
      </c>
      <c r="CA27" s="25">
        <f>IF(P27="Standard","No",MAX(0.01,IF(_xlfn.XLOOKUP(B27,'Base stats'!B:B,'Base stats'!N:N)=0,MROUND(BZ27*P27,0.05),MIN(1,MAX(0.025,MROUND(IF(OR(CC27="true",AND(BJ27="false",BO27="false")),POWER(10,4.15*LOG10(_xlfn.XLOOKUP(B27,'Base stats'!B:B,'Base stats'!C:C)*1000)^-0.73),POWER(10,3.47*LOG10(_xlfn.XLOOKUP(B27,'Base stats'!B:B,'Base stats'!C:C)*1000)^-0.96))*IF(_xlfn.XLOOKUP(B27,'Base stats'!B:B,'Base stats'!AI:AI)=1,0.5,1)/100,0.025))))))</f>
        <v>0.05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False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170</v>
      </c>
      <c r="C28" s="28" t="s">
        <v>715</v>
      </c>
      <c r="D28" s="28" t="s">
        <v>45</v>
      </c>
      <c r="E28" s="28" t="s">
        <v>685</v>
      </c>
      <c r="F28" s="28" t="s">
        <v>685</v>
      </c>
      <c r="G28" s="28" t="s">
        <v>685</v>
      </c>
      <c r="H28" s="2">
        <f>MROUND((
  (IF(AND(_xlfn.XLOOKUP(B28,'Base stats'!B:B,'Base stats'!AJ:AJ)=0,BI28="None",_xlfn.XLOOKUP(_xlfn.XLOOKUP(B28,'Base stats'!B:B,'Base stats'!E:E),Groups!A:A,Groups!B:B)=0), (18 + BR28 * 2.7) * 0.5,
    IF(AND(_xlfn.XLOOKUP(B28,'Base stats'!B:B,'Base stats'!AJ:AJ)=0,OR(AO28&lt;0.55,AND(BI28="Intermediate",_xlfn.XLOOKUP(_xlfn.XLOOKUP(B28,'Base stats'!B:B,'Base stats'!E:E),Groups!A:A,Groups!B:B)&lt;2))), (18 + BR28 * 2.7),
      IF(OR(BI28="Advanced",_xlfn.XLOOKUP(B28,'Base stats'!B:B,'Base stats'!AJ:AJ)=1,_xlfn.XLOOKUP(_xlfn.XLOOKUP(B28,'Base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IF(_xlfn.XLOOKUP(_xlfn.XLOOKUP(B28,'Base stats'!B:B,'Base stats'!E:E),Groups!A:A,Groups!C:C)="Untamable",1,IF(_xlfn.XLOOKUP(B28,'Base stats'!B:B,'Base stats'!AJ:AJ)=1,0.99,MIN(MROUND((1-0.6282*EXP(-0.459*AO28))*_xlfn.XLOOKUP(_xlfn.XLOOKUP(B28,'Base stats'!B:B,'Base stats'!E:E),Groups!A:A,Groups!C:C)*IF(_xlfn.XLOOKUP(B28,'Base stats'!B:B,'Base stats'!O:O)=1,0.5,IF(_xlfn.XLOOKUP(B28,'Base stats'!B:B,'Base stats'!O:O)=2,0,1)),0.05),0.985)))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IF(_xlfn.XLOOKUP(_xlfn.XLOOKUP(B28,'Base stats'!B:B,'Base stats'!E:E),Groups!A:A,Groups!L:L)=1,MIN(MROUND(_xlfn.XLOOKUP(B28,'Animals CE'!B:B,'Animals CE'!Z:Z)/2+0.05,0.05),200%),"No")</f>
        <v>0.2</v>
      </c>
      <c r="O28" s="8">
        <f>IF(_xlfn.XLOOKUP(_xlfn.XLOOKUP(B28,'Base stats'!B:B,'Base stats'!E:E),Groups!A:A,Groups!L:L)=1,MIN(MROUND(_xlfn.XLOOKUP(B28,'Animals CE'!B:B,'Animals CE'!AA:AA)/2+0.05,0.05),200%),"No")</f>
        <v>0.25</v>
      </c>
      <c r="P28" s="2" t="str">
        <f>_xlfn.XLOOKUP(B28,'Base stats'!B:B,'Base stats'!R:R)</f>
        <v>Standard</v>
      </c>
      <c r="Q28" s="13">
        <f>MROUND((LOG10(_xlfn.XLOOKUP(B28,'Base stats'!B:B,'Base stats'!AP:AP))*(AO28^0.5)+(_xlfn.XLOOKUP(B28,'Base stats'!B:B,'Base stats'!AP:AP)/1000)^(2/3)+_xlfn.XLOOKUP(B28,'Base stats'!B:B,'Base stats'!AY:AY)/2)+0.5,0.5)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stats'!AQ:AQ))*(AO28^0.5)+(_xlfn.XLOOKUP(B28,'Base stats'!B:B,'Base stats'!AQ:AQ)/1000)^(2/3)+_xlfn.XLOOKUP(B28,'Base stats'!B:B,'Base stats'!AY:AY))+_xlfn.XLOOKUP(B28,'Base stats'!B:B,'Base stats'!AW:AW)+0.5,0.5))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stats'!AS:AS))*(AO28^0.5)+(_xlfn.XLOOKUP(B28,'Base stats'!B:B,'Base stats'!AS:AS)/1000)^(2/3)+_xlfn.XLOOKUP(B28,'Base stats'!B:B,'Base stats'!AX:AX))+0.5+IF(_xlfn.XLOOKUP(_xlfn.XLOOKUP(B28,'Base stats'!B:B,'Base stats'!E:E),Groups!A:A,Groups!U:U)&lt;&gt;3,_xlfn.XLOOKUP(B28,'Base stats'!B:B,'Base stats'!AY:AY),0),0.5))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stats'!AR:AR)="No","No",MROUND((LOG10(_xlfn.XLOOKUP(B28,'Base stats'!B:B,'Base stats'!AR:AR))*(AO28^0.75)+(_xlfn.XLOOKUP(B28,'Base stats'!B:B,'Base stats'!AR:AR)/1000)^(2/3)+_xlfn.XLOOKUP(B28,'Base stats'!B:B,'Base stats'!AV:AV)+_xlfn.XLOOKUP(B28,'Base stats'!B:B,'Base stats'!AY:AY))+0.5,0.5))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stats'!AQ:AQ))*(AO28^0.75)+(_xlfn.XLOOKUP(B28,'Base stats'!B:B,'Base stats'!AQ:AQ)/1000)^(2/3)+_xlfn.XLOOKUP(B28,'Base stats'!B:B,'Base stats'!AW:AW)+_xlfn.XLOOKUP(B28,'Base stats'!B:B,'Base stats'!AY:AY))+0.5,0.5))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FrontRightPaw,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1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IFERROR(IF(_xlfn.XLOOKUP(B28,'Base stats'!B:B,'Base stats'!F:F)="Lay eggs","Lay eggs",MIN(20,MAX(5.5,ROUND(((_xlfn.XLOOKUP(B28,'Base stats'!B:B,'Base stats'!F:F)-25)*(14.5/615) + 5.5)*2,0)/2))),"Cannot breed")</f>
        <v>15.5</v>
      </c>
      <c r="AT28" s="8">
        <f>IF(OR(A28="Queen",A28="Larva",A28="Megachicken",A28="Megatardi",A28="Toxscorpion"),"No",IFERROR(MAX(IF(_xlfn.XLOOKUP(B28,'Base stats'!B:B,'Base stats'!G:G)&lt;0.5,0.2,0.3),MROUND(_xlfn.XLOOKUP(B28,'Base stats'!B:B,'Base stats'!G:G)/(365/60),0.2)),"Unknown"))</f>
        <v>1.6</v>
      </c>
      <c r="AU28" s="8">
        <f t="shared" si="0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_xlfn.XLOOKUP(B28,'Base stats'!B:B,'Base stats'!AF:AF)</f>
        <v>No</v>
      </c>
      <c r="BB28" s="2" t="str">
        <f>_xlfn.XLOOKUP(B28,'Base stats'!B:B,'Base stats'!AE:AE)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stats'!Z:Z)=0),0,IF(OR(_xlfn.XLOOKUP(Animals!B28,'Base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stats'!AA:AA),0.005))</f>
        <v>0.05</v>
      </c>
      <c r="BE28" s="23">
        <f>MIN(1,MROUND(IF(AND(AO28&lt;0.5,_xlfn.XLOOKUP(B28,'Base stats'!B:B,'Base stats'!Z:Z)=0),0,IF(_xlfn.XLOOKUP(_xlfn.XLOOKUP(B28,'Base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stats'!AB:AB),0.005))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stats'!AL:AL)="Standard","No",MROUND((_xlfn.XLOOKUP(B28,'Base stats'!B:B,'Base stats'!AL:AL)/3.6)/I28,0.1))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stats'!AC:AC)&lt;&gt;"No",_xlfn.XLOOKUP(B28,'Base stats'!B:B,'Base stats'!AC:AC),"")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stats'!AC:AC)&lt;&gt;"No",_xlfn.XLOOKUP(B28,'Base stats'!B:B,'Base stats'!AC:AC),"")
  )
)</f>
        <v>Dig</v>
      </c>
      <c r="BQ28" s="25" t="str">
        <f>IF(
   AND(
      'Base stats'!AL28="Standard",_xlfn.XLOOKUP(_xlfn.XLOOKUP(B28,'Base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stats'!AT:AT) * 1.8) * 2) * 2.5 + 10 + I28 * 2,5)+IF(_xlfn.XLOOKUP(B28,'Base stats'!B:B,'Base stats'!AI:AI)=1,50,0)</f>
        <v>710</v>
      </c>
      <c r="BS28" s="8">
        <f t="shared" si="5"/>
        <v>3.0500000000000003</v>
      </c>
      <c r="BT28" s="8" t="str">
        <f>_xlfn.XLOOKUP(B28,'Base stats'!B:B,'Base stats'!AD:AD)</f>
        <v>No</v>
      </c>
      <c r="BU28" s="2" t="str">
        <f>IF(AND(J28&lt;=0.95,OR(_xlfn.XLOOKUP(B28,'Base stats'!B:B,'Base stats'!AI:AI)=1,_xlfn.XLOOKUP(B28,'Base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stats'!AG:AG)=1,"true","false")</f>
        <v>false</v>
      </c>
      <c r="BW28" s="25" t="str">
        <f>IF(E28="BaseInsect","AnimalInsect",
IF(J28&gt;0.95,"AnimalExotic",
_xlfn.TEXTJOIN(", ",TRUE,
IF(OR(_xlfn.XLOOKUP(B28,'Base stats'!B:B,'Base stats'!AK:AK)=1,AND(_xlfn.XLOOKUP(B28,'Base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stats'!AI:AI)=1,AND(BI28&lt;&gt;"None",BR28&gt;=60),ISNUMBER(SEARCH("Attack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stats'!AH:AH)=1,"true","false")</f>
        <v>false</v>
      </c>
      <c r="BZ28" s="25">
        <f>IF(_xlfn.XLOOKUP(B28,'Base stats'!B:B,'Base stats'!N:N)=1,"No",MAX(0.01,MIN(MROUND(IF(OR(_xlfn.XLOOKUP(B28,'Base stats'!B:B,'Base stats'!AK:AK)=1,AND(BJ28="True",CC28="False")),POWER(10,3.47*LOG10(_xlfn.XLOOKUP(B28,'Base stats'!B:B,'Base stats'!C:C)*1000)^-0.96),POWER(10,4.15*LOG10(_xlfn.XLOOKUP(B28,'Base stats'!B:B,'Base stats'!C:C)*1000)^-0.73))*IF(OR(_xlfn.XLOOKUP(B28,'Base stats'!B:B,'Base stats'!AK:AK)=1,_xlfn.XLOOKUP(B28,'Base stats'!B:B,'Base stats'!AI:AI)=1),0.5,1)/100,0.025),1)))</f>
        <v>0.1</v>
      </c>
      <c r="CA28" s="25" t="str">
        <f>IF(P28="Standard","No",MAX(0.01,IF(_xlfn.XLOOKUP(B28,'Base stats'!B:B,'Base stats'!N:N)=0,MROUND(BZ28*P28,0.05),MIN(1,MAX(0.025,MROUND(IF(OR(CC28="true",AND(BJ28="false",BO28="false")),POWER(10,4.15*LOG10(_xlfn.XLOOKUP(B28,'Base stats'!B:B,'Base stats'!C:C)*1000)^-0.73),POWER(10,3.47*LOG10(_xlfn.XLOOKUP(B28,'Base stats'!B:B,'Base stats'!C:C)*1000)^-0.96))*IF(_xlfn.XLOOKUP(B28,'Base stats'!B:B,'Base stats'!AI:AI)=1,0.5,1)/100,0.025))))))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108</v>
      </c>
      <c r="C29" s="28" t="s">
        <v>716</v>
      </c>
      <c r="D29" s="28" t="s">
        <v>45</v>
      </c>
      <c r="E29" s="28" t="s">
        <v>685</v>
      </c>
      <c r="F29" s="28" t="s">
        <v>685</v>
      </c>
      <c r="G29" s="28" t="s">
        <v>685</v>
      </c>
      <c r="H29" s="2">
        <f>MROUND((
  (IF(AND(_xlfn.XLOOKUP(B29,'Base stats'!B:B,'Base stats'!AJ:AJ)=0,BI29="None",_xlfn.XLOOKUP(_xlfn.XLOOKUP(B29,'Base stats'!B:B,'Base stats'!E:E),Groups!A:A,Groups!B:B)=0), (18 + BR29 * 2.7) * 0.5,
    IF(AND(_xlfn.XLOOKUP(B29,'Base stats'!B:B,'Base stats'!AJ:AJ)=0,OR(AO29&lt;0.55,AND(BI29="Intermediate",_xlfn.XLOOKUP(_xlfn.XLOOKUP(B29,'Base stats'!B:B,'Base stats'!E:E),Groups!A:A,Groups!B:B)&lt;2))), (18 + BR29 * 2.7),
      IF(OR(BI29="Advanced",_xlfn.XLOOKUP(B29,'Base stats'!B:B,'Base stats'!AJ:AJ)=1,_xlfn.XLOOKUP(_xlfn.XLOOKUP(B29,'Base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IF(_xlfn.XLOOKUP(_xlfn.XLOOKUP(B29,'Base stats'!B:B,'Base stats'!E:E),Groups!A:A,Groups!C:C)="Untamable",1,IF(_xlfn.XLOOKUP(B29,'Base stats'!B:B,'Base stats'!AJ:AJ)=1,0.99,MIN(MROUND((1-0.6282*EXP(-0.459*AO29))*_xlfn.XLOOKUP(_xlfn.XLOOKUP(B29,'Base stats'!B:B,'Base stats'!E:E),Groups!A:A,Groups!C:C)*IF(_xlfn.XLOOKUP(B29,'Base stats'!B:B,'Base stats'!O:O)=1,0.5,IF(_xlfn.XLOOKUP(B29,'Base stats'!B:B,'Base stats'!O:O)=2,0,1)),0.05),0.985)))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IF(_xlfn.XLOOKUP(_xlfn.XLOOKUP(B29,'Base stats'!B:B,'Base stats'!E:E),Groups!A:A,Groups!L:L)=1,MIN(MROUND(_xlfn.XLOOKUP(B29,'Animals CE'!B:B,'Animals CE'!Z:Z)/2+0.05,0.05),200%),"No")</f>
        <v>No</v>
      </c>
      <c r="O29" s="8" t="str">
        <f>IF(_xlfn.XLOOKUP(_xlfn.XLOOKUP(B29,'Base stats'!B:B,'Base stats'!E:E),Groups!A:A,Groups!L:L)=1,MIN(MROUND(_xlfn.XLOOKUP(B29,'Animals CE'!B:B,'Animals CE'!AA:AA)/2+0.05,0.05),200%),"No")</f>
        <v>No</v>
      </c>
      <c r="P29" s="2">
        <f>_xlfn.XLOOKUP(B29,'Base stats'!B:B,'Base stats'!R:R)</f>
        <v>0.8</v>
      </c>
      <c r="Q29" s="13">
        <f>MROUND((LOG10(_xlfn.XLOOKUP(B29,'Base stats'!B:B,'Base stats'!AP:AP))*(AO29^0.5)+(_xlfn.XLOOKUP(B29,'Base stats'!B:B,'Base stats'!AP:AP)/1000)^(2/3)+_xlfn.XLOOKUP(B29,'Base stats'!B:B,'Base stats'!AY:AY)/2)+0.5,0.5)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stats'!AQ:AQ))*(AO29^0.5)+(_xlfn.XLOOKUP(B29,'Base stats'!B:B,'Base stats'!AQ:AQ)/1000)^(2/3)+_xlfn.XLOOKUP(B29,'Base stats'!B:B,'Base stats'!AY:AY))+_xlfn.XLOOKUP(B29,'Base stats'!B:B,'Base stats'!AW:AW)+0.5,0.5))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stats'!AS:AS))*(AO29^0.5)+(_xlfn.XLOOKUP(B29,'Base stats'!B:B,'Base stats'!AS:AS)/1000)^(2/3)+_xlfn.XLOOKUP(B29,'Base stats'!B:B,'Base stats'!AX:AX))+0.5+IF(_xlfn.XLOOKUP(_xlfn.XLOOKUP(B29,'Base stats'!B:B,'Base stats'!E:E),Groups!A:A,Groups!U:U)&lt;&gt;3,_xlfn.XLOOKUP(B29,'Base stats'!B:B,'Base stats'!AY:AY),0),0.5))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stats'!AR:AR)="No","No",MROUND((LOG10(_xlfn.XLOOKUP(B29,'Base stats'!B:B,'Base stats'!AR:AR))*(AO29^0.75)+(_xlfn.XLOOKUP(B29,'Base stats'!B:B,'Base stats'!AR:AR)/1000)^(2/3)+_xlfn.XLOOKUP(B29,'Base stats'!B:B,'Base stats'!AV:AV)+_xlfn.XLOOKUP(B29,'Base stats'!B:B,'Base stats'!AY:AY))+0.5,0.5))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stats'!AQ:AQ))*(AO29^0.75)+(_xlfn.XLOOKUP(B29,'Base stats'!B:B,'Base stats'!AQ:AQ)/1000)^(2/3)+_xlfn.XLOOKUP(B29,'Base stats'!B:B,'Base stats'!AW:AW)+_xlfn.XLOOKUP(B29,'Base stats'!B:B,'Base stats'!AY:AY))+0.5,0.5))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1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IFERROR(IF(_xlfn.XLOOKUP(B29,'Base stats'!B:B,'Base stats'!F:F)="Lay eggs","Lay eggs",MIN(20,MAX(5.5,ROUND(((_xlfn.XLOOKUP(B29,'Base stats'!B:B,'Base stats'!F:F)-25)*(14.5/615) + 5.5)*2,0)/2))),"Cannot breed")</f>
        <v>7.5</v>
      </c>
      <c r="AT29" s="8">
        <f>IF(OR(A29="Queen",A29="Larva",A29="Megachicken",A29="Megatardi",A29="Toxscorpion"),"No",IFERROR(MAX(IF(_xlfn.XLOOKUP(B29,'Base stats'!B:B,'Base stats'!G:G)&lt;0.5,0.2,0.3),MROUND(_xlfn.XLOOKUP(B29,'Base stats'!B:B,'Base stats'!G:G)/(365/60),0.2)),"Unknown"))</f>
        <v>0.3</v>
      </c>
      <c r="AU29" s="8">
        <f t="shared" si="0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_xlfn.XLOOKUP(B29,'Base stats'!B:B,'Base stats'!AF:AF)</f>
        <v>&lt;li&gt;Pig&lt;/li&gt;</v>
      </c>
      <c r="BB29" s="2" t="str">
        <f>_xlfn.XLOOKUP(B29,'Base stats'!B:B,'Base stats'!AE:AE)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stats'!Z:Z)=0),0,IF(OR(_xlfn.XLOOKUP(Animals!B29,'Base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stats'!AA:AA),0.005))</f>
        <v>2.5000000000000001E-2</v>
      </c>
      <c r="BE29" s="23">
        <f>MIN(1,MROUND(IF(AND(AO29&lt;0.5,_xlfn.XLOOKUP(B29,'Base stats'!B:B,'Base stats'!Z:Z)=0),0,IF(_xlfn.XLOOKUP(_xlfn.XLOOKUP(B29,'Base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stats'!AB:AB),0.005))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stats'!AL:AL)="Standard","No",MROUND((_xlfn.XLOOKUP(B29,'Base stats'!B:B,'Base stats'!AL:AL)/3.6)/I29,0.1))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stats'!AC:AC)&lt;&gt;"No",_xlfn.XLOOKUP(B29,'Base stats'!B:B,'Base stats'!AC:AC),"")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stats'!AC:AC)&lt;&gt;"No",_xlfn.XLOOKUP(B29,'Base stats'!B:B,'Base stats'!AC:AC),"")
  )
)</f>
        <v>Forage</v>
      </c>
      <c r="BQ29" s="25" t="str">
        <f>IF(
   AND(
      'Base stats'!AL29="Standard",_xlfn.XLOOKUP(_xlfn.XLOOKUP(B29,'Base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stats'!AT:AT) * 1.8) * 2) * 2.5 + 10 + I29 * 2,5)+IF(_xlfn.XLOOKUP(B29,'Base stats'!B:B,'Base stats'!AI:AI)=1,50,0)</f>
        <v>140</v>
      </c>
      <c r="BS29" s="8">
        <f t="shared" si="5"/>
        <v>0.9</v>
      </c>
      <c r="BT29" s="8" t="str">
        <f>_xlfn.XLOOKUP(B29,'Base stats'!B:B,'Base stats'!AD:AD)</f>
        <v>3~10</v>
      </c>
      <c r="BU29" s="2" t="str">
        <f>IF(AND(J29&lt;=0.95,OR(_xlfn.XLOOKUP(B29,'Base stats'!B:B,'Base stats'!AI:AI)=1,_xlfn.XLOOKUP(B29,'Base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stats'!AG:AG)=1,"true","false")</f>
        <v>false</v>
      </c>
      <c r="BW29" s="25" t="str">
        <f>IF(E29="BaseInsect","AnimalInsect",
IF(J29&gt;0.95,"AnimalExotic",
_xlfn.TEXTJOIN(", ",TRUE,
IF(OR(_xlfn.XLOOKUP(B29,'Base stats'!B:B,'Base stats'!AK:AK)=1,AND(_xlfn.XLOOKUP(B29,'Base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stats'!AI:AI)=1,AND(BI29&lt;&gt;"None",BR29&gt;=60),ISNUMBER(SEARCH("Attack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stats'!AH:AH)=1,"true","false")</f>
        <v>false</v>
      </c>
      <c r="BZ29" s="25">
        <f>IF(_xlfn.XLOOKUP(B29,'Base stats'!B:B,'Base stats'!N:N)=1,"No",MAX(0.01,MIN(MROUND(IF(OR(_xlfn.XLOOKUP(B29,'Base stats'!B:B,'Base stats'!AK:AK)=1,AND(BJ29="True",CC29="False")),POWER(10,3.47*LOG10(_xlfn.XLOOKUP(B29,'Base stats'!B:B,'Base stats'!C:C)*1000)^-0.96),POWER(10,4.15*LOG10(_xlfn.XLOOKUP(B29,'Base stats'!B:B,'Base stats'!C:C)*1000)^-0.73))*IF(OR(_xlfn.XLOOKUP(B29,'Base stats'!B:B,'Base stats'!AK:AK)=1,_xlfn.XLOOKUP(B29,'Base stats'!B:B,'Base stats'!AI:AI)=1),0.5,1)/100,0.025),1)))</f>
        <v>0.17500000000000002</v>
      </c>
      <c r="CA29" s="25">
        <f>IF(P29="Standard","No",MAX(0.01,IF(_xlfn.XLOOKUP(B29,'Base stats'!B:B,'Base stats'!N:N)=0,MROUND(BZ29*P29,0.05),MIN(1,MAX(0.025,MROUND(IF(OR(CC29="true",AND(BJ29="false",BO29="false")),POWER(10,4.15*LOG10(_xlfn.XLOOKUP(B29,'Base stats'!B:B,'Base stats'!C:C)*1000)^-0.73),POWER(10,3.47*LOG10(_xlfn.XLOOKUP(B29,'Base stats'!B:B,'Base stats'!C:C)*1000)^-0.96))*IF(_xlfn.XLOOKUP(B29,'Base stats'!B:B,'Base stats'!AI:AI)=1,0.5,1)/100,0.025))))))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543</v>
      </c>
      <c r="C30" s="28" t="s">
        <v>717</v>
      </c>
      <c r="D30" s="28" t="s">
        <v>45</v>
      </c>
      <c r="E30" s="28" t="s">
        <v>685</v>
      </c>
      <c r="F30" s="28" t="s">
        <v>685</v>
      </c>
      <c r="G30" s="28" t="s">
        <v>685</v>
      </c>
      <c r="H30" s="2">
        <f>MROUND((
  (IF(AND(_xlfn.XLOOKUP(B30,'Base stats'!B:B,'Base stats'!AJ:AJ)=0,BI30="None",_xlfn.XLOOKUP(_xlfn.XLOOKUP(B30,'Base stats'!B:B,'Base stats'!E:E),Groups!A:A,Groups!B:B)=0), (18 + BR30 * 2.7) * 0.5,
    IF(AND(_xlfn.XLOOKUP(B30,'Base stats'!B:B,'Base stats'!AJ:AJ)=0,OR(AO30&lt;0.55,AND(BI30="Intermediate",_xlfn.XLOOKUP(_xlfn.XLOOKUP(B30,'Base stats'!B:B,'Base stats'!E:E),Groups!A:A,Groups!B:B)&lt;2))), (18 + BR30 * 2.7),
      IF(OR(BI30="Advanced",_xlfn.XLOOKUP(B30,'Base stats'!B:B,'Base stats'!AJ:AJ)=1,_xlfn.XLOOKUP(_xlfn.XLOOKUP(B30,'Base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IF(_xlfn.XLOOKUP(_xlfn.XLOOKUP(B30,'Base stats'!B:B,'Base stats'!E:E),Groups!A:A,Groups!C:C)="Untamable",1,IF(_xlfn.XLOOKUP(B30,'Base stats'!B:B,'Base stats'!AJ:AJ)=1,0.99,MIN(MROUND((1-0.6282*EXP(-0.459*AO30))*_xlfn.XLOOKUP(_xlfn.XLOOKUP(B30,'Base stats'!B:B,'Base stats'!E:E),Groups!A:A,Groups!C:C)*IF(_xlfn.XLOOKUP(B30,'Base stats'!B:B,'Base stats'!O:O)=1,0.5,IF(_xlfn.XLOOKUP(B30,'Base stats'!B:B,'Base stats'!O:O)=2,0,1)),0.05),0.985)))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IF(_xlfn.XLOOKUP(_xlfn.XLOOKUP(B30,'Base stats'!B:B,'Base stats'!E:E),Groups!A:A,Groups!L:L)=1,MIN(MROUND(_xlfn.XLOOKUP(B30,'Animals CE'!B:B,'Animals CE'!Z:Z)/2+0.05,0.05),200%),"No")</f>
        <v>No</v>
      </c>
      <c r="O30" s="8" t="str">
        <f>IF(_xlfn.XLOOKUP(_xlfn.XLOOKUP(B30,'Base stats'!B:B,'Base stats'!E:E),Groups!A:A,Groups!L:L)=1,MIN(MROUND(_xlfn.XLOOKUP(B30,'Animals CE'!B:B,'Animals CE'!AA:AA)/2+0.05,0.05),200%),"No")</f>
        <v>No</v>
      </c>
      <c r="P30" s="2" t="str">
        <f>_xlfn.XLOOKUP(B30,'Base stats'!B:B,'Base stats'!R:R)</f>
        <v>Standard</v>
      </c>
      <c r="Q30" s="13">
        <f>MROUND((LOG10(_xlfn.XLOOKUP(B30,'Base stats'!B:B,'Base stats'!AP:AP))*(AO30^0.5)+(_xlfn.XLOOKUP(B30,'Base stats'!B:B,'Base stats'!AP:AP)/1000)^(2/3)+_xlfn.XLOOKUP(B30,'Base stats'!B:B,'Base stats'!AY:AY)/2)+0.5,0.5)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stats'!AQ:AQ))*(AO30^0.5)+(_xlfn.XLOOKUP(B30,'Base stats'!B:B,'Base stats'!AQ:AQ)/1000)^(2/3)+_xlfn.XLOOKUP(B30,'Base stats'!B:B,'Base stats'!AY:AY))+_xlfn.XLOOKUP(B30,'Base stats'!B:B,'Base stats'!AW:AW)+0.5,0.5))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stats'!AS:AS))*(AO30^0.5)+(_xlfn.XLOOKUP(B30,'Base stats'!B:B,'Base stats'!AS:AS)/1000)^(2/3)+_xlfn.XLOOKUP(B30,'Base stats'!B:B,'Base stats'!AX:AX))+0.5+IF(_xlfn.XLOOKUP(_xlfn.XLOOKUP(B30,'Base stats'!B:B,'Base stats'!E:E),Groups!A:A,Groups!U:U)&lt;&gt;3,_xlfn.XLOOKUP(B30,'Base stats'!B:B,'Base stats'!AY:AY),0),0.5))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stats'!AR:AR)="No","No",MROUND((LOG10(_xlfn.XLOOKUP(B30,'Base stats'!B:B,'Base stats'!AR:AR))*(AO30^0.75)+(_xlfn.XLOOKUP(B30,'Base stats'!B:B,'Base stats'!AR:AR)/1000)^(2/3)+_xlfn.XLOOKUP(B30,'Base stats'!B:B,'Base stats'!AV:AV)+_xlfn.XLOOKUP(B30,'Base stats'!B:B,'Base stats'!AY:AY))+0.5,0.5))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stats'!AQ:AQ))*(AO30^0.75)+(_xlfn.XLOOKUP(B30,'Base stats'!B:B,'Base stats'!AQ:AQ)/1000)^(2/3)+_xlfn.XLOOKUP(B30,'Base stats'!B:B,'Base stats'!AW:AW)+_xlfn.XLOOKUP(B30,'Base stats'!B:B,'Base stats'!AY:AY))+0.5,0.5))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1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IFERROR(IF(_xlfn.XLOOKUP(B30,'Base stats'!B:B,'Base stats'!F:F)="Lay eggs","Lay eggs",MIN(20,MAX(5.5,ROUND(((_xlfn.XLOOKUP(B30,'Base stats'!B:B,'Base stats'!F:F)-25)*(14.5/615) + 5.5)*2,0)/2))),"Cannot breed")</f>
        <v>7.5</v>
      </c>
      <c r="AT30" s="8">
        <f>IF(OR(A30="Queen",A30="Larva",A30="Megachicken",A30="Megatardi",A30="Toxscorpion"),"No",IFERROR(MAX(IF(_xlfn.XLOOKUP(B30,'Base stats'!B:B,'Base stats'!G:G)&lt;0.5,0.2,0.3),MROUND(_xlfn.XLOOKUP(B30,'Base stats'!B:B,'Base stats'!G:G)/(365/60),0.2)),"Unknown"))</f>
        <v>0.3</v>
      </c>
      <c r="AU30" s="8">
        <f t="shared" si="0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_xlfn.XLOOKUP(B30,'Base stats'!B:B,'Base stats'!AF:AF)</f>
        <v>No</v>
      </c>
      <c r="BB30" s="2" t="str">
        <f>_xlfn.XLOOKUP(B30,'Base stats'!B:B,'Base stats'!AE:AE)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stats'!Z:Z)=0),0,IF(OR(_xlfn.XLOOKUP(Animals!B30,'Base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stats'!AA:AA),0.005))</f>
        <v>0</v>
      </c>
      <c r="BE30" s="23">
        <f>MIN(1,MROUND(IF(AND(AO30&lt;0.5,_xlfn.XLOOKUP(B30,'Base stats'!B:B,'Base stats'!Z:Z)=0),0,IF(_xlfn.XLOOKUP(_xlfn.XLOOKUP(B30,'Base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stats'!AB:AB),0.005))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stats'!AL:AL)="Standard","No",MROUND((_xlfn.XLOOKUP(B30,'Base stats'!B:B,'Base stats'!AL:AL)/3.6)/I30,0.1))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stats'!AC:AC)&lt;&gt;"No",_xlfn.XLOOKUP(B30,'Base stats'!B:B,'Base stats'!AC:AC),"")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stats'!AC:AC)&lt;&gt;"No",_xlfn.XLOOKUP(B30,'Base stats'!B:B,'Base stats'!AC:AC),"")
  )
)</f>
        <v>Forage</v>
      </c>
      <c r="BQ30" s="25" t="str">
        <f>IF(
   AND(
      'Base stats'!AL30="Standard",_xlfn.XLOOKUP(_xlfn.XLOOKUP(B30,'Base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stats'!AT:AT) * 1.8) * 2) * 2.5 + 10 + I30 * 2,5)+IF(_xlfn.XLOOKUP(B30,'Base stats'!B:B,'Base stats'!AI:AI)=1,50,0)</f>
        <v>145</v>
      </c>
      <c r="BS30" s="8">
        <f t="shared" si="5"/>
        <v>1.2000000000000002</v>
      </c>
      <c r="BT30" s="8" t="str">
        <f>_xlfn.XLOOKUP(B30,'Base stats'!B:B,'Base stats'!AD:AD)</f>
        <v>3~10</v>
      </c>
      <c r="BU30" s="2" t="str">
        <f>IF(AND(J30&lt;=0.95,OR(_xlfn.XLOOKUP(B30,'Base stats'!B:B,'Base stats'!AI:AI)=1,_xlfn.XLOOKUP(B30,'Base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stats'!AG:AG)=1,"true","false")</f>
        <v>false</v>
      </c>
      <c r="BW30" s="25" t="str">
        <f>IF(E30="BaseInsect","AnimalInsect",
IF(J30&gt;0.95,"AnimalExotic",
_xlfn.TEXTJOIN(", ",TRUE,
IF(OR(_xlfn.XLOOKUP(B30,'Base stats'!B:B,'Base stats'!AK:AK)=1,AND(_xlfn.XLOOKUP(B30,'Base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stats'!AI:AI)=1,AND(BI30&lt;&gt;"None",BR30&gt;=60),ISNUMBER(SEARCH("Attack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stats'!AH:AH)=1,"true","false")</f>
        <v>false</v>
      </c>
      <c r="BZ30" s="25">
        <f>IF(_xlfn.XLOOKUP(B30,'Base stats'!B:B,'Base stats'!N:N)=1,"No",MAX(0.01,MIN(MROUND(IF(OR(_xlfn.XLOOKUP(B30,'Base stats'!B:B,'Base stats'!AK:AK)=1,AND(BJ30="True",CC30="False")),POWER(10,3.47*LOG10(_xlfn.XLOOKUP(B30,'Base stats'!B:B,'Base stats'!C:C)*1000)^-0.96),POWER(10,4.15*LOG10(_xlfn.XLOOKUP(B30,'Base stats'!B:B,'Base stats'!C:C)*1000)^-0.73))*IF(OR(_xlfn.XLOOKUP(B30,'Base stats'!B:B,'Base stats'!AK:AK)=1,_xlfn.XLOOKUP(B30,'Base stats'!B:B,'Base stats'!AI:AI)=1),0.5,1)/100,0.025),1)))</f>
        <v>0.15000000000000002</v>
      </c>
      <c r="CA30" s="25" t="str">
        <f>IF(P30="Standard","No",MAX(0.01,IF(_xlfn.XLOOKUP(B30,'Base stats'!B:B,'Base stats'!N:N)=0,MROUND(BZ30*P30,0.05),MIN(1,MAX(0.025,MROUND(IF(OR(CC30="true",AND(BJ30="false",BO30="false")),POWER(10,4.15*LOG10(_xlfn.XLOOKUP(B30,'Base stats'!B:B,'Base stats'!C:C)*1000)^-0.73),POWER(10,3.47*LOG10(_xlfn.XLOOKUP(B30,'Base stats'!B:B,'Base stats'!C:C)*1000)^-0.96))*IF(_xlfn.XLOOKUP(B30,'Base stats'!B:B,'Base stats'!AI:AI)=1,0.5,1)/100,0.025))))))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271</v>
      </c>
      <c r="C31" s="28" t="s">
        <v>718</v>
      </c>
      <c r="D31" s="28" t="s">
        <v>45</v>
      </c>
      <c r="E31" s="28" t="s">
        <v>685</v>
      </c>
      <c r="F31" s="28" t="s">
        <v>685</v>
      </c>
      <c r="G31" s="28" t="s">
        <v>685</v>
      </c>
      <c r="H31" s="2">
        <f>MROUND((
  (IF(AND(_xlfn.XLOOKUP(B31,'Base stats'!B:B,'Base stats'!AJ:AJ)=0,BI31="None",_xlfn.XLOOKUP(_xlfn.XLOOKUP(B31,'Base stats'!B:B,'Base stats'!E:E),Groups!A:A,Groups!B:B)=0), (18 + BR31 * 2.7) * 0.5,
    IF(AND(_xlfn.XLOOKUP(B31,'Base stats'!B:B,'Base stats'!AJ:AJ)=0,OR(AO31&lt;0.55,AND(BI31="Intermediate",_xlfn.XLOOKUP(_xlfn.XLOOKUP(B31,'Base stats'!B:B,'Base stats'!E:E),Groups!A:A,Groups!B:B)&lt;2))), (18 + BR31 * 2.7),
      IF(OR(BI31="Advanced",_xlfn.XLOOKUP(B31,'Base stats'!B:B,'Base stats'!AJ:AJ)=1,_xlfn.XLOOKUP(_xlfn.XLOOKUP(B31,'Base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IF(_xlfn.XLOOKUP(_xlfn.XLOOKUP(B31,'Base stats'!B:B,'Base stats'!E:E),Groups!A:A,Groups!C:C)="Untamable",1,IF(_xlfn.XLOOKUP(B31,'Base stats'!B:B,'Base stats'!AJ:AJ)=1,0.99,MIN(MROUND((1-0.6282*EXP(-0.459*AO31))*_xlfn.XLOOKUP(_xlfn.XLOOKUP(B31,'Base stats'!B:B,'Base stats'!E:E),Groups!A:A,Groups!C:C)*IF(_xlfn.XLOOKUP(B31,'Base stats'!B:B,'Base stats'!O:O)=1,0.5,IF(_xlfn.XLOOKUP(B31,'Base stats'!B:B,'Base stats'!O:O)=2,0,1)),0.05),0.985)))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IF(_xlfn.XLOOKUP(_xlfn.XLOOKUP(B31,'Base stats'!B:B,'Base stats'!E:E),Groups!A:A,Groups!L:L)=1,MIN(MROUND(_xlfn.XLOOKUP(B31,'Animals CE'!B:B,'Animals CE'!Z:Z)/2+0.05,0.05),200%),"No")</f>
        <v>No</v>
      </c>
      <c r="O31" s="8" t="str">
        <f>IF(_xlfn.XLOOKUP(_xlfn.XLOOKUP(B31,'Base stats'!B:B,'Base stats'!E:E),Groups!A:A,Groups!L:L)=1,MIN(MROUND(_xlfn.XLOOKUP(B31,'Animals CE'!B:B,'Animals CE'!AA:AA)/2+0.05,0.05),200%),"No")</f>
        <v>No</v>
      </c>
      <c r="P31" s="2" t="str">
        <f>_xlfn.XLOOKUP(B31,'Base stats'!B:B,'Base stats'!R:R)</f>
        <v>Standard</v>
      </c>
      <c r="Q31" s="13">
        <f>MROUND((LOG10(_xlfn.XLOOKUP(B31,'Base stats'!B:B,'Base stats'!AP:AP))*(AO31^0.5)+(_xlfn.XLOOKUP(B31,'Base stats'!B:B,'Base stats'!AP:AP)/1000)^(2/3)+_xlfn.XLOOKUP(B31,'Base stats'!B:B,'Base stats'!AY:AY)/2)+0.5,0.5)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stats'!AQ:AQ))*(AO31^0.5)+(_xlfn.XLOOKUP(B31,'Base stats'!B:B,'Base stats'!AQ:AQ)/1000)^(2/3)+_xlfn.XLOOKUP(B31,'Base stats'!B:B,'Base stats'!AY:AY))+_xlfn.XLOOKUP(B31,'Base stats'!B:B,'Base stats'!AW:AW)+0.5,0.5))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stats'!AS:AS))*(AO31^0.5)+(_xlfn.XLOOKUP(B31,'Base stats'!B:B,'Base stats'!AS:AS)/1000)^(2/3)+_xlfn.XLOOKUP(B31,'Base stats'!B:B,'Base stats'!AX:AX))+0.5+IF(_xlfn.XLOOKUP(_xlfn.XLOOKUP(B31,'Base stats'!B:B,'Base stats'!E:E),Groups!A:A,Groups!U:U)&lt;&gt;3,_xlfn.XLOOKUP(B31,'Base stats'!B:B,'Base stats'!AY:AY),0),0.5))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stats'!AR:AR)="No","No",MROUND((LOG10(_xlfn.XLOOKUP(B31,'Base stats'!B:B,'Base stats'!AR:AR))*(AO31^0.75)+(_xlfn.XLOOKUP(B31,'Base stats'!B:B,'Base stats'!AR:AR)/1000)^(2/3)+_xlfn.XLOOKUP(B31,'Base stats'!B:B,'Base stats'!AV:AV)+_xlfn.XLOOKUP(B31,'Base stats'!B:B,'Base stats'!AY:AY))+0.5,0.5))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stats'!AQ:AQ))*(AO31^0.75)+(_xlfn.XLOOKUP(B31,'Base stats'!B:B,'Base stats'!AQ:AQ)/1000)^(2/3)+_xlfn.XLOOKUP(B31,'Base stats'!B:B,'Base stats'!AW:AW)+_xlfn.XLOOKUP(B31,'Base stats'!B:B,'Base stats'!AY:AY))+0.5,0.5))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1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IFERROR(IF(_xlfn.XLOOKUP(B31,'Base stats'!B:B,'Base stats'!F:F)="Lay eggs","Lay eggs",MIN(20,MAX(5.5,ROUND(((_xlfn.XLOOKUP(B31,'Base stats'!B:B,'Base stats'!F:F)-25)*(14.5/615) + 5.5)*2,0)/2))),"Cannot breed")</f>
        <v>9</v>
      </c>
      <c r="AT31" s="8">
        <f>IF(OR(A31="Queen",A31="Larva",A31="Megachicken",A31="Megatardi",A31="Toxscorpion"),"No",IFERROR(MAX(IF(_xlfn.XLOOKUP(B31,'Base stats'!B:B,'Base stats'!G:G)&lt;0.5,0.2,0.3),MROUND(_xlfn.XLOOKUP(B31,'Base stats'!B:B,'Base stats'!G:G)/(365/60),0.2)),"Unknown"))</f>
        <v>0.60000000000000009</v>
      </c>
      <c r="AU31" s="8">
        <f t="shared" si="0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_xlfn.XLOOKUP(B31,'Base stats'!B:B,'Base stats'!AF:AF)</f>
        <v>No</v>
      </c>
      <c r="BB31" s="2" t="str">
        <f>_xlfn.XLOOKUP(B31,'Base stats'!B:B,'Base stats'!AE:AE)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stats'!Z:Z)=0),0,IF(OR(_xlfn.XLOOKUP(Animals!B31,'Base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stats'!AA:AA),0.005))</f>
        <v>0</v>
      </c>
      <c r="BE31" s="23">
        <f>MIN(1,MROUND(IF(AND(AO31&lt;0.5,_xlfn.XLOOKUP(B31,'Base stats'!B:B,'Base stats'!Z:Z)=0),0,IF(_xlfn.XLOOKUP(_xlfn.XLOOKUP(B31,'Base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stats'!AB:AB),0.005))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stats'!AL:AL)="Standard","No",MROUND((_xlfn.XLOOKUP(B31,'Base stats'!B:B,'Base stats'!AL:AL)/3.6)/I31,0.1))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stats'!AC:AC)&lt;&gt;"No",_xlfn.XLOOKUP(B31,'Base stats'!B:B,'Base stats'!AC:AC),"")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stats'!AC:AC)&lt;&gt;"No",_xlfn.XLOOKUP(B31,'Base stats'!B:B,'Base stats'!AC:AC),"")
  )
)</f>
        <v>Forage, Comfort, AttackTarget</v>
      </c>
      <c r="BQ31" s="25" t="str">
        <f>IF(
   AND(
      'Base stats'!AL31="Standard",_xlfn.XLOOKUP(_xlfn.XLOOKUP(B31,'Base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stats'!AT:AT) * 1.8) * 2) * 2.5 + 10 + I31 * 2,5)+IF(_xlfn.XLOOKUP(B31,'Base stats'!B:B,'Base stats'!AI:AI)=1,50,0)</f>
        <v>45</v>
      </c>
      <c r="BS31" s="8">
        <f t="shared" si="5"/>
        <v>0.30000000000000004</v>
      </c>
      <c r="BT31" s="8" t="str">
        <f>_xlfn.XLOOKUP(B31,'Base stats'!B:B,'Base stats'!AD:AD)</f>
        <v>5~15</v>
      </c>
      <c r="BU31" s="2" t="str">
        <f>IF(AND(J31&lt;=0.95,OR(_xlfn.XLOOKUP(B31,'Base stats'!B:B,'Base stats'!AI:AI)=1,_xlfn.XLOOKUP(B31,'Base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stats'!AG:AG)=1,"true","false")</f>
        <v>false</v>
      </c>
      <c r="BW31" s="25" t="str">
        <f>IF(E31="BaseInsect","AnimalInsect",
IF(J31&gt;0.95,"AnimalExotic",
_xlfn.TEXTJOIN(", ",TRUE,
IF(OR(_xlfn.XLOOKUP(B31,'Base stats'!B:B,'Base stats'!AK:AK)=1,AND(_xlfn.XLOOKUP(B31,'Base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stats'!AI:AI)=1,AND(BI31&lt;&gt;"None",BR31&gt;=60),ISNUMBER(SEARCH("Attack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stats'!AH:AH)=1,"true","false")</f>
        <v>false</v>
      </c>
      <c r="BZ31" s="25">
        <f>IF(_xlfn.XLOOKUP(B31,'Base stats'!B:B,'Base stats'!N:N)=1,"No",MAX(0.01,MIN(MROUND(IF(OR(_xlfn.XLOOKUP(B31,'Base stats'!B:B,'Base stats'!AK:AK)=1,AND(BJ31="True",CC31="False")),POWER(10,3.47*LOG10(_xlfn.XLOOKUP(B31,'Base stats'!B:B,'Base stats'!C:C)*1000)^-0.96),POWER(10,4.15*LOG10(_xlfn.XLOOKUP(B31,'Base stats'!B:B,'Base stats'!C:C)*1000)^-0.73))*IF(OR(_xlfn.XLOOKUP(B31,'Base stats'!B:B,'Base stats'!AK:AK)=1,_xlfn.XLOOKUP(B31,'Base stats'!B:B,'Base stats'!AI:AI)=1),0.5,1)/100,0.025),1)))</f>
        <v>0.375</v>
      </c>
      <c r="CA31" s="25" t="str">
        <f>IF(P31="Standard","No",MAX(0.01,IF(_xlfn.XLOOKUP(B31,'Base stats'!B:B,'Base stats'!N:N)=0,MROUND(BZ31*P31,0.05),MIN(1,MAX(0.025,MROUND(IF(OR(CC31="true",AND(BJ31="false",BO31="false")),POWER(10,4.15*LOG10(_xlfn.XLOOKUP(B31,'Base stats'!B:B,'Base stats'!C:C)*1000)^-0.73),POWER(10,3.47*LOG10(_xlfn.XLOOKUP(B31,'Base stats'!B:B,'Base stats'!C:C)*1000)^-0.96))*IF(_xlfn.XLOOKUP(B31,'Base stats'!B:B,'Base stats'!AI:AI)=1,0.5,1)/100,0.025))))))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103</v>
      </c>
      <c r="C32" s="28" t="s">
        <v>719</v>
      </c>
      <c r="D32" s="28" t="s">
        <v>45</v>
      </c>
      <c r="E32" s="28" t="s">
        <v>685</v>
      </c>
      <c r="F32" s="28" t="s">
        <v>685</v>
      </c>
      <c r="G32" s="28" t="s">
        <v>685</v>
      </c>
      <c r="H32" s="2">
        <f>MROUND((
  (IF(AND(_xlfn.XLOOKUP(B32,'Base stats'!B:B,'Base stats'!AJ:AJ)=0,BI32="None",_xlfn.XLOOKUP(_xlfn.XLOOKUP(B32,'Base stats'!B:B,'Base stats'!E:E),Groups!A:A,Groups!B:B)=0), (18 + BR32 * 2.7) * 0.5,
    IF(AND(_xlfn.XLOOKUP(B32,'Base stats'!B:B,'Base stats'!AJ:AJ)=0,OR(AO32&lt;0.55,AND(BI32="Intermediate",_xlfn.XLOOKUP(_xlfn.XLOOKUP(B32,'Base stats'!B:B,'Base stats'!E:E),Groups!A:A,Groups!B:B)&lt;2))), (18 + BR32 * 2.7),
      IF(OR(BI32="Advanced",_xlfn.XLOOKUP(B32,'Base stats'!B:B,'Base stats'!AJ:AJ)=1,_xlfn.XLOOKUP(_xlfn.XLOOKUP(B32,'Base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IF(_xlfn.XLOOKUP(_xlfn.XLOOKUP(B32,'Base stats'!B:B,'Base stats'!E:E),Groups!A:A,Groups!C:C)="Untamable",1,IF(_xlfn.XLOOKUP(B32,'Base stats'!B:B,'Base stats'!AJ:AJ)=1,0.99,MIN(MROUND((1-0.6282*EXP(-0.459*AO32))*_xlfn.XLOOKUP(_xlfn.XLOOKUP(B32,'Base stats'!B:B,'Base stats'!E:E),Groups!A:A,Groups!C:C)*IF(_xlfn.XLOOKUP(B32,'Base stats'!B:B,'Base stats'!O:O)=1,0.5,IF(_xlfn.XLOOKUP(B32,'Base stats'!B:B,'Base stats'!O:O)=2,0,1)),0.05),0.985)))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IF(_xlfn.XLOOKUP(_xlfn.XLOOKUP(B32,'Base stats'!B:B,'Base stats'!E:E),Groups!A:A,Groups!L:L)=1,MIN(MROUND(_xlfn.XLOOKUP(B32,'Animals CE'!B:B,'Animals CE'!Z:Z)/2+0.05,0.05),200%),"No")</f>
        <v>No</v>
      </c>
      <c r="O32" s="8" t="str">
        <f>IF(_xlfn.XLOOKUP(_xlfn.XLOOKUP(B32,'Base stats'!B:B,'Base stats'!E:E),Groups!A:A,Groups!L:L)=1,MIN(MROUND(_xlfn.XLOOKUP(B32,'Animals CE'!B:B,'Animals CE'!AA:AA)/2+0.05,0.05),200%),"No")</f>
        <v>No</v>
      </c>
      <c r="P32" s="2">
        <f>_xlfn.XLOOKUP(B32,'Base stats'!B:B,'Base stats'!R:R)</f>
        <v>0.8</v>
      </c>
      <c r="Q32" s="13">
        <f>MROUND((LOG10(_xlfn.XLOOKUP(B32,'Base stats'!B:B,'Base stats'!AP:AP))*(AO32^0.5)+(_xlfn.XLOOKUP(B32,'Base stats'!B:B,'Base stats'!AP:AP)/1000)^(2/3)+_xlfn.XLOOKUP(B32,'Base stats'!B:B,'Base stats'!AY:AY)/2)+0.5,0.5)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stats'!AQ:AQ))*(AO32^0.5)+(_xlfn.XLOOKUP(B32,'Base stats'!B:B,'Base stats'!AQ:AQ)/1000)^(2/3)+_xlfn.XLOOKUP(B32,'Base stats'!B:B,'Base stats'!AY:AY))+_xlfn.XLOOKUP(B32,'Base stats'!B:B,'Base stats'!AW:AW)+0.5,0.5))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stats'!AS:AS))*(AO32^0.5)+(_xlfn.XLOOKUP(B32,'Base stats'!B:B,'Base stats'!AS:AS)/1000)^(2/3)+_xlfn.XLOOKUP(B32,'Base stats'!B:B,'Base stats'!AX:AX))+0.5+IF(_xlfn.XLOOKUP(_xlfn.XLOOKUP(B32,'Base stats'!B:B,'Base stats'!E:E),Groups!A:A,Groups!U:U)&lt;&gt;3,_xlfn.XLOOKUP(B32,'Base stats'!B:B,'Base stats'!AY:AY),0),0.5))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stats'!AR:AR)="No","No",MROUND((LOG10(_xlfn.XLOOKUP(B32,'Base stats'!B:B,'Base stats'!AR:AR))*(AO32^0.75)+(_xlfn.XLOOKUP(B32,'Base stats'!B:B,'Base stats'!AR:AR)/1000)^(2/3)+_xlfn.XLOOKUP(B32,'Base stats'!B:B,'Base stats'!AV:AV)+_xlfn.XLOOKUP(B32,'Base stats'!B:B,'Base stats'!AY:AY))+0.5,0.5))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stats'!AQ:AQ))*(AO32^0.75)+(_xlfn.XLOOKUP(B32,'Base stats'!B:B,'Base stats'!AQ:AQ)/1000)^(2/3)+_xlfn.XLOOKUP(B32,'Base stats'!B:B,'Base stats'!AW:AW)+_xlfn.XLOOKUP(B32,'Base stats'!B:B,'Base stats'!AY:AY))+0.5,0.5))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1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IFERROR(IF(_xlfn.XLOOKUP(B32,'Base stats'!B:B,'Base stats'!F:F)="Lay eggs","Lay eggs",MIN(20,MAX(5.5,ROUND(((_xlfn.XLOOKUP(B32,'Base stats'!B:B,'Base stats'!F:F)-25)*(14.5/615) + 5.5)*2,0)/2))),"Cannot breed")</f>
        <v>Lay eggs</v>
      </c>
      <c r="AT32" s="8">
        <f>IF(OR(A32="Queen",A32="Larva",A32="Megachicken",A32="Megatardi",A32="Toxscorpion"),"No",IFERROR(MAX(IF(_xlfn.XLOOKUP(B32,'Base stats'!B:B,'Base stats'!G:G)&lt;0.5,0.2,0.3),MROUND(_xlfn.XLOOKUP(B32,'Base stats'!B:B,'Base stats'!G:G)/(365/60),0.2)),"Unknown"))</f>
        <v>0.8</v>
      </c>
      <c r="AU32" s="8">
        <f t="shared" si="0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_xlfn.XLOOKUP(B32,'Base stats'!B:B,'Base stats'!AF:AF)</f>
        <v>No</v>
      </c>
      <c r="BB32" s="2" t="str">
        <f>_xlfn.XLOOKUP(B32,'Base stats'!B:B,'Base stats'!AE:AE)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stats'!Z:Z)=0),0,IF(OR(_xlfn.XLOOKUP(Animals!B32,'Base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stats'!AA:AA),0.005))</f>
        <v>0</v>
      </c>
      <c r="BE32" s="23">
        <f>MIN(1,MROUND(IF(AND(AO32&lt;0.5,_xlfn.XLOOKUP(B32,'Base stats'!B:B,'Base stats'!Z:Z)=0),0,IF(_xlfn.XLOOKUP(_xlfn.XLOOKUP(B32,'Base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stats'!AB:AB),0.005))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stats'!AL:AL)="Standard","No",MROUND((_xlfn.XLOOKUP(B32,'Base stats'!B:B,'Base stats'!AL:AL)/3.6)/I32,0.1))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stats'!AC:AC)&lt;&gt;"No",_xlfn.XLOOKUP(B32,'Base stats'!B:B,'Base stats'!AC:AC),"")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stats'!AC:AC)&lt;&gt;"No",_xlfn.XLOOKUP(B32,'Base stats'!B:B,'Base stats'!AC:AC),"")
  )
)</f>
        <v>No</v>
      </c>
      <c r="BQ32" s="25" t="str">
        <f>IF(
   AND(
      'Base stats'!AL32="Standard",_xlfn.XLOOKUP(_xlfn.XLOOKUP(B32,'Base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stats'!AT:AT) * 1.8) * 2) * 2.5 + 10 + I32 * 2,5)+IF(_xlfn.XLOOKUP(B32,'Base stats'!B:B,'Base stats'!AI:AI)=1,50,0)</f>
        <v>35</v>
      </c>
      <c r="BS32" s="8">
        <f t="shared" si="5"/>
        <v>0.1</v>
      </c>
      <c r="BT32" s="8" t="str">
        <f>_xlfn.XLOOKUP(B32,'Base stats'!B:B,'Base stats'!AD:AD)</f>
        <v>No</v>
      </c>
      <c r="BU32" s="2" t="str">
        <f>IF(AND(J32&lt;=0.95,OR(_xlfn.XLOOKUP(B32,'Base stats'!B:B,'Base stats'!AI:AI)=1,_xlfn.XLOOKUP(B32,'Base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stats'!AG:AG)=1,"true","false")</f>
        <v>false</v>
      </c>
      <c r="BW32" s="25" t="str">
        <f>IF(E32="BaseInsect","AnimalInsect",
IF(J32&gt;0.95,"AnimalExotic",
_xlfn.TEXTJOIN(", ",TRUE,
IF(OR(_xlfn.XLOOKUP(B32,'Base stats'!B:B,'Base stats'!AK:AK)=1,AND(_xlfn.XLOOKUP(B32,'Base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stats'!AI:AI)=1,AND(BI32&lt;&gt;"None",BR32&gt;=60),ISNUMBER(SEARCH("Attack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stats'!AH:AH)=1,"true","false")</f>
        <v>false</v>
      </c>
      <c r="BZ32" s="25">
        <f>IF(_xlfn.XLOOKUP(B32,'Base stats'!B:B,'Base stats'!N:N)=1,"No",MAX(0.01,MIN(MROUND(IF(OR(_xlfn.XLOOKUP(B32,'Base stats'!B:B,'Base stats'!AK:AK)=1,AND(BJ32="True",CC32="False")),POWER(10,3.47*LOG10(_xlfn.XLOOKUP(B32,'Base stats'!B:B,'Base stats'!C:C)*1000)^-0.96),POWER(10,4.15*LOG10(_xlfn.XLOOKUP(B32,'Base stats'!B:B,'Base stats'!C:C)*1000)^-0.73))*IF(OR(_xlfn.XLOOKUP(B32,'Base stats'!B:B,'Base stats'!AK:AK)=1,_xlfn.XLOOKUP(B32,'Base stats'!B:B,'Base stats'!AI:AI)=1),0.5,1)/100,0.025),1)))</f>
        <v>0.60000000000000009</v>
      </c>
      <c r="CA32" s="25">
        <f>IF(P32="Standard","No",MAX(0.01,IF(_xlfn.XLOOKUP(B32,'Base stats'!B:B,'Base stats'!N:N)=0,MROUND(BZ32*P32,0.05),MIN(1,MAX(0.025,MROUND(IF(OR(CC32="true",AND(BJ32="false",BO32="false")),POWER(10,4.15*LOG10(_xlfn.XLOOKUP(B32,'Base stats'!B:B,'Base stats'!C:C)*1000)^-0.73),POWER(10,3.47*LOG10(_xlfn.XLOOKUP(B32,'Base stats'!B:B,'Base stats'!C:C)*1000)^-0.96))*IF(_xlfn.XLOOKUP(B32,'Base stats'!B:B,'Base stats'!AI:AI)=1,0.5,1)/100,0.025))))))</f>
        <v>0.5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173</v>
      </c>
      <c r="C33" s="28" t="s">
        <v>720</v>
      </c>
      <c r="D33" s="28" t="s">
        <v>45</v>
      </c>
      <c r="E33" s="28" t="s">
        <v>685</v>
      </c>
      <c r="F33" s="28" t="s">
        <v>685</v>
      </c>
      <c r="G33" s="28" t="s">
        <v>685</v>
      </c>
      <c r="H33" s="2">
        <f>MROUND((
  (IF(AND(_xlfn.XLOOKUP(B33,'Base stats'!B:B,'Base stats'!AJ:AJ)=0,BI33="None",_xlfn.XLOOKUP(_xlfn.XLOOKUP(B33,'Base stats'!B:B,'Base stats'!E:E),Groups!A:A,Groups!B:B)=0), (18 + BR33 * 2.7) * 0.5,
    IF(AND(_xlfn.XLOOKUP(B33,'Base stats'!B:B,'Base stats'!AJ:AJ)=0,OR(AO33&lt;0.55,AND(BI33="Intermediate",_xlfn.XLOOKUP(_xlfn.XLOOKUP(B33,'Base stats'!B:B,'Base stats'!E:E),Groups!A:A,Groups!B:B)&lt;2))), (18 + BR33 * 2.7),
      IF(OR(BI33="Advanced",_xlfn.XLOOKUP(B33,'Base stats'!B:B,'Base stats'!AJ:AJ)=1,_xlfn.XLOOKUP(_xlfn.XLOOKUP(B33,'Base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IF(_xlfn.XLOOKUP(_xlfn.XLOOKUP(B33,'Base stats'!B:B,'Base stats'!E:E),Groups!A:A,Groups!C:C)="Untamable",1,IF(_xlfn.XLOOKUP(B33,'Base stats'!B:B,'Base stats'!AJ:AJ)=1,0.99,MIN(MROUND((1-0.6282*EXP(-0.459*AO33))*_xlfn.XLOOKUP(_xlfn.XLOOKUP(B33,'Base stats'!B:B,'Base stats'!E:E),Groups!A:A,Groups!C:C)*IF(_xlfn.XLOOKUP(B33,'Base stats'!B:B,'Base stats'!O:O)=1,0.5,IF(_xlfn.XLOOKUP(B33,'Base stats'!B:B,'Base stats'!O:O)=2,0,1)),0.05),0.985)))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IF(_xlfn.XLOOKUP(_xlfn.XLOOKUP(B33,'Base stats'!B:B,'Base stats'!E:E),Groups!A:A,Groups!L:L)=1,MIN(MROUND(_xlfn.XLOOKUP(B33,'Animals CE'!B:B,'Animals CE'!Z:Z)/2+0.05,0.05),200%),"No")</f>
        <v>No</v>
      </c>
      <c r="O33" s="8" t="str">
        <f>IF(_xlfn.XLOOKUP(_xlfn.XLOOKUP(B33,'Base stats'!B:B,'Base stats'!E:E),Groups!A:A,Groups!L:L)=1,MIN(MROUND(_xlfn.XLOOKUP(B33,'Animals CE'!B:B,'Animals CE'!AA:AA)/2+0.05,0.05),200%),"No")</f>
        <v>No</v>
      </c>
      <c r="P33" s="2" t="str">
        <f>_xlfn.XLOOKUP(B33,'Base stats'!B:B,'Base stats'!R:R)</f>
        <v>Standard</v>
      </c>
      <c r="Q33" s="13">
        <f>MROUND((LOG10(_xlfn.XLOOKUP(B33,'Base stats'!B:B,'Base stats'!AP:AP))*(AO33^0.5)+(_xlfn.XLOOKUP(B33,'Base stats'!B:B,'Base stats'!AP:AP)/1000)^(2/3)+_xlfn.XLOOKUP(B33,'Base stats'!B:B,'Base stats'!AY:AY)/2)+0.5,0.5)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stats'!AQ:AQ))*(AO33^0.5)+(_xlfn.XLOOKUP(B33,'Base stats'!B:B,'Base stats'!AQ:AQ)/1000)^(2/3)+_xlfn.XLOOKUP(B33,'Base stats'!B:B,'Base stats'!AY:AY))+_xlfn.XLOOKUP(B33,'Base stats'!B:B,'Base stats'!AW:AW)+0.5,0.5))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stats'!AS:AS))*(AO33^0.5)+(_xlfn.XLOOKUP(B33,'Base stats'!B:B,'Base stats'!AS:AS)/1000)^(2/3)+_xlfn.XLOOKUP(B33,'Base stats'!B:B,'Base stats'!AX:AX))+0.5+IF(_xlfn.XLOOKUP(_xlfn.XLOOKUP(B33,'Base stats'!B:B,'Base stats'!E:E),Groups!A:A,Groups!U:U)&lt;&gt;3,_xlfn.XLOOKUP(B33,'Base stats'!B:B,'Base stats'!AY:AY),0),0.5))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stats'!AR:AR)="No","No",MROUND((LOG10(_xlfn.XLOOKUP(B33,'Base stats'!B:B,'Base stats'!AR:AR))*(AO33^0.75)+(_xlfn.XLOOKUP(B33,'Base stats'!B:B,'Base stats'!AR:AR)/1000)^(2/3)+_xlfn.XLOOKUP(B33,'Base stats'!B:B,'Base stats'!AV:AV)+_xlfn.XLOOKUP(B33,'Base stats'!B:B,'Base stats'!AY:AY))+0.5,0.5))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stats'!AQ:AQ))*(AO33^0.75)+(_xlfn.XLOOKUP(B33,'Base stats'!B:B,'Base stats'!AQ:AQ)/1000)^(2/3)+_xlfn.XLOOKUP(B33,'Base stats'!B:B,'Base stats'!AW:AW)+_xlfn.XLOOKUP(B33,'Base stats'!B:B,'Base stats'!AY:AY))+0.5,0.5))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1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IFERROR(IF(_xlfn.XLOOKUP(B33,'Base stats'!B:B,'Base stats'!F:F)="Lay eggs","Lay eggs",MIN(20,MAX(5.5,ROUND(((_xlfn.XLOOKUP(B33,'Base stats'!B:B,'Base stats'!F:F)-25)*(14.5/615) + 5.5)*2,0)/2))),"Cannot breed")</f>
        <v>Lay eggs</v>
      </c>
      <c r="AT33" s="8">
        <f>IF(OR(A33="Queen",A33="Larva",A33="Megachicken",A33="Megatardi",A33="Toxscorpion"),"No",IFERROR(MAX(IF(_xlfn.XLOOKUP(B33,'Base stats'!B:B,'Base stats'!G:G)&lt;0.5,0.2,0.3),MROUND(_xlfn.XLOOKUP(B33,'Base stats'!B:B,'Base stats'!G:G)/(365/60),0.2)),"Unknown"))</f>
        <v>0.8</v>
      </c>
      <c r="AU33" s="8">
        <f t="shared" si="0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_xlfn.XLOOKUP(B33,'Base stats'!B:B,'Base stats'!AF:AF)</f>
        <v>No</v>
      </c>
      <c r="BB33" s="2" t="str">
        <f>_xlfn.XLOOKUP(B33,'Base stats'!B:B,'Base stats'!AE:AE)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stats'!Z:Z)=0),0,IF(OR(_xlfn.XLOOKUP(Animals!B33,'Base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stats'!AA:AA),0.005))</f>
        <v>0.1</v>
      </c>
      <c r="BE33" s="23">
        <f>MIN(1,MROUND(IF(AND(AO33&lt;0.5,_xlfn.XLOOKUP(B33,'Base stats'!B:B,'Base stats'!Z:Z)=0),0,IF(_xlfn.XLOOKUP(_xlfn.XLOOKUP(B33,'Base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stats'!AB:AB),0.005))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stats'!AL:AL)="Standard","No",MROUND((_xlfn.XLOOKUP(B33,'Base stats'!B:B,'Base stats'!AL:AL)/3.6)/I33,0.1))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stats'!AC:AC)&lt;&gt;"No",_xlfn.XLOOKUP(B33,'Base stats'!B:B,'Base stats'!AC:AC),"")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stats'!AC:AC)&lt;&gt;"No",_xlfn.XLOOKUP(B33,'Base stats'!B:B,'Base stats'!AC:AC),"")
  )
)</f>
        <v>No</v>
      </c>
      <c r="BQ33" s="25" t="str">
        <f>IF(
   AND(
      'Base stats'!AL33="Standard",_xlfn.XLOOKUP(_xlfn.XLOOKUP(B33,'Base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stats'!AT:AT) * 1.8) * 2) * 2.5 + 10 + I33 * 2,5)+IF(_xlfn.XLOOKUP(B33,'Base stats'!B:B,'Base stats'!AI:AI)=1,50,0)</f>
        <v>40</v>
      </c>
      <c r="BS33" s="8">
        <f t="shared" si="5"/>
        <v>0.1</v>
      </c>
      <c r="BT33" s="8" t="str">
        <f>_xlfn.XLOOKUP(B33,'Base stats'!B:B,'Base stats'!AD:AD)</f>
        <v>No</v>
      </c>
      <c r="BU33" s="2" t="str">
        <f>IF(AND(J33&lt;=0.95,OR(_xlfn.XLOOKUP(B33,'Base stats'!B:B,'Base stats'!AI:AI)=1,_xlfn.XLOOKUP(B33,'Base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stats'!AG:AG)=1,"true","false")</f>
        <v>false</v>
      </c>
      <c r="BW33" s="25" t="str">
        <f>IF(E33="BaseInsect","AnimalInsect",
IF(J33&gt;0.95,"AnimalExotic",
_xlfn.TEXTJOIN(", ",TRUE,
IF(OR(_xlfn.XLOOKUP(B33,'Base stats'!B:B,'Base stats'!AK:AK)=1,AND(_xlfn.XLOOKUP(B33,'Base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stats'!AI:AI)=1,AND(BI33&lt;&gt;"None",BR33&gt;=60),ISNUMBER(SEARCH("Attack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stats'!AH:AH)=1,"true","false")</f>
        <v>false</v>
      </c>
      <c r="BZ33" s="25">
        <f>IF(_xlfn.XLOOKUP(B33,'Base stats'!B:B,'Base stats'!N:N)=1,"No",MAX(0.01,MIN(MROUND(IF(OR(_xlfn.XLOOKUP(B33,'Base stats'!B:B,'Base stats'!AK:AK)=1,AND(BJ33="True",CC33="False")),POWER(10,3.47*LOG10(_xlfn.XLOOKUP(B33,'Base stats'!B:B,'Base stats'!C:C)*1000)^-0.96),POWER(10,4.15*LOG10(_xlfn.XLOOKUP(B33,'Base stats'!B:B,'Base stats'!C:C)*1000)^-0.73))*IF(OR(_xlfn.XLOOKUP(B33,'Base stats'!B:B,'Base stats'!AK:AK)=1,_xlfn.XLOOKUP(B33,'Base stats'!B:B,'Base stats'!AI:AI)=1),0.5,1)/100,0.025),1)))</f>
        <v>0.35000000000000003</v>
      </c>
      <c r="CA33" s="25" t="str">
        <f>IF(P33="Standard","No",MAX(0.01,IF(_xlfn.XLOOKUP(B33,'Base stats'!B:B,'Base stats'!N:N)=0,MROUND(BZ33*P33,0.05),MIN(1,MAX(0.025,MROUND(IF(OR(CC33="true",AND(BJ33="false",BO33="false")),POWER(10,4.15*LOG10(_xlfn.XLOOKUP(B33,'Base stats'!B:B,'Base stats'!C:C)*1000)^-0.73),POWER(10,3.47*LOG10(_xlfn.XLOOKUP(B33,'Base stats'!B:B,'Base stats'!C:C)*1000)^-0.96))*IF(_xlfn.XLOOKUP(B33,'Base stats'!B:B,'Base stats'!AI:AI)=1,0.5,1)/100,0.025))))))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176</v>
      </c>
      <c r="C34" s="28" t="s">
        <v>721</v>
      </c>
      <c r="D34" s="28" t="s">
        <v>45</v>
      </c>
      <c r="E34" s="28" t="s">
        <v>685</v>
      </c>
      <c r="F34" s="28" t="s">
        <v>685</v>
      </c>
      <c r="G34" s="28" t="s">
        <v>685</v>
      </c>
      <c r="H34" s="2">
        <f>MROUND((
  (IF(AND(_xlfn.XLOOKUP(B34,'Base stats'!B:B,'Base stats'!AJ:AJ)=0,BI34="None",_xlfn.XLOOKUP(_xlfn.XLOOKUP(B34,'Base stats'!B:B,'Base stats'!E:E),Groups!A:A,Groups!B:B)=0), (18 + BR34 * 2.7) * 0.5,
    IF(AND(_xlfn.XLOOKUP(B34,'Base stats'!B:B,'Base stats'!AJ:AJ)=0,OR(AO34&lt;0.55,AND(BI34="Intermediate",_xlfn.XLOOKUP(_xlfn.XLOOKUP(B34,'Base stats'!B:B,'Base stats'!E:E),Groups!A:A,Groups!B:B)&lt;2))), (18 + BR34 * 2.7),
      IF(OR(BI34="Advanced",_xlfn.XLOOKUP(B34,'Base stats'!B:B,'Base stats'!AJ:AJ)=1,_xlfn.XLOOKUP(_xlfn.XLOOKUP(B34,'Base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IF(_xlfn.XLOOKUP(_xlfn.XLOOKUP(B34,'Base stats'!B:B,'Base stats'!E:E),Groups!A:A,Groups!C:C)="Untamable",1,IF(_xlfn.XLOOKUP(B34,'Base stats'!B:B,'Base stats'!AJ:AJ)=1,0.99,MIN(MROUND((1-0.6282*EXP(-0.459*AO34))*_xlfn.XLOOKUP(_xlfn.XLOOKUP(B34,'Base stats'!B:B,'Base stats'!E:E),Groups!A:A,Groups!C:C)*IF(_xlfn.XLOOKUP(B34,'Base stats'!B:B,'Base stats'!O:O)=1,0.5,IF(_xlfn.XLOOKUP(B34,'Base stats'!B:B,'Base stats'!O:O)=2,0,1)),0.05),0.985)))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IF(_xlfn.XLOOKUP(_xlfn.XLOOKUP(B34,'Base stats'!B:B,'Base stats'!E:E),Groups!A:A,Groups!L:L)=1,MIN(MROUND(_xlfn.XLOOKUP(B34,'Animals CE'!B:B,'Animals CE'!Z:Z)/2+0.05,0.05),200%),"No")</f>
        <v>0.60000000000000009</v>
      </c>
      <c r="O34" s="8">
        <f>IF(_xlfn.XLOOKUP(_xlfn.XLOOKUP(B34,'Base stats'!B:B,'Base stats'!E:E),Groups!A:A,Groups!L:L)=1,MIN(MROUND(_xlfn.XLOOKUP(B34,'Animals CE'!B:B,'Animals CE'!AA:AA)/2+0.05,0.05),200%),"No")</f>
        <v>1.05</v>
      </c>
      <c r="P34" s="2" t="str">
        <f>_xlfn.XLOOKUP(B34,'Base stats'!B:B,'Base stats'!R:R)</f>
        <v>Standard</v>
      </c>
      <c r="Q34" s="13">
        <f>MROUND((LOG10(_xlfn.XLOOKUP(B34,'Base stats'!B:B,'Base stats'!AP:AP))*(AO34^0.5)+(_xlfn.XLOOKUP(B34,'Base stats'!B:B,'Base stats'!AP:AP)/1000)^(2/3)+_xlfn.XLOOKUP(B34,'Base stats'!B:B,'Base stats'!AY:AY)/2)+0.5,0.5)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stats'!AQ:AQ))*(AO34^0.5)+(_xlfn.XLOOKUP(B34,'Base stats'!B:B,'Base stats'!AQ:AQ)/1000)^(2/3)+_xlfn.XLOOKUP(B34,'Base stats'!B:B,'Base stats'!AY:AY))+_xlfn.XLOOKUP(B34,'Base stats'!B:B,'Base stats'!AW:AW)+0.5,0.5))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stats'!AS:AS))*(AO34^0.5)+(_xlfn.XLOOKUP(B34,'Base stats'!B:B,'Base stats'!AS:AS)/1000)^(2/3)+_xlfn.XLOOKUP(B34,'Base stats'!B:B,'Base stats'!AX:AX))+0.5+IF(_xlfn.XLOOKUP(_xlfn.XLOOKUP(B34,'Base stats'!B:B,'Base stats'!E:E),Groups!A:A,Groups!U:U)&lt;&gt;3,_xlfn.XLOOKUP(B34,'Base stats'!B:B,'Base stats'!AY:AY),0),0.5))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stats'!AR:AR)="No","No",MROUND((LOG10(_xlfn.XLOOKUP(B34,'Base stats'!B:B,'Base stats'!AR:AR))*(AO34^0.75)+(_xlfn.XLOOKUP(B34,'Base stats'!B:B,'Base stats'!AR:AR)/1000)^(2/3)+_xlfn.XLOOKUP(B34,'Base stats'!B:B,'Base stats'!AV:AV)+_xlfn.XLOOKUP(B34,'Base stats'!B:B,'Base stats'!AY:AY))+0.5,0.5))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stats'!AQ:AQ))*(AO34^0.75)+(_xlfn.XLOOKUP(B34,'Base stats'!B:B,'Base stats'!AQ:AQ)/1000)^(2/3)+_xlfn.XLOOKUP(B34,'Base stats'!B:B,'Base stats'!AW:AW)+_xlfn.XLOOKUP(B34,'Base stats'!B:B,'Base stats'!AY:AY))+0.5,0.5))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1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IFERROR(IF(_xlfn.XLOOKUP(B34,'Base stats'!B:B,'Base stats'!F:F)="Lay eggs","Lay eggs",MIN(20,MAX(5.5,ROUND(((_xlfn.XLOOKUP(B34,'Base stats'!B:B,'Base stats'!F:F)-25)*(14.5/615) + 5.5)*2,0)/2))),"Cannot breed")</f>
        <v>Lay eggs</v>
      </c>
      <c r="AT34" s="8">
        <f>IF(OR(A34="Queen",A34="Larva",A34="Megachicken",A34="Megatardi",A34="Toxscorpion"),"No",IFERROR(MAX(IF(_xlfn.XLOOKUP(B34,'Base stats'!B:B,'Base stats'!G:G)&lt;0.5,0.2,0.3),MROUND(_xlfn.XLOOKUP(B34,'Base stats'!B:B,'Base stats'!G:G)/(365/60),0.2)),"Unknown"))</f>
        <v>2.4000000000000004</v>
      </c>
      <c r="AU34" s="8">
        <f t="shared" si="0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_xlfn.XLOOKUP(B34,'Base stats'!B:B,'Base stats'!AF:AF)</f>
        <v>No</v>
      </c>
      <c r="BB34" s="2" t="str">
        <f>_xlfn.XLOOKUP(B34,'Base stats'!B:B,'Base stats'!AE:AE)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stats'!Z:Z)=0),0,IF(OR(_xlfn.XLOOKUP(Animals!B34,'Base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stats'!AA:AA),0.005))</f>
        <v>0</v>
      </c>
      <c r="BE34" s="23">
        <f>MIN(1,MROUND(IF(AND(AO34&lt;0.5,_xlfn.XLOOKUP(B34,'Base stats'!B:B,'Base stats'!Z:Z)=0),0,IF(_xlfn.XLOOKUP(_xlfn.XLOOKUP(B34,'Base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stats'!AB:AB),0.005))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stats'!AL:AL)="Standard","No",MROUND((_xlfn.XLOOKUP(B34,'Base stats'!B:B,'Base stats'!AL:AL)/3.6)/I34,0.1))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stats'!AC:AC)&lt;&gt;"No",_xlfn.XLOOKUP(B34,'Base stats'!B:B,'Base stats'!AC:AC),"")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stats'!AC:AC)&lt;&gt;"No",_xlfn.XLOOKUP(B34,'Base stats'!B:B,'Base stats'!AC:AC),"")
  )
)</f>
        <v>No</v>
      </c>
      <c r="BQ34" s="25" t="str">
        <f>IF(
   AND(
      'Base stats'!AL34="Standard",_xlfn.XLOOKUP(_xlfn.XLOOKUP(B34,'Base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stats'!AT:AT) * 1.8) * 2) * 2.5 + 10 + I34 * 2,5)+IF(_xlfn.XLOOKUP(B34,'Base stats'!B:B,'Base stats'!AI:AI)=1,50,0)</f>
        <v>80</v>
      </c>
      <c r="BS34" s="8">
        <f t="shared" si="5"/>
        <v>0.2</v>
      </c>
      <c r="BT34" s="8" t="str">
        <f>_xlfn.XLOOKUP(B34,'Base stats'!B:B,'Base stats'!AD:AD)</f>
        <v>No</v>
      </c>
      <c r="BU34" s="2" t="str">
        <f>IF(AND(J34&lt;=0.95,OR(_xlfn.XLOOKUP(B34,'Base stats'!B:B,'Base stats'!AI:AI)=1,_xlfn.XLOOKUP(B34,'Base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stats'!AG:AG)=1,"true","false")</f>
        <v>false</v>
      </c>
      <c r="BW34" s="25" t="str">
        <f>IF(E34="BaseInsect","AnimalInsect",
IF(J34&gt;0.95,"AnimalExotic",
_xlfn.TEXTJOIN(", ",TRUE,
IF(OR(_xlfn.XLOOKUP(B34,'Base stats'!B:B,'Base stats'!AK:AK)=1,AND(_xlfn.XLOOKUP(B34,'Base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stats'!AI:AI)=1,AND(BI34&lt;&gt;"None",BR34&gt;=60),ISNUMBER(SEARCH("Attack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stats'!AH:AH)=1,"true","false")</f>
        <v>false</v>
      </c>
      <c r="BZ34" s="25">
        <f>IF(_xlfn.XLOOKUP(B34,'Base stats'!B:B,'Base stats'!N:N)=1,"No",MAX(0.01,MIN(MROUND(IF(OR(_xlfn.XLOOKUP(B34,'Base stats'!B:B,'Base stats'!AK:AK)=1,AND(BJ34="True",CC34="False")),POWER(10,3.47*LOG10(_xlfn.XLOOKUP(B34,'Base stats'!B:B,'Base stats'!C:C)*1000)^-0.96),POWER(10,4.15*LOG10(_xlfn.XLOOKUP(B34,'Base stats'!B:B,'Base stats'!C:C)*1000)^-0.73))*IF(OR(_xlfn.XLOOKUP(B34,'Base stats'!B:B,'Base stats'!AK:AK)=1,_xlfn.XLOOKUP(B34,'Base stats'!B:B,'Base stats'!AI:AI)=1),0.5,1)/100,0.025),1)))</f>
        <v>0.25</v>
      </c>
      <c r="CA34" s="25" t="str">
        <f>IF(P34="Standard","No",MAX(0.01,IF(_xlfn.XLOOKUP(B34,'Base stats'!B:B,'Base stats'!N:N)=0,MROUND(BZ34*P34,0.05),MIN(1,MAX(0.025,MROUND(IF(OR(CC34="true",AND(BJ34="false",BO34="false")),POWER(10,4.15*LOG10(_xlfn.XLOOKUP(B34,'Base stats'!B:B,'Base stats'!C:C)*1000)^-0.73),POWER(10,3.47*LOG10(_xlfn.XLOOKUP(B34,'Base stats'!B:B,'Base stats'!C:C)*1000)^-0.96))*IF(_xlfn.XLOOKUP(B34,'Base stats'!B:B,'Base stats'!AI:AI)=1,0.5,1)/100,0.025))))))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139</v>
      </c>
      <c r="C35" s="28" t="s">
        <v>722</v>
      </c>
      <c r="D35" s="28" t="s">
        <v>45</v>
      </c>
      <c r="E35" s="28" t="s">
        <v>685</v>
      </c>
      <c r="F35" s="28" t="s">
        <v>685</v>
      </c>
      <c r="G35" s="28" t="s">
        <v>685</v>
      </c>
      <c r="H35" s="2">
        <f>MROUND((
  (IF(AND(_xlfn.XLOOKUP(B35,'Base stats'!B:B,'Base stats'!AJ:AJ)=0,BI35="None",_xlfn.XLOOKUP(_xlfn.XLOOKUP(B35,'Base stats'!B:B,'Base stats'!E:E),Groups!A:A,Groups!B:B)=0), (18 + BR35 * 2.7) * 0.5,
    IF(AND(_xlfn.XLOOKUP(B35,'Base stats'!B:B,'Base stats'!AJ:AJ)=0,OR(AO35&lt;0.55,AND(BI35="Intermediate",_xlfn.XLOOKUP(_xlfn.XLOOKUP(B35,'Base stats'!B:B,'Base stats'!E:E),Groups!A:A,Groups!B:B)&lt;2))), (18 + BR35 * 2.7),
      IF(OR(BI35="Advanced",_xlfn.XLOOKUP(B35,'Base stats'!B:B,'Base stats'!AJ:AJ)=1,_xlfn.XLOOKUP(_xlfn.XLOOKUP(B35,'Base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IF(_xlfn.XLOOKUP(_xlfn.XLOOKUP(B35,'Base stats'!B:B,'Base stats'!E:E),Groups!A:A,Groups!C:C)="Untamable",1,IF(_xlfn.XLOOKUP(B35,'Base stats'!B:B,'Base stats'!AJ:AJ)=1,0.99,MIN(MROUND((1-0.6282*EXP(-0.459*AO35))*_xlfn.XLOOKUP(_xlfn.XLOOKUP(B35,'Base stats'!B:B,'Base stats'!E:E),Groups!A:A,Groups!C:C)*IF(_xlfn.XLOOKUP(B35,'Base stats'!B:B,'Base stats'!O:O)=1,0.5,IF(_xlfn.XLOOKUP(B35,'Base stats'!B:B,'Base stats'!O:O)=2,0,1)),0.05),0.985)))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IF(_xlfn.XLOOKUP(_xlfn.XLOOKUP(B35,'Base stats'!B:B,'Base stats'!E:E),Groups!A:A,Groups!L:L)=1,MIN(MROUND(_xlfn.XLOOKUP(B35,'Animals CE'!B:B,'Animals CE'!Z:Z)/2+0.05,0.05),200%),"No")</f>
        <v>No</v>
      </c>
      <c r="O35" s="8" t="str">
        <f>IF(_xlfn.XLOOKUP(_xlfn.XLOOKUP(B35,'Base stats'!B:B,'Base stats'!E:E),Groups!A:A,Groups!L:L)=1,MIN(MROUND(_xlfn.XLOOKUP(B35,'Animals CE'!B:B,'Animals CE'!AA:AA)/2+0.05,0.05),200%),"No")</f>
        <v>No</v>
      </c>
      <c r="P35" s="2">
        <f>_xlfn.XLOOKUP(B35,'Base stats'!B:B,'Base stats'!R:R)</f>
        <v>0.8</v>
      </c>
      <c r="Q35" s="13">
        <f>MROUND((LOG10(_xlfn.XLOOKUP(B35,'Base stats'!B:B,'Base stats'!AP:AP))*(AO35^0.5)+(_xlfn.XLOOKUP(B35,'Base stats'!B:B,'Base stats'!AP:AP)/1000)^(2/3)+_xlfn.XLOOKUP(B35,'Base stats'!B:B,'Base stats'!AY:AY)/2)+0.5,0.5)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stats'!AQ:AQ))*(AO35^0.5)+(_xlfn.XLOOKUP(B35,'Base stats'!B:B,'Base stats'!AQ:AQ)/1000)^(2/3)+_xlfn.XLOOKUP(B35,'Base stats'!B:B,'Base stats'!AY:AY))+_xlfn.XLOOKUP(B35,'Base stats'!B:B,'Base stats'!AW:AW)+0.5,0.5))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stats'!AS:AS))*(AO35^0.5)+(_xlfn.XLOOKUP(B35,'Base stats'!B:B,'Base stats'!AS:AS)/1000)^(2/3)+_xlfn.XLOOKUP(B35,'Base stats'!B:B,'Base stats'!AX:AX))+0.5+IF(_xlfn.XLOOKUP(_xlfn.XLOOKUP(B35,'Base stats'!B:B,'Base stats'!E:E),Groups!A:A,Groups!U:U)&lt;&gt;3,_xlfn.XLOOKUP(B35,'Base stats'!B:B,'Base stats'!AY:AY),0),0.5))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stats'!AR:AR)="No","No",MROUND((LOG10(_xlfn.XLOOKUP(B35,'Base stats'!B:B,'Base stats'!AR:AR))*(AO35^0.75)+(_xlfn.XLOOKUP(B35,'Base stats'!B:B,'Base stats'!AR:AR)/1000)^(2/3)+_xlfn.XLOOKUP(B35,'Base stats'!B:B,'Base stats'!AV:AV)+_xlfn.XLOOKUP(B35,'Base stats'!B:B,'Base stats'!AY:AY))+0.5,0.5))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stats'!AQ:AQ))*(AO35^0.75)+(_xlfn.XLOOKUP(B35,'Base stats'!B:B,'Base stats'!AQ:AQ)/1000)^(2/3)+_xlfn.XLOOKUP(B35,'Base stats'!B:B,'Base stats'!AW:AW)+_xlfn.XLOOKUP(B35,'Base stats'!B:B,'Base stats'!AY:AY))+0.5,0.5))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1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IFERROR(IF(_xlfn.XLOOKUP(B35,'Base stats'!B:B,'Base stats'!F:F)="Lay eggs","Lay eggs",MIN(20,MAX(5.5,ROUND(((_xlfn.XLOOKUP(B35,'Base stats'!B:B,'Base stats'!F:F)-25)*(14.5/615) + 5.5)*2,0)/2))),"Cannot breed")</f>
        <v>5.5</v>
      </c>
      <c r="AT35" s="8">
        <f>IF(OR(A35="Queen",A35="Larva",A35="Megachicken",A35="Megatardi",A35="Toxscorpion"),"No",IFERROR(MAX(IF(_xlfn.XLOOKUP(B35,'Base stats'!B:B,'Base stats'!G:G)&lt;0.5,0.2,0.3),MROUND(_xlfn.XLOOKUP(B35,'Base stats'!B:B,'Base stats'!G:G)/(365/60),0.2)),"Unknown"))</f>
        <v>0.2</v>
      </c>
      <c r="AU35" s="8">
        <f t="shared" si="0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_xlfn.XLOOKUP(B35,'Base stats'!B:B,'Base stats'!AF:AF)</f>
        <v>No</v>
      </c>
      <c r="BB35" s="2" t="str">
        <f>_xlfn.XLOOKUP(B35,'Base stats'!B:B,'Base stats'!AE:AE)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stats'!Z:Z)=0),0,IF(OR(_xlfn.XLOOKUP(Animals!B35,'Base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stats'!AA:AA),0.005))</f>
        <v>0</v>
      </c>
      <c r="BE35" s="23">
        <f>MIN(1,MROUND(IF(AND(AO35&lt;0.5,_xlfn.XLOOKUP(B35,'Base stats'!B:B,'Base stats'!Z:Z)=0),0,IF(_xlfn.XLOOKUP(_xlfn.XLOOKUP(B35,'Base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stats'!AB:AB),0.005))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stats'!AL:AL)="Standard","No",MROUND((_xlfn.XLOOKUP(B35,'Base stats'!B:B,'Base stats'!AL:AL)/3.6)/I35,0.1))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stats'!AC:AC)&lt;&gt;"No",_xlfn.XLOOKUP(B35,'Base stats'!B:B,'Base stats'!AC:AC),"")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stats'!AC:AC)&lt;&gt;"No",_xlfn.XLOOKUP(B35,'Base stats'!B:B,'Base stats'!AC:AC),"")
  )
)</f>
        <v>Forage, Comfort</v>
      </c>
      <c r="BQ35" s="25" t="str">
        <f>IF(
   AND(
      'Base stats'!AL35="Standard",_xlfn.XLOOKUP(_xlfn.XLOOKUP(B35,'Base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stats'!AT:AT) * 1.8) * 2) * 2.5 + 10 + I35 * 2,5)+IF(_xlfn.XLOOKUP(B35,'Base stats'!B:B,'Base stats'!AI:AI)=1,50,0)</f>
        <v>20</v>
      </c>
      <c r="BS35" s="8">
        <f t="shared" si="5"/>
        <v>0.2</v>
      </c>
      <c r="BT35" s="8" t="str">
        <f>_xlfn.XLOOKUP(B35,'Base stats'!B:B,'Base stats'!AD:AD)</f>
        <v>1~6</v>
      </c>
      <c r="BU35" s="2" t="str">
        <f>IF(AND(J35&lt;=0.95,OR(_xlfn.XLOOKUP(B35,'Base stats'!B:B,'Base stats'!AI:AI)=1,_xlfn.XLOOKUP(B35,'Base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stats'!AG:AG)=1,"true","false")</f>
        <v>false</v>
      </c>
      <c r="BW35" s="25" t="str">
        <f>IF(E35="BaseInsect","AnimalInsect",
IF(J35&gt;0.95,"AnimalExotic",
_xlfn.TEXTJOIN(", ",TRUE,
IF(OR(_xlfn.XLOOKUP(B35,'Base stats'!B:B,'Base stats'!AK:AK)=1,AND(_xlfn.XLOOKUP(B35,'Base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stats'!AI:AI)=1,AND(BI35&lt;&gt;"None",BR35&gt;=60),ISNUMBER(SEARCH("Attack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stats'!AH:AH)=1,"true","false")</f>
        <v>false</v>
      </c>
      <c r="BZ35" s="25">
        <f>IF(_xlfn.XLOOKUP(B35,'Base stats'!B:B,'Base stats'!N:N)=1,"No",MAX(0.01,MIN(MROUND(IF(OR(_xlfn.XLOOKUP(B35,'Base stats'!B:B,'Base stats'!AK:AK)=1,AND(BJ35="True",CC35="False")),POWER(10,3.47*LOG10(_xlfn.XLOOKUP(B35,'Base stats'!B:B,'Base stats'!C:C)*1000)^-0.96),POWER(10,4.15*LOG10(_xlfn.XLOOKUP(B35,'Base stats'!B:B,'Base stats'!C:C)*1000)^-0.73))*IF(OR(_xlfn.XLOOKUP(B35,'Base stats'!B:B,'Base stats'!AK:AK)=1,_xlfn.XLOOKUP(B35,'Base stats'!B:B,'Base stats'!AI:AI)=1),0.5,1)/100,0.025),1)))</f>
        <v>1</v>
      </c>
      <c r="CA35" s="25">
        <f>IF(P35="Standard","No",MAX(0.01,IF(_xlfn.XLOOKUP(B35,'Base stats'!B:B,'Base stats'!N:N)=0,MROUND(BZ35*P35,0.05),MIN(1,MAX(0.025,MROUND(IF(OR(CC35="true",AND(BJ35="false",BO35="false")),POWER(10,4.15*LOG10(_xlfn.XLOOKUP(B35,'Base stats'!B:B,'Base stats'!C:C)*1000)^-0.73),POWER(10,3.47*LOG10(_xlfn.XLOOKUP(B35,'Base stats'!B:B,'Base stats'!C:C)*1000)^-0.96))*IF(_xlfn.XLOOKUP(B35,'Base stats'!B:B,'Base stats'!AI:AI)=1,0.5,1)/100,0.025))))))</f>
        <v>0.8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137</v>
      </c>
      <c r="C36" s="28" t="s">
        <v>723</v>
      </c>
      <c r="D36" s="28" t="s">
        <v>45</v>
      </c>
      <c r="E36" s="28" t="s">
        <v>685</v>
      </c>
      <c r="F36" s="28" t="s">
        <v>685</v>
      </c>
      <c r="G36" s="28" t="s">
        <v>685</v>
      </c>
      <c r="H36" s="2">
        <f>MROUND((
  (IF(AND(_xlfn.XLOOKUP(B36,'Base stats'!B:B,'Base stats'!AJ:AJ)=0,BI36="None",_xlfn.XLOOKUP(_xlfn.XLOOKUP(B36,'Base stats'!B:B,'Base stats'!E:E),Groups!A:A,Groups!B:B)=0), (18 + BR36 * 2.7) * 0.5,
    IF(AND(_xlfn.XLOOKUP(B36,'Base stats'!B:B,'Base stats'!AJ:AJ)=0,OR(AO36&lt;0.55,AND(BI36="Intermediate",_xlfn.XLOOKUP(_xlfn.XLOOKUP(B36,'Base stats'!B:B,'Base stats'!E:E),Groups!A:A,Groups!B:B)&lt;2))), (18 + BR36 * 2.7),
      IF(OR(BI36="Advanced",_xlfn.XLOOKUP(B36,'Base stats'!B:B,'Base stats'!AJ:AJ)=1,_xlfn.XLOOKUP(_xlfn.XLOOKUP(B36,'Base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IF(_xlfn.XLOOKUP(_xlfn.XLOOKUP(B36,'Base stats'!B:B,'Base stats'!E:E),Groups!A:A,Groups!C:C)="Untamable",1,IF(_xlfn.XLOOKUP(B36,'Base stats'!B:B,'Base stats'!AJ:AJ)=1,0.99,MIN(MROUND((1-0.6282*EXP(-0.459*AO36))*_xlfn.XLOOKUP(_xlfn.XLOOKUP(B36,'Base stats'!B:B,'Base stats'!E:E),Groups!A:A,Groups!C:C)*IF(_xlfn.XLOOKUP(B36,'Base stats'!B:B,'Base stats'!O:O)=1,0.5,IF(_xlfn.XLOOKUP(B36,'Base stats'!B:B,'Base stats'!O:O)=2,0,1)),0.05),0.985)))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IF(_xlfn.XLOOKUP(_xlfn.XLOOKUP(B36,'Base stats'!B:B,'Base stats'!E:E),Groups!A:A,Groups!L:L)=1,MIN(MROUND(_xlfn.XLOOKUP(B36,'Animals CE'!B:B,'Animals CE'!Z:Z)/2+0.05,0.05),200%),"No")</f>
        <v>No</v>
      </c>
      <c r="O36" s="8" t="str">
        <f>IF(_xlfn.XLOOKUP(_xlfn.XLOOKUP(B36,'Base stats'!B:B,'Base stats'!E:E),Groups!A:A,Groups!L:L)=1,MIN(MROUND(_xlfn.XLOOKUP(B36,'Animals CE'!B:B,'Animals CE'!AA:AA)/2+0.05,0.05),200%),"No")</f>
        <v>No</v>
      </c>
      <c r="P36" s="2" t="str">
        <f>_xlfn.XLOOKUP(B36,'Base stats'!B:B,'Base stats'!R:R)</f>
        <v>Standard</v>
      </c>
      <c r="Q36" s="13">
        <f>MROUND((LOG10(_xlfn.XLOOKUP(B36,'Base stats'!B:B,'Base stats'!AP:AP))*(AO36^0.5)+(_xlfn.XLOOKUP(B36,'Base stats'!B:B,'Base stats'!AP:AP)/1000)^(2/3)+_xlfn.XLOOKUP(B36,'Base stats'!B:B,'Base stats'!AY:AY)/2)+0.5,0.5)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stats'!AQ:AQ))*(AO36^0.5)+(_xlfn.XLOOKUP(B36,'Base stats'!B:B,'Base stats'!AQ:AQ)/1000)^(2/3)+_xlfn.XLOOKUP(B36,'Base stats'!B:B,'Base stats'!AY:AY))+_xlfn.XLOOKUP(B36,'Base stats'!B:B,'Base stats'!AW:AW)+0.5,0.5))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stats'!AS:AS))*(AO36^0.5)+(_xlfn.XLOOKUP(B36,'Base stats'!B:B,'Base stats'!AS:AS)/1000)^(2/3)+_xlfn.XLOOKUP(B36,'Base stats'!B:B,'Base stats'!AX:AX))+0.5+IF(_xlfn.XLOOKUP(_xlfn.XLOOKUP(B36,'Base stats'!B:B,'Base stats'!E:E),Groups!A:A,Groups!U:U)&lt;&gt;3,_xlfn.XLOOKUP(B36,'Base stats'!B:B,'Base stats'!AY:AY),0),0.5))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stats'!AR:AR)="No","No",MROUND((LOG10(_xlfn.XLOOKUP(B36,'Base stats'!B:B,'Base stats'!AR:AR))*(AO36^0.75)+(_xlfn.XLOOKUP(B36,'Base stats'!B:B,'Base stats'!AR:AR)/1000)^(2/3)+_xlfn.XLOOKUP(B36,'Base stats'!B:B,'Base stats'!AV:AV)+_xlfn.XLOOKUP(B36,'Base stats'!B:B,'Base stats'!AY:AY))+0.5,0.5))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stats'!AQ:AQ))*(AO36^0.75)+(_xlfn.XLOOKUP(B36,'Base stats'!B:B,'Base stats'!AQ:AQ)/1000)^(2/3)+_xlfn.XLOOKUP(B36,'Base stats'!B:B,'Base stats'!AW:AW)+_xlfn.XLOOKUP(B36,'Base stats'!B:B,'Base stats'!AY:AY))+0.5,0.5))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1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IFERROR(IF(_xlfn.XLOOKUP(B36,'Base stats'!B:B,'Base stats'!F:F)="Lay eggs","Lay eggs",MIN(20,MAX(5.5,ROUND(((_xlfn.XLOOKUP(B36,'Base stats'!B:B,'Base stats'!F:F)-25)*(14.5/615) + 5.5)*2,0)/2))),"Cannot breed")</f>
        <v>6</v>
      </c>
      <c r="AT36" s="8">
        <f>IF(OR(A36="Queen",A36="Larva",A36="Megachicken",A36="Megatardi",A36="Toxscorpion"),"No",IFERROR(MAX(IF(_xlfn.XLOOKUP(B36,'Base stats'!B:B,'Base stats'!G:G)&lt;0.5,0.2,0.3),MROUND(_xlfn.XLOOKUP(B36,'Base stats'!B:B,'Base stats'!G:G)/(365/60),0.2)),"Unknown"))</f>
        <v>0.3</v>
      </c>
      <c r="AU36" s="8">
        <f t="shared" si="0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_xlfn.XLOOKUP(B36,'Base stats'!B:B,'Base stats'!AF:AF)</f>
        <v>&lt;li&gt;Rat&lt;/li&gt;</v>
      </c>
      <c r="BB36" s="2" t="str">
        <f>_xlfn.XLOOKUP(B36,'Base stats'!B:B,'Base stats'!AE:AE)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stats'!Z:Z)=0),0,IF(OR(_xlfn.XLOOKUP(Animals!B36,'Base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stats'!AA:AA),0.005))</f>
        <v>0</v>
      </c>
      <c r="BE36" s="23">
        <f>MIN(1,MROUND(IF(AND(AO36&lt;0.5,_xlfn.XLOOKUP(B36,'Base stats'!B:B,'Base stats'!Z:Z)=0),0,IF(_xlfn.XLOOKUP(_xlfn.XLOOKUP(B36,'Base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stats'!AB:AB),0.005))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stats'!AL:AL)="Standard","No",MROUND((_xlfn.XLOOKUP(B36,'Base stats'!B:B,'Base stats'!AL:AL)/3.6)/I36,0.1))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stats'!AC:AC)&lt;&gt;"No",_xlfn.XLOOKUP(B36,'Base stats'!B:B,'Base stats'!AC:AC),"")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stats'!AC:AC)&lt;&gt;"No",_xlfn.XLOOKUP(B36,'Base stats'!B:B,'Base stats'!AC:AC),"")
  )
)</f>
        <v>Comfort</v>
      </c>
      <c r="BQ36" s="25" t="str">
        <f>IF(
   AND(
      'Base stats'!AL36="Standard",_xlfn.XLOOKUP(_xlfn.XLOOKUP(B36,'Base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stats'!AT:AT) * 1.8) * 2) * 2.5 + 10 + I36 * 2,5)+IF(_xlfn.XLOOKUP(B36,'Base stats'!B:B,'Base stats'!AI:AI)=1,50,0)</f>
        <v>25</v>
      </c>
      <c r="BS36" s="8">
        <f t="shared" si="5"/>
        <v>0.25</v>
      </c>
      <c r="BT36" s="8" t="str">
        <f>_xlfn.XLOOKUP(B36,'Base stats'!B:B,'Base stats'!AD:AD)</f>
        <v>No</v>
      </c>
      <c r="BU36" s="2" t="str">
        <f>IF(AND(J36&lt;=0.95,OR(_xlfn.XLOOKUP(B36,'Base stats'!B:B,'Base stats'!AI:AI)=1,_xlfn.XLOOKUP(B36,'Base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stats'!AG:AG)=1,"true","false")</f>
        <v>false</v>
      </c>
      <c r="BW36" s="25" t="str">
        <f>IF(E36="BaseInsect","AnimalInsect",
IF(J36&gt;0.95,"AnimalExotic",
_xlfn.TEXTJOIN(", ",TRUE,
IF(OR(_xlfn.XLOOKUP(B36,'Base stats'!B:B,'Base stats'!AK:AK)=1,AND(_xlfn.XLOOKUP(B36,'Base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stats'!AI:AI)=1,AND(BI36&lt;&gt;"None",BR36&gt;=60),ISNUMBER(SEARCH("Attack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stats'!AH:AH)=1,"true","false")</f>
        <v>false</v>
      </c>
      <c r="BZ36" s="25">
        <f>IF(_xlfn.XLOOKUP(B36,'Base stats'!B:B,'Base stats'!N:N)=1,"No",MAX(0.01,MIN(MROUND(IF(OR(_xlfn.XLOOKUP(B36,'Base stats'!B:B,'Base stats'!AK:AK)=1,AND(BJ36="True",CC36="False")),POWER(10,3.47*LOG10(_xlfn.XLOOKUP(B36,'Base stats'!B:B,'Base stats'!C:C)*1000)^-0.96),POWER(10,4.15*LOG10(_xlfn.XLOOKUP(B36,'Base stats'!B:B,'Base stats'!C:C)*1000)^-0.73))*IF(OR(_xlfn.XLOOKUP(B36,'Base stats'!B:B,'Base stats'!AK:AK)=1,_xlfn.XLOOKUP(B36,'Base stats'!B:B,'Base stats'!AI:AI)=1),0.5,1)/100,0.025),1)))</f>
        <v>0.92500000000000004</v>
      </c>
      <c r="CA36" s="25" t="str">
        <f>IF(P36="Standard","No",MAX(0.01,IF(_xlfn.XLOOKUP(B36,'Base stats'!B:B,'Base stats'!N:N)=0,MROUND(BZ36*P36,0.05),MIN(1,MAX(0.025,MROUND(IF(OR(CC36="true",AND(BJ36="false",BO36="false")),POWER(10,4.15*LOG10(_xlfn.XLOOKUP(B36,'Base stats'!B:B,'Base stats'!C:C)*1000)^-0.73),POWER(10,3.47*LOG10(_xlfn.XLOOKUP(B36,'Base stats'!B:B,'Base stats'!C:C)*1000)^-0.96))*IF(_xlfn.XLOOKUP(B36,'Base stats'!B:B,'Base stats'!AI:AI)=1,0.5,1)/100,0.025))))))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133</v>
      </c>
      <c r="C37" s="28" t="s">
        <v>724</v>
      </c>
      <c r="D37" s="28" t="s">
        <v>45</v>
      </c>
      <c r="E37" s="28" t="s">
        <v>685</v>
      </c>
      <c r="F37" s="28" t="s">
        <v>685</v>
      </c>
      <c r="G37" s="28" t="s">
        <v>685</v>
      </c>
      <c r="H37" s="2">
        <f>MROUND((
  (IF(AND(_xlfn.XLOOKUP(B37,'Base stats'!B:B,'Base stats'!AJ:AJ)=0,BI37="None",_xlfn.XLOOKUP(_xlfn.XLOOKUP(B37,'Base stats'!B:B,'Base stats'!E:E),Groups!A:A,Groups!B:B)=0), (18 + BR37 * 2.7) * 0.5,
    IF(AND(_xlfn.XLOOKUP(B37,'Base stats'!B:B,'Base stats'!AJ:AJ)=0,OR(AO37&lt;0.55,AND(BI37="Intermediate",_xlfn.XLOOKUP(_xlfn.XLOOKUP(B37,'Base stats'!B:B,'Base stats'!E:E),Groups!A:A,Groups!B:B)&lt;2))), (18 + BR37 * 2.7),
      IF(OR(BI37="Advanced",_xlfn.XLOOKUP(B37,'Base stats'!B:B,'Base stats'!AJ:AJ)=1,_xlfn.XLOOKUP(_xlfn.XLOOKUP(B37,'Base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IF(_xlfn.XLOOKUP(_xlfn.XLOOKUP(B37,'Base stats'!B:B,'Base stats'!E:E),Groups!A:A,Groups!C:C)="Untamable",1,IF(_xlfn.XLOOKUP(B37,'Base stats'!B:B,'Base stats'!AJ:AJ)=1,0.99,MIN(MROUND((1-0.6282*EXP(-0.459*AO37))*_xlfn.XLOOKUP(_xlfn.XLOOKUP(B37,'Base stats'!B:B,'Base stats'!E:E),Groups!A:A,Groups!C:C)*IF(_xlfn.XLOOKUP(B37,'Base stats'!B:B,'Base stats'!O:O)=1,0.5,IF(_xlfn.XLOOKUP(B37,'Base stats'!B:B,'Base stats'!O:O)=2,0,1)),0.05),0.985)))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40</v>
      </c>
      <c r="N37" s="8" t="str">
        <f>IF(_xlfn.XLOOKUP(_xlfn.XLOOKUP(B37,'Base stats'!B:B,'Base stats'!E:E),Groups!A:A,Groups!L:L)=1,MIN(MROUND(_xlfn.XLOOKUP(B37,'Animals CE'!B:B,'Animals CE'!Z:Z)/2+0.05,0.05),200%),"No")</f>
        <v>No</v>
      </c>
      <c r="O37" s="8" t="str">
        <f>IF(_xlfn.XLOOKUP(_xlfn.XLOOKUP(B37,'Base stats'!B:B,'Base stats'!E:E),Groups!A:A,Groups!L:L)=1,MIN(MROUND(_xlfn.XLOOKUP(B37,'Animals CE'!B:B,'Animals CE'!AA:AA)/2+0.05,0.05),200%),"No")</f>
        <v>No</v>
      </c>
      <c r="P37" s="2" t="str">
        <f>_xlfn.XLOOKUP(B37,'Base stats'!B:B,'Base stats'!R:R)</f>
        <v>Standard</v>
      </c>
      <c r="Q37" s="13">
        <f>MROUND((LOG10(_xlfn.XLOOKUP(B37,'Base stats'!B:B,'Base stats'!AP:AP))*(AO37^0.5)+(_xlfn.XLOOKUP(B37,'Base stats'!B:B,'Base stats'!AP:AP)/1000)^(2/3)+_xlfn.XLOOKUP(B37,'Base stats'!B:B,'Base stats'!AY:AY)/2)+0.5,0.5)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stats'!AQ:AQ))*(AO37^0.5)+(_xlfn.XLOOKUP(B37,'Base stats'!B:B,'Base stats'!AQ:AQ)/1000)^(2/3)+_xlfn.XLOOKUP(B37,'Base stats'!B:B,'Base stats'!AY:AY))+_xlfn.XLOOKUP(B37,'Base stats'!B:B,'Base stats'!AW:AW)+0.5,0.5))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stats'!AS:AS))*(AO37^0.5)+(_xlfn.XLOOKUP(B37,'Base stats'!B:B,'Base stats'!AS:AS)/1000)^(2/3)+_xlfn.XLOOKUP(B37,'Base stats'!B:B,'Base stats'!AX:AX))+0.5+IF(_xlfn.XLOOKUP(_xlfn.XLOOKUP(B37,'Base stats'!B:B,'Base stats'!E:E),Groups!A:A,Groups!U:U)&lt;&gt;3,_xlfn.XLOOKUP(B37,'Base stats'!B:B,'Base stats'!AY:AY),0),0.5))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stats'!AR:AR)="No","No",MROUND((LOG10(_xlfn.XLOOKUP(B37,'Base stats'!B:B,'Base stats'!AR:AR))*(AO37^0.75)+(_xlfn.XLOOKUP(B37,'Base stats'!B:B,'Base stats'!AR:AR)/1000)^(2/3)+_xlfn.XLOOKUP(B37,'Base stats'!B:B,'Base stats'!AV:AV)+_xlfn.XLOOKUP(B37,'Base stats'!B:B,'Base stats'!AY:AY))+0.5,0.5))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stats'!AQ:AQ))*(AO37^0.75)+(_xlfn.XLOOKUP(B37,'Base stats'!B:B,'Base stats'!AQ:AQ)/1000)^(2/3)+_xlfn.XLOOKUP(B37,'Base stats'!B:B,'Base stats'!AW:AW)+_xlfn.XLOOKUP(B37,'Base stats'!B:B,'Base stats'!AY:AY))+0.5,0.5))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1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IFERROR(IF(_xlfn.XLOOKUP(B37,'Base stats'!B:B,'Base stats'!F:F)="Lay eggs","Lay eggs",MIN(20,MAX(5.5,ROUND(((_xlfn.XLOOKUP(B37,'Base stats'!B:B,'Base stats'!F:F)-25)*(14.5/615) + 5.5)*2,0)/2))),"Cannot breed")</f>
        <v>6.5</v>
      </c>
      <c r="AT37" s="8">
        <f>IF(OR(A37="Queen",A37="Larva",A37="Megachicken",A37="Megatardi",A37="Toxscorpion"),"No",IFERROR(MAX(IF(_xlfn.XLOOKUP(B37,'Base stats'!B:B,'Base stats'!G:G)&lt;0.5,0.2,0.3),MROUND(_xlfn.XLOOKUP(B37,'Base stats'!B:B,'Base stats'!G:G)/(365/60),0.2)),"Unknown"))</f>
        <v>0.2</v>
      </c>
      <c r="AU37" s="8">
        <f t="shared" si="0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_xlfn.XLOOKUP(B37,'Base stats'!B:B,'Base stats'!AF:AF)</f>
        <v>&lt;li&gt;Rat&lt;/li&gt;</v>
      </c>
      <c r="BB37" s="2" t="str">
        <f>_xlfn.XLOOKUP(B37,'Base stats'!B:B,'Base stats'!AE:AE)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stats'!Z:Z)=0),0,IF(OR(_xlfn.XLOOKUP(Animals!B37,'Base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stats'!AA:AA),0.005))</f>
        <v>0</v>
      </c>
      <c r="BE37" s="23">
        <f>MIN(1,MROUND(IF(AND(AO37&lt;0.5,_xlfn.XLOOKUP(B37,'Base stats'!B:B,'Base stats'!Z:Z)=0),0,IF(_xlfn.XLOOKUP(_xlfn.XLOOKUP(B37,'Base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stats'!AB:AB),0.005))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stats'!AL:AL)="Standard","No",MROUND((_xlfn.XLOOKUP(B37,'Base stats'!B:B,'Base stats'!AL:AL)/3.6)/I37,0.1))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stats'!AC:AC)&lt;&gt;"No",_xlfn.XLOOKUP(B37,'Base stats'!B:B,'Base stats'!AC:AC),"")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stats'!AC:AC)&lt;&gt;"No",_xlfn.XLOOKUP(B37,'Base stats'!B:B,'Base stats'!AC:AC),"")
  )
)</f>
        <v>Comfort</v>
      </c>
      <c r="BQ37" s="25" t="str">
        <f>IF(
   AND(
      'Base stats'!AL37="Standard",_xlfn.XLOOKUP(_xlfn.XLOOKUP(B37,'Base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stats'!AT:AT) * 1.8) * 2) * 2.5 + 10 + I37 * 2,5)+IF(_xlfn.XLOOKUP(B37,'Base stats'!B:B,'Base stats'!AI:AI)=1,50,0)</f>
        <v>25</v>
      </c>
      <c r="BS37" s="8">
        <f t="shared" si="5"/>
        <v>0.25</v>
      </c>
      <c r="BT37" s="8" t="str">
        <f>_xlfn.XLOOKUP(B37,'Base stats'!B:B,'Base stats'!AD:AD)</f>
        <v>3~8</v>
      </c>
      <c r="BU37" s="2" t="str">
        <f>IF(AND(J37&lt;=0.95,OR(_xlfn.XLOOKUP(B37,'Base stats'!B:B,'Base stats'!AI:AI)=1,_xlfn.XLOOKUP(B37,'Base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stats'!AG:AG)=1,"true","false")</f>
        <v>false</v>
      </c>
      <c r="BW37" s="25" t="str">
        <f>IF(E37="BaseInsect","AnimalInsect",
IF(J37&gt;0.95,"AnimalExotic",
_xlfn.TEXTJOIN(", ",TRUE,
IF(OR(_xlfn.XLOOKUP(B37,'Base stats'!B:B,'Base stats'!AK:AK)=1,AND(_xlfn.XLOOKUP(B37,'Base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stats'!AI:AI)=1,AND(BI37&lt;&gt;"None",BR37&gt;=60),ISNUMBER(SEARCH("Attack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TropicalRainforest TropicalSwamp Glowforest</v>
      </c>
      <c r="BY37" s="25" t="str">
        <f>IF(_xlfn.XLOOKUP(B37,'Base stats'!B:B,'Base stats'!AH:AH)=1,"true","false")</f>
        <v>false</v>
      </c>
      <c r="BZ37" s="25">
        <f>IF(_xlfn.XLOOKUP(B37,'Base stats'!B:B,'Base stats'!N:N)=1,"No",MAX(0.01,MIN(MROUND(IF(OR(_xlfn.XLOOKUP(B37,'Base stats'!B:B,'Base stats'!AK:AK)=1,AND(BJ37="True",CC37="False")),POWER(10,3.47*LOG10(_xlfn.XLOOKUP(B37,'Base stats'!B:B,'Base stats'!C:C)*1000)^-0.96),POWER(10,4.15*LOG10(_xlfn.XLOOKUP(B37,'Base stats'!B:B,'Base stats'!C:C)*1000)^-0.73))*IF(OR(_xlfn.XLOOKUP(B37,'Base stats'!B:B,'Base stats'!AK:AK)=1,_xlfn.XLOOKUP(B37,'Base stats'!B:B,'Base stats'!AI:AI)=1),0.5,1)/100,0.025),1)))</f>
        <v>0.85000000000000009</v>
      </c>
      <c r="CA37" s="25" t="str">
        <f>IF(P37="Standard","No",MAX(0.01,IF(_xlfn.XLOOKUP(B37,'Base stats'!B:B,'Base stats'!N:N)=0,MROUND(BZ37*P37,0.05),MIN(1,MAX(0.025,MROUND(IF(OR(CC37="true",AND(BJ37="false",BO37="false")),POWER(10,4.15*LOG10(_xlfn.XLOOKUP(B37,'Base stats'!B:B,'Base stats'!C:C)*1000)^-0.73),POWER(10,3.47*LOG10(_xlfn.XLOOKUP(B37,'Base stats'!B:B,'Base stats'!C:C)*1000)^-0.96))*IF(_xlfn.XLOOKUP(B37,'Base stats'!B:B,'Base stats'!AI:AI)=1,0.5,1)/100,0.025))))))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135</v>
      </c>
      <c r="C38" s="28" t="s">
        <v>725</v>
      </c>
      <c r="D38" s="28" t="s">
        <v>45</v>
      </c>
      <c r="E38" s="28" t="s">
        <v>685</v>
      </c>
      <c r="F38" s="28" t="s">
        <v>685</v>
      </c>
      <c r="G38" s="28" t="s">
        <v>685</v>
      </c>
      <c r="H38" s="2">
        <f>MROUND((
  (IF(AND(_xlfn.XLOOKUP(B38,'Base stats'!B:B,'Base stats'!AJ:AJ)=0,BI38="None",_xlfn.XLOOKUP(_xlfn.XLOOKUP(B38,'Base stats'!B:B,'Base stats'!E:E),Groups!A:A,Groups!B:B)=0), (18 + BR38 * 2.7) * 0.5,
    IF(AND(_xlfn.XLOOKUP(B38,'Base stats'!B:B,'Base stats'!AJ:AJ)=0,OR(AO38&lt;0.55,AND(BI38="Intermediate",_xlfn.XLOOKUP(_xlfn.XLOOKUP(B38,'Base stats'!B:B,'Base stats'!E:E),Groups!A:A,Groups!B:B)&lt;2))), (18 + BR38 * 2.7),
      IF(OR(BI38="Advanced",_xlfn.XLOOKUP(B38,'Base stats'!B:B,'Base stats'!AJ:AJ)=1,_xlfn.XLOOKUP(_xlfn.XLOOKUP(B38,'Base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IF(_xlfn.XLOOKUP(_xlfn.XLOOKUP(B38,'Base stats'!B:B,'Base stats'!E:E),Groups!A:A,Groups!C:C)="Untamable",1,IF(_xlfn.XLOOKUP(B38,'Base stats'!B:B,'Base stats'!AJ:AJ)=1,0.99,MIN(MROUND((1-0.6282*EXP(-0.459*AO38))*_xlfn.XLOOKUP(_xlfn.XLOOKUP(B38,'Base stats'!B:B,'Base stats'!E:E),Groups!A:A,Groups!C:C)*IF(_xlfn.XLOOKUP(B38,'Base stats'!B:B,'Base stats'!O:O)=1,0.5,IF(_xlfn.XLOOKUP(B38,'Base stats'!B:B,'Base stats'!O:O)=2,0,1)),0.05),0.985)))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IF(_xlfn.XLOOKUP(_xlfn.XLOOKUP(B38,'Base stats'!B:B,'Base stats'!E:E),Groups!A:A,Groups!L:L)=1,MIN(MROUND(_xlfn.XLOOKUP(B38,'Animals CE'!B:B,'Animals CE'!Z:Z)/2+0.05,0.05),200%),"No")</f>
        <v>No</v>
      </c>
      <c r="O38" s="8" t="str">
        <f>IF(_xlfn.XLOOKUP(_xlfn.XLOOKUP(B38,'Base stats'!B:B,'Base stats'!E:E),Groups!A:A,Groups!L:L)=1,MIN(MROUND(_xlfn.XLOOKUP(B38,'Animals CE'!B:B,'Animals CE'!AA:AA)/2+0.05,0.05),200%),"No")</f>
        <v>No</v>
      </c>
      <c r="P38" s="2" t="str">
        <f>_xlfn.XLOOKUP(B38,'Base stats'!B:B,'Base stats'!R:R)</f>
        <v>Standard</v>
      </c>
      <c r="Q38" s="13">
        <f>MROUND((LOG10(_xlfn.XLOOKUP(B38,'Base stats'!B:B,'Base stats'!AP:AP))*(AO38^0.5)+(_xlfn.XLOOKUP(B38,'Base stats'!B:B,'Base stats'!AP:AP)/1000)^(2/3)+_xlfn.XLOOKUP(B38,'Base stats'!B:B,'Base stats'!AY:AY)/2)+0.5,0.5)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stats'!AQ:AQ))*(AO38^0.5)+(_xlfn.XLOOKUP(B38,'Base stats'!B:B,'Base stats'!AQ:AQ)/1000)^(2/3)+_xlfn.XLOOKUP(B38,'Base stats'!B:B,'Base stats'!AY:AY))+_xlfn.XLOOKUP(B38,'Base stats'!B:B,'Base stats'!AW:AW)+0.5,0.5))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stats'!AS:AS))*(AO38^0.5)+(_xlfn.XLOOKUP(B38,'Base stats'!B:B,'Base stats'!AS:AS)/1000)^(2/3)+_xlfn.XLOOKUP(B38,'Base stats'!B:B,'Base stats'!AX:AX))+0.5+IF(_xlfn.XLOOKUP(_xlfn.XLOOKUP(B38,'Base stats'!B:B,'Base stats'!E:E),Groups!A:A,Groups!U:U)&lt;&gt;3,_xlfn.XLOOKUP(B38,'Base stats'!B:B,'Base stats'!AY:AY),0),0.5))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stats'!AR:AR)="No","No",MROUND((LOG10(_xlfn.XLOOKUP(B38,'Base stats'!B:B,'Base stats'!AR:AR))*(AO38^0.75)+(_xlfn.XLOOKUP(B38,'Base stats'!B:B,'Base stats'!AR:AR)/1000)^(2/3)+_xlfn.XLOOKUP(B38,'Base stats'!B:B,'Base stats'!AV:AV)+_xlfn.XLOOKUP(B38,'Base stats'!B:B,'Base stats'!AY:AY))+0.5,0.5))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stats'!AQ:AQ))*(AO38^0.75)+(_xlfn.XLOOKUP(B38,'Base stats'!B:B,'Base stats'!AQ:AQ)/1000)^(2/3)+_xlfn.XLOOKUP(B38,'Base stats'!B:B,'Base stats'!AW:AW)+_xlfn.XLOOKUP(B38,'Base stats'!B:B,'Base stats'!AY:AY))+0.5,0.5))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1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IFERROR(IF(_xlfn.XLOOKUP(B38,'Base stats'!B:B,'Base stats'!F:F)="Lay eggs","Lay eggs",MIN(20,MAX(5.5,ROUND(((_xlfn.XLOOKUP(B38,'Base stats'!B:B,'Base stats'!F:F)-25)*(14.5/615) + 5.5)*2,0)/2))),"Cannot breed")</f>
        <v>7.5</v>
      </c>
      <c r="AT38" s="8">
        <f>IF(OR(A38="Queen",A38="Larva",A38="Megachicken",A38="Megatardi",A38="Toxscorpion"),"No",IFERROR(MAX(IF(_xlfn.XLOOKUP(B38,'Base stats'!B:B,'Base stats'!G:G)&lt;0.5,0.2,0.3),MROUND(_xlfn.XLOOKUP(B38,'Base stats'!B:B,'Base stats'!G:G)/(365/60),0.2)),"Unknown"))</f>
        <v>0.3</v>
      </c>
      <c r="AU38" s="8">
        <f t="shared" si="0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_xlfn.XLOOKUP(B38,'Base stats'!B:B,'Base stats'!AF:AF)</f>
        <v>&lt;li&gt;Rat&lt;/li&gt;</v>
      </c>
      <c r="BB38" s="2" t="str">
        <f>_xlfn.XLOOKUP(B38,'Base stats'!B:B,'Base stats'!AE:AE)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stats'!Z:Z)=0),0,IF(OR(_xlfn.XLOOKUP(Animals!B38,'Base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stats'!AA:AA),0.005))</f>
        <v>0</v>
      </c>
      <c r="BE38" s="23">
        <f>MIN(1,MROUND(IF(AND(AO38&lt;0.5,_xlfn.XLOOKUP(B38,'Base stats'!B:B,'Base stats'!Z:Z)=0),0,IF(_xlfn.XLOOKUP(_xlfn.XLOOKUP(B38,'Base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stats'!AB:AB),0.005))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stats'!AL:AL)="Standard","No",MROUND((_xlfn.XLOOKUP(B38,'Base stats'!B:B,'Base stats'!AL:AL)/3.6)/I38,0.1))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stats'!AC:AC)&lt;&gt;"No",_xlfn.XLOOKUP(B38,'Base stats'!B:B,'Base stats'!AC:AC),"")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stats'!AC:AC)&lt;&gt;"No",_xlfn.XLOOKUP(B38,'Base stats'!B:B,'Base stats'!AC:AC),"")
  )
)</f>
        <v>Comfort</v>
      </c>
      <c r="BQ38" s="25" t="str">
        <f>IF(
   AND(
      'Base stats'!AL38="Standard",_xlfn.XLOOKUP(_xlfn.XLOOKUP(B38,'Base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stats'!AT:AT) * 1.8) * 2) * 2.5 + 10 + I38 * 2,5)+IF(_xlfn.XLOOKUP(B38,'Base stats'!B:B,'Base stats'!AI:AI)=1,50,0)</f>
        <v>25</v>
      </c>
      <c r="BS38" s="8">
        <f t="shared" si="5"/>
        <v>0.25</v>
      </c>
      <c r="BT38" s="8" t="str">
        <f>_xlfn.XLOOKUP(B38,'Base stats'!B:B,'Base stats'!AD:AD)</f>
        <v>5~15</v>
      </c>
      <c r="BU38" s="2" t="str">
        <f>IF(AND(J38&lt;=0.95,OR(_xlfn.XLOOKUP(B38,'Base stats'!B:B,'Base stats'!AI:AI)=1,_xlfn.XLOOKUP(B38,'Base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stats'!AG:AG)=1,"true","false")</f>
        <v>false</v>
      </c>
      <c r="BW38" s="25" t="str">
        <f>IF(E38="BaseInsect","AnimalInsect",
IF(J38&gt;0.95,"AnimalExotic",
_xlfn.TEXTJOIN(", ",TRUE,
IF(OR(_xlfn.XLOOKUP(B38,'Base stats'!B:B,'Base stats'!AK:AK)=1,AND(_xlfn.XLOOKUP(B38,'Base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stats'!AI:AI)=1,AND(BI38&lt;&gt;"None",BR38&gt;=60),ISNUMBER(SEARCH("Attack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stats'!AH:AH)=1,"true","false")</f>
        <v>false</v>
      </c>
      <c r="BZ38" s="25">
        <f>IF(_xlfn.XLOOKUP(B38,'Base stats'!B:B,'Base stats'!N:N)=1,"No",MAX(0.01,MIN(MROUND(IF(OR(_xlfn.XLOOKUP(B38,'Base stats'!B:B,'Base stats'!AK:AK)=1,AND(BJ38="True",CC38="False")),POWER(10,3.47*LOG10(_xlfn.XLOOKUP(B38,'Base stats'!B:B,'Base stats'!C:C)*1000)^-0.96),POWER(10,4.15*LOG10(_xlfn.XLOOKUP(B38,'Base stats'!B:B,'Base stats'!C:C)*1000)^-0.73))*IF(OR(_xlfn.XLOOKUP(B38,'Base stats'!B:B,'Base stats'!AK:AK)=1,_xlfn.XLOOKUP(B38,'Base stats'!B:B,'Base stats'!AI:AI)=1),0.5,1)/100,0.025),1)))</f>
        <v>0.9</v>
      </c>
      <c r="CA38" s="25" t="str">
        <f>IF(P38="Standard","No",MAX(0.01,IF(_xlfn.XLOOKUP(B38,'Base stats'!B:B,'Base stats'!N:N)=0,MROUND(BZ38*P38,0.05),MIN(1,MAX(0.025,MROUND(IF(OR(CC38="true",AND(BJ38="false",BO38="false")),POWER(10,4.15*LOG10(_xlfn.XLOOKUP(B38,'Base stats'!B:B,'Base stats'!C:C)*1000)^-0.73),POWER(10,3.47*LOG10(_xlfn.XLOOKUP(B38,'Base stats'!B:B,'Base stats'!C:C)*1000)^-0.96))*IF(_xlfn.XLOOKUP(B38,'Base stats'!B:B,'Base stats'!AI:AI)=1,0.5,1)/100,0.025))))))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122</v>
      </c>
      <c r="C39" s="28" t="s">
        <v>726</v>
      </c>
      <c r="D39" s="28" t="s">
        <v>45</v>
      </c>
      <c r="E39" s="28" t="s">
        <v>685</v>
      </c>
      <c r="F39" s="28" t="s">
        <v>685</v>
      </c>
      <c r="G39" s="28" t="s">
        <v>685</v>
      </c>
      <c r="H39" s="2">
        <f>MROUND((
  (IF(AND(_xlfn.XLOOKUP(B39,'Base stats'!B:B,'Base stats'!AJ:AJ)=0,BI39="None",_xlfn.XLOOKUP(_xlfn.XLOOKUP(B39,'Base stats'!B:B,'Base stats'!E:E),Groups!A:A,Groups!B:B)=0), (18 + BR39 * 2.7) * 0.5,
    IF(AND(_xlfn.XLOOKUP(B39,'Base stats'!B:B,'Base stats'!AJ:AJ)=0,OR(AO39&lt;0.55,AND(BI39="Intermediate",_xlfn.XLOOKUP(_xlfn.XLOOKUP(B39,'Base stats'!B:B,'Base stats'!E:E),Groups!A:A,Groups!B:B)&lt;2))), (18 + BR39 * 2.7),
      IF(OR(BI39="Advanced",_xlfn.XLOOKUP(B39,'Base stats'!B:B,'Base stats'!AJ:AJ)=1,_xlfn.XLOOKUP(_xlfn.XLOOKUP(B39,'Base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IF(_xlfn.XLOOKUP(_xlfn.XLOOKUP(B39,'Base stats'!B:B,'Base stats'!E:E),Groups!A:A,Groups!C:C)="Untamable",1,IF(_xlfn.XLOOKUP(B39,'Base stats'!B:B,'Base stats'!AJ:AJ)=1,0.99,MIN(MROUND((1-0.6282*EXP(-0.459*AO39))*_xlfn.XLOOKUP(_xlfn.XLOOKUP(B39,'Base stats'!B:B,'Base stats'!E:E),Groups!A:A,Groups!C:C)*IF(_xlfn.XLOOKUP(B39,'Base stats'!B:B,'Base stats'!O:O)=1,0.5,IF(_xlfn.XLOOKUP(B39,'Base stats'!B:B,'Base stats'!O:O)=2,0,1)),0.05),0.985)))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IF(_xlfn.XLOOKUP(_xlfn.XLOOKUP(B39,'Base stats'!B:B,'Base stats'!E:E),Groups!A:A,Groups!L:L)=1,MIN(MROUND(_xlfn.XLOOKUP(B39,'Animals CE'!B:B,'Animals CE'!Z:Z)/2+0.05,0.05),200%),"No")</f>
        <v>No</v>
      </c>
      <c r="O39" s="8" t="str">
        <f>IF(_xlfn.XLOOKUP(_xlfn.XLOOKUP(B39,'Base stats'!B:B,'Base stats'!E:E),Groups!A:A,Groups!L:L)=1,MIN(MROUND(_xlfn.XLOOKUP(B39,'Animals CE'!B:B,'Animals CE'!AA:AA)/2+0.05,0.05),200%),"No")</f>
        <v>No</v>
      </c>
      <c r="P39" s="2" t="str">
        <f>_xlfn.XLOOKUP(B39,'Base stats'!B:B,'Base stats'!R:R)</f>
        <v>Standard</v>
      </c>
      <c r="Q39" s="13">
        <f>MROUND((LOG10(_xlfn.XLOOKUP(B39,'Base stats'!B:B,'Base stats'!AP:AP))*(AO39^0.5)+(_xlfn.XLOOKUP(B39,'Base stats'!B:B,'Base stats'!AP:AP)/1000)^(2/3)+_xlfn.XLOOKUP(B39,'Base stats'!B:B,'Base stats'!AY:AY)/2)+0.5,0.5)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stats'!AQ:AQ))*(AO39^0.5)+(_xlfn.XLOOKUP(B39,'Base stats'!B:B,'Base stats'!AQ:AQ)/1000)^(2/3)+_xlfn.XLOOKUP(B39,'Base stats'!B:B,'Base stats'!AY:AY))+_xlfn.XLOOKUP(B39,'Base stats'!B:B,'Base stats'!AW:AW)+0.5,0.5))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stats'!AS:AS))*(AO39^0.5)+(_xlfn.XLOOKUP(B39,'Base stats'!B:B,'Base stats'!AS:AS)/1000)^(2/3)+_xlfn.XLOOKUP(B39,'Base stats'!B:B,'Base stats'!AX:AX))+0.5+IF(_xlfn.XLOOKUP(_xlfn.XLOOKUP(B39,'Base stats'!B:B,'Base stats'!E:E),Groups!A:A,Groups!U:U)&lt;&gt;3,_xlfn.XLOOKUP(B39,'Base stats'!B:B,'Base stats'!AY:AY),0),0.5))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stats'!AR:AR)="No","No",MROUND((LOG10(_xlfn.XLOOKUP(B39,'Base stats'!B:B,'Base stats'!AR:AR))*(AO39^0.75)+(_xlfn.XLOOKUP(B39,'Base stats'!B:B,'Base stats'!AR:AR)/1000)^(2/3)+_xlfn.XLOOKUP(B39,'Base stats'!B:B,'Base stats'!AV:AV)+_xlfn.XLOOKUP(B39,'Base stats'!B:B,'Base stats'!AY:AY))+0.5,0.5))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stats'!AQ:AQ))*(AO39^0.75)+(_xlfn.XLOOKUP(B39,'Base stats'!B:B,'Base stats'!AQ:AQ)/1000)^(2/3)+_xlfn.XLOOKUP(B39,'Base stats'!B:B,'Base stats'!AW:AW)+_xlfn.XLOOKUP(B39,'Base stats'!B:B,'Base stats'!AY:AY))+0.5,0.5))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1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IFERROR(IF(_xlfn.XLOOKUP(B39,'Base stats'!B:B,'Base stats'!F:F)="Lay eggs","Lay eggs",MIN(20,MAX(5.5,ROUND(((_xlfn.XLOOKUP(B39,'Base stats'!B:B,'Base stats'!F:F)-25)*(14.5/615) + 5.5)*2,0)/2))),"Cannot breed")</f>
        <v>8.5</v>
      </c>
      <c r="AT39" s="8">
        <f>IF(OR(A39="Queen",A39="Larva",A39="Megachicken",A39="Megatardi",A39="Toxscorpion"),"No",IFERROR(MAX(IF(_xlfn.XLOOKUP(B39,'Base stats'!B:B,'Base stats'!G:G)&lt;0.5,0.2,0.3),MROUND(_xlfn.XLOOKUP(B39,'Base stats'!B:B,'Base stats'!G:G)/(365/60),0.2)),"Unknown"))</f>
        <v>0.3</v>
      </c>
      <c r="AU39" s="8">
        <f t="shared" si="0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_xlfn.XLOOKUP(B39,'Base stats'!B:B,'Base stats'!AF:AF)</f>
        <v>No</v>
      </c>
      <c r="BB39" s="2" t="str">
        <f>_xlfn.XLOOKUP(B39,'Base stats'!B:B,'Base stats'!AE:AE)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stats'!Z:Z)=0),0,IF(OR(_xlfn.XLOOKUP(Animals!B39,'Base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stats'!AA:AA),0.005))</f>
        <v>0</v>
      </c>
      <c r="BE39" s="23">
        <f>MIN(1,MROUND(IF(AND(AO39&lt;0.5,_xlfn.XLOOKUP(B39,'Base stats'!B:B,'Base stats'!Z:Z)=0),0,IF(_xlfn.XLOOKUP(_xlfn.XLOOKUP(B39,'Base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stats'!AB:AB),0.005))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stats'!AL:AL)="Standard","No",MROUND((_xlfn.XLOOKUP(B39,'Base stats'!B:B,'Base stats'!AL:AL)/3.6)/I39,0.1))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stats'!AC:AC)&lt;&gt;"No",_xlfn.XLOOKUP(B39,'Base stats'!B:B,'Base stats'!AC:AC),"")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stats'!AC:AC)&lt;&gt;"No",_xlfn.XLOOKUP(B39,'Base stats'!B:B,'Base stats'!AC:AC),"")
  )
)</f>
        <v>No</v>
      </c>
      <c r="BQ39" s="25">
        <f>IF(
   AND(
      'Base stats'!AL39="Standard",_xlfn.XLOOKUP(_xlfn.XLOOKUP(B39,'Base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stats'!AT:AT) * 1.8) * 2) * 2.5 + 10 + I39 * 2,5)+IF(_xlfn.XLOOKUP(B39,'Base stats'!B:B,'Base stats'!AI:AI)=1,50,0)</f>
        <v>80</v>
      </c>
      <c r="BS39" s="8">
        <f t="shared" si="5"/>
        <v>0.60000000000000009</v>
      </c>
      <c r="BT39" s="8" t="str">
        <f>_xlfn.XLOOKUP(B39,'Base stats'!B:B,'Base stats'!AD:AD)</f>
        <v>5~15</v>
      </c>
      <c r="BU39" s="2" t="str">
        <f>IF(AND(J39&lt;=0.95,OR(_xlfn.XLOOKUP(B39,'Base stats'!B:B,'Base stats'!AI:AI)=1,_xlfn.XLOOKUP(B39,'Base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stats'!AG:AG)=1,"true","false")</f>
        <v>false</v>
      </c>
      <c r="BW39" s="25" t="str">
        <f>IF(E39="BaseInsect","AnimalInsect",
IF(J39&gt;0.95,"AnimalExotic",
_xlfn.TEXTJOIN(", ",TRUE,
IF(OR(_xlfn.XLOOKUP(B39,'Base stats'!B:B,'Base stats'!AK:AK)=1,AND(_xlfn.XLOOKUP(B39,'Base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stats'!AI:AI)=1,AND(BI39&lt;&gt;"None",BR39&gt;=60),ISNUMBER(SEARCH("Attack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stats'!AH:AH)=1,"true","false")</f>
        <v>false</v>
      </c>
      <c r="BZ39" s="25">
        <f>IF(_xlfn.XLOOKUP(B39,'Base stats'!B:B,'Base stats'!N:N)=1,"No",MAX(0.01,MIN(MROUND(IF(OR(_xlfn.XLOOKUP(B39,'Base stats'!B:B,'Base stats'!AK:AK)=1,AND(BJ39="True",CC39="False")),POWER(10,3.47*LOG10(_xlfn.XLOOKUP(B39,'Base stats'!B:B,'Base stats'!C:C)*1000)^-0.96),POWER(10,4.15*LOG10(_xlfn.XLOOKUP(B39,'Base stats'!B:B,'Base stats'!C:C)*1000)^-0.73))*IF(OR(_xlfn.XLOOKUP(B39,'Base stats'!B:B,'Base stats'!AK:AK)=1,_xlfn.XLOOKUP(B39,'Base stats'!B:B,'Base stats'!AI:AI)=1),0.5,1)/100,0.025),1)))</f>
        <v>0.22500000000000001</v>
      </c>
      <c r="CA39" s="25" t="str">
        <f>IF(P39="Standard","No",MAX(0.01,IF(_xlfn.XLOOKUP(B39,'Base stats'!B:B,'Base stats'!N:N)=0,MROUND(BZ39*P39,0.05),MIN(1,MAX(0.025,MROUND(IF(OR(CC39="true",AND(BJ39="false",BO39="false")),POWER(10,4.15*LOG10(_xlfn.XLOOKUP(B39,'Base stats'!B:B,'Base stats'!C:C)*1000)^-0.73),POWER(10,3.47*LOG10(_xlfn.XLOOKUP(B39,'Base stats'!B:B,'Base stats'!C:C)*1000)^-0.96))*IF(_xlfn.XLOOKUP(B39,'Base stats'!B:B,'Base stats'!AI:AI)=1,0.5,1)/100,0.025))))))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125</v>
      </c>
      <c r="C40" s="28" t="s">
        <v>727</v>
      </c>
      <c r="D40" s="28" t="s">
        <v>45</v>
      </c>
      <c r="E40" s="28" t="s">
        <v>685</v>
      </c>
      <c r="F40" s="28" t="s">
        <v>685</v>
      </c>
      <c r="G40" s="28" t="s">
        <v>685</v>
      </c>
      <c r="H40" s="2">
        <f>MROUND((
  (IF(AND(_xlfn.XLOOKUP(B40,'Base stats'!B:B,'Base stats'!AJ:AJ)=0,BI40="None",_xlfn.XLOOKUP(_xlfn.XLOOKUP(B40,'Base stats'!B:B,'Base stats'!E:E),Groups!A:A,Groups!B:B)=0), (18 + BR40 * 2.7) * 0.5,
    IF(AND(_xlfn.XLOOKUP(B40,'Base stats'!B:B,'Base stats'!AJ:AJ)=0,OR(AO40&lt;0.55,AND(BI40="Intermediate",_xlfn.XLOOKUP(_xlfn.XLOOKUP(B40,'Base stats'!B:B,'Base stats'!E:E),Groups!A:A,Groups!B:B)&lt;2))), (18 + BR40 * 2.7),
      IF(OR(BI40="Advanced",_xlfn.XLOOKUP(B40,'Base stats'!B:B,'Base stats'!AJ:AJ)=1,_xlfn.XLOOKUP(_xlfn.XLOOKUP(B40,'Base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IF(_xlfn.XLOOKUP(_xlfn.XLOOKUP(B40,'Base stats'!B:B,'Base stats'!E:E),Groups!A:A,Groups!C:C)="Untamable",1,IF(_xlfn.XLOOKUP(B40,'Base stats'!B:B,'Base stats'!AJ:AJ)=1,0.99,MIN(MROUND((1-0.6282*EXP(-0.459*AO40))*_xlfn.XLOOKUP(_xlfn.XLOOKUP(B40,'Base stats'!B:B,'Base stats'!E:E),Groups!A:A,Groups!C:C)*IF(_xlfn.XLOOKUP(B40,'Base stats'!B:B,'Base stats'!O:O)=1,0.5,IF(_xlfn.XLOOKUP(B40,'Base stats'!B:B,'Base stats'!O:O)=2,0,1)),0.05),0.985)))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IF(_xlfn.XLOOKUP(_xlfn.XLOOKUP(B40,'Base stats'!B:B,'Base stats'!E:E),Groups!A:A,Groups!L:L)=1,MIN(MROUND(_xlfn.XLOOKUP(B40,'Animals CE'!B:B,'Animals CE'!Z:Z)/2+0.05,0.05),200%),"No")</f>
        <v>No</v>
      </c>
      <c r="O40" s="8" t="str">
        <f>IF(_xlfn.XLOOKUP(_xlfn.XLOOKUP(B40,'Base stats'!B:B,'Base stats'!E:E),Groups!A:A,Groups!L:L)=1,MIN(MROUND(_xlfn.XLOOKUP(B40,'Animals CE'!B:B,'Animals CE'!AA:AA)/2+0.05,0.05),200%),"No")</f>
        <v>No</v>
      </c>
      <c r="P40" s="2" t="str">
        <f>_xlfn.XLOOKUP(B40,'Base stats'!B:B,'Base stats'!R:R)</f>
        <v>Standard</v>
      </c>
      <c r="Q40" s="13">
        <f>MROUND((LOG10(_xlfn.XLOOKUP(B40,'Base stats'!B:B,'Base stats'!AP:AP))*(AO40^0.5)+(_xlfn.XLOOKUP(B40,'Base stats'!B:B,'Base stats'!AP:AP)/1000)^(2/3)+_xlfn.XLOOKUP(B40,'Base stats'!B:B,'Base stats'!AY:AY)/2)+0.5,0.5)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stats'!AQ:AQ))*(AO40^0.5)+(_xlfn.XLOOKUP(B40,'Base stats'!B:B,'Base stats'!AQ:AQ)/1000)^(2/3)+_xlfn.XLOOKUP(B40,'Base stats'!B:B,'Base stats'!AY:AY))+_xlfn.XLOOKUP(B40,'Base stats'!B:B,'Base stats'!AW:AW)+0.5,0.5))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stats'!AS:AS))*(AO40^0.5)+(_xlfn.XLOOKUP(B40,'Base stats'!B:B,'Base stats'!AS:AS)/1000)^(2/3)+_xlfn.XLOOKUP(B40,'Base stats'!B:B,'Base stats'!AX:AX))+0.5+IF(_xlfn.XLOOKUP(_xlfn.XLOOKUP(B40,'Base stats'!B:B,'Base stats'!E:E),Groups!A:A,Groups!U:U)&lt;&gt;3,_xlfn.XLOOKUP(B40,'Base stats'!B:B,'Base stats'!AY:AY),0),0.5))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stats'!AR:AR)="No","No",MROUND((LOG10(_xlfn.XLOOKUP(B40,'Base stats'!B:B,'Base stats'!AR:AR))*(AO40^0.75)+(_xlfn.XLOOKUP(B40,'Base stats'!B:B,'Base stats'!AR:AR)/1000)^(2/3)+_xlfn.XLOOKUP(B40,'Base stats'!B:B,'Base stats'!AV:AV)+_xlfn.XLOOKUP(B40,'Base stats'!B:B,'Base stats'!AY:AY))+0.5,0.5))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stats'!AQ:AQ))*(AO40^0.75)+(_xlfn.XLOOKUP(B40,'Base stats'!B:B,'Base stats'!AQ:AQ)/1000)^(2/3)+_xlfn.XLOOKUP(B40,'Base stats'!B:B,'Base stats'!AW:AW)+_xlfn.XLOOKUP(B40,'Base stats'!B:B,'Base stats'!AY:AY))+0.5,0.5))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1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IFERROR(IF(_xlfn.XLOOKUP(B40,'Base stats'!B:B,'Base stats'!F:F)="Lay eggs","Lay eggs",MIN(20,MAX(5.5,ROUND(((_xlfn.XLOOKUP(B40,'Base stats'!B:B,'Base stats'!F:F)-25)*(14.5/615) + 5.5)*2,0)/2))),"Cannot breed")</f>
        <v>8</v>
      </c>
      <c r="AT40" s="8">
        <f>IF(OR(A40="Queen",A40="Larva",A40="Megachicken",A40="Megatardi",A40="Toxscorpion"),"No",IFERROR(MAX(IF(_xlfn.XLOOKUP(B40,'Base stats'!B:B,'Base stats'!G:G)&lt;0.5,0.2,0.3),MROUND(_xlfn.XLOOKUP(B40,'Base stats'!B:B,'Base stats'!G:G)/(365/60),0.2)),"Unknown"))</f>
        <v>0.3</v>
      </c>
      <c r="AU40" s="8">
        <f t="shared" si="0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_xlfn.XLOOKUP(B40,'Base stats'!B:B,'Base stats'!AF:AF)</f>
        <v>No</v>
      </c>
      <c r="BB40" s="2" t="str">
        <f>_xlfn.XLOOKUP(B40,'Base stats'!B:B,'Base stats'!AE:AE)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stats'!Z:Z)=0),0,IF(OR(_xlfn.XLOOKUP(Animals!B40,'Base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stats'!AA:AA),0.005))</f>
        <v>0</v>
      </c>
      <c r="BE40" s="23">
        <f>MIN(1,MROUND(IF(AND(AO40&lt;0.5,_xlfn.XLOOKUP(B40,'Base stats'!B:B,'Base stats'!Z:Z)=0),0,IF(_xlfn.XLOOKUP(_xlfn.XLOOKUP(B40,'Base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stats'!AB:AB),0.005))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stats'!AL:AL)="Standard","No",MROUND((_xlfn.XLOOKUP(B40,'Base stats'!B:B,'Base stats'!AL:AL)/3.6)/I40,0.1))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stats'!AC:AC)&lt;&gt;"No",_xlfn.XLOOKUP(B40,'Base stats'!B:B,'Base stats'!AC:AC),"")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stats'!AC:AC)&lt;&gt;"No",_xlfn.XLOOKUP(B40,'Base stats'!B:B,'Base stats'!AC:AC),"")
  )
)</f>
        <v>No</v>
      </c>
      <c r="BQ40" s="25">
        <f>IF(
   AND(
      'Base stats'!AL40="Standard",_xlfn.XLOOKUP(_xlfn.XLOOKUP(B40,'Base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stats'!AT:AT) * 1.8) * 2) * 2.5 + 10 + I40 * 2,5)+IF(_xlfn.XLOOKUP(B40,'Base stats'!B:B,'Base stats'!AI:AI)=1,50,0)</f>
        <v>60</v>
      </c>
      <c r="BS40" s="8">
        <f t="shared" si="5"/>
        <v>0.55000000000000004</v>
      </c>
      <c r="BT40" s="8" t="str">
        <f>_xlfn.XLOOKUP(B40,'Base stats'!B:B,'Base stats'!AD:AD)</f>
        <v>3~10</v>
      </c>
      <c r="BU40" s="2" t="str">
        <f>IF(AND(J40&lt;=0.95,OR(_xlfn.XLOOKUP(B40,'Base stats'!B:B,'Base stats'!AI:AI)=1,_xlfn.XLOOKUP(B40,'Base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stats'!AG:AG)=1,"true","false")</f>
        <v>false</v>
      </c>
      <c r="BW40" s="25" t="str">
        <f>IF(E40="BaseInsect","AnimalInsect",
IF(J40&gt;0.95,"AnimalExotic",
_xlfn.TEXTJOIN(", ",TRUE,
IF(OR(_xlfn.XLOOKUP(B40,'Base stats'!B:B,'Base stats'!AK:AK)=1,AND(_xlfn.XLOOKUP(B40,'Base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stats'!AI:AI)=1,AND(BI40&lt;&gt;"None",BR40&gt;=60),ISNUMBER(SEARCH("Attack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stats'!AH:AH)=1,"true","false")</f>
        <v>false</v>
      </c>
      <c r="BZ40" s="25">
        <f>IF(_xlfn.XLOOKUP(B40,'Base stats'!B:B,'Base stats'!N:N)=1,"No",MAX(0.01,MIN(MROUND(IF(OR(_xlfn.XLOOKUP(B40,'Base stats'!B:B,'Base stats'!AK:AK)=1,AND(BJ40="True",CC40="False")),POWER(10,3.47*LOG10(_xlfn.XLOOKUP(B40,'Base stats'!B:B,'Base stats'!C:C)*1000)^-0.96),POWER(10,4.15*LOG10(_xlfn.XLOOKUP(B40,'Base stats'!B:B,'Base stats'!C:C)*1000)^-0.73))*IF(OR(_xlfn.XLOOKUP(B40,'Base stats'!B:B,'Base stats'!AK:AK)=1,_xlfn.XLOOKUP(B40,'Base stats'!B:B,'Base stats'!AI:AI)=1),0.5,1)/100,0.025),1)))</f>
        <v>0.22500000000000001</v>
      </c>
      <c r="CA40" s="25" t="str">
        <f>IF(P40="Standard","No",MAX(0.01,IF(_xlfn.XLOOKUP(B40,'Base stats'!B:B,'Base stats'!N:N)=0,MROUND(BZ40*P40,0.05),MIN(1,MAX(0.025,MROUND(IF(OR(CC40="true",AND(BJ40="false",BO40="false")),POWER(10,4.15*LOG10(_xlfn.XLOOKUP(B40,'Base stats'!B:B,'Base stats'!C:C)*1000)^-0.73),POWER(10,3.47*LOG10(_xlfn.XLOOKUP(B40,'Base stats'!B:B,'Base stats'!C:C)*1000)^-0.96))*IF(_xlfn.XLOOKUP(B40,'Base stats'!B:B,'Base stats'!AI:AI)=1,0.5,1)/100,0.025))))))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127</v>
      </c>
      <c r="C41" s="28" t="s">
        <v>728</v>
      </c>
      <c r="D41" s="28" t="s">
        <v>45</v>
      </c>
      <c r="E41" s="28" t="s">
        <v>685</v>
      </c>
      <c r="F41" s="28" t="s">
        <v>685</v>
      </c>
      <c r="G41" s="28" t="s">
        <v>685</v>
      </c>
      <c r="H41" s="2">
        <f>MROUND((
  (IF(AND(_xlfn.XLOOKUP(B41,'Base stats'!B:B,'Base stats'!AJ:AJ)=0,BI41="None",_xlfn.XLOOKUP(_xlfn.XLOOKUP(B41,'Base stats'!B:B,'Base stats'!E:E),Groups!A:A,Groups!B:B)=0), (18 + BR41 * 2.7) * 0.5,
    IF(AND(_xlfn.XLOOKUP(B41,'Base stats'!B:B,'Base stats'!AJ:AJ)=0,OR(AO41&lt;0.55,AND(BI41="Intermediate",_xlfn.XLOOKUP(_xlfn.XLOOKUP(B41,'Base stats'!B:B,'Base stats'!E:E),Groups!A:A,Groups!B:B)&lt;2))), (18 + BR41 * 2.7),
      IF(OR(BI41="Advanced",_xlfn.XLOOKUP(B41,'Base stats'!B:B,'Base stats'!AJ:AJ)=1,_xlfn.XLOOKUP(_xlfn.XLOOKUP(B41,'Base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IF(_xlfn.XLOOKUP(_xlfn.XLOOKUP(B41,'Base stats'!B:B,'Base stats'!E:E),Groups!A:A,Groups!C:C)="Untamable",1,IF(_xlfn.XLOOKUP(B41,'Base stats'!B:B,'Base stats'!AJ:AJ)=1,0.99,MIN(MROUND((1-0.6282*EXP(-0.459*AO41))*_xlfn.XLOOKUP(_xlfn.XLOOKUP(B41,'Base stats'!B:B,'Base stats'!E:E),Groups!A:A,Groups!C:C)*IF(_xlfn.XLOOKUP(B41,'Base stats'!B:B,'Base stats'!O:O)=1,0.5,IF(_xlfn.XLOOKUP(B41,'Base stats'!B:B,'Base stats'!O:O)=2,0,1)),0.05),0.985)))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IF(_xlfn.XLOOKUP(_xlfn.XLOOKUP(B41,'Base stats'!B:B,'Base stats'!E:E),Groups!A:A,Groups!L:L)=1,MIN(MROUND(_xlfn.XLOOKUP(B41,'Animals CE'!B:B,'Animals CE'!Z:Z)/2+0.05,0.05),200%),"No")</f>
        <v>No</v>
      </c>
      <c r="O41" s="8" t="str">
        <f>IF(_xlfn.XLOOKUP(_xlfn.XLOOKUP(B41,'Base stats'!B:B,'Base stats'!E:E),Groups!A:A,Groups!L:L)=1,MIN(MROUND(_xlfn.XLOOKUP(B41,'Animals CE'!B:B,'Animals CE'!AA:AA)/2+0.05,0.05),200%),"No")</f>
        <v>No</v>
      </c>
      <c r="P41" s="2">
        <f>_xlfn.XLOOKUP(B41,'Base stats'!B:B,'Base stats'!R:R)</f>
        <v>0.9</v>
      </c>
      <c r="Q41" s="13">
        <f>MROUND((LOG10(_xlfn.XLOOKUP(B41,'Base stats'!B:B,'Base stats'!AP:AP))*(AO41^0.5)+(_xlfn.XLOOKUP(B41,'Base stats'!B:B,'Base stats'!AP:AP)/1000)^(2/3)+_xlfn.XLOOKUP(B41,'Base stats'!B:B,'Base stats'!AY:AY)/2)+0.5,0.5)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stats'!AQ:AQ))*(AO41^0.5)+(_xlfn.XLOOKUP(B41,'Base stats'!B:B,'Base stats'!AQ:AQ)/1000)^(2/3)+_xlfn.XLOOKUP(B41,'Base stats'!B:B,'Base stats'!AY:AY))+_xlfn.XLOOKUP(B41,'Base stats'!B:B,'Base stats'!AW:AW)+0.5,0.5))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stats'!AS:AS))*(AO41^0.5)+(_xlfn.XLOOKUP(B41,'Base stats'!B:B,'Base stats'!AS:AS)/1000)^(2/3)+_xlfn.XLOOKUP(B41,'Base stats'!B:B,'Base stats'!AX:AX))+0.5+IF(_xlfn.XLOOKUP(_xlfn.XLOOKUP(B41,'Base stats'!B:B,'Base stats'!E:E),Groups!A:A,Groups!U:U)&lt;&gt;3,_xlfn.XLOOKUP(B41,'Base stats'!B:B,'Base stats'!AY:AY),0),0.5))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stats'!AR:AR)="No","No",MROUND((LOG10(_xlfn.XLOOKUP(B41,'Base stats'!B:B,'Base stats'!AR:AR))*(AO41^0.75)+(_xlfn.XLOOKUP(B41,'Base stats'!B:B,'Base stats'!AR:AR)/1000)^(2/3)+_xlfn.XLOOKUP(B41,'Base stats'!B:B,'Base stats'!AV:AV)+_xlfn.XLOOKUP(B41,'Base stats'!B:B,'Base stats'!AY:AY))+0.5,0.5))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stats'!AQ:AQ))*(AO41^0.75)+(_xlfn.XLOOKUP(B41,'Base stats'!B:B,'Base stats'!AQ:AQ)/1000)^(2/3)+_xlfn.XLOOKUP(B41,'Base stats'!B:B,'Base stats'!AW:AW)+_xlfn.XLOOKUP(B41,'Base stats'!B:B,'Base stats'!AY:AY))+0.5,0.5))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1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IFERROR(IF(_xlfn.XLOOKUP(B41,'Base stats'!B:B,'Base stats'!F:F)="Lay eggs","Lay eggs",MIN(20,MAX(5.5,ROUND(((_xlfn.XLOOKUP(B41,'Base stats'!B:B,'Base stats'!F:F)-25)*(14.5/615) + 5.5)*2,0)/2))),"Cannot breed")</f>
        <v>7</v>
      </c>
      <c r="AT41" s="8">
        <f>IF(OR(A41="Queen",A41="Larva",A41="Megachicken",A41="Megatardi",A41="Toxscorpion"),"No",IFERROR(MAX(IF(_xlfn.XLOOKUP(B41,'Base stats'!B:B,'Base stats'!G:G)&lt;0.5,0.2,0.3),MROUND(_xlfn.XLOOKUP(B41,'Base stats'!B:B,'Base stats'!G:G)/(365/60),0.2)),"Unknown"))</f>
        <v>0.3</v>
      </c>
      <c r="AU41" s="8">
        <f t="shared" si="0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_xlfn.XLOOKUP(B41,'Base stats'!B:B,'Base stats'!AF:AF)</f>
        <v>&lt;li&gt;Rat&lt;/li&gt;</v>
      </c>
      <c r="BB41" s="2" t="str">
        <f>_xlfn.XLOOKUP(B41,'Base stats'!B:B,'Base stats'!AE:AE)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stats'!Z:Z)=0),0,IF(OR(_xlfn.XLOOKUP(Animals!B41,'Base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stats'!AA:AA),0.005))</f>
        <v>0.1</v>
      </c>
      <c r="BE41" s="23">
        <f>MIN(1,MROUND(IF(AND(AO41&lt;0.5,_xlfn.XLOOKUP(B41,'Base stats'!B:B,'Base stats'!Z:Z)=0),0,IF(_xlfn.XLOOKUP(_xlfn.XLOOKUP(B41,'Base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stats'!AB:AB),0.005))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stats'!AL:AL)="Standard","No",MROUND((_xlfn.XLOOKUP(B41,'Base stats'!B:B,'Base stats'!AL:AL)/3.6)/I41,0.1))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stats'!AC:AC)&lt;&gt;"No",_xlfn.XLOOKUP(B41,'Base stats'!B:B,'Base stats'!AC:AC),"")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stats'!AC:AC)&lt;&gt;"No",_xlfn.XLOOKUP(B41,'Base stats'!B:B,'Base stats'!AC:AC),"")
  )
)</f>
        <v>Forage, Comfort</v>
      </c>
      <c r="BQ41" s="25" t="str">
        <f>IF(
   AND(
      'Base stats'!AL41="Standard",_xlfn.XLOOKUP(_xlfn.XLOOKUP(B41,'Base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stats'!AT:AT) * 1.8) * 2) * 2.5 + 10 + I41 * 2,5)+IF(_xlfn.XLOOKUP(B41,'Base stats'!B:B,'Base stats'!AI:AI)=1,50,0)</f>
        <v>100</v>
      </c>
      <c r="BS41" s="8">
        <f t="shared" si="5"/>
        <v>0.35000000000000003</v>
      </c>
      <c r="BT41" s="8" t="str">
        <f>_xlfn.XLOOKUP(B41,'Base stats'!B:B,'Base stats'!AD:AD)</f>
        <v>No</v>
      </c>
      <c r="BU41" s="2" t="str">
        <f>IF(AND(J41&lt;=0.95,OR(_xlfn.XLOOKUP(B41,'Base stats'!B:B,'Base stats'!AI:AI)=1,_xlfn.XLOOKUP(B41,'Base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stats'!AG:AG)=1,"true","false")</f>
        <v>false</v>
      </c>
      <c r="BW41" s="25" t="str">
        <f>IF(E41="BaseInsect","AnimalInsect",
IF(J41&gt;0.95,"AnimalExotic",
_xlfn.TEXTJOIN(", ",TRUE,
IF(OR(_xlfn.XLOOKUP(B41,'Base stats'!B:B,'Base stats'!AK:AK)=1,AND(_xlfn.XLOOKUP(B41,'Base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stats'!AI:AI)=1,AND(BI41&lt;&gt;"None",BR41&gt;=60),ISNUMBER(SEARCH("Attack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stats'!AH:AH)=1,"true","false")</f>
        <v>false</v>
      </c>
      <c r="BZ41" s="25">
        <f>IF(_xlfn.XLOOKUP(B41,'Base stats'!B:B,'Base stats'!N:N)=1,"No",MAX(0.01,MIN(MROUND(IF(OR(_xlfn.XLOOKUP(B41,'Base stats'!B:B,'Base stats'!AK:AK)=1,AND(BJ41="True",CC41="False")),POWER(10,3.47*LOG10(_xlfn.XLOOKUP(B41,'Base stats'!B:B,'Base stats'!C:C)*1000)^-0.96),POWER(10,4.15*LOG10(_xlfn.XLOOKUP(B41,'Base stats'!B:B,'Base stats'!C:C)*1000)^-0.73))*IF(OR(_xlfn.XLOOKUP(B41,'Base stats'!B:B,'Base stats'!AK:AK)=1,_xlfn.XLOOKUP(B41,'Base stats'!B:B,'Base stats'!AI:AI)=1),0.5,1)/100,0.025),1)))</f>
        <v>0.15000000000000002</v>
      </c>
      <c r="CA41" s="25">
        <f>IF(P41="Standard","No",MAX(0.01,IF(_xlfn.XLOOKUP(B41,'Base stats'!B:B,'Base stats'!N:N)=0,MROUND(BZ41*P41,0.05),MIN(1,MAX(0.025,MROUND(IF(OR(CC41="true",AND(BJ41="false",BO41="false")),POWER(10,4.15*LOG10(_xlfn.XLOOKUP(B41,'Base stats'!B:B,'Base stats'!C:C)*1000)^-0.73),POWER(10,3.47*LOG10(_xlfn.XLOOKUP(B41,'Base stats'!B:B,'Base stats'!C:C)*1000)^-0.96))*IF(_xlfn.XLOOKUP(B41,'Base stats'!B:B,'Base stats'!AI:AI)=1,0.5,1)/100,0.025))))))</f>
        <v>0.15000000000000002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143</v>
      </c>
      <c r="C42" s="28" t="s">
        <v>729</v>
      </c>
      <c r="D42" s="28" t="s">
        <v>45</v>
      </c>
      <c r="E42" s="28" t="s">
        <v>685</v>
      </c>
      <c r="F42" s="28" t="s">
        <v>685</v>
      </c>
      <c r="G42" s="28" t="s">
        <v>685</v>
      </c>
      <c r="H42" s="2">
        <f>MROUND((
  (IF(AND(_xlfn.XLOOKUP(B42,'Base stats'!B:B,'Base stats'!AJ:AJ)=0,BI42="None",_xlfn.XLOOKUP(_xlfn.XLOOKUP(B42,'Base stats'!B:B,'Base stats'!E:E),Groups!A:A,Groups!B:B)=0), (18 + BR42 * 2.7) * 0.5,
    IF(AND(_xlfn.XLOOKUP(B42,'Base stats'!B:B,'Base stats'!AJ:AJ)=0,OR(AO42&lt;0.55,AND(BI42="Intermediate",_xlfn.XLOOKUP(_xlfn.XLOOKUP(B42,'Base stats'!B:B,'Base stats'!E:E),Groups!A:A,Groups!B:B)&lt;2))), (18 + BR42 * 2.7),
      IF(OR(BI42="Advanced",_xlfn.XLOOKUP(B42,'Base stats'!B:B,'Base stats'!AJ:AJ)=1,_xlfn.XLOOKUP(_xlfn.XLOOKUP(B42,'Base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IF(_xlfn.XLOOKUP(_xlfn.XLOOKUP(B42,'Base stats'!B:B,'Base stats'!E:E),Groups!A:A,Groups!C:C)="Untamable",1,IF(_xlfn.XLOOKUP(B42,'Base stats'!B:B,'Base stats'!AJ:AJ)=1,0.99,MIN(MROUND((1-0.6282*EXP(-0.459*AO42))*_xlfn.XLOOKUP(_xlfn.XLOOKUP(B42,'Base stats'!B:B,'Base stats'!E:E),Groups!A:A,Groups!C:C)*IF(_xlfn.XLOOKUP(B42,'Base stats'!B:B,'Base stats'!O:O)=1,0.5,IF(_xlfn.XLOOKUP(B42,'Base stats'!B:B,'Base stats'!O:O)=2,0,1)),0.05),0.985)))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IF(_xlfn.XLOOKUP(_xlfn.XLOOKUP(B42,'Base stats'!B:B,'Base stats'!E:E),Groups!A:A,Groups!L:L)=1,MIN(MROUND(_xlfn.XLOOKUP(B42,'Animals CE'!B:B,'Animals CE'!Z:Z)/2+0.05,0.05),200%),"No")</f>
        <v>No</v>
      </c>
      <c r="O42" s="8" t="str">
        <f>IF(_xlfn.XLOOKUP(_xlfn.XLOOKUP(B42,'Base stats'!B:B,'Base stats'!E:E),Groups!A:A,Groups!L:L)=1,MIN(MROUND(_xlfn.XLOOKUP(B42,'Animals CE'!B:B,'Animals CE'!AA:AA)/2+0.05,0.05),200%),"No")</f>
        <v>No</v>
      </c>
      <c r="P42" s="2" t="str">
        <f>_xlfn.XLOOKUP(B42,'Base stats'!B:B,'Base stats'!R:R)</f>
        <v>Standard</v>
      </c>
      <c r="Q42" s="13">
        <f>MROUND((LOG10(_xlfn.XLOOKUP(B42,'Base stats'!B:B,'Base stats'!AP:AP))*(AO42^0.5)+(_xlfn.XLOOKUP(B42,'Base stats'!B:B,'Base stats'!AP:AP)/1000)^(2/3)+_xlfn.XLOOKUP(B42,'Base stats'!B:B,'Base stats'!AY:AY)/2)+0.5,0.5)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stats'!AQ:AQ))*(AO42^0.5)+(_xlfn.XLOOKUP(B42,'Base stats'!B:B,'Base stats'!AQ:AQ)/1000)^(2/3)+_xlfn.XLOOKUP(B42,'Base stats'!B:B,'Base stats'!AY:AY))+_xlfn.XLOOKUP(B42,'Base stats'!B:B,'Base stats'!AW:AW)+0.5,0.5))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stats'!AS:AS))*(AO42^0.5)+(_xlfn.XLOOKUP(B42,'Base stats'!B:B,'Base stats'!AS:AS)/1000)^(2/3)+_xlfn.XLOOKUP(B42,'Base stats'!B:B,'Base stats'!AX:AX))+0.5+IF(_xlfn.XLOOKUP(_xlfn.XLOOKUP(B42,'Base stats'!B:B,'Base stats'!E:E),Groups!A:A,Groups!U:U)&lt;&gt;3,_xlfn.XLOOKUP(B42,'Base stats'!B:B,'Base stats'!AY:AY),0),0.5))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stats'!AR:AR)="No","No",MROUND((LOG10(_xlfn.XLOOKUP(B42,'Base stats'!B:B,'Base stats'!AR:AR))*(AO42^0.75)+(_xlfn.XLOOKUP(B42,'Base stats'!B:B,'Base stats'!AR:AR)/1000)^(2/3)+_xlfn.XLOOKUP(B42,'Base stats'!B:B,'Base stats'!AV:AV)+_xlfn.XLOOKUP(B42,'Base stats'!B:B,'Base stats'!AY:AY))+0.5,0.5))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stats'!AQ:AQ))*(AO42^0.75)+(_xlfn.XLOOKUP(B42,'Base stats'!B:B,'Base stats'!AQ:AQ)/1000)^(2/3)+_xlfn.XLOOKUP(B42,'Base stats'!B:B,'Base stats'!AW:AW)+_xlfn.XLOOKUP(B42,'Base stats'!B:B,'Base stats'!AY:AY))+0.5,0.5))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1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IFERROR(IF(_xlfn.XLOOKUP(B42,'Base stats'!B:B,'Base stats'!F:F)="Lay eggs","Lay eggs",MIN(20,MAX(5.5,ROUND(((_xlfn.XLOOKUP(B42,'Base stats'!B:B,'Base stats'!F:F)-25)*(14.5/615) + 5.5)*2,0)/2))),"Cannot breed")</f>
        <v>11.5</v>
      </c>
      <c r="AT42" s="8">
        <f>IF(OR(A42="Queen",A42="Larva",A42="Megachicken",A42="Megatardi",A42="Toxscorpion"),"No",IFERROR(MAX(IF(_xlfn.XLOOKUP(B42,'Base stats'!B:B,'Base stats'!G:G)&lt;0.5,0.2,0.3),MROUND(_xlfn.XLOOKUP(B42,'Base stats'!B:B,'Base stats'!G:G)/(365/60),0.2)),"Unknown"))</f>
        <v>0.4</v>
      </c>
      <c r="AU42" s="8">
        <f t="shared" si="0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_xlfn.XLOOKUP(B42,'Base stats'!B:B,'Base stats'!AF:AF)</f>
        <v>No</v>
      </c>
      <c r="BB42" s="2" t="str">
        <f>_xlfn.XLOOKUP(B42,'Base stats'!B:B,'Base stats'!AE:AE)</f>
        <v>Leather_Plain</v>
      </c>
      <c r="BC42" s="23" t="str">
        <f>_xlfn.XLOOKUP(_xlfn.XLOOKUP(B42,'Base stats'!B:B,'Base stats'!E:E),Groups!A:A,Groups!AL:AL)</f>
        <v>Wasteffalo_Body</v>
      </c>
      <c r="BD42" s="23">
        <f>MIN(1,MROUND(IF(AND(AO42&lt;0.5,_xlfn.XLOOKUP(B42,'Base stats'!B:B,'Base stats'!Z:Z)=0),0,IF(OR(_xlfn.XLOOKUP(Animals!B42,'Base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stats'!AA:AA),0.005))</f>
        <v>2.5000000000000001E-2</v>
      </c>
      <c r="BE42" s="23">
        <f>MIN(1,MROUND(IF(AND(AO42&lt;0.5,_xlfn.XLOOKUP(B42,'Base stats'!B:B,'Base stats'!Z:Z)=0),0,IF(_xlfn.XLOOKUP(_xlfn.XLOOKUP(B42,'Base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stats'!AB:AB),0.005))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stats'!AL:AL)="Standard","No",MROUND((_xlfn.XLOOKUP(B42,'Base stats'!B:B,'Base stats'!AL:AL)/3.6)/I42,0.1))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stats'!AC:AC)&lt;&gt;"No",_xlfn.XLOOKUP(B42,'Base stats'!B:B,'Base stats'!AC:AC),"")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stats'!AC:AC)&lt;&gt;"No",_xlfn.XLOOKUP(B42,'Base stats'!B:B,'Base stats'!AC:AC),"")
  )
)</f>
        <v>No</v>
      </c>
      <c r="BQ42" s="25" t="str">
        <f>IF(
   AND(
      'Base stats'!AL42="Standard",_xlfn.XLOOKUP(_xlfn.XLOOKUP(B42,'Base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stats'!AT:AT) * 1.8) * 2) * 2.5 + 10 + I42 * 2,5)+IF(_xlfn.XLOOKUP(B42,'Base stats'!B:B,'Base stats'!AI:AI)=1,50,0)</f>
        <v>205</v>
      </c>
      <c r="BS42" s="8">
        <f t="shared" si="5"/>
        <v>1.5</v>
      </c>
      <c r="BT42" s="8" t="str">
        <f>_xlfn.XLOOKUP(B42,'Base stats'!B:B,'Base stats'!AD:AD)</f>
        <v>5~15</v>
      </c>
      <c r="BU42" s="2" t="str">
        <f>IF(AND(J42&lt;=0.95,OR(_xlfn.XLOOKUP(B42,'Base stats'!B:B,'Base stats'!AI:AI)=1,_xlfn.XLOOKUP(B42,'Base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stats'!AG:AG)=1,"true","false")</f>
        <v>true</v>
      </c>
      <c r="BW42" s="25" t="str">
        <f>IF(E42="BaseInsect","AnimalInsect",
IF(J42&gt;0.95,"AnimalExotic",
_xlfn.TEXTJOIN(", ",TRUE,
IF(OR(_xlfn.XLOOKUP(B42,'Base stats'!B:B,'Base stats'!AK:AK)=1,AND(_xlfn.XLOOKUP(B42,'Base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stats'!AI:AI)=1,AND(BI42&lt;&gt;"None",BR42&gt;=60),ISNUMBER(SEARCH("Attack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stats'!AH:AH)=1,"true","false")</f>
        <v>false</v>
      </c>
      <c r="BZ42" s="25">
        <f>IF(_xlfn.XLOOKUP(B42,'Base stats'!B:B,'Base stats'!N:N)=1,"No",MAX(0.01,MIN(MROUND(IF(OR(_xlfn.XLOOKUP(B42,'Base stats'!B:B,'Base stats'!AK:AK)=1,AND(BJ42="True",CC42="False")),POWER(10,3.47*LOG10(_xlfn.XLOOKUP(B42,'Base stats'!B:B,'Base stats'!C:C)*1000)^-0.96),POWER(10,4.15*LOG10(_xlfn.XLOOKUP(B42,'Base stats'!B:B,'Base stats'!C:C)*1000)^-0.73))*IF(OR(_xlfn.XLOOKUP(B42,'Base stats'!B:B,'Base stats'!AK:AK)=1,_xlfn.XLOOKUP(B42,'Base stats'!B:B,'Base stats'!AI:AI)=1),0.5,1)/100,0.025),1)))</f>
        <v>0.15000000000000002</v>
      </c>
      <c r="CA42" s="25" t="str">
        <f>IF(P42="Standard","No",MAX(0.01,IF(_xlfn.XLOOKUP(B42,'Base stats'!B:B,'Base stats'!N:N)=0,MROUND(BZ42*P42,0.05),MIN(1,MAX(0.025,MROUND(IF(OR(CC42="true",AND(BJ42="false",BO42="false")),POWER(10,4.15*LOG10(_xlfn.XLOOKUP(B42,'Base stats'!B:B,'Base stats'!C:C)*1000)^-0.73),POWER(10,3.47*LOG10(_xlfn.XLOOKUP(B42,'Base stats'!B:B,'Base stats'!C:C)*1000)^-0.96))*IF(_xlfn.XLOOKUP(B42,'Base stats'!B:B,'Base stats'!AI:AI)=1,0.5,1)/100,0.025))))))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145</v>
      </c>
      <c r="C43" s="28" t="s">
        <v>730</v>
      </c>
      <c r="D43" s="28" t="s">
        <v>45</v>
      </c>
      <c r="E43" s="28" t="s">
        <v>685</v>
      </c>
      <c r="F43" s="28" t="s">
        <v>685</v>
      </c>
      <c r="G43" s="28" t="s">
        <v>685</v>
      </c>
      <c r="H43" s="2">
        <f>MROUND((
  (IF(AND(_xlfn.XLOOKUP(B43,'Base stats'!B:B,'Base stats'!AJ:AJ)=0,BI43="None",_xlfn.XLOOKUP(_xlfn.XLOOKUP(B43,'Base stats'!B:B,'Base stats'!E:E),Groups!A:A,Groups!B:B)=0), (18 + BR43 * 2.7) * 0.5,
    IF(AND(_xlfn.XLOOKUP(B43,'Base stats'!B:B,'Base stats'!AJ:AJ)=0,OR(AO43&lt;0.55,AND(BI43="Intermediate",_xlfn.XLOOKUP(_xlfn.XLOOKUP(B43,'Base stats'!B:B,'Base stats'!E:E),Groups!A:A,Groups!B:B)&lt;2))), (18 + BR43 * 2.7),
      IF(OR(BI43="Advanced",_xlfn.XLOOKUP(B43,'Base stats'!B:B,'Base stats'!AJ:AJ)=1,_xlfn.XLOOKUP(_xlfn.XLOOKUP(B43,'Base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IF(_xlfn.XLOOKUP(_xlfn.XLOOKUP(B43,'Base stats'!B:B,'Base stats'!E:E),Groups!A:A,Groups!C:C)="Untamable",1,IF(_xlfn.XLOOKUP(B43,'Base stats'!B:B,'Base stats'!AJ:AJ)=1,0.99,MIN(MROUND((1-0.6282*EXP(-0.459*AO43))*_xlfn.XLOOKUP(_xlfn.XLOOKUP(B43,'Base stats'!B:B,'Base stats'!E:E),Groups!A:A,Groups!C:C)*IF(_xlfn.XLOOKUP(B43,'Base stats'!B:B,'Base stats'!O:O)=1,0.5,IF(_xlfn.XLOOKUP(B43,'Base stats'!B:B,'Base stats'!O:O)=2,0,1)),0.05),0.985)))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IF(_xlfn.XLOOKUP(_xlfn.XLOOKUP(B43,'Base stats'!B:B,'Base stats'!E:E),Groups!A:A,Groups!L:L)=1,MIN(MROUND(_xlfn.XLOOKUP(B43,'Animals CE'!B:B,'Animals CE'!Z:Z)/2+0.05,0.05),200%),"No")</f>
        <v>No</v>
      </c>
      <c r="O43" s="8" t="str">
        <f>IF(_xlfn.XLOOKUP(_xlfn.XLOOKUP(B43,'Base stats'!B:B,'Base stats'!E:E),Groups!A:A,Groups!L:L)=1,MIN(MROUND(_xlfn.XLOOKUP(B43,'Animals CE'!B:B,'Animals CE'!AA:AA)/2+0.05,0.05),200%),"No")</f>
        <v>No</v>
      </c>
      <c r="P43" s="2" t="str">
        <f>_xlfn.XLOOKUP(B43,'Base stats'!B:B,'Base stats'!R:R)</f>
        <v>Standard</v>
      </c>
      <c r="Q43" s="13">
        <f>MROUND((LOG10(_xlfn.XLOOKUP(B43,'Base stats'!B:B,'Base stats'!AP:AP))*(AO43^0.5)+(_xlfn.XLOOKUP(B43,'Base stats'!B:B,'Base stats'!AP:AP)/1000)^(2/3)+_xlfn.XLOOKUP(B43,'Base stats'!B:B,'Base stats'!AY:AY)/2)+0.5,0.5)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stats'!AQ:AQ))*(AO43^0.5)+(_xlfn.XLOOKUP(B43,'Base stats'!B:B,'Base stats'!AQ:AQ)/1000)^(2/3)+_xlfn.XLOOKUP(B43,'Base stats'!B:B,'Base stats'!AY:AY))+_xlfn.XLOOKUP(B43,'Base stats'!B:B,'Base stats'!AW:AW)+0.5,0.5))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stats'!AS:AS))*(AO43^0.5)+(_xlfn.XLOOKUP(B43,'Base stats'!B:B,'Base stats'!AS:AS)/1000)^(2/3)+_xlfn.XLOOKUP(B43,'Base stats'!B:B,'Base stats'!AX:AX))+0.5+IF(_xlfn.XLOOKUP(_xlfn.XLOOKUP(B43,'Base stats'!B:B,'Base stats'!E:E),Groups!A:A,Groups!U:U)&lt;&gt;3,_xlfn.XLOOKUP(B43,'Base stats'!B:B,'Base stats'!AY:AY),0),0.5))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stats'!AR:AR)="No","No",MROUND((LOG10(_xlfn.XLOOKUP(B43,'Base stats'!B:B,'Base stats'!AR:AR))*(AO43^0.75)+(_xlfn.XLOOKUP(B43,'Base stats'!B:B,'Base stats'!AR:AR)/1000)^(2/3)+_xlfn.XLOOKUP(B43,'Base stats'!B:B,'Base stats'!AV:AV)+_xlfn.XLOOKUP(B43,'Base stats'!B:B,'Base stats'!AY:AY))+0.5,0.5))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stats'!AQ:AQ))*(AO43^0.75)+(_xlfn.XLOOKUP(B43,'Base stats'!B:B,'Base stats'!AQ:AQ)/1000)^(2/3)+_xlfn.XLOOKUP(B43,'Base stats'!B:B,'Base stats'!AW:AW)+_xlfn.XLOOKUP(B43,'Base stats'!B:B,'Base stats'!AY:AY))+0.5,0.5))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1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IFERROR(IF(_xlfn.XLOOKUP(B43,'Base stats'!B:B,'Base stats'!F:F)="Lay eggs","Lay eggs",MIN(20,MAX(5.5,ROUND(((_xlfn.XLOOKUP(B43,'Base stats'!B:B,'Base stats'!F:F)-25)*(14.5/615) + 5.5)*2,0)/2))),"Cannot breed")</f>
        <v>11.5</v>
      </c>
      <c r="AT43" s="8">
        <f>IF(OR(A43="Queen",A43="Larva",A43="Megachicken",A43="Megatardi",A43="Toxscorpion"),"No",IFERROR(MAX(IF(_xlfn.XLOOKUP(B43,'Base stats'!B:B,'Base stats'!G:G)&lt;0.5,0.2,0.3),MROUND(_xlfn.XLOOKUP(B43,'Base stats'!B:B,'Base stats'!G:G)/(365/60),0.2)),"Unknown"))</f>
        <v>0.3</v>
      </c>
      <c r="AU43" s="8">
        <f t="shared" si="0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_xlfn.XLOOKUP(B43,'Base stats'!B:B,'Base stats'!AF:AF)</f>
        <v>No</v>
      </c>
      <c r="BB43" s="2" t="str">
        <f>_xlfn.XLOOKUP(B43,'Base stats'!B:B,'Base stats'!AE:AE)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stats'!Z:Z)=0),0,IF(OR(_xlfn.XLOOKUP(Animals!B43,'Base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stats'!AA:AA),0.005))</f>
        <v>0</v>
      </c>
      <c r="BE43" s="23">
        <f>MIN(1,MROUND(IF(AND(AO43&lt;0.5,_xlfn.XLOOKUP(B43,'Base stats'!B:B,'Base stats'!Z:Z)=0),0,IF(_xlfn.XLOOKUP(_xlfn.XLOOKUP(B43,'Base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stats'!AB:AB),0.005))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stats'!AL:AL)="Standard","No",MROUND((_xlfn.XLOOKUP(B43,'Base stats'!B:B,'Base stats'!AL:AL)/3.6)/I43,0.1))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stats'!AC:AC)&lt;&gt;"No",_xlfn.XLOOKUP(B43,'Base stats'!B:B,'Base stats'!AC:AC),"")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stats'!AC:AC)&lt;&gt;"No",_xlfn.XLOOKUP(B43,'Base stats'!B:B,'Base stats'!AC:AC),"")
  )
)</f>
        <v>No</v>
      </c>
      <c r="BQ43" s="25" t="str">
        <f>IF(
   AND(
      'Base stats'!AL43="Standard",_xlfn.XLOOKUP(_xlfn.XLOOKUP(B43,'Base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stats'!AT:AT) * 1.8) * 2) * 2.5 + 10 + I43 * 2,5)+IF(_xlfn.XLOOKUP(B43,'Base stats'!B:B,'Base stats'!AI:AI)=1,50,0)</f>
        <v>185</v>
      </c>
      <c r="BS43" s="8">
        <f t="shared" si="5"/>
        <v>1.5</v>
      </c>
      <c r="BT43" s="8" t="str">
        <f>_xlfn.XLOOKUP(B43,'Base stats'!B:B,'Base stats'!AD:AD)</f>
        <v>3~10</v>
      </c>
      <c r="BU43" s="2" t="str">
        <f>IF(AND(J43&lt;=0.95,OR(_xlfn.XLOOKUP(B43,'Base stats'!B:B,'Base stats'!AI:AI)=1,_xlfn.XLOOKUP(B43,'Base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stats'!AG:AG)=1,"true","false")</f>
        <v>false</v>
      </c>
      <c r="BW43" s="25" t="str">
        <f>IF(E43="BaseInsect","AnimalInsect",
IF(J43&gt;0.95,"AnimalExotic",
_xlfn.TEXTJOIN(", ",TRUE,
IF(OR(_xlfn.XLOOKUP(B43,'Base stats'!B:B,'Base stats'!AK:AK)=1,AND(_xlfn.XLOOKUP(B43,'Base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stats'!AI:AI)=1,AND(BI43&lt;&gt;"None",BR43&gt;=60),ISNUMBER(SEARCH("Attack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stats'!AH:AH)=1,"true","false")</f>
        <v>false</v>
      </c>
      <c r="BZ43" s="25">
        <f>IF(_xlfn.XLOOKUP(B43,'Base stats'!B:B,'Base stats'!N:N)=1,"No",MAX(0.01,MIN(MROUND(IF(OR(_xlfn.XLOOKUP(B43,'Base stats'!B:B,'Base stats'!AK:AK)=1,AND(BJ43="True",CC43="False")),POWER(10,3.47*LOG10(_xlfn.XLOOKUP(B43,'Base stats'!B:B,'Base stats'!C:C)*1000)^-0.96),POWER(10,4.15*LOG10(_xlfn.XLOOKUP(B43,'Base stats'!B:B,'Base stats'!C:C)*1000)^-0.73))*IF(OR(_xlfn.XLOOKUP(B43,'Base stats'!B:B,'Base stats'!AK:AK)=1,_xlfn.XLOOKUP(B43,'Base stats'!B:B,'Base stats'!AI:AI)=1),0.5,1)/100,0.025),1)))</f>
        <v>0.15000000000000002</v>
      </c>
      <c r="CA43" s="25" t="str">
        <f>IF(P43="Standard","No",MAX(0.01,IF(_xlfn.XLOOKUP(B43,'Base stats'!B:B,'Base stats'!N:N)=0,MROUND(BZ43*P43,0.05),MIN(1,MAX(0.025,MROUND(IF(OR(CC43="true",AND(BJ43="false",BO43="false")),POWER(10,4.15*LOG10(_xlfn.XLOOKUP(B43,'Base stats'!B:B,'Base stats'!C:C)*1000)^-0.73),POWER(10,3.47*LOG10(_xlfn.XLOOKUP(B43,'Base stats'!B:B,'Base stats'!C:C)*1000)^-0.96))*IF(_xlfn.XLOOKUP(B43,'Base stats'!B:B,'Base stats'!AI:AI)=1,0.5,1)/100,0.025))))))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149</v>
      </c>
      <c r="C44" s="28" t="s">
        <v>731</v>
      </c>
      <c r="D44" s="28" t="s">
        <v>45</v>
      </c>
      <c r="E44" s="28" t="s">
        <v>685</v>
      </c>
      <c r="F44" s="28" t="s">
        <v>685</v>
      </c>
      <c r="G44" s="28" t="s">
        <v>685</v>
      </c>
      <c r="H44" s="2">
        <f>MROUND((
  (IF(AND(_xlfn.XLOOKUP(B44,'Base stats'!B:B,'Base stats'!AJ:AJ)=0,BI44="None",_xlfn.XLOOKUP(_xlfn.XLOOKUP(B44,'Base stats'!B:B,'Base stats'!E:E),Groups!A:A,Groups!B:B)=0), (18 + BR44 * 2.7) * 0.5,
    IF(AND(_xlfn.XLOOKUP(B44,'Base stats'!B:B,'Base stats'!AJ:AJ)=0,OR(AO44&lt;0.55,AND(BI44="Intermediate",_xlfn.XLOOKUP(_xlfn.XLOOKUP(B44,'Base stats'!B:B,'Base stats'!E:E),Groups!A:A,Groups!B:B)&lt;2))), (18 + BR44 * 2.7),
      IF(OR(BI44="Advanced",_xlfn.XLOOKUP(B44,'Base stats'!B:B,'Base stats'!AJ:AJ)=1,_xlfn.XLOOKUP(_xlfn.XLOOKUP(B44,'Base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IF(_xlfn.XLOOKUP(_xlfn.XLOOKUP(B44,'Base stats'!B:B,'Base stats'!E:E),Groups!A:A,Groups!C:C)="Untamable",1,IF(_xlfn.XLOOKUP(B44,'Base stats'!B:B,'Base stats'!AJ:AJ)=1,0.99,MIN(MROUND((1-0.6282*EXP(-0.459*AO44))*_xlfn.XLOOKUP(_xlfn.XLOOKUP(B44,'Base stats'!B:B,'Base stats'!E:E),Groups!A:A,Groups!C:C)*IF(_xlfn.XLOOKUP(B44,'Base stats'!B:B,'Base stats'!O:O)=1,0.5,IF(_xlfn.XLOOKUP(B44,'Base stats'!B:B,'Base stats'!O:O)=2,0,1)),0.05),0.985)))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IF(_xlfn.XLOOKUP(_xlfn.XLOOKUP(B44,'Base stats'!B:B,'Base stats'!E:E),Groups!A:A,Groups!L:L)=1,MIN(MROUND(_xlfn.XLOOKUP(B44,'Animals CE'!B:B,'Animals CE'!Z:Z)/2+0.05,0.05),200%),"No")</f>
        <v>No</v>
      </c>
      <c r="O44" s="8" t="str">
        <f>IF(_xlfn.XLOOKUP(_xlfn.XLOOKUP(B44,'Base stats'!B:B,'Base stats'!E:E),Groups!A:A,Groups!L:L)=1,MIN(MROUND(_xlfn.XLOOKUP(B44,'Animals CE'!B:B,'Animals CE'!AA:AA)/2+0.05,0.05),200%),"No")</f>
        <v>No</v>
      </c>
      <c r="P44" s="2" t="str">
        <f>_xlfn.XLOOKUP(B44,'Base stats'!B:B,'Base stats'!R:R)</f>
        <v>Standard</v>
      </c>
      <c r="Q44" s="13">
        <f>MROUND((LOG10(_xlfn.XLOOKUP(B44,'Base stats'!B:B,'Base stats'!AP:AP))*(AO44^0.5)+(_xlfn.XLOOKUP(B44,'Base stats'!B:B,'Base stats'!AP:AP)/1000)^(2/3)+_xlfn.XLOOKUP(B44,'Base stats'!B:B,'Base stats'!AY:AY)/2)+0.5,0.5)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stats'!AQ:AQ))*(AO44^0.5)+(_xlfn.XLOOKUP(B44,'Base stats'!B:B,'Base stats'!AQ:AQ)/1000)^(2/3)+_xlfn.XLOOKUP(B44,'Base stats'!B:B,'Base stats'!AY:AY))+_xlfn.XLOOKUP(B44,'Base stats'!B:B,'Base stats'!AW:AW)+0.5,0.5))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stats'!AS:AS))*(AO44^0.5)+(_xlfn.XLOOKUP(B44,'Base stats'!B:B,'Base stats'!AS:AS)/1000)^(2/3)+_xlfn.XLOOKUP(B44,'Base stats'!B:B,'Base stats'!AX:AX))+0.5+IF(_xlfn.XLOOKUP(_xlfn.XLOOKUP(B44,'Base stats'!B:B,'Base stats'!E:E),Groups!A:A,Groups!U:U)&lt;&gt;3,_xlfn.XLOOKUP(B44,'Base stats'!B:B,'Base stats'!AY:AY),0),0.5))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stats'!AR:AR)="No","No",MROUND((LOG10(_xlfn.XLOOKUP(B44,'Base stats'!B:B,'Base stats'!AR:AR))*(AO44^0.75)+(_xlfn.XLOOKUP(B44,'Base stats'!B:B,'Base stats'!AR:AR)/1000)^(2/3)+_xlfn.XLOOKUP(B44,'Base stats'!B:B,'Base stats'!AV:AV)+_xlfn.XLOOKUP(B44,'Base stats'!B:B,'Base stats'!AY:AY))+0.5,0.5))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stats'!AQ:AQ))*(AO44^0.75)+(_xlfn.XLOOKUP(B44,'Base stats'!B:B,'Base stats'!AQ:AQ)/1000)^(2/3)+_xlfn.XLOOKUP(B44,'Base stats'!B:B,'Base stats'!AW:AW)+_xlfn.XLOOKUP(B44,'Base stats'!B:B,'Base stats'!AY:AY))+0.5,0.5))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1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IFERROR(IF(_xlfn.XLOOKUP(B44,'Base stats'!B:B,'Base stats'!F:F)="Lay eggs","Lay eggs",MIN(20,MAX(5.5,ROUND(((_xlfn.XLOOKUP(B44,'Base stats'!B:B,'Base stats'!F:F)-25)*(14.5/615) + 5.5)*2,0)/2))),"Cannot breed")</f>
        <v>10.5</v>
      </c>
      <c r="AT44" s="8">
        <f>IF(OR(A44="Queen",A44="Larva",A44="Megachicken",A44="Megatardi",A44="Toxscorpion"),"No",IFERROR(MAX(IF(_xlfn.XLOOKUP(B44,'Base stats'!B:B,'Base stats'!G:G)&lt;0.5,0.2,0.3),MROUND(_xlfn.XLOOKUP(B44,'Base stats'!B:B,'Base stats'!G:G)/(365/60),0.2)),"Unknown"))</f>
        <v>0.4</v>
      </c>
      <c r="AU44" s="8">
        <f t="shared" si="0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_xlfn.XLOOKUP(B44,'Base stats'!B:B,'Base stats'!AF:AF)</f>
        <v>No</v>
      </c>
      <c r="BB44" s="2" t="str">
        <f>_xlfn.XLOOKUP(B44,'Base stats'!B:B,'Base stats'!AE:AE)</f>
        <v>Leather_Bluefur</v>
      </c>
      <c r="BC44" s="23" t="str">
        <f>_xlfn.XLOOKUP(_xlfn.XLOOKUP(B44,'Base stats'!B:B,'Base stats'!E:E),Groups!A:A,Groups!AL:AL)</f>
        <v>Wasteffalo_Body</v>
      </c>
      <c r="BD44" s="23">
        <f>MIN(1,MROUND(IF(AND(AO44&lt;0.5,_xlfn.XLOOKUP(B44,'Base stats'!B:B,'Base stats'!Z:Z)=0),0,IF(OR(_xlfn.XLOOKUP(Animals!B44,'Base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stats'!AA:AA),0.005))</f>
        <v>2.5000000000000001E-2</v>
      </c>
      <c r="BE44" s="23">
        <f>MIN(1,MROUND(IF(AND(AO44&lt;0.5,_xlfn.XLOOKUP(B44,'Base stats'!B:B,'Base stats'!Z:Z)=0),0,IF(_xlfn.XLOOKUP(_xlfn.XLOOKUP(B44,'Base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stats'!AB:AB),0.005))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stats'!AL:AL)="Standard","No",MROUND((_xlfn.XLOOKUP(B44,'Base stats'!B:B,'Base stats'!AL:AL)/3.6)/I44,0.1))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stats'!AC:AC)&lt;&gt;"No",_xlfn.XLOOKUP(B44,'Base stats'!B:B,'Base stats'!AC:AC),"")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stats'!AC:AC)&lt;&gt;"No",_xlfn.XLOOKUP(B44,'Base stats'!B:B,'Base stats'!AC:AC),"")
  )
)</f>
        <v>No</v>
      </c>
      <c r="BQ44" s="25" t="str">
        <f>IF(
   AND(
      'Base stats'!AL44="Standard",_xlfn.XLOOKUP(_xlfn.XLOOKUP(B44,'Base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stats'!AT:AT) * 1.8) * 2) * 2.5 + 10 + I44 * 2,5)+IF(_xlfn.XLOOKUP(B44,'Base stats'!B:B,'Base stats'!AI:AI)=1,50,0)</f>
        <v>160</v>
      </c>
      <c r="BS44" s="8">
        <f t="shared" si="5"/>
        <v>1.35</v>
      </c>
      <c r="BT44" s="8" t="str">
        <f>_xlfn.XLOOKUP(B44,'Base stats'!B:B,'Base stats'!AD:AD)</f>
        <v>3~10</v>
      </c>
      <c r="BU44" s="2" t="str">
        <f>IF(AND(J44&lt;=0.95,OR(_xlfn.XLOOKUP(B44,'Base stats'!B:B,'Base stats'!AI:AI)=1,_xlfn.XLOOKUP(B44,'Base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stats'!AG:AG)=1,"true","false")</f>
        <v>true</v>
      </c>
      <c r="BW44" s="25" t="str">
        <f>IF(E44="BaseInsect","AnimalInsect",
IF(J44&gt;0.95,"AnimalExotic",
_xlfn.TEXTJOIN(", ",TRUE,
IF(OR(_xlfn.XLOOKUP(B44,'Base stats'!B:B,'Base stats'!AK:AK)=1,AND(_xlfn.XLOOKUP(B44,'Base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stats'!AI:AI)=1,AND(BI44&lt;&gt;"None",BR44&gt;=60),ISNUMBER(SEARCH("Attack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stats'!AH:AH)=1,"true","false")</f>
        <v>false</v>
      </c>
      <c r="BZ44" s="25">
        <f>IF(_xlfn.XLOOKUP(B44,'Base stats'!B:B,'Base stats'!N:N)=1,"No",MAX(0.01,MIN(MROUND(IF(OR(_xlfn.XLOOKUP(B44,'Base stats'!B:B,'Base stats'!AK:AK)=1,AND(BJ44="True",CC44="False")),POWER(10,3.47*LOG10(_xlfn.XLOOKUP(B44,'Base stats'!B:B,'Base stats'!C:C)*1000)^-0.96),POWER(10,4.15*LOG10(_xlfn.XLOOKUP(B44,'Base stats'!B:B,'Base stats'!C:C)*1000)^-0.73))*IF(OR(_xlfn.XLOOKUP(B44,'Base stats'!B:B,'Base stats'!AK:AK)=1,_xlfn.XLOOKUP(B44,'Base stats'!B:B,'Base stats'!AI:AI)=1),0.5,1)/100,0.025),1)))</f>
        <v>0.15000000000000002</v>
      </c>
      <c r="CA44" s="25" t="str">
        <f>IF(P44="Standard","No",MAX(0.01,IF(_xlfn.XLOOKUP(B44,'Base stats'!B:B,'Base stats'!N:N)=0,MROUND(BZ44*P44,0.05),MIN(1,MAX(0.025,MROUND(IF(OR(CC44="true",AND(BJ44="false",BO44="false")),POWER(10,4.15*LOG10(_xlfn.XLOOKUP(B44,'Base stats'!B:B,'Base stats'!C:C)*1000)^-0.73),POWER(10,3.47*LOG10(_xlfn.XLOOKUP(B44,'Base stats'!B:B,'Base stats'!C:C)*1000)^-0.96))*IF(_xlfn.XLOOKUP(B44,'Base stats'!B:B,'Base stats'!AI:AI)=1,0.5,1)/100,0.025))))))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151</v>
      </c>
      <c r="C45" s="28" t="s">
        <v>732</v>
      </c>
      <c r="D45" s="28" t="s">
        <v>45</v>
      </c>
      <c r="E45" s="28" t="s">
        <v>685</v>
      </c>
      <c r="F45" s="28" t="s">
        <v>685</v>
      </c>
      <c r="G45" s="28" t="s">
        <v>685</v>
      </c>
      <c r="H45" s="2">
        <f>MROUND((
  (IF(AND(_xlfn.XLOOKUP(B45,'Base stats'!B:B,'Base stats'!AJ:AJ)=0,BI45="None",_xlfn.XLOOKUP(_xlfn.XLOOKUP(B45,'Base stats'!B:B,'Base stats'!E:E),Groups!A:A,Groups!B:B)=0), (18 + BR45 * 2.7) * 0.5,
    IF(AND(_xlfn.XLOOKUP(B45,'Base stats'!B:B,'Base stats'!AJ:AJ)=0,OR(AO45&lt;0.55,AND(BI45="Intermediate",_xlfn.XLOOKUP(_xlfn.XLOOKUP(B45,'Base stats'!B:B,'Base stats'!E:E),Groups!A:A,Groups!B:B)&lt;2))), (18 + BR45 * 2.7),
      IF(OR(BI45="Advanced",_xlfn.XLOOKUP(B45,'Base stats'!B:B,'Base stats'!AJ:AJ)=1,_xlfn.XLOOKUP(_xlfn.XLOOKUP(B45,'Base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IF(_xlfn.XLOOKUP(_xlfn.XLOOKUP(B45,'Base stats'!B:B,'Base stats'!E:E),Groups!A:A,Groups!C:C)="Untamable",1,IF(_xlfn.XLOOKUP(B45,'Base stats'!B:B,'Base stats'!AJ:AJ)=1,0.99,MIN(MROUND((1-0.6282*EXP(-0.459*AO45))*_xlfn.XLOOKUP(_xlfn.XLOOKUP(B45,'Base stats'!B:B,'Base stats'!E:E),Groups!A:A,Groups!C:C)*IF(_xlfn.XLOOKUP(B45,'Base stats'!B:B,'Base stats'!O:O)=1,0.5,IF(_xlfn.XLOOKUP(B45,'Base stats'!B:B,'Base stats'!O:O)=2,0,1)),0.05),0.985)))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IF(_xlfn.XLOOKUP(_xlfn.XLOOKUP(B45,'Base stats'!B:B,'Base stats'!E:E),Groups!A:A,Groups!L:L)=1,MIN(MROUND(_xlfn.XLOOKUP(B45,'Animals CE'!B:B,'Animals CE'!Z:Z)/2+0.05,0.05),200%),"No")</f>
        <v>No</v>
      </c>
      <c r="O45" s="8" t="str">
        <f>IF(_xlfn.XLOOKUP(_xlfn.XLOOKUP(B45,'Base stats'!B:B,'Base stats'!E:E),Groups!A:A,Groups!L:L)=1,MIN(MROUND(_xlfn.XLOOKUP(B45,'Animals CE'!B:B,'Animals CE'!AA:AA)/2+0.05,0.05),200%),"No")</f>
        <v>No</v>
      </c>
      <c r="P45" s="2" t="str">
        <f>_xlfn.XLOOKUP(B45,'Base stats'!B:B,'Base stats'!R:R)</f>
        <v>Standard</v>
      </c>
      <c r="Q45" s="13">
        <f>MROUND((LOG10(_xlfn.XLOOKUP(B45,'Base stats'!B:B,'Base stats'!AP:AP))*(AO45^0.5)+(_xlfn.XLOOKUP(B45,'Base stats'!B:B,'Base stats'!AP:AP)/1000)^(2/3)+_xlfn.XLOOKUP(B45,'Base stats'!B:B,'Base stats'!AY:AY)/2)+0.5,0.5)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stats'!AQ:AQ))*(AO45^0.5)+(_xlfn.XLOOKUP(B45,'Base stats'!B:B,'Base stats'!AQ:AQ)/1000)^(2/3)+_xlfn.XLOOKUP(B45,'Base stats'!B:B,'Base stats'!AY:AY))+_xlfn.XLOOKUP(B45,'Base stats'!B:B,'Base stats'!AW:AW)+0.5,0.5))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stats'!AS:AS))*(AO45^0.5)+(_xlfn.XLOOKUP(B45,'Base stats'!B:B,'Base stats'!AS:AS)/1000)^(2/3)+_xlfn.XLOOKUP(B45,'Base stats'!B:B,'Base stats'!AX:AX))+0.5+IF(_xlfn.XLOOKUP(_xlfn.XLOOKUP(B45,'Base stats'!B:B,'Base stats'!E:E),Groups!A:A,Groups!U:U)&lt;&gt;3,_xlfn.XLOOKUP(B45,'Base stats'!B:B,'Base stats'!AY:AY),0),0.5))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stats'!AR:AR)="No","No",MROUND((LOG10(_xlfn.XLOOKUP(B45,'Base stats'!B:B,'Base stats'!AR:AR))*(AO45^0.75)+(_xlfn.XLOOKUP(B45,'Base stats'!B:B,'Base stats'!AR:AR)/1000)^(2/3)+_xlfn.XLOOKUP(B45,'Base stats'!B:B,'Base stats'!AV:AV)+_xlfn.XLOOKUP(B45,'Base stats'!B:B,'Base stats'!AY:AY))+0.5,0.5))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stats'!AQ:AQ))*(AO45^0.75)+(_xlfn.XLOOKUP(B45,'Base stats'!B:B,'Base stats'!AQ:AQ)/1000)^(2/3)+_xlfn.XLOOKUP(B45,'Base stats'!B:B,'Base stats'!AW:AW)+_xlfn.XLOOKUP(B45,'Base stats'!B:B,'Base stats'!AY:AY))+0.5,0.5))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1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IFERROR(IF(_xlfn.XLOOKUP(B45,'Base stats'!B:B,'Base stats'!F:F)="Lay eggs","Lay eggs",MIN(20,MAX(5.5,ROUND(((_xlfn.XLOOKUP(B45,'Base stats'!B:B,'Base stats'!F:F)-25)*(14.5/615) + 5.5)*2,0)/2))),"Cannot breed")</f>
        <v>11.5</v>
      </c>
      <c r="AT45" s="8">
        <f>IF(OR(A45="Queen",A45="Larva",A45="Megachicken",A45="Megatardi",A45="Toxscorpion"),"No",IFERROR(MAX(IF(_xlfn.XLOOKUP(B45,'Base stats'!B:B,'Base stats'!G:G)&lt;0.5,0.2,0.3),MROUND(_xlfn.XLOOKUP(B45,'Base stats'!B:B,'Base stats'!G:G)/(365/60),0.2)),"Unknown"))</f>
        <v>0.4</v>
      </c>
      <c r="AU45" s="8">
        <f t="shared" si="0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_xlfn.XLOOKUP(B45,'Base stats'!B:B,'Base stats'!AF:AF)</f>
        <v>No</v>
      </c>
      <c r="BB45" s="2" t="str">
        <f>_xlfn.XLOOKUP(B45,'Base stats'!B:B,'Base stats'!AE:AE)</f>
        <v>Leather_Plain</v>
      </c>
      <c r="BC45" s="23" t="str">
        <f>_xlfn.XLOOKUP(_xlfn.XLOOKUP(B45,'Base stats'!B:B,'Base stats'!E:E),Groups!A:A,Groups!AL:AL)</f>
        <v>Wasteffalo_Body</v>
      </c>
      <c r="BD45" s="23">
        <f>MIN(1,MROUND(IF(AND(AO45&lt;0.5,_xlfn.XLOOKUP(B45,'Base stats'!B:B,'Base stats'!Z:Z)=0),0,IF(OR(_xlfn.XLOOKUP(Animals!B45,'Base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stats'!AA:AA),0.005))</f>
        <v>1.4999999999999999E-2</v>
      </c>
      <c r="BE45" s="23">
        <f>MIN(1,MROUND(IF(AND(AO45&lt;0.5,_xlfn.XLOOKUP(B45,'Base stats'!B:B,'Base stats'!Z:Z)=0),0,IF(_xlfn.XLOOKUP(_xlfn.XLOOKUP(B45,'Base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stats'!AB:AB),0.005))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stats'!AL:AL)="Standard","No",MROUND((_xlfn.XLOOKUP(B45,'Base stats'!B:B,'Base stats'!AL:AL)/3.6)/I45,0.1))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stats'!AC:AC)&lt;&gt;"No",_xlfn.XLOOKUP(B45,'Base stats'!B:B,'Base stats'!AC:AC),"")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stats'!AC:AC)&lt;&gt;"No",_xlfn.XLOOKUP(B45,'Base stats'!B:B,'Base stats'!AC:AC),"")
  )
)</f>
        <v>No</v>
      </c>
      <c r="BQ45" s="25" t="str">
        <f>IF(
   AND(
      'Base stats'!AL45="Standard",_xlfn.XLOOKUP(_xlfn.XLOOKUP(B45,'Base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stats'!AT:AT) * 1.8) * 2) * 2.5 + 10 + I45 * 2,5)+IF(_xlfn.XLOOKUP(B45,'Base stats'!B:B,'Base stats'!AI:AI)=1,50,0)</f>
        <v>195</v>
      </c>
      <c r="BS45" s="8">
        <f t="shared" si="5"/>
        <v>1.5</v>
      </c>
      <c r="BT45" s="8" t="str">
        <f>_xlfn.XLOOKUP(B45,'Base stats'!B:B,'Base stats'!AD:AD)</f>
        <v>3~10</v>
      </c>
      <c r="BU45" s="2" t="str">
        <f>IF(AND(J45&lt;=0.95,OR(_xlfn.XLOOKUP(B45,'Base stats'!B:B,'Base stats'!AI:AI)=1,_xlfn.XLOOKUP(B45,'Base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stats'!AG:AG)=1,"true","false")</f>
        <v>true</v>
      </c>
      <c r="BW45" s="25" t="str">
        <f>IF(E45="BaseInsect","AnimalInsect",
IF(J45&gt;0.95,"AnimalExotic",
_xlfn.TEXTJOIN(", ",TRUE,
IF(OR(_xlfn.XLOOKUP(B45,'Base stats'!B:B,'Base stats'!AK:AK)=1,AND(_xlfn.XLOOKUP(B45,'Base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stats'!AI:AI)=1,AND(BI45&lt;&gt;"None",BR45&gt;=60),ISNUMBER(SEARCH("Attack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stats'!AH:AH)=1,"true","false")</f>
        <v>false</v>
      </c>
      <c r="BZ45" s="25">
        <f>IF(_xlfn.XLOOKUP(B45,'Base stats'!B:B,'Base stats'!N:N)=1,"No",MAX(0.01,MIN(MROUND(IF(OR(_xlfn.XLOOKUP(B45,'Base stats'!B:B,'Base stats'!AK:AK)=1,AND(BJ45="True",CC45="False")),POWER(10,3.47*LOG10(_xlfn.XLOOKUP(B45,'Base stats'!B:B,'Base stats'!C:C)*1000)^-0.96),POWER(10,4.15*LOG10(_xlfn.XLOOKUP(B45,'Base stats'!B:B,'Base stats'!C:C)*1000)^-0.73))*IF(OR(_xlfn.XLOOKUP(B45,'Base stats'!B:B,'Base stats'!AK:AK)=1,_xlfn.XLOOKUP(B45,'Base stats'!B:B,'Base stats'!AI:AI)=1),0.5,1)/100,0.025),1)))</f>
        <v>0.15000000000000002</v>
      </c>
      <c r="CA45" s="25" t="str">
        <f>IF(P45="Standard","No",MAX(0.01,IF(_xlfn.XLOOKUP(B45,'Base stats'!B:B,'Base stats'!N:N)=0,MROUND(BZ45*P45,0.05),MIN(1,MAX(0.025,MROUND(IF(OR(CC45="true",AND(BJ45="false",BO45="false")),POWER(10,4.15*LOG10(_xlfn.XLOOKUP(B45,'Base stats'!B:B,'Base stats'!C:C)*1000)^-0.73),POWER(10,3.47*LOG10(_xlfn.XLOOKUP(B45,'Base stats'!B:B,'Base stats'!C:C)*1000)^-0.96))*IF(_xlfn.XLOOKUP(B45,'Base stats'!B:B,'Base stats'!AI:AI)=1,0.5,1)/100,0.025))))))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155</v>
      </c>
      <c r="C46" s="28" t="s">
        <v>733</v>
      </c>
      <c r="D46" s="28" t="s">
        <v>45</v>
      </c>
      <c r="E46" s="28" t="s">
        <v>685</v>
      </c>
      <c r="F46" s="28" t="s">
        <v>685</v>
      </c>
      <c r="G46" s="28" t="s">
        <v>685</v>
      </c>
      <c r="H46" s="2">
        <f>MROUND((
  (IF(AND(_xlfn.XLOOKUP(B46,'Base stats'!B:B,'Base stats'!AJ:AJ)=0,BI46="None",_xlfn.XLOOKUP(_xlfn.XLOOKUP(B46,'Base stats'!B:B,'Base stats'!E:E),Groups!A:A,Groups!B:B)=0), (18 + BR46 * 2.7) * 0.5,
    IF(AND(_xlfn.XLOOKUP(B46,'Base stats'!B:B,'Base stats'!AJ:AJ)=0,OR(AO46&lt;0.55,AND(BI46="Intermediate",_xlfn.XLOOKUP(_xlfn.XLOOKUP(B46,'Base stats'!B:B,'Base stats'!E:E),Groups!A:A,Groups!B:B)&lt;2))), (18 + BR46 * 2.7),
      IF(OR(BI46="Advanced",_xlfn.XLOOKUP(B46,'Base stats'!B:B,'Base stats'!AJ:AJ)=1,_xlfn.XLOOKUP(_xlfn.XLOOKUP(B46,'Base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IF(_xlfn.XLOOKUP(_xlfn.XLOOKUP(B46,'Base stats'!B:B,'Base stats'!E:E),Groups!A:A,Groups!C:C)="Untamable",1,IF(_xlfn.XLOOKUP(B46,'Base stats'!B:B,'Base stats'!AJ:AJ)=1,0.99,MIN(MROUND((1-0.6282*EXP(-0.459*AO46))*_xlfn.XLOOKUP(_xlfn.XLOOKUP(B46,'Base stats'!B:B,'Base stats'!E:E),Groups!A:A,Groups!C:C)*IF(_xlfn.XLOOKUP(B46,'Base stats'!B:B,'Base stats'!O:O)=1,0.5,IF(_xlfn.XLOOKUP(B46,'Base stats'!B:B,'Base stats'!O:O)=2,0,1)),0.05),0.985)))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IF(_xlfn.XLOOKUP(_xlfn.XLOOKUP(B46,'Base stats'!B:B,'Base stats'!E:E),Groups!A:A,Groups!L:L)=1,MIN(MROUND(_xlfn.XLOOKUP(B46,'Animals CE'!B:B,'Animals CE'!Z:Z)/2+0.05,0.05),200%),"No")</f>
        <v>No</v>
      </c>
      <c r="O46" s="8" t="str">
        <f>IF(_xlfn.XLOOKUP(_xlfn.XLOOKUP(B46,'Base stats'!B:B,'Base stats'!E:E),Groups!A:A,Groups!L:L)=1,MIN(MROUND(_xlfn.XLOOKUP(B46,'Animals CE'!B:B,'Animals CE'!AA:AA)/2+0.05,0.05),200%),"No")</f>
        <v>No</v>
      </c>
      <c r="P46" s="2" t="str">
        <f>_xlfn.XLOOKUP(B46,'Base stats'!B:B,'Base stats'!R:R)</f>
        <v>Standard</v>
      </c>
      <c r="Q46" s="13">
        <f>MROUND((LOG10(_xlfn.XLOOKUP(B46,'Base stats'!B:B,'Base stats'!AP:AP))*(AO46^0.5)+(_xlfn.XLOOKUP(B46,'Base stats'!B:B,'Base stats'!AP:AP)/1000)^(2/3)+_xlfn.XLOOKUP(B46,'Base stats'!B:B,'Base stats'!AY:AY)/2)+0.5,0.5)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stats'!AQ:AQ))*(AO46^0.5)+(_xlfn.XLOOKUP(B46,'Base stats'!B:B,'Base stats'!AQ:AQ)/1000)^(2/3)+_xlfn.XLOOKUP(B46,'Base stats'!B:B,'Base stats'!AY:AY))+_xlfn.XLOOKUP(B46,'Base stats'!B:B,'Base stats'!AW:AW)+0.5,0.5))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stats'!AS:AS))*(AO46^0.5)+(_xlfn.XLOOKUP(B46,'Base stats'!B:B,'Base stats'!AS:AS)/1000)^(2/3)+_xlfn.XLOOKUP(B46,'Base stats'!B:B,'Base stats'!AX:AX))+0.5+IF(_xlfn.XLOOKUP(_xlfn.XLOOKUP(B46,'Base stats'!B:B,'Base stats'!E:E),Groups!A:A,Groups!U:U)&lt;&gt;3,_xlfn.XLOOKUP(B46,'Base stats'!B:B,'Base stats'!AY:AY),0),0.5))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stats'!AR:AR)="No","No",MROUND((LOG10(_xlfn.XLOOKUP(B46,'Base stats'!B:B,'Base stats'!AR:AR))*(AO46^0.75)+(_xlfn.XLOOKUP(B46,'Base stats'!B:B,'Base stats'!AR:AR)/1000)^(2/3)+_xlfn.XLOOKUP(B46,'Base stats'!B:B,'Base stats'!AV:AV)+_xlfn.XLOOKUP(B46,'Base stats'!B:B,'Base stats'!AY:AY))+0.5,0.5))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stats'!AQ:AQ))*(AO46^0.75)+(_xlfn.XLOOKUP(B46,'Base stats'!B:B,'Base stats'!AQ:AQ)/1000)^(2/3)+_xlfn.XLOOKUP(B46,'Base stats'!B:B,'Base stats'!AW:AW)+_xlfn.XLOOKUP(B46,'Base stats'!B:B,'Base stats'!AY:AY))+0.5,0.5))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1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IFERROR(IF(_xlfn.XLOOKUP(B46,'Base stats'!B:B,'Base stats'!F:F)="Lay eggs","Lay eggs",MIN(20,MAX(5.5,ROUND(((_xlfn.XLOOKUP(B46,'Base stats'!B:B,'Base stats'!F:F)-25)*(14.5/615) + 5.5)*2,0)/2))),"Cannot breed")</f>
        <v>10.5</v>
      </c>
      <c r="AT46" s="8">
        <f>IF(OR(A46="Queen",A46="Larva",A46="Megachicken",A46="Megatardi",A46="Toxscorpion"),"No",IFERROR(MAX(IF(_xlfn.XLOOKUP(B46,'Base stats'!B:B,'Base stats'!G:G)&lt;0.5,0.2,0.3),MROUND(_xlfn.XLOOKUP(B46,'Base stats'!B:B,'Base stats'!G:G)/(365/60),0.2)),"Unknown"))</f>
        <v>0.4</v>
      </c>
      <c r="AU46" s="8">
        <f t="shared" si="0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_xlfn.XLOOKUP(B46,'Base stats'!B:B,'Base stats'!AF:AF)</f>
        <v>&lt;li&gt;Deer&lt;/li&gt;</v>
      </c>
      <c r="BB46" s="2" t="str">
        <f>_xlfn.XLOOKUP(B46,'Base stats'!B:B,'Base stats'!AE:AE)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stats'!Z:Z)=0),0,IF(OR(_xlfn.XLOOKUP(Animals!B46,'Base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stats'!AA:AA),0.005))</f>
        <v>0</v>
      </c>
      <c r="BE46" s="23">
        <f>MIN(1,MROUND(IF(AND(AO46&lt;0.5,_xlfn.XLOOKUP(B46,'Base stats'!B:B,'Base stats'!Z:Z)=0),0,IF(_xlfn.XLOOKUP(_xlfn.XLOOKUP(B46,'Base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stats'!AB:AB),0.005))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stats'!AL:AL)="Standard","No",MROUND((_xlfn.XLOOKUP(B46,'Base stats'!B:B,'Base stats'!AL:AL)/3.6)/I46,0.1))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stats'!AC:AC)&lt;&gt;"No",_xlfn.XLOOKUP(B46,'Base stats'!B:B,'Base stats'!AC:AC),"")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stats'!AC:AC)&lt;&gt;"No",_xlfn.XLOOKUP(B46,'Base stats'!B:B,'Base stats'!AC:AC),"")
  )
)</f>
        <v>No</v>
      </c>
      <c r="BQ46" s="25" t="str">
        <f>IF(
   AND(
      'Base stats'!AL46="Standard",_xlfn.XLOOKUP(_xlfn.XLOOKUP(B46,'Base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stats'!AT:AT) * 1.8) * 2) * 2.5 + 10 + I46 * 2,5)+IF(_xlfn.XLOOKUP(B46,'Base stats'!B:B,'Base stats'!AI:AI)=1,50,0)</f>
        <v>130</v>
      </c>
      <c r="BS46" s="8">
        <f t="shared" si="5"/>
        <v>1.05</v>
      </c>
      <c r="BT46" s="8" t="str">
        <f>_xlfn.XLOOKUP(B46,'Base stats'!B:B,'Base stats'!AD:AD)</f>
        <v>3~10</v>
      </c>
      <c r="BU46" s="2" t="str">
        <f>IF(AND(J46&lt;=0.95,OR(_xlfn.XLOOKUP(B46,'Base stats'!B:B,'Base stats'!AI:AI)=1,_xlfn.XLOOKUP(B46,'Base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stats'!AG:AG)=1,"true","false")</f>
        <v>false</v>
      </c>
      <c r="BW46" s="25" t="str">
        <f>IF(E46="BaseInsect","AnimalInsect",
IF(J46&gt;0.95,"AnimalExotic",
_xlfn.TEXTJOIN(", ",TRUE,
IF(OR(_xlfn.XLOOKUP(B46,'Base stats'!B:B,'Base stats'!AK:AK)=1,AND(_xlfn.XLOOKUP(B46,'Base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stats'!AI:AI)=1,AND(BI46&lt;&gt;"None",BR46&gt;=60),ISNUMBER(SEARCH("Attack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stats'!AH:AH)=1,"true","false")</f>
        <v>false</v>
      </c>
      <c r="BZ46" s="25">
        <f>IF(_xlfn.XLOOKUP(B46,'Base stats'!B:B,'Base stats'!N:N)=1,"No",MAX(0.01,MIN(MROUND(IF(OR(_xlfn.XLOOKUP(B46,'Base stats'!B:B,'Base stats'!AK:AK)=1,AND(BJ46="True",CC46="False")),POWER(10,3.47*LOG10(_xlfn.XLOOKUP(B46,'Base stats'!B:B,'Base stats'!C:C)*1000)^-0.96),POWER(10,4.15*LOG10(_xlfn.XLOOKUP(B46,'Base stats'!B:B,'Base stats'!C:C)*1000)^-0.73))*IF(OR(_xlfn.XLOOKUP(B46,'Base stats'!B:B,'Base stats'!AK:AK)=1,_xlfn.XLOOKUP(B46,'Base stats'!B:B,'Base stats'!AI:AI)=1),0.5,1)/100,0.025),1)))</f>
        <v>0.17500000000000002</v>
      </c>
      <c r="CA46" s="25" t="str">
        <f>IF(P46="Standard","No",MAX(0.01,IF(_xlfn.XLOOKUP(B46,'Base stats'!B:B,'Base stats'!N:N)=0,MROUND(BZ46*P46,0.05),MIN(1,MAX(0.025,MROUND(IF(OR(CC46="true",AND(BJ46="false",BO46="false")),POWER(10,4.15*LOG10(_xlfn.XLOOKUP(B46,'Base stats'!B:B,'Base stats'!C:C)*1000)^-0.73),POWER(10,3.47*LOG10(_xlfn.XLOOKUP(B46,'Base stats'!B:B,'Base stats'!C:C)*1000)^-0.96))*IF(_xlfn.XLOOKUP(B46,'Base stats'!B:B,'Base stats'!AI:AI)=1,0.5,1)/100,0.025))))))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157</v>
      </c>
      <c r="C47" s="28" t="s">
        <v>734</v>
      </c>
      <c r="D47" s="28" t="s">
        <v>45</v>
      </c>
      <c r="E47" s="28" t="s">
        <v>685</v>
      </c>
      <c r="F47" s="28" t="s">
        <v>685</v>
      </c>
      <c r="G47" s="28" t="s">
        <v>685</v>
      </c>
      <c r="H47" s="2">
        <f>MROUND((
  (IF(AND(_xlfn.XLOOKUP(B47,'Base stats'!B:B,'Base stats'!AJ:AJ)=0,BI47="None",_xlfn.XLOOKUP(_xlfn.XLOOKUP(B47,'Base stats'!B:B,'Base stats'!E:E),Groups!A:A,Groups!B:B)=0), (18 + BR47 * 2.7) * 0.5,
    IF(AND(_xlfn.XLOOKUP(B47,'Base stats'!B:B,'Base stats'!AJ:AJ)=0,OR(AO47&lt;0.55,AND(BI47="Intermediate",_xlfn.XLOOKUP(_xlfn.XLOOKUP(B47,'Base stats'!B:B,'Base stats'!E:E),Groups!A:A,Groups!B:B)&lt;2))), (18 + BR47 * 2.7),
      IF(OR(BI47="Advanced",_xlfn.XLOOKUP(B47,'Base stats'!B:B,'Base stats'!AJ:AJ)=1,_xlfn.XLOOKUP(_xlfn.XLOOKUP(B47,'Base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IF(_xlfn.XLOOKUP(_xlfn.XLOOKUP(B47,'Base stats'!B:B,'Base stats'!E:E),Groups!A:A,Groups!C:C)="Untamable",1,IF(_xlfn.XLOOKUP(B47,'Base stats'!B:B,'Base stats'!AJ:AJ)=1,0.99,MIN(MROUND((1-0.6282*EXP(-0.459*AO47))*_xlfn.XLOOKUP(_xlfn.XLOOKUP(B47,'Base stats'!B:B,'Base stats'!E:E),Groups!A:A,Groups!C:C)*IF(_xlfn.XLOOKUP(B47,'Base stats'!B:B,'Base stats'!O:O)=1,0.5,IF(_xlfn.XLOOKUP(B47,'Base stats'!B:B,'Base stats'!O:O)=2,0,1)),0.05),0.985)))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IF(_xlfn.XLOOKUP(_xlfn.XLOOKUP(B47,'Base stats'!B:B,'Base stats'!E:E),Groups!A:A,Groups!L:L)=1,MIN(MROUND(_xlfn.XLOOKUP(B47,'Animals CE'!B:B,'Animals CE'!Z:Z)/2+0.05,0.05),200%),"No")</f>
        <v>No</v>
      </c>
      <c r="O47" s="8" t="str">
        <f>IF(_xlfn.XLOOKUP(_xlfn.XLOOKUP(B47,'Base stats'!B:B,'Base stats'!E:E),Groups!A:A,Groups!L:L)=1,MIN(MROUND(_xlfn.XLOOKUP(B47,'Animals CE'!B:B,'Animals CE'!AA:AA)/2+0.05,0.05),200%),"No")</f>
        <v>No</v>
      </c>
      <c r="P47" s="2">
        <f>_xlfn.XLOOKUP(B47,'Base stats'!B:B,'Base stats'!R:R)</f>
        <v>0.9</v>
      </c>
      <c r="Q47" s="13">
        <f>MROUND((LOG10(_xlfn.XLOOKUP(B47,'Base stats'!B:B,'Base stats'!AP:AP))*(AO47^0.5)+(_xlfn.XLOOKUP(B47,'Base stats'!B:B,'Base stats'!AP:AP)/1000)^(2/3)+_xlfn.XLOOKUP(B47,'Base stats'!B:B,'Base stats'!AY:AY)/2)+0.5,0.5)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stats'!AQ:AQ))*(AO47^0.5)+(_xlfn.XLOOKUP(B47,'Base stats'!B:B,'Base stats'!AQ:AQ)/1000)^(2/3)+_xlfn.XLOOKUP(B47,'Base stats'!B:B,'Base stats'!AY:AY))+_xlfn.XLOOKUP(B47,'Base stats'!B:B,'Base stats'!AW:AW)+0.5,0.5))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stats'!AS:AS))*(AO47^0.5)+(_xlfn.XLOOKUP(B47,'Base stats'!B:B,'Base stats'!AS:AS)/1000)^(2/3)+_xlfn.XLOOKUP(B47,'Base stats'!B:B,'Base stats'!AX:AX))+0.5+IF(_xlfn.XLOOKUP(_xlfn.XLOOKUP(B47,'Base stats'!B:B,'Base stats'!E:E),Groups!A:A,Groups!U:U)&lt;&gt;3,_xlfn.XLOOKUP(B47,'Base stats'!B:B,'Base stats'!AY:AY),0),0.5))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stats'!AR:AR)="No","No",MROUND((LOG10(_xlfn.XLOOKUP(B47,'Base stats'!B:B,'Base stats'!AR:AR))*(AO47^0.75)+(_xlfn.XLOOKUP(B47,'Base stats'!B:B,'Base stats'!AR:AR)/1000)^(2/3)+_xlfn.XLOOKUP(B47,'Base stats'!B:B,'Base stats'!AV:AV)+_xlfn.XLOOKUP(B47,'Base stats'!B:B,'Base stats'!AY:AY))+0.5,0.5))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stats'!AQ:AQ))*(AO47^0.75)+(_xlfn.XLOOKUP(B47,'Base stats'!B:B,'Base stats'!AQ:AQ)/1000)^(2/3)+_xlfn.XLOOKUP(B47,'Base stats'!B:B,'Base stats'!AW:AW)+_xlfn.XLOOKUP(B47,'Base stats'!B:B,'Base stats'!AY:AY))+0.5,0.5))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1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IFERROR(IF(_xlfn.XLOOKUP(B47,'Base stats'!B:B,'Base stats'!F:F)="Lay eggs","Lay eggs",MIN(20,MAX(5.5,ROUND(((_xlfn.XLOOKUP(B47,'Base stats'!B:B,'Base stats'!F:F)-25)*(14.5/615) + 5.5)*2,0)/2))),"Cannot breed")</f>
        <v>9.5</v>
      </c>
      <c r="AT47" s="8">
        <f>IF(OR(A47="Queen",A47="Larva",A47="Megachicken",A47="Megatardi",A47="Toxscorpion"),"No",IFERROR(MAX(IF(_xlfn.XLOOKUP(B47,'Base stats'!B:B,'Base stats'!G:G)&lt;0.5,0.2,0.3),MROUND(_xlfn.XLOOKUP(B47,'Base stats'!B:B,'Base stats'!G:G)/(365/60),0.2)),"Unknown"))</f>
        <v>0.4</v>
      </c>
      <c r="AU47" s="8">
        <f t="shared" si="0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_xlfn.XLOOKUP(B47,'Base stats'!B:B,'Base stats'!AF:AF)</f>
        <v>&lt;li&gt;Gazelle&lt;/li&gt;</v>
      </c>
      <c r="BB47" s="2" t="str">
        <f>_xlfn.XLOOKUP(B47,'Base stats'!B:B,'Base stats'!AE:AE)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stats'!Z:Z)=0),0,IF(OR(_xlfn.XLOOKUP(Animals!B47,'Base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stats'!AA:AA),0.005))</f>
        <v>0.1</v>
      </c>
      <c r="BE47" s="23">
        <f>MIN(1,MROUND(IF(AND(AO47&lt;0.5,_xlfn.XLOOKUP(B47,'Base stats'!B:B,'Base stats'!Z:Z)=0),0,IF(_xlfn.XLOOKUP(_xlfn.XLOOKUP(B47,'Base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stats'!AB:AB),0.005))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stats'!AL:AL)="Standard","No",MROUND((_xlfn.XLOOKUP(B47,'Base stats'!B:B,'Base stats'!AL:AL)/3.6)/I47,0.1))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stats'!AC:AC)&lt;&gt;"No",_xlfn.XLOOKUP(B47,'Base stats'!B:B,'Base stats'!AC:AC),"")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stats'!AC:AC)&lt;&gt;"No",_xlfn.XLOOKUP(B47,'Base stats'!B:B,'Base stats'!AC:AC),"")
  )
)</f>
        <v>No</v>
      </c>
      <c r="BQ47" s="25" t="str">
        <f>IF(
   AND(
      'Base stats'!AL47="Standard",_xlfn.XLOOKUP(_xlfn.XLOOKUP(B47,'Base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stats'!AT:AT) * 1.8) * 2) * 2.5 + 10 + I47 * 2,5)+IF(_xlfn.XLOOKUP(B47,'Base stats'!B:B,'Base stats'!AI:AI)=1,50,0)</f>
        <v>145</v>
      </c>
      <c r="BS47" s="8">
        <f t="shared" si="5"/>
        <v>0.9</v>
      </c>
      <c r="BT47" s="8" t="str">
        <f>_xlfn.XLOOKUP(B47,'Base stats'!B:B,'Base stats'!AD:AD)</f>
        <v>2~6</v>
      </c>
      <c r="BU47" s="2" t="str">
        <f>IF(AND(J47&lt;=0.95,OR(_xlfn.XLOOKUP(B47,'Base stats'!B:B,'Base stats'!AI:AI)=1,_xlfn.XLOOKUP(B47,'Base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stats'!AG:AG)=1,"true","false")</f>
        <v>false</v>
      </c>
      <c r="BW47" s="25" t="str">
        <f>IF(E47="BaseInsect","AnimalInsect",
IF(J47&gt;0.95,"AnimalExotic",
_xlfn.TEXTJOIN(", ",TRUE,
IF(OR(_xlfn.XLOOKUP(B47,'Base stats'!B:B,'Base stats'!AK:AK)=1,AND(_xlfn.XLOOKUP(B47,'Base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stats'!AI:AI)=1,AND(BI47&lt;&gt;"None",BR47&gt;=60),ISNUMBER(SEARCH("Attack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stats'!AH:AH)=1,"true","false")</f>
        <v>false</v>
      </c>
      <c r="BZ47" s="25">
        <f>IF(_xlfn.XLOOKUP(B47,'Base stats'!B:B,'Base stats'!N:N)=1,"No",MAX(0.01,MIN(MROUND(IF(OR(_xlfn.XLOOKUP(B47,'Base stats'!B:B,'Base stats'!AK:AK)=1,AND(BJ47="True",CC47="False")),POWER(10,3.47*LOG10(_xlfn.XLOOKUP(B47,'Base stats'!B:B,'Base stats'!C:C)*1000)^-0.96),POWER(10,4.15*LOG10(_xlfn.XLOOKUP(B47,'Base stats'!B:B,'Base stats'!C:C)*1000)^-0.73))*IF(OR(_xlfn.XLOOKUP(B47,'Base stats'!B:B,'Base stats'!AK:AK)=1,_xlfn.XLOOKUP(B47,'Base stats'!B:B,'Base stats'!AI:AI)=1),0.5,1)/100,0.025),1)))</f>
        <v>0.1</v>
      </c>
      <c r="CA47" s="25">
        <f>IF(P47="Standard","No",MAX(0.01,IF(_xlfn.XLOOKUP(B47,'Base stats'!B:B,'Base stats'!N:N)=0,MROUND(BZ47*P47,0.05),MIN(1,MAX(0.025,MROUND(IF(OR(CC47="true",AND(BJ47="false",BO47="false")),POWER(10,4.15*LOG10(_xlfn.XLOOKUP(B47,'Base stats'!B:B,'Base stats'!C:C)*1000)^-0.73),POWER(10,3.47*LOG10(_xlfn.XLOOKUP(B47,'Base stats'!B:B,'Base stats'!C:C)*1000)^-0.96))*IF(_xlfn.XLOOKUP(B47,'Base stats'!B:B,'Base stats'!AI:AI)=1,0.5,1)/100,0.025))))))</f>
        <v>0.1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891</v>
      </c>
      <c r="C48" s="28" t="s">
        <v>735</v>
      </c>
      <c r="D48" s="28" t="s">
        <v>883</v>
      </c>
      <c r="E48" s="28" t="s">
        <v>685</v>
      </c>
      <c r="F48" s="28" t="s">
        <v>685</v>
      </c>
      <c r="G48" s="28" t="s">
        <v>685</v>
      </c>
      <c r="H48" s="2">
        <f>MROUND((
  (IF(AND(_xlfn.XLOOKUP(B48,'Base stats'!B:B,'Base stats'!AJ:AJ)=0,BI48="None",_xlfn.XLOOKUP(_xlfn.XLOOKUP(B48,'Base stats'!B:B,'Base stats'!E:E),Groups!A:A,Groups!B:B)=0), (18 + BR48 * 2.7) * 0.5,
    IF(AND(_xlfn.XLOOKUP(B48,'Base stats'!B:B,'Base stats'!AJ:AJ)=0,OR(AO48&lt;0.55,AND(BI48="Intermediate",_xlfn.XLOOKUP(_xlfn.XLOOKUP(B48,'Base stats'!B:B,'Base stats'!E:E),Groups!A:A,Groups!B:B)&lt;2))), (18 + BR48 * 2.7),
      IF(OR(BI48="Advanced",_xlfn.XLOOKUP(B48,'Base stats'!B:B,'Base stats'!AJ:AJ)=1,_xlfn.XLOOKUP(_xlfn.XLOOKUP(B48,'Base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IF(_xlfn.XLOOKUP(_xlfn.XLOOKUP(B48,'Base stats'!B:B,'Base stats'!E:E),Groups!A:A,Groups!C:C)="Untamable",1,IF(_xlfn.XLOOKUP(B48,'Base stats'!B:B,'Base stats'!AJ:AJ)=1,0.99,MIN(MROUND((1-0.6282*EXP(-0.459*AO48))*_xlfn.XLOOKUP(_xlfn.XLOOKUP(B48,'Base stats'!B:B,'Base stats'!E:E),Groups!A:A,Groups!C:C)*IF(_xlfn.XLOOKUP(B48,'Base stats'!B:B,'Base stats'!O:O)=1,0.5,IF(_xlfn.XLOOKUP(B48,'Base stats'!B:B,'Base stats'!O:O)=2,0,1)),0.05),0.985)))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IF(_xlfn.XLOOKUP(_xlfn.XLOOKUP(B48,'Base stats'!B:B,'Base stats'!E:E),Groups!A:A,Groups!L:L)=1,MIN(MROUND(_xlfn.XLOOKUP(B48,'Animals CE'!B:B,'Animals CE'!Z:Z)/2+0.05,0.05),200%),"No")</f>
        <v>No</v>
      </c>
      <c r="O48" s="8" t="str">
        <f>IF(_xlfn.XLOOKUP(_xlfn.XLOOKUP(B48,'Base stats'!B:B,'Base stats'!E:E),Groups!A:A,Groups!L:L)=1,MIN(MROUND(_xlfn.XLOOKUP(B48,'Animals CE'!B:B,'Animals CE'!AA:AA)/2+0.05,0.05),200%),"No")</f>
        <v>No</v>
      </c>
      <c r="P48" s="2">
        <f>_xlfn.XLOOKUP(B48,'Base stats'!B:B,'Base stats'!R:R)</f>
        <v>1</v>
      </c>
      <c r="Q48" s="13">
        <f>MROUND((LOG10(_xlfn.XLOOKUP(B48,'Base stats'!B:B,'Base stats'!AP:AP))*(AO48^0.5)+(_xlfn.XLOOKUP(B48,'Base stats'!B:B,'Base stats'!AP:AP)/1000)^(2/3)+_xlfn.XLOOKUP(B48,'Base stats'!B:B,'Base stats'!AY:AY)/2)+0.5,0.5)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stats'!AQ:AQ))*(AO48^0.5)+(_xlfn.XLOOKUP(B48,'Base stats'!B:B,'Base stats'!AQ:AQ)/1000)^(2/3)+_xlfn.XLOOKUP(B48,'Base stats'!B:B,'Base stats'!AY:AY))+_xlfn.XLOOKUP(B48,'Base stats'!B:B,'Base stats'!AW:AW)+0.5,0.5))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stats'!AS:AS))*(AO48^0.5)+(_xlfn.XLOOKUP(B48,'Base stats'!B:B,'Base stats'!AS:AS)/1000)^(2/3)+_xlfn.XLOOKUP(B48,'Base stats'!B:B,'Base stats'!AX:AX))+0.5+IF(_xlfn.XLOOKUP(_xlfn.XLOOKUP(B48,'Base stats'!B:B,'Base stats'!E:E),Groups!A:A,Groups!U:U)&lt;&gt;3,_xlfn.XLOOKUP(B48,'Base stats'!B:B,'Base stats'!AY:AY),0),0.5))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stats'!AR:AR)="No","No",MROUND((LOG10(_xlfn.XLOOKUP(B48,'Base stats'!B:B,'Base stats'!AR:AR))*(AO48^0.75)+(_xlfn.XLOOKUP(B48,'Base stats'!B:B,'Base stats'!AR:AR)/1000)^(2/3)+_xlfn.XLOOKUP(B48,'Base stats'!B:B,'Base stats'!AV:AV)+_xlfn.XLOOKUP(B48,'Base stats'!B:B,'Base stats'!AY:AY))+0.5,0.5))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stats'!AQ:AQ))*(AO48^0.75)+(_xlfn.XLOOKUP(B48,'Base stats'!B:B,'Base stats'!AQ:AQ)/1000)^(2/3)+_xlfn.XLOOKUP(B48,'Base stats'!B:B,'Base stats'!AW:AW)+_xlfn.XLOOKUP(B48,'Base stats'!B:B,'Base stats'!AY:AY))+0.5,0.5))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1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IFERROR(IF(_xlfn.XLOOKUP(B48,'Base stats'!B:B,'Base stats'!F:F)="Lay eggs","Lay eggs",MIN(20,MAX(5.5,ROUND(((_xlfn.XLOOKUP(B48,'Base stats'!B:B,'Base stats'!F:F)-25)*(14.5/615) + 5.5)*2,0)/2))),"Cannot breed")</f>
        <v>9.5</v>
      </c>
      <c r="AT48" s="8">
        <f>IF(OR(A48="Queen",A48="Larva",A48="Megachicken",A48="Megatardi",A48="Toxscorpion"),"No",IFERROR(MAX(IF(_xlfn.XLOOKUP(B48,'Base stats'!B:B,'Base stats'!G:G)&lt;0.5,0.2,0.3),MROUND(_xlfn.XLOOKUP(B48,'Base stats'!B:B,'Base stats'!G:G)/(365/60),0.2)),"Unknown"))</f>
        <v>0.4</v>
      </c>
      <c r="AU48" s="8">
        <f t="shared" si="0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_xlfn.XLOOKUP(B48,'Base stats'!B:B,'Base stats'!AF:AF)</f>
        <v>No</v>
      </c>
      <c r="BB48" s="2" t="str">
        <f>_xlfn.XLOOKUP(B48,'Base stats'!B:B,'Base stats'!AE:AE)</f>
        <v>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stats'!Z:Z)=0),0,IF(OR(_xlfn.XLOOKUP(Animals!B48,'Base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stats'!AA:AA),0.005))</f>
        <v>0.1</v>
      </c>
      <c r="BE48" s="23">
        <f>MIN(1,MROUND(IF(AND(AO48&lt;0.5,_xlfn.XLOOKUP(B48,'Base stats'!B:B,'Base stats'!Z:Z)=0),0,IF(_xlfn.XLOOKUP(_xlfn.XLOOKUP(B48,'Base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stats'!AB:AB),0.005))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stats'!AL:AL)="Standard","No",MROUND((_xlfn.XLOOKUP(B48,'Base stats'!B:B,'Base stats'!AL:AL)/3.6)/I48,0.1))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stats'!AC:AC)&lt;&gt;"No",_xlfn.XLOOKUP(B48,'Base stats'!B:B,'Base stats'!AC:AC),"")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stats'!AC:AC)&lt;&gt;"No",_xlfn.XLOOKUP(B48,'Base stats'!B:B,'Base stats'!AC:AC),"")
  )
)</f>
        <v>No</v>
      </c>
      <c r="BQ48" s="25" t="str">
        <f>IF(
   AND(
      'Base stats'!AL48="Standard",_xlfn.XLOOKUP(_xlfn.XLOOKUP(B48,'Base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stats'!AT:AT) * 1.8) * 2) * 2.5 + 10 + I48 * 2,5)+IF(_xlfn.XLOOKUP(B48,'Base stats'!B:B,'Base stats'!AI:AI)=1,50,0)</f>
        <v>145</v>
      </c>
      <c r="BS48" s="8">
        <f t="shared" si="5"/>
        <v>0.9</v>
      </c>
      <c r="BT48" s="8" t="str">
        <f>_xlfn.XLOOKUP(B48,'Base stats'!B:B,'Base stats'!AD:AD)</f>
        <v>2~6</v>
      </c>
      <c r="BU48" s="2" t="str">
        <f>IF(AND(J48&lt;=0.95,OR(_xlfn.XLOOKUP(B48,'Base stats'!B:B,'Base stats'!AI:AI)=1,_xlfn.XLOOKUP(B48,'Base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stats'!AG:AG)=1,"true","false")</f>
        <v>false</v>
      </c>
      <c r="BW48" s="25" t="str">
        <f>IF(E48="BaseInsect","AnimalInsect",
IF(J48&gt;0.95,"AnimalExotic",
_xlfn.TEXTJOIN(", ",TRUE,
IF(OR(_xlfn.XLOOKUP(B48,'Base stats'!B:B,'Base stats'!AK:AK)=1,AND(_xlfn.XLOOKUP(B48,'Base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stats'!AI:AI)=1,AND(BI48&lt;&gt;"None",BR48&gt;=60),ISNUMBER(SEARCH("Attack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stats'!AH:AH)=1,"true","false")</f>
        <v>false</v>
      </c>
      <c r="BZ48" s="25" t="str">
        <f>IF(_xlfn.XLOOKUP(B48,'Base stats'!B:B,'Base stats'!N:N)=1,"No",MAX(0.01,MIN(MROUND(IF(OR(_xlfn.XLOOKUP(B48,'Base stats'!B:B,'Base stats'!AK:AK)=1,AND(BJ48="True",CC48="False")),POWER(10,3.47*LOG10(_xlfn.XLOOKUP(B48,'Base stats'!B:B,'Base stats'!C:C)*1000)^-0.96),POWER(10,4.15*LOG10(_xlfn.XLOOKUP(B48,'Base stats'!B:B,'Base stats'!C:C)*1000)^-0.73))*IF(OR(_xlfn.XLOOKUP(B48,'Base stats'!B:B,'Base stats'!AK:AK)=1,_xlfn.XLOOKUP(B48,'Base stats'!B:B,'Base stats'!AI:AI)=1),0.5,1)/100,0.025),1)))</f>
        <v>No</v>
      </c>
      <c r="CA48" s="25">
        <f>IF(P48="Standard","No",MAX(0.01,IF(_xlfn.XLOOKUP(B48,'Base stats'!B:B,'Base stats'!N:N)=0,MROUND(BZ48*P48,0.05),MIN(1,MAX(0.025,MROUND(IF(OR(CC48="true",AND(BJ48="false",BO48="false")),POWER(10,4.15*LOG10(_xlfn.XLOOKUP(B48,'Base stats'!B:B,'Base stats'!C:C)*1000)^-0.73),POWER(10,3.47*LOG10(_xlfn.XLOOKUP(B48,'Base stats'!B:B,'Base stats'!C:C)*1000)^-0.96))*IF(_xlfn.XLOOKUP(B48,'Base stats'!B:B,'Base stats'!AI:AI)=1,0.5,1)/100,0.025))))))</f>
        <v>0.1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159</v>
      </c>
      <c r="C49" s="28" t="s">
        <v>736</v>
      </c>
      <c r="D49" s="28" t="s">
        <v>45</v>
      </c>
      <c r="E49" s="28" t="s">
        <v>685</v>
      </c>
      <c r="F49" s="28" t="s">
        <v>685</v>
      </c>
      <c r="G49" s="28" t="s">
        <v>685</v>
      </c>
      <c r="H49" s="2">
        <f>MROUND((
  (IF(AND(_xlfn.XLOOKUP(B49,'Base stats'!B:B,'Base stats'!AJ:AJ)=0,BI49="None",_xlfn.XLOOKUP(_xlfn.XLOOKUP(B49,'Base stats'!B:B,'Base stats'!E:E),Groups!A:A,Groups!B:B)=0), (18 + BR49 * 2.7) * 0.5,
    IF(AND(_xlfn.XLOOKUP(B49,'Base stats'!B:B,'Base stats'!AJ:AJ)=0,OR(AO49&lt;0.55,AND(BI49="Intermediate",_xlfn.XLOOKUP(_xlfn.XLOOKUP(B49,'Base stats'!B:B,'Base stats'!E:E),Groups!A:A,Groups!B:B)&lt;2))), (18 + BR49 * 2.7),
      IF(OR(BI49="Advanced",_xlfn.XLOOKUP(B49,'Base stats'!B:B,'Base stats'!AJ:AJ)=1,_xlfn.XLOOKUP(_xlfn.XLOOKUP(B49,'Base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IF(_xlfn.XLOOKUP(_xlfn.XLOOKUP(B49,'Base stats'!B:B,'Base stats'!E:E),Groups!A:A,Groups!C:C)="Untamable",1,IF(_xlfn.XLOOKUP(B49,'Base stats'!B:B,'Base stats'!AJ:AJ)=1,0.99,MIN(MROUND((1-0.6282*EXP(-0.459*AO49))*_xlfn.XLOOKUP(_xlfn.XLOOKUP(B49,'Base stats'!B:B,'Base stats'!E:E),Groups!A:A,Groups!C:C)*IF(_xlfn.XLOOKUP(B49,'Base stats'!B:B,'Base stats'!O:O)=1,0.5,IF(_xlfn.XLOOKUP(B49,'Base stats'!B:B,'Base stats'!O:O)=2,0,1)),0.05),0.985)))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IF(_xlfn.XLOOKUP(_xlfn.XLOOKUP(B49,'Base stats'!B:B,'Base stats'!E:E),Groups!A:A,Groups!L:L)=1,MIN(MROUND(_xlfn.XLOOKUP(B49,'Animals CE'!B:B,'Animals CE'!Z:Z)/2+0.05,0.05),200%),"No")</f>
        <v>No</v>
      </c>
      <c r="O49" s="8" t="str">
        <f>IF(_xlfn.XLOOKUP(_xlfn.XLOOKUP(B49,'Base stats'!B:B,'Base stats'!E:E),Groups!A:A,Groups!L:L)=1,MIN(MROUND(_xlfn.XLOOKUP(B49,'Animals CE'!B:B,'Animals CE'!AA:AA)/2+0.05,0.05),200%),"No")</f>
        <v>No</v>
      </c>
      <c r="P49" s="2" t="str">
        <f>_xlfn.XLOOKUP(B49,'Base stats'!B:B,'Base stats'!R:R)</f>
        <v>Standard</v>
      </c>
      <c r="Q49" s="13">
        <f>MROUND((LOG10(_xlfn.XLOOKUP(B49,'Base stats'!B:B,'Base stats'!AP:AP))*(AO49^0.5)+(_xlfn.XLOOKUP(B49,'Base stats'!B:B,'Base stats'!AP:AP)/1000)^(2/3)+_xlfn.XLOOKUP(B49,'Base stats'!B:B,'Base stats'!AY:AY)/2)+0.5,0.5)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stats'!AQ:AQ))*(AO49^0.5)+(_xlfn.XLOOKUP(B49,'Base stats'!B:B,'Base stats'!AQ:AQ)/1000)^(2/3)+_xlfn.XLOOKUP(B49,'Base stats'!B:B,'Base stats'!AY:AY))+_xlfn.XLOOKUP(B49,'Base stats'!B:B,'Base stats'!AW:AW)+0.5,0.5))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stats'!AS:AS))*(AO49^0.5)+(_xlfn.XLOOKUP(B49,'Base stats'!B:B,'Base stats'!AS:AS)/1000)^(2/3)+_xlfn.XLOOKUP(B49,'Base stats'!B:B,'Base stats'!AX:AX))+0.5+IF(_xlfn.XLOOKUP(_xlfn.XLOOKUP(B49,'Base stats'!B:B,'Base stats'!E:E),Groups!A:A,Groups!U:U)&lt;&gt;3,_xlfn.XLOOKUP(B49,'Base stats'!B:B,'Base stats'!AY:AY),0),0.5))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stats'!AR:AR)="No","No",MROUND((LOG10(_xlfn.XLOOKUP(B49,'Base stats'!B:B,'Base stats'!AR:AR))*(AO49^0.75)+(_xlfn.XLOOKUP(B49,'Base stats'!B:B,'Base stats'!AR:AR)/1000)^(2/3)+_xlfn.XLOOKUP(B49,'Base stats'!B:B,'Base stats'!AV:AV)+_xlfn.XLOOKUP(B49,'Base stats'!B:B,'Base stats'!AY:AY))+0.5,0.5))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stats'!AQ:AQ))*(AO49^0.75)+(_xlfn.XLOOKUP(B49,'Base stats'!B:B,'Base stats'!AQ:AQ)/1000)^(2/3)+_xlfn.XLOOKUP(B49,'Base stats'!B:B,'Base stats'!AW:AW)+_xlfn.XLOOKUP(B49,'Base stats'!B:B,'Base stats'!AY:AY))+0.5,0.5))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1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IFERROR(IF(_xlfn.XLOOKUP(B49,'Base stats'!B:B,'Base stats'!F:F)="Lay eggs","Lay eggs",MIN(20,MAX(5.5,ROUND(((_xlfn.XLOOKUP(B49,'Base stats'!B:B,'Base stats'!F:F)-25)*(14.5/615) + 5.5)*2,0)/2))),"Cannot breed")</f>
        <v>10.5</v>
      </c>
      <c r="AT49" s="8">
        <f>IF(OR(A49="Queen",A49="Larva",A49="Megachicken",A49="Megatardi",A49="Toxscorpion"),"No",IFERROR(MAX(IF(_xlfn.XLOOKUP(B49,'Base stats'!B:B,'Base stats'!G:G)&lt;0.5,0.2,0.3),MROUND(_xlfn.XLOOKUP(B49,'Base stats'!B:B,'Base stats'!G:G)/(365/60),0.2)),"Unknown"))</f>
        <v>0.3</v>
      </c>
      <c r="AU49" s="8">
        <f t="shared" si="0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_xlfn.XLOOKUP(B49,'Base stats'!B:B,'Base stats'!AF:AF)</f>
        <v>&lt;li&gt;Deer&lt;/li&gt;</v>
      </c>
      <c r="BB49" s="2" t="str">
        <f>_xlfn.XLOOKUP(B49,'Base stats'!B:B,'Base stats'!AE:AE)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stats'!Z:Z)=0),0,IF(OR(_xlfn.XLOOKUP(Animals!B49,'Base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stats'!AA:AA),0.005))</f>
        <v>0</v>
      </c>
      <c r="BE49" s="23">
        <f>MIN(1,MROUND(IF(AND(AO49&lt;0.5,_xlfn.XLOOKUP(B49,'Base stats'!B:B,'Base stats'!Z:Z)=0),0,IF(_xlfn.XLOOKUP(_xlfn.XLOOKUP(B49,'Base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stats'!AB:AB),0.005))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stats'!AL:AL)="Standard","No",MROUND((_xlfn.XLOOKUP(B49,'Base stats'!B:B,'Base stats'!AL:AL)/3.6)/I49,0.1))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stats'!AC:AC)&lt;&gt;"No",_xlfn.XLOOKUP(B49,'Base stats'!B:B,'Base stats'!AC:AC),"")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stats'!AC:AC)&lt;&gt;"No",_xlfn.XLOOKUP(B49,'Base stats'!B:B,'Base stats'!AC:AC),"")
  )
)</f>
        <v>No</v>
      </c>
      <c r="BQ49" s="25" t="str">
        <f>IF(
   AND(
      'Base stats'!AL49="Standard",_xlfn.XLOOKUP(_xlfn.XLOOKUP(B49,'Base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stats'!AT:AT) * 1.8) * 2) * 2.5 + 10 + I49 * 2,5)+IF(_xlfn.XLOOKUP(B49,'Base stats'!B:B,'Base stats'!AI:AI)=1,50,0)</f>
        <v>105</v>
      </c>
      <c r="BS49" s="8">
        <f t="shared" si="5"/>
        <v>0.8</v>
      </c>
      <c r="BT49" s="8" t="str">
        <f>_xlfn.XLOOKUP(B49,'Base stats'!B:B,'Base stats'!AD:AD)</f>
        <v>5~15</v>
      </c>
      <c r="BU49" s="2" t="str">
        <f>IF(AND(J49&lt;=0.95,OR(_xlfn.XLOOKUP(B49,'Base stats'!B:B,'Base stats'!AI:AI)=1,_xlfn.XLOOKUP(B49,'Base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stats'!AG:AG)=1,"true","false")</f>
        <v>false</v>
      </c>
      <c r="BW49" s="25" t="str">
        <f>IF(E49="BaseInsect","AnimalInsect",
IF(J49&gt;0.95,"AnimalExotic",
_xlfn.TEXTJOIN(", ",TRUE,
IF(OR(_xlfn.XLOOKUP(B49,'Base stats'!B:B,'Base stats'!AK:AK)=1,AND(_xlfn.XLOOKUP(B49,'Base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stats'!AI:AI)=1,AND(BI49&lt;&gt;"None",BR49&gt;=60),ISNUMBER(SEARCH("Attack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stats'!AH:AH)=1,"true","false")</f>
        <v>false</v>
      </c>
      <c r="BZ49" s="25">
        <f>IF(_xlfn.XLOOKUP(B49,'Base stats'!B:B,'Base stats'!N:N)=1,"No",MAX(0.01,MIN(MROUND(IF(OR(_xlfn.XLOOKUP(B49,'Base stats'!B:B,'Base stats'!AK:AK)=1,AND(BJ49="True",CC49="False")),POWER(10,3.47*LOG10(_xlfn.XLOOKUP(B49,'Base stats'!B:B,'Base stats'!C:C)*1000)^-0.96),POWER(10,4.15*LOG10(_xlfn.XLOOKUP(B49,'Base stats'!B:B,'Base stats'!C:C)*1000)^-0.73))*IF(OR(_xlfn.XLOOKUP(B49,'Base stats'!B:B,'Base stats'!AK:AK)=1,_xlfn.XLOOKUP(B49,'Base stats'!B:B,'Base stats'!AI:AI)=1),0.5,1)/100,0.025),1)))</f>
        <v>0.17500000000000002</v>
      </c>
      <c r="CA49" s="25" t="str">
        <f>IF(P49="Standard","No",MAX(0.01,IF(_xlfn.XLOOKUP(B49,'Base stats'!B:B,'Base stats'!N:N)=0,MROUND(BZ49*P49,0.05),MIN(1,MAX(0.025,MROUND(IF(OR(CC49="true",AND(BJ49="false",BO49="false")),POWER(10,4.15*LOG10(_xlfn.XLOOKUP(B49,'Base stats'!B:B,'Base stats'!C:C)*1000)^-0.73),POWER(10,3.47*LOG10(_xlfn.XLOOKUP(B49,'Base stats'!B:B,'Base stats'!C:C)*1000)^-0.96))*IF(_xlfn.XLOOKUP(B49,'Base stats'!B:B,'Base stats'!AI:AI)=1,0.5,1)/100,0.025))))))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161</v>
      </c>
      <c r="C50" s="28" t="s">
        <v>737</v>
      </c>
      <c r="D50" s="28" t="s">
        <v>45</v>
      </c>
      <c r="E50" s="28" t="s">
        <v>685</v>
      </c>
      <c r="F50" s="28" t="s">
        <v>685</v>
      </c>
      <c r="G50" s="28" t="s">
        <v>685</v>
      </c>
      <c r="H50" s="2">
        <f>MROUND((
  (IF(AND(_xlfn.XLOOKUP(B50,'Base stats'!B:B,'Base stats'!AJ:AJ)=0,BI50="None",_xlfn.XLOOKUP(_xlfn.XLOOKUP(B50,'Base stats'!B:B,'Base stats'!E:E),Groups!A:A,Groups!B:B)=0), (18 + BR50 * 2.7) * 0.5,
    IF(AND(_xlfn.XLOOKUP(B50,'Base stats'!B:B,'Base stats'!AJ:AJ)=0,OR(AO50&lt;0.55,AND(BI50="Intermediate",_xlfn.XLOOKUP(_xlfn.XLOOKUP(B50,'Base stats'!B:B,'Base stats'!E:E),Groups!A:A,Groups!B:B)&lt;2))), (18 + BR50 * 2.7),
      IF(OR(BI50="Advanced",_xlfn.XLOOKUP(B50,'Base stats'!B:B,'Base stats'!AJ:AJ)=1,_xlfn.XLOOKUP(_xlfn.XLOOKUP(B50,'Base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IF(_xlfn.XLOOKUP(_xlfn.XLOOKUP(B50,'Base stats'!B:B,'Base stats'!E:E),Groups!A:A,Groups!C:C)="Untamable",1,IF(_xlfn.XLOOKUP(B50,'Base stats'!B:B,'Base stats'!AJ:AJ)=1,0.99,MIN(MROUND((1-0.6282*EXP(-0.459*AO50))*_xlfn.XLOOKUP(_xlfn.XLOOKUP(B50,'Base stats'!B:B,'Base stats'!E:E),Groups!A:A,Groups!C:C)*IF(_xlfn.XLOOKUP(B50,'Base stats'!B:B,'Base stats'!O:O)=1,0.5,IF(_xlfn.XLOOKUP(B50,'Base stats'!B:B,'Base stats'!O:O)=2,0,1)),0.05),0.985)))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IF(_xlfn.XLOOKUP(_xlfn.XLOOKUP(B50,'Base stats'!B:B,'Base stats'!E:E),Groups!A:A,Groups!L:L)=1,MIN(MROUND(_xlfn.XLOOKUP(B50,'Animals CE'!B:B,'Animals CE'!Z:Z)/2+0.05,0.05),200%),"No")</f>
        <v>No</v>
      </c>
      <c r="O50" s="8" t="str">
        <f>IF(_xlfn.XLOOKUP(_xlfn.XLOOKUP(B50,'Base stats'!B:B,'Base stats'!E:E),Groups!A:A,Groups!L:L)=1,MIN(MROUND(_xlfn.XLOOKUP(B50,'Animals CE'!B:B,'Animals CE'!AA:AA)/2+0.05,0.05),200%),"No")</f>
        <v>No</v>
      </c>
      <c r="P50" s="2" t="str">
        <f>_xlfn.XLOOKUP(B50,'Base stats'!B:B,'Base stats'!R:R)</f>
        <v>Standard</v>
      </c>
      <c r="Q50" s="13">
        <f>MROUND((LOG10(_xlfn.XLOOKUP(B50,'Base stats'!B:B,'Base stats'!AP:AP))*(AO50^0.5)+(_xlfn.XLOOKUP(B50,'Base stats'!B:B,'Base stats'!AP:AP)/1000)^(2/3)+_xlfn.XLOOKUP(B50,'Base stats'!B:B,'Base stats'!AY:AY)/2)+0.5,0.5)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stats'!AQ:AQ))*(AO50^0.5)+(_xlfn.XLOOKUP(B50,'Base stats'!B:B,'Base stats'!AQ:AQ)/1000)^(2/3)+_xlfn.XLOOKUP(B50,'Base stats'!B:B,'Base stats'!AY:AY))+_xlfn.XLOOKUP(B50,'Base stats'!B:B,'Base stats'!AW:AW)+0.5,0.5))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stats'!AS:AS))*(AO50^0.5)+(_xlfn.XLOOKUP(B50,'Base stats'!B:B,'Base stats'!AS:AS)/1000)^(2/3)+_xlfn.XLOOKUP(B50,'Base stats'!B:B,'Base stats'!AX:AX))+0.5+IF(_xlfn.XLOOKUP(_xlfn.XLOOKUP(B50,'Base stats'!B:B,'Base stats'!E:E),Groups!A:A,Groups!U:U)&lt;&gt;3,_xlfn.XLOOKUP(B50,'Base stats'!B:B,'Base stats'!AY:AY),0),0.5))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stats'!AR:AR)="No","No",MROUND((LOG10(_xlfn.XLOOKUP(B50,'Base stats'!B:B,'Base stats'!AR:AR))*(AO50^0.75)+(_xlfn.XLOOKUP(B50,'Base stats'!B:B,'Base stats'!AR:AR)/1000)^(2/3)+_xlfn.XLOOKUP(B50,'Base stats'!B:B,'Base stats'!AV:AV)+_xlfn.XLOOKUP(B50,'Base stats'!B:B,'Base stats'!AY:AY))+0.5,0.5))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stats'!AQ:AQ))*(AO50^0.75)+(_xlfn.XLOOKUP(B50,'Base stats'!B:B,'Base stats'!AQ:AQ)/1000)^(2/3)+_xlfn.XLOOKUP(B50,'Base stats'!B:B,'Base stats'!AW:AW)+_xlfn.XLOOKUP(B50,'Base stats'!B:B,'Base stats'!AY:AY))+0.5,0.5))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1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IFERROR(IF(_xlfn.XLOOKUP(B50,'Base stats'!B:B,'Base stats'!F:F)="Lay eggs","Lay eggs",MIN(20,MAX(5.5,ROUND(((_xlfn.XLOOKUP(B50,'Base stats'!B:B,'Base stats'!F:F)-25)*(14.5/615) + 5.5)*2,0)/2))),"Cannot breed")</f>
        <v>9</v>
      </c>
      <c r="AT50" s="8">
        <f>IF(OR(A50="Queen",A50="Larva",A50="Megachicken",A50="Megatardi",A50="Toxscorpion"),"No",IFERROR(MAX(IF(_xlfn.XLOOKUP(B50,'Base stats'!B:B,'Base stats'!G:G)&lt;0.5,0.2,0.3),MROUND(_xlfn.XLOOKUP(B50,'Base stats'!B:B,'Base stats'!G:G)/(365/60),0.2)),"Unknown"))</f>
        <v>0.4</v>
      </c>
      <c r="AU50" s="8">
        <f t="shared" si="0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_xlfn.XLOOKUP(B50,'Base stats'!B:B,'Base stats'!AF:AF)</f>
        <v>&lt;li&gt;Goat&lt;/li&gt;</v>
      </c>
      <c r="BB50" s="2" t="str">
        <f>_xlfn.XLOOKUP(B50,'Base stats'!B:B,'Base stats'!AE:AE)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stats'!Z:Z)=0),0,IF(OR(_xlfn.XLOOKUP(Animals!B50,'Base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stats'!AA:AA),0.005))</f>
        <v>0</v>
      </c>
      <c r="BE50" s="23">
        <f>MIN(1,MROUND(IF(AND(AO50&lt;0.5,_xlfn.XLOOKUP(B50,'Base stats'!B:B,'Base stats'!Z:Z)=0),0,IF(_xlfn.XLOOKUP(_xlfn.XLOOKUP(B50,'Base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stats'!AB:AB),0.005))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stats'!AL:AL)="Standard","No",MROUND((_xlfn.XLOOKUP(B50,'Base stats'!B:B,'Base stats'!AL:AL)/3.6)/I50,0.1))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stats'!AC:AC)&lt;&gt;"No",_xlfn.XLOOKUP(B50,'Base stats'!B:B,'Base stats'!AC:AC),"")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stats'!AC:AC)&lt;&gt;"No",_xlfn.XLOOKUP(B50,'Base stats'!B:B,'Base stats'!AC:AC),"")
  )
)</f>
        <v>No</v>
      </c>
      <c r="BQ50" s="25" t="str">
        <f>IF(
   AND(
      'Base stats'!AL50="Standard",_xlfn.XLOOKUP(_xlfn.XLOOKUP(B50,'Base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stats'!AT:AT) * 1.8) * 2) * 2.5 + 10 + I50 * 2,5)+IF(_xlfn.XLOOKUP(B50,'Base stats'!B:B,'Base stats'!AI:AI)=1,50,0)</f>
        <v>85</v>
      </c>
      <c r="BS50" s="8">
        <f t="shared" si="5"/>
        <v>0.70000000000000007</v>
      </c>
      <c r="BT50" s="8" t="str">
        <f>_xlfn.XLOOKUP(B50,'Base stats'!B:B,'Base stats'!AD:AD)</f>
        <v>3~10</v>
      </c>
      <c r="BU50" s="2" t="str">
        <f>IF(AND(J50&lt;=0.95,OR(_xlfn.XLOOKUP(B50,'Base stats'!B:B,'Base stats'!AI:AI)=1,_xlfn.XLOOKUP(B50,'Base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stats'!AG:AG)=1,"true","false")</f>
        <v>false</v>
      </c>
      <c r="BW50" s="25" t="str">
        <f>IF(E50="BaseInsect","AnimalInsect",
IF(J50&gt;0.95,"AnimalExotic",
_xlfn.TEXTJOIN(", ",TRUE,
IF(OR(_xlfn.XLOOKUP(B50,'Base stats'!B:B,'Base stats'!AK:AK)=1,AND(_xlfn.XLOOKUP(B50,'Base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stats'!AI:AI)=1,AND(BI50&lt;&gt;"None",BR50&gt;=60),ISNUMBER(SEARCH("Attack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stats'!AH:AH)=1,"true","false")</f>
        <v>false</v>
      </c>
      <c r="BZ50" s="25">
        <f>IF(_xlfn.XLOOKUP(B50,'Base stats'!B:B,'Base stats'!N:N)=1,"No",MAX(0.01,MIN(MROUND(IF(OR(_xlfn.XLOOKUP(B50,'Base stats'!B:B,'Base stats'!AK:AK)=1,AND(BJ50="True",CC50="False")),POWER(10,3.47*LOG10(_xlfn.XLOOKUP(B50,'Base stats'!B:B,'Base stats'!C:C)*1000)^-0.96),POWER(10,4.15*LOG10(_xlfn.XLOOKUP(B50,'Base stats'!B:B,'Base stats'!C:C)*1000)^-0.73))*IF(OR(_xlfn.XLOOKUP(B50,'Base stats'!B:B,'Base stats'!AK:AK)=1,_xlfn.XLOOKUP(B50,'Base stats'!B:B,'Base stats'!AI:AI)=1),0.5,1)/100,0.025),1)))</f>
        <v>0.2</v>
      </c>
      <c r="CA50" s="25" t="str">
        <f>IF(P50="Standard","No",MAX(0.01,IF(_xlfn.XLOOKUP(B50,'Base stats'!B:B,'Base stats'!N:N)=0,MROUND(BZ50*P50,0.05),MIN(1,MAX(0.025,MROUND(IF(OR(CC50="true",AND(BJ50="false",BO50="false")),POWER(10,4.15*LOG10(_xlfn.XLOOKUP(B50,'Base stats'!B:B,'Base stats'!C:C)*1000)^-0.73),POWER(10,3.47*LOG10(_xlfn.XLOOKUP(B50,'Base stats'!B:B,'Base stats'!C:C)*1000)^-0.96))*IF(_xlfn.XLOOKUP(B50,'Base stats'!B:B,'Base stats'!AI:AI)=1,0.5,1)/100,0.025))))))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163</v>
      </c>
      <c r="C51" s="28" t="s">
        <v>738</v>
      </c>
      <c r="D51" s="28" t="s">
        <v>45</v>
      </c>
      <c r="E51" s="28" t="s">
        <v>685</v>
      </c>
      <c r="F51" s="28" t="s">
        <v>685</v>
      </c>
      <c r="G51" s="28" t="s">
        <v>685</v>
      </c>
      <c r="H51" s="2">
        <f>MROUND((
  (IF(AND(_xlfn.XLOOKUP(B51,'Base stats'!B:B,'Base stats'!AJ:AJ)=0,BI51="None",_xlfn.XLOOKUP(_xlfn.XLOOKUP(B51,'Base stats'!B:B,'Base stats'!E:E),Groups!A:A,Groups!B:B)=0), (18 + BR51 * 2.7) * 0.5,
    IF(AND(_xlfn.XLOOKUP(B51,'Base stats'!B:B,'Base stats'!AJ:AJ)=0,OR(AO51&lt;0.55,AND(BI51="Intermediate",_xlfn.XLOOKUP(_xlfn.XLOOKUP(B51,'Base stats'!B:B,'Base stats'!E:E),Groups!A:A,Groups!B:B)&lt;2))), (18 + BR51 * 2.7),
      IF(OR(BI51="Advanced",_xlfn.XLOOKUP(B51,'Base stats'!B:B,'Base stats'!AJ:AJ)=1,_xlfn.XLOOKUP(_xlfn.XLOOKUP(B51,'Base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IF(_xlfn.XLOOKUP(_xlfn.XLOOKUP(B51,'Base stats'!B:B,'Base stats'!E:E),Groups!A:A,Groups!C:C)="Untamable",1,IF(_xlfn.XLOOKUP(B51,'Base stats'!B:B,'Base stats'!AJ:AJ)=1,0.99,MIN(MROUND((1-0.6282*EXP(-0.459*AO51))*_xlfn.XLOOKUP(_xlfn.XLOOKUP(B51,'Base stats'!B:B,'Base stats'!E:E),Groups!A:A,Groups!C:C)*IF(_xlfn.XLOOKUP(B51,'Base stats'!B:B,'Base stats'!O:O)=1,0.5,IF(_xlfn.XLOOKUP(B51,'Base stats'!B:B,'Base stats'!O:O)=2,0,1)),0.05),0.985)))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-35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35</v>
      </c>
      <c r="N51" s="8" t="str">
        <f>IF(_xlfn.XLOOKUP(_xlfn.XLOOKUP(B51,'Base stats'!B:B,'Base stats'!E:E),Groups!A:A,Groups!L:L)=1,MIN(MROUND(_xlfn.XLOOKUP(B51,'Animals CE'!B:B,'Animals CE'!Z:Z)/2+0.05,0.05),200%),"No")</f>
        <v>No</v>
      </c>
      <c r="O51" s="8" t="str">
        <f>IF(_xlfn.XLOOKUP(_xlfn.XLOOKUP(B51,'Base stats'!B:B,'Base stats'!E:E),Groups!A:A,Groups!L:L)=1,MIN(MROUND(_xlfn.XLOOKUP(B51,'Animals CE'!B:B,'Animals CE'!AA:AA)/2+0.05,0.05),200%),"No")</f>
        <v>No</v>
      </c>
      <c r="P51" s="2" t="str">
        <f>_xlfn.XLOOKUP(B51,'Base stats'!B:B,'Base stats'!R:R)</f>
        <v>Standard</v>
      </c>
      <c r="Q51" s="13">
        <f>MROUND((LOG10(_xlfn.XLOOKUP(B51,'Base stats'!B:B,'Base stats'!AP:AP))*(AO51^0.5)+(_xlfn.XLOOKUP(B51,'Base stats'!B:B,'Base stats'!AP:AP)/1000)^(2/3)+_xlfn.XLOOKUP(B51,'Base stats'!B:B,'Base stats'!AY:AY)/2)+0.5,0.5)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stats'!AQ:AQ))*(AO51^0.5)+(_xlfn.XLOOKUP(B51,'Base stats'!B:B,'Base stats'!AQ:AQ)/1000)^(2/3)+_xlfn.XLOOKUP(B51,'Base stats'!B:B,'Base stats'!AY:AY))+_xlfn.XLOOKUP(B51,'Base stats'!B:B,'Base stats'!AW:AW)+0.5,0.5))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stats'!AS:AS))*(AO51^0.5)+(_xlfn.XLOOKUP(B51,'Base stats'!B:B,'Base stats'!AS:AS)/1000)^(2/3)+_xlfn.XLOOKUP(B51,'Base stats'!B:B,'Base stats'!AX:AX))+0.5+IF(_xlfn.XLOOKUP(_xlfn.XLOOKUP(B51,'Base stats'!B:B,'Base stats'!E:E),Groups!A:A,Groups!U:U)&lt;&gt;3,_xlfn.XLOOKUP(B51,'Base stats'!B:B,'Base stats'!AY:AY),0),0.5))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stats'!AR:AR)="No","No",MROUND((LOG10(_xlfn.XLOOKUP(B51,'Base stats'!B:B,'Base stats'!AR:AR))*(AO51^0.75)+(_xlfn.XLOOKUP(B51,'Base stats'!B:B,'Base stats'!AR:AR)/1000)^(2/3)+_xlfn.XLOOKUP(B51,'Base stats'!B:B,'Base stats'!AV:AV)+_xlfn.XLOOKUP(B51,'Base stats'!B:B,'Base stats'!AY:AY))+0.5,0.5))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stats'!AQ:AQ))*(AO51^0.75)+(_xlfn.XLOOKUP(B51,'Base stats'!B:B,'Base stats'!AQ:AQ)/1000)^(2/3)+_xlfn.XLOOKUP(B51,'Base stats'!B:B,'Base stats'!AW:AW)+_xlfn.XLOOKUP(B51,'Base stats'!B:B,'Base stats'!AY:AY))+0.5,0.5))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1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IFERROR(IF(_xlfn.XLOOKUP(B51,'Base stats'!B:B,'Base stats'!F:F)="Lay eggs","Lay eggs",MIN(20,MAX(5.5,ROUND(((_xlfn.XLOOKUP(B51,'Base stats'!B:B,'Base stats'!F:F)-25)*(14.5/615) + 5.5)*2,0)/2))),"Cannot breed")</f>
        <v>8.5</v>
      </c>
      <c r="AT51" s="8">
        <f>IF(OR(A51="Queen",A51="Larva",A51="Megachicken",A51="Megatardi",A51="Toxscorpion"),"No",IFERROR(MAX(IF(_xlfn.XLOOKUP(B51,'Base stats'!B:B,'Base stats'!G:G)&lt;0.5,0.2,0.3),MROUND(_xlfn.XLOOKUP(B51,'Base stats'!B:B,'Base stats'!G:G)/(365/60),0.2)),"Unknown"))</f>
        <v>0.3</v>
      </c>
      <c r="AU51" s="8">
        <f t="shared" si="0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_xlfn.XLOOKUP(B51,'Base stats'!B:B,'Base stats'!AF:AF)</f>
        <v>No</v>
      </c>
      <c r="BB51" s="2" t="str">
        <f>_xlfn.XLOOKUP(B51,'Base stats'!B:B,'Base stats'!AE:AE)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stats'!Z:Z)=0),0,IF(OR(_xlfn.XLOOKUP(Animals!B51,'Base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stats'!AA:AA),0.005))</f>
        <v>0</v>
      </c>
      <c r="BE51" s="23">
        <f>MIN(1,MROUND(IF(AND(AO51&lt;0.5,_xlfn.XLOOKUP(B51,'Base stats'!B:B,'Base stats'!Z:Z)=0),0,IF(_xlfn.XLOOKUP(_xlfn.XLOOKUP(B51,'Base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stats'!AB:AB),0.005))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stats'!AL:AL)="Standard","No",MROUND((_xlfn.XLOOKUP(B51,'Base stats'!B:B,'Base stats'!AL:AL)/3.6)/I51,0.1))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stats'!AC:AC)&lt;&gt;"No",_xlfn.XLOOKUP(B51,'Base stats'!B:B,'Base stats'!AC:AC),"")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stats'!AC:AC)&lt;&gt;"No",_xlfn.XLOOKUP(B51,'Base stats'!B:B,'Base stats'!AC:AC),"")
  )
)</f>
        <v>No</v>
      </c>
      <c r="BQ51" s="25" t="str">
        <f>IF(
   AND(
      'Base stats'!AL51="Standard",_xlfn.XLOOKUP(_xlfn.XLOOKUP(B51,'Base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stats'!AT:AT) * 1.8) * 2) * 2.5 + 10 + I51 * 2,5)+IF(_xlfn.XLOOKUP(B51,'Base stats'!B:B,'Base stats'!AI:AI)=1,50,0)</f>
        <v>70</v>
      </c>
      <c r="BS51" s="8">
        <f t="shared" si="5"/>
        <v>0.65</v>
      </c>
      <c r="BT51" s="8" t="str">
        <f>_xlfn.XLOOKUP(B51,'Base stats'!B:B,'Base stats'!AD:AD)</f>
        <v>3~10</v>
      </c>
      <c r="BU51" s="2" t="str">
        <f>IF(AND(J51&lt;=0.95,OR(_xlfn.XLOOKUP(B51,'Base stats'!B:B,'Base stats'!AI:AI)=1,_xlfn.XLOOKUP(B51,'Base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stats'!AG:AG)=1,"true","false")</f>
        <v>false</v>
      </c>
      <c r="BW51" s="25" t="str">
        <f>IF(E51="BaseInsect","AnimalInsect",
IF(J51&gt;0.95,"AnimalExotic",
_xlfn.TEXTJOIN(", ",TRUE,
IF(OR(_xlfn.XLOOKUP(B51,'Base stats'!B:B,'Base stats'!AK:AK)=1,AND(_xlfn.XLOOKUP(B51,'Base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stats'!AI:AI)=1,AND(BI51&lt;&gt;"None",BR51&gt;=60),ISNUMBER(SEARCH("Attack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stats'!AH:AH)=1,"true","false")</f>
        <v>false</v>
      </c>
      <c r="BZ51" s="25">
        <f>IF(_xlfn.XLOOKUP(B51,'Base stats'!B:B,'Base stats'!N:N)=1,"No",MAX(0.01,MIN(MROUND(IF(OR(_xlfn.XLOOKUP(B51,'Base stats'!B:B,'Base stats'!AK:AK)=1,AND(BJ51="True",CC51="False")),POWER(10,3.47*LOG10(_xlfn.XLOOKUP(B51,'Base stats'!B:B,'Base stats'!C:C)*1000)^-0.96),POWER(10,4.15*LOG10(_xlfn.XLOOKUP(B51,'Base stats'!B:B,'Base stats'!C:C)*1000)^-0.73))*IF(OR(_xlfn.XLOOKUP(B51,'Base stats'!B:B,'Base stats'!AK:AK)=1,_xlfn.XLOOKUP(B51,'Base stats'!B:B,'Base stats'!AI:AI)=1),0.5,1)/100,0.025),1)))</f>
        <v>0.2</v>
      </c>
      <c r="CA51" s="25" t="str">
        <f>IF(P51="Standard","No",MAX(0.01,IF(_xlfn.XLOOKUP(B51,'Base stats'!B:B,'Base stats'!N:N)=0,MROUND(BZ51*P51,0.05),MIN(1,MAX(0.025,MROUND(IF(OR(CC51="true",AND(BJ51="false",BO51="false")),POWER(10,4.15*LOG10(_xlfn.XLOOKUP(B51,'Base stats'!B:B,'Base stats'!C:C)*1000)^-0.73),POWER(10,3.47*LOG10(_xlfn.XLOOKUP(B51,'Base stats'!B:B,'Base stats'!C:C)*1000)^-0.96))*IF(_xlfn.XLOOKUP(B51,'Base stats'!B:B,'Base stats'!AI:AI)=1,0.5,1)/100,0.025))))))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165</v>
      </c>
      <c r="C52" s="28" t="s">
        <v>739</v>
      </c>
      <c r="D52" s="28" t="s">
        <v>45</v>
      </c>
      <c r="E52" s="28" t="s">
        <v>685</v>
      </c>
      <c r="F52" s="28" t="s">
        <v>685</v>
      </c>
      <c r="G52" s="28" t="s">
        <v>685</v>
      </c>
      <c r="H52" s="2">
        <f>MROUND((
  (IF(AND(_xlfn.XLOOKUP(B52,'Base stats'!B:B,'Base stats'!AJ:AJ)=0,BI52="None",_xlfn.XLOOKUP(_xlfn.XLOOKUP(B52,'Base stats'!B:B,'Base stats'!E:E),Groups!A:A,Groups!B:B)=0), (18 + BR52 * 2.7) * 0.5,
    IF(AND(_xlfn.XLOOKUP(B52,'Base stats'!B:B,'Base stats'!AJ:AJ)=0,OR(AO52&lt;0.55,AND(BI52="Intermediate",_xlfn.XLOOKUP(_xlfn.XLOOKUP(B52,'Base stats'!B:B,'Base stats'!E:E),Groups!A:A,Groups!B:B)&lt;2))), (18 + BR52 * 2.7),
      IF(OR(BI52="Advanced",_xlfn.XLOOKUP(B52,'Base stats'!B:B,'Base stats'!AJ:AJ)=1,_xlfn.XLOOKUP(_xlfn.XLOOKUP(B52,'Base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IF(_xlfn.XLOOKUP(_xlfn.XLOOKUP(B52,'Base stats'!B:B,'Base stats'!E:E),Groups!A:A,Groups!C:C)="Untamable",1,IF(_xlfn.XLOOKUP(B52,'Base stats'!B:B,'Base stats'!AJ:AJ)=1,0.99,MIN(MROUND((1-0.6282*EXP(-0.459*AO52))*_xlfn.XLOOKUP(_xlfn.XLOOKUP(B52,'Base stats'!B:B,'Base stats'!E:E),Groups!A:A,Groups!C:C)*IF(_xlfn.XLOOKUP(B52,'Base stats'!B:B,'Base stats'!O:O)=1,0.5,IF(_xlfn.XLOOKUP(B52,'Base stats'!B:B,'Base stats'!O:O)=2,0,1)),0.05),0.985)))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IF(_xlfn.XLOOKUP(_xlfn.XLOOKUP(B52,'Base stats'!B:B,'Base stats'!E:E),Groups!A:A,Groups!L:L)=1,MIN(MROUND(_xlfn.XLOOKUP(B52,'Animals CE'!B:B,'Animals CE'!Z:Z)/2+0.05,0.05),200%),"No")</f>
        <v>No</v>
      </c>
      <c r="O52" s="8" t="str">
        <f>IF(_xlfn.XLOOKUP(_xlfn.XLOOKUP(B52,'Base stats'!B:B,'Base stats'!E:E),Groups!A:A,Groups!L:L)=1,MIN(MROUND(_xlfn.XLOOKUP(B52,'Animals CE'!B:B,'Animals CE'!AA:AA)/2+0.05,0.05),200%),"No")</f>
        <v>No</v>
      </c>
      <c r="P52" s="2" t="str">
        <f>_xlfn.XLOOKUP(B52,'Base stats'!B:B,'Base stats'!R:R)</f>
        <v>Standard</v>
      </c>
      <c r="Q52" s="13">
        <f>MROUND((LOG10(_xlfn.XLOOKUP(B52,'Base stats'!B:B,'Base stats'!AP:AP))*(AO52^0.5)+(_xlfn.XLOOKUP(B52,'Base stats'!B:B,'Base stats'!AP:AP)/1000)^(2/3)+_xlfn.XLOOKUP(B52,'Base stats'!B:B,'Base stats'!AY:AY)/2)+0.5,0.5)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stats'!AQ:AQ))*(AO52^0.5)+(_xlfn.XLOOKUP(B52,'Base stats'!B:B,'Base stats'!AQ:AQ)/1000)^(2/3)+_xlfn.XLOOKUP(B52,'Base stats'!B:B,'Base stats'!AY:AY))+_xlfn.XLOOKUP(B52,'Base stats'!B:B,'Base stats'!AW:AW)+0.5,0.5))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stats'!AS:AS))*(AO52^0.5)+(_xlfn.XLOOKUP(B52,'Base stats'!B:B,'Base stats'!AS:AS)/1000)^(2/3)+_xlfn.XLOOKUP(B52,'Base stats'!B:B,'Base stats'!AX:AX))+0.5+IF(_xlfn.XLOOKUP(_xlfn.XLOOKUP(B52,'Base stats'!B:B,'Base stats'!E:E),Groups!A:A,Groups!U:U)&lt;&gt;3,_xlfn.XLOOKUP(B52,'Base stats'!B:B,'Base stats'!AY:AY),0),0.5))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stats'!AR:AR)="No","No",MROUND((LOG10(_xlfn.XLOOKUP(B52,'Base stats'!B:B,'Base stats'!AR:AR))*(AO52^0.75)+(_xlfn.XLOOKUP(B52,'Base stats'!B:B,'Base stats'!AR:AR)/1000)^(2/3)+_xlfn.XLOOKUP(B52,'Base stats'!B:B,'Base stats'!AV:AV)+_xlfn.XLOOKUP(B52,'Base stats'!B:B,'Base stats'!AY:AY))+0.5,0.5))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stats'!AQ:AQ))*(AO52^0.75)+(_xlfn.XLOOKUP(B52,'Base stats'!B:B,'Base stats'!AQ:AQ)/1000)^(2/3)+_xlfn.XLOOKUP(B52,'Base stats'!B:B,'Base stats'!AW:AW)+_xlfn.XLOOKUP(B52,'Base stats'!B:B,'Base stats'!AY:AY))+0.5,0.5))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1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IFERROR(IF(_xlfn.XLOOKUP(B52,'Base stats'!B:B,'Base stats'!F:F)="Lay eggs","Lay eggs",MIN(20,MAX(5.5,ROUND(((_xlfn.XLOOKUP(B52,'Base stats'!B:B,'Base stats'!F:F)-25)*(14.5/615) + 5.5)*2,0)/2))),"Cannot breed")</f>
        <v>8.5</v>
      </c>
      <c r="AT52" s="8">
        <f>IF(OR(A52="Queen",A52="Larva",A52="Megachicken",A52="Megatardi",A52="Toxscorpion"),"No",IFERROR(MAX(IF(_xlfn.XLOOKUP(B52,'Base stats'!B:B,'Base stats'!G:G)&lt;0.5,0.2,0.3),MROUND(_xlfn.XLOOKUP(B52,'Base stats'!B:B,'Base stats'!G:G)/(365/60),0.2)),"Unknown"))</f>
        <v>0.3</v>
      </c>
      <c r="AU52" s="8">
        <f t="shared" si="0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_xlfn.XLOOKUP(B52,'Base stats'!B:B,'Base stats'!AF:AF)</f>
        <v>No</v>
      </c>
      <c r="BB52" s="2" t="str">
        <f>_xlfn.XLOOKUP(B52,'Base stats'!B:B,'Base stats'!AE:AE)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stats'!Z:Z)=0),0,IF(OR(_xlfn.XLOOKUP(Animals!B52,'Base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stats'!AA:AA),0.005))</f>
        <v>0</v>
      </c>
      <c r="BE52" s="23">
        <f>MIN(1,MROUND(IF(AND(AO52&lt;0.5,_xlfn.XLOOKUP(B52,'Base stats'!B:B,'Base stats'!Z:Z)=0),0,IF(_xlfn.XLOOKUP(_xlfn.XLOOKUP(B52,'Base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stats'!AB:AB),0.005))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stats'!AL:AL)="Standard","No",MROUND((_xlfn.XLOOKUP(B52,'Base stats'!B:B,'Base stats'!AL:AL)/3.6)/I52,0.1))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stats'!AC:AC)&lt;&gt;"No",_xlfn.XLOOKUP(B52,'Base stats'!B:B,'Base stats'!AC:AC),"")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stats'!AC:AC)&lt;&gt;"No",_xlfn.XLOOKUP(B52,'Base stats'!B:B,'Base stats'!AC:AC),"")
  )
)</f>
        <v>No</v>
      </c>
      <c r="BQ52" s="25" t="str">
        <f>IF(
   AND(
      'Base stats'!AL52="Standard",_xlfn.XLOOKUP(_xlfn.XLOOKUP(B52,'Base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stats'!AT:AT) * 1.8) * 2) * 2.5 + 10 + I52 * 2,5)+IF(_xlfn.XLOOKUP(B52,'Base stats'!B:B,'Base stats'!AI:AI)=1,50,0)</f>
        <v>70</v>
      </c>
      <c r="BS52" s="8">
        <f t="shared" si="5"/>
        <v>0.65</v>
      </c>
      <c r="BT52" s="8" t="str">
        <f>_xlfn.XLOOKUP(B52,'Base stats'!B:B,'Base stats'!AD:AD)</f>
        <v>3~10</v>
      </c>
      <c r="BU52" s="2" t="str">
        <f>IF(AND(J52&lt;=0.95,OR(_xlfn.XLOOKUP(B52,'Base stats'!B:B,'Base stats'!AI:AI)=1,_xlfn.XLOOKUP(B52,'Base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stats'!AG:AG)=1,"true","false")</f>
        <v>false</v>
      </c>
      <c r="BW52" s="25" t="str">
        <f>IF(E52="BaseInsect","AnimalInsect",
IF(J52&gt;0.95,"AnimalExotic",
_xlfn.TEXTJOIN(", ",TRUE,
IF(OR(_xlfn.XLOOKUP(B52,'Base stats'!B:B,'Base stats'!AK:AK)=1,AND(_xlfn.XLOOKUP(B52,'Base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stats'!AI:AI)=1,AND(BI52&lt;&gt;"None",BR52&gt;=60),ISNUMBER(SEARCH("Attack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stats'!AH:AH)=1,"true","false")</f>
        <v>false</v>
      </c>
      <c r="BZ52" s="25">
        <f>IF(_xlfn.XLOOKUP(B52,'Base stats'!B:B,'Base stats'!N:N)=1,"No",MAX(0.01,MIN(MROUND(IF(OR(_xlfn.XLOOKUP(B52,'Base stats'!B:B,'Base stats'!AK:AK)=1,AND(BJ52="True",CC52="False")),POWER(10,3.47*LOG10(_xlfn.XLOOKUP(B52,'Base stats'!B:B,'Base stats'!C:C)*1000)^-0.96),POWER(10,4.15*LOG10(_xlfn.XLOOKUP(B52,'Base stats'!B:B,'Base stats'!C:C)*1000)^-0.73))*IF(OR(_xlfn.XLOOKUP(B52,'Base stats'!B:B,'Base stats'!AK:AK)=1,_xlfn.XLOOKUP(B52,'Base stats'!B:B,'Base stats'!AI:AI)=1),0.5,1)/100,0.025),1)))</f>
        <v>0.2</v>
      </c>
      <c r="CA52" s="25" t="str">
        <f>IF(P52="Standard","No",MAX(0.01,IF(_xlfn.XLOOKUP(B52,'Base stats'!B:B,'Base stats'!N:N)=0,MROUND(BZ52*P52,0.05),MIN(1,MAX(0.025,MROUND(IF(OR(CC52="true",AND(BJ52="false",BO52="false")),POWER(10,4.15*LOG10(_xlfn.XLOOKUP(B52,'Base stats'!B:B,'Base stats'!C:C)*1000)^-0.73),POWER(10,3.47*LOG10(_xlfn.XLOOKUP(B52,'Base stats'!B:B,'Base stats'!C:C)*1000)^-0.96))*IF(_xlfn.XLOOKUP(B52,'Base stats'!B:B,'Base stats'!AI:AI)=1,0.5,1)/100,0.025))))))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238</v>
      </c>
      <c r="C53" s="28" t="s">
        <v>740</v>
      </c>
      <c r="D53" s="28" t="s">
        <v>45</v>
      </c>
      <c r="E53" s="28" t="s">
        <v>685</v>
      </c>
      <c r="F53" s="28" t="s">
        <v>685</v>
      </c>
      <c r="G53" s="28" t="s">
        <v>685</v>
      </c>
      <c r="H53" s="2">
        <f>MROUND((
  (IF(AND(_xlfn.XLOOKUP(B53,'Base stats'!B:B,'Base stats'!AJ:AJ)=0,BI53="None",_xlfn.XLOOKUP(_xlfn.XLOOKUP(B53,'Base stats'!B:B,'Base stats'!E:E),Groups!A:A,Groups!B:B)=0), (18 + BR53 * 2.7) * 0.5,
    IF(AND(_xlfn.XLOOKUP(B53,'Base stats'!B:B,'Base stats'!AJ:AJ)=0,OR(AO53&lt;0.55,AND(BI53="Intermediate",_xlfn.XLOOKUP(_xlfn.XLOOKUP(B53,'Base stats'!B:B,'Base stats'!E:E),Groups!A:A,Groups!B:B)&lt;2))), (18 + BR53 * 2.7),
      IF(OR(BI53="Advanced",_xlfn.XLOOKUP(B53,'Base stats'!B:B,'Base stats'!AJ:AJ)=1,_xlfn.XLOOKUP(_xlfn.XLOOKUP(B53,'Base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IF(_xlfn.XLOOKUP(_xlfn.XLOOKUP(B53,'Base stats'!B:B,'Base stats'!E:E),Groups!A:A,Groups!C:C)="Untamable",1,IF(_xlfn.XLOOKUP(B53,'Base stats'!B:B,'Base stats'!AJ:AJ)=1,0.99,MIN(MROUND((1-0.6282*EXP(-0.459*AO53))*_xlfn.XLOOKUP(_xlfn.XLOOKUP(B53,'Base stats'!B:B,'Base stats'!E:E),Groups!A:A,Groups!C:C)*IF(_xlfn.XLOOKUP(B53,'Base stats'!B:B,'Base stats'!O:O)=1,0.5,IF(_xlfn.XLOOKUP(B53,'Base stats'!B:B,'Base stats'!O:O)=2,0,1)),0.05),0.985)))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IF(_xlfn.XLOOKUP(_xlfn.XLOOKUP(B53,'Base stats'!B:B,'Base stats'!E:E),Groups!A:A,Groups!L:L)=1,MIN(MROUND(_xlfn.XLOOKUP(B53,'Animals CE'!B:B,'Animals CE'!Z:Z)/2+0.05,0.05),200%),"No")</f>
        <v>No</v>
      </c>
      <c r="O53" s="8" t="str">
        <f>IF(_xlfn.XLOOKUP(_xlfn.XLOOKUP(B53,'Base stats'!B:B,'Base stats'!E:E),Groups!A:A,Groups!L:L)=1,MIN(MROUND(_xlfn.XLOOKUP(B53,'Animals CE'!B:B,'Animals CE'!AA:AA)/2+0.05,0.05),200%),"No")</f>
        <v>No</v>
      </c>
      <c r="P53" s="2" t="str">
        <f>_xlfn.XLOOKUP(B53,'Base stats'!B:B,'Base stats'!R:R)</f>
        <v>Standard</v>
      </c>
      <c r="Q53" s="13">
        <f>MROUND((LOG10(_xlfn.XLOOKUP(B53,'Base stats'!B:B,'Base stats'!AP:AP))*(AO53^0.5)+(_xlfn.XLOOKUP(B53,'Base stats'!B:B,'Base stats'!AP:AP)/1000)^(2/3)+_xlfn.XLOOKUP(B53,'Base stats'!B:B,'Base stats'!AY:AY)/2)+0.5,0.5)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stats'!AQ:AQ))*(AO53^0.5)+(_xlfn.XLOOKUP(B53,'Base stats'!B:B,'Base stats'!AQ:AQ)/1000)^(2/3)+_xlfn.XLOOKUP(B53,'Base stats'!B:B,'Base stats'!AY:AY))+_xlfn.XLOOKUP(B53,'Base stats'!B:B,'Base stats'!AW:AW)+0.5,0.5))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stats'!AS:AS))*(AO53^0.5)+(_xlfn.XLOOKUP(B53,'Base stats'!B:B,'Base stats'!AS:AS)/1000)^(2/3)+_xlfn.XLOOKUP(B53,'Base stats'!B:B,'Base stats'!AX:AX))+0.5+IF(_xlfn.XLOOKUP(_xlfn.XLOOKUP(B53,'Base stats'!B:B,'Base stats'!E:E),Groups!A:A,Groups!U:U)&lt;&gt;3,_xlfn.XLOOKUP(B53,'Base stats'!B:B,'Base stats'!AY:AY),0),0.5))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stats'!AR:AR)="No","No",MROUND((LOG10(_xlfn.XLOOKUP(B53,'Base stats'!B:B,'Base stats'!AR:AR))*(AO53^0.75)+(_xlfn.XLOOKUP(B53,'Base stats'!B:B,'Base stats'!AR:AR)/1000)^(2/3)+_xlfn.XLOOKUP(B53,'Base stats'!B:B,'Base stats'!AV:AV)+_xlfn.XLOOKUP(B53,'Base stats'!B:B,'Base stats'!AY:AY))+0.5,0.5))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stats'!AQ:AQ))*(AO53^0.75)+(_xlfn.XLOOKUP(B53,'Base stats'!B:B,'Base stats'!AQ:AQ)/1000)^(2/3)+_xlfn.XLOOKUP(B53,'Base stats'!B:B,'Base stats'!AW:AW)+_xlfn.XLOOKUP(B53,'Base stats'!B:B,'Base stats'!AY:AY))+0.5,0.5))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1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IFERROR(IF(_xlfn.XLOOKUP(B53,'Base stats'!B:B,'Base stats'!F:F)="Lay eggs","Lay eggs",MIN(20,MAX(5.5,ROUND(((_xlfn.XLOOKUP(B53,'Base stats'!B:B,'Base stats'!F:F)-25)*(14.5/615) + 5.5)*2,0)/2))),"Cannot breed")</f>
        <v>10</v>
      </c>
      <c r="AT53" s="8">
        <f>IF(OR(A53="Queen",A53="Larva",A53="Megachicken",A53="Megatardi",A53="Toxscorpion"),"No",IFERROR(MAX(IF(_xlfn.XLOOKUP(B53,'Base stats'!B:B,'Base stats'!G:G)&lt;0.5,0.2,0.3),MROUND(_xlfn.XLOOKUP(B53,'Base stats'!B:B,'Base stats'!G:G)/(365/60),0.2)),"Unknown"))</f>
        <v>0.3</v>
      </c>
      <c r="AU53" s="8">
        <f t="shared" si="0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_xlfn.XLOOKUP(B53,'Base stats'!B:B,'Base stats'!AF:AF)</f>
        <v>No</v>
      </c>
      <c r="BB53" s="2" t="str">
        <f>_xlfn.XLOOKUP(B53,'Base stats'!B:B,'Base stats'!AE:AE)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stats'!Z:Z)=0),0,IF(OR(_xlfn.XLOOKUP(Animals!B53,'Base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stats'!AA:AA),0.005))</f>
        <v>0</v>
      </c>
      <c r="BE53" s="23">
        <f>MIN(1,MROUND(IF(AND(AO53&lt;0.5,_xlfn.XLOOKUP(B53,'Base stats'!B:B,'Base stats'!Z:Z)=0),0,IF(_xlfn.XLOOKUP(_xlfn.XLOOKUP(B53,'Base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stats'!AB:AB),0.005))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stats'!AL:AL)="Standard","No",MROUND((_xlfn.XLOOKUP(B53,'Base stats'!B:B,'Base stats'!AL:AL)/3.6)/I53,0.1))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stats'!AC:AC)&lt;&gt;"No",_xlfn.XLOOKUP(B53,'Base stats'!B:B,'Base stats'!AC:AC),"")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stats'!AC:AC)&lt;&gt;"No",_xlfn.XLOOKUP(B53,'Base stats'!B:B,'Base stats'!AC:AC),"")
  )
)</f>
        <v>No</v>
      </c>
      <c r="BQ53" s="25" t="str">
        <f>IF(
   AND(
      'Base stats'!AL53="Standard",_xlfn.XLOOKUP(_xlfn.XLOOKUP(B53,'Base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stats'!AT:AT) * 1.8) * 2) * 2.5 + 10 + I53 * 2,5)+IF(_xlfn.XLOOKUP(B53,'Base stats'!B:B,'Base stats'!AI:AI)=1,50,0)</f>
        <v>75</v>
      </c>
      <c r="BS53" s="8">
        <f t="shared" si="5"/>
        <v>0.60000000000000009</v>
      </c>
      <c r="BT53" s="8" t="str">
        <f>_xlfn.XLOOKUP(B53,'Base stats'!B:B,'Base stats'!AD:AD)</f>
        <v>3~10</v>
      </c>
      <c r="BU53" s="2" t="str">
        <f>IF(AND(J53&lt;=0.95,OR(_xlfn.XLOOKUP(B53,'Base stats'!B:B,'Base stats'!AI:AI)=1,_xlfn.XLOOKUP(B53,'Base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stats'!AG:AG)=1,"true","false")</f>
        <v>false</v>
      </c>
      <c r="BW53" s="25" t="str">
        <f>IF(E53="BaseInsect","AnimalInsect",
IF(J53&gt;0.95,"AnimalExotic",
_xlfn.TEXTJOIN(", ",TRUE,
IF(OR(_xlfn.XLOOKUP(B53,'Base stats'!B:B,'Base stats'!AK:AK)=1,AND(_xlfn.XLOOKUP(B53,'Base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stats'!AI:AI)=1,AND(BI53&lt;&gt;"None",BR53&gt;=60),ISNUMBER(SEARCH("Attack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stats'!AH:AH)=1,"true","false")</f>
        <v>false</v>
      </c>
      <c r="BZ53" s="25">
        <f>IF(_xlfn.XLOOKUP(B53,'Base stats'!B:B,'Base stats'!N:N)=1,"No",MAX(0.01,MIN(MROUND(IF(OR(_xlfn.XLOOKUP(B53,'Base stats'!B:B,'Base stats'!AK:AK)=1,AND(BJ53="True",CC53="False")),POWER(10,3.47*LOG10(_xlfn.XLOOKUP(B53,'Base stats'!B:B,'Base stats'!C:C)*1000)^-0.96),POWER(10,4.15*LOG10(_xlfn.XLOOKUP(B53,'Base stats'!B:B,'Base stats'!C:C)*1000)^-0.73))*IF(OR(_xlfn.XLOOKUP(B53,'Base stats'!B:B,'Base stats'!AK:AK)=1,_xlfn.XLOOKUP(B53,'Base stats'!B:B,'Base stats'!AI:AI)=1),0.5,1)/100,0.025),1)))</f>
        <v>0.22500000000000001</v>
      </c>
      <c r="CA53" s="25" t="str">
        <f>IF(P53="Standard","No",MAX(0.01,IF(_xlfn.XLOOKUP(B53,'Base stats'!B:B,'Base stats'!N:N)=0,MROUND(BZ53*P53,0.05),MIN(1,MAX(0.025,MROUND(IF(OR(CC53="true",AND(BJ53="false",BO53="false")),POWER(10,4.15*LOG10(_xlfn.XLOOKUP(B53,'Base stats'!B:B,'Base stats'!C:C)*1000)^-0.73),POWER(10,3.47*LOG10(_xlfn.XLOOKUP(B53,'Base stats'!B:B,'Base stats'!C:C)*1000)^-0.96))*IF(_xlfn.XLOOKUP(B53,'Base stats'!B:B,'Base stats'!AI:AI)=1,0.5,1)/100,0.025))))))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168</v>
      </c>
      <c r="C54" s="28" t="s">
        <v>741</v>
      </c>
      <c r="D54" s="28" t="s">
        <v>45</v>
      </c>
      <c r="E54" s="28" t="s">
        <v>685</v>
      </c>
      <c r="F54" s="28" t="s">
        <v>685</v>
      </c>
      <c r="G54" s="28" t="s">
        <v>685</v>
      </c>
      <c r="H54" s="2">
        <f>MROUND((
  (IF(AND(_xlfn.XLOOKUP(B54,'Base stats'!B:B,'Base stats'!AJ:AJ)=0,BI54="None",_xlfn.XLOOKUP(_xlfn.XLOOKUP(B54,'Base stats'!B:B,'Base stats'!E:E),Groups!A:A,Groups!B:B)=0), (18 + BR54 * 2.7) * 0.5,
    IF(AND(_xlfn.XLOOKUP(B54,'Base stats'!B:B,'Base stats'!AJ:AJ)=0,OR(AO54&lt;0.55,AND(BI54="Intermediate",_xlfn.XLOOKUP(_xlfn.XLOOKUP(B54,'Base stats'!B:B,'Base stats'!E:E),Groups!A:A,Groups!B:B)&lt;2))), (18 + BR54 * 2.7),
      IF(OR(BI54="Advanced",_xlfn.XLOOKUP(B54,'Base stats'!B:B,'Base stats'!AJ:AJ)=1,_xlfn.XLOOKUP(_xlfn.XLOOKUP(B54,'Base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IF(_xlfn.XLOOKUP(_xlfn.XLOOKUP(B54,'Base stats'!B:B,'Base stats'!E:E),Groups!A:A,Groups!C:C)="Untamable",1,IF(_xlfn.XLOOKUP(B54,'Base stats'!B:B,'Base stats'!AJ:AJ)=1,0.99,MIN(MROUND((1-0.6282*EXP(-0.459*AO54))*_xlfn.XLOOKUP(_xlfn.XLOOKUP(B54,'Base stats'!B:B,'Base stats'!E:E),Groups!A:A,Groups!C:C)*IF(_xlfn.XLOOKUP(B54,'Base stats'!B:B,'Base stats'!O:O)=1,0.5,IF(_xlfn.XLOOKUP(B54,'Base stats'!B:B,'Base stats'!O:O)=2,0,1)),0.05),0.985)))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IF(_xlfn.XLOOKUP(_xlfn.XLOOKUP(B54,'Base stats'!B:B,'Base stats'!E:E),Groups!A:A,Groups!L:L)=1,MIN(MROUND(_xlfn.XLOOKUP(B54,'Animals CE'!B:B,'Animals CE'!Z:Z)/2+0.05,0.05),200%),"No")</f>
        <v>No</v>
      </c>
      <c r="O54" s="8" t="str">
        <f>IF(_xlfn.XLOOKUP(_xlfn.XLOOKUP(B54,'Base stats'!B:B,'Base stats'!E:E),Groups!A:A,Groups!L:L)=1,MIN(MROUND(_xlfn.XLOOKUP(B54,'Animals CE'!B:B,'Animals CE'!AA:AA)/2+0.05,0.05),200%),"No")</f>
        <v>No</v>
      </c>
      <c r="P54" s="2" t="str">
        <f>_xlfn.XLOOKUP(B54,'Base stats'!B:B,'Base stats'!R:R)</f>
        <v>Standard</v>
      </c>
      <c r="Q54" s="13">
        <f>MROUND((LOG10(_xlfn.XLOOKUP(B54,'Base stats'!B:B,'Base stats'!AP:AP))*(AO54^0.5)+(_xlfn.XLOOKUP(B54,'Base stats'!B:B,'Base stats'!AP:AP)/1000)^(2/3)+_xlfn.XLOOKUP(B54,'Base stats'!B:B,'Base stats'!AY:AY)/2)+0.5,0.5)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stats'!AQ:AQ))*(AO54^0.5)+(_xlfn.XLOOKUP(B54,'Base stats'!B:B,'Base stats'!AQ:AQ)/1000)^(2/3)+_xlfn.XLOOKUP(B54,'Base stats'!B:B,'Base stats'!AY:AY))+_xlfn.XLOOKUP(B54,'Base stats'!B:B,'Base stats'!AW:AW)+0.5,0.5))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stats'!AS:AS))*(AO54^0.5)+(_xlfn.XLOOKUP(B54,'Base stats'!B:B,'Base stats'!AS:AS)/1000)^(2/3)+_xlfn.XLOOKUP(B54,'Base stats'!B:B,'Base stats'!AX:AX))+0.5+IF(_xlfn.XLOOKUP(_xlfn.XLOOKUP(B54,'Base stats'!B:B,'Base stats'!E:E),Groups!A:A,Groups!U:U)&lt;&gt;3,_xlfn.XLOOKUP(B54,'Base stats'!B:B,'Base stats'!AY:AY),0),0.5))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stats'!AR:AR)="No","No",MROUND((LOG10(_xlfn.XLOOKUP(B54,'Base stats'!B:B,'Base stats'!AR:AR))*(AO54^0.75)+(_xlfn.XLOOKUP(B54,'Base stats'!B:B,'Base stats'!AR:AR)/1000)^(2/3)+_xlfn.XLOOKUP(B54,'Base stats'!B:B,'Base stats'!AV:AV)+_xlfn.XLOOKUP(B54,'Base stats'!B:B,'Base stats'!AY:AY))+0.5,0.5))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stats'!AQ:AQ))*(AO54^0.75)+(_xlfn.XLOOKUP(B54,'Base stats'!B:B,'Base stats'!AQ:AQ)/1000)^(2/3)+_xlfn.XLOOKUP(B54,'Base stats'!B:B,'Base stats'!AW:AW)+_xlfn.XLOOKUP(B54,'Base stats'!B:B,'Base stats'!AY:AY))+0.5,0.5))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1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IFERROR(IF(_xlfn.XLOOKUP(B54,'Base stats'!B:B,'Base stats'!F:F)="Lay eggs","Lay eggs",MIN(20,MAX(5.5,ROUND(((_xlfn.XLOOKUP(B54,'Base stats'!B:B,'Base stats'!F:F)-25)*(14.5/615) + 5.5)*2,0)/2))),"Cannot breed")</f>
        <v>9</v>
      </c>
      <c r="AT54" s="8">
        <f>IF(OR(A54="Queen",A54="Larva",A54="Megachicken",A54="Megatardi",A54="Toxscorpion"),"No",IFERROR(MAX(IF(_xlfn.XLOOKUP(B54,'Base stats'!B:B,'Base stats'!G:G)&lt;0.5,0.2,0.3),MROUND(_xlfn.XLOOKUP(B54,'Base stats'!B:B,'Base stats'!G:G)/(365/60),0.2)),"Unknown"))</f>
        <v>0.3</v>
      </c>
      <c r="AU54" s="8">
        <f t="shared" si="0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_xlfn.XLOOKUP(B54,'Base stats'!B:B,'Base stats'!AF:AF)</f>
        <v>No</v>
      </c>
      <c r="BB54" s="2" t="str">
        <f>_xlfn.XLOOKUP(B54,'Base stats'!B:B,'Base stats'!AE:AE)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stats'!Z:Z)=0),0,IF(OR(_xlfn.XLOOKUP(Animals!B54,'Base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stats'!AA:AA),0.005))</f>
        <v>0</v>
      </c>
      <c r="BE54" s="23">
        <f>MIN(1,MROUND(IF(AND(AO54&lt;0.5,_xlfn.XLOOKUP(B54,'Base stats'!B:B,'Base stats'!Z:Z)=0),0,IF(_xlfn.XLOOKUP(_xlfn.XLOOKUP(B54,'Base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stats'!AB:AB),0.005))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stats'!AL:AL)="Standard","No",MROUND((_xlfn.XLOOKUP(B54,'Base stats'!B:B,'Base stats'!AL:AL)/3.6)/I54,0.1))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stats'!AC:AC)&lt;&gt;"No",_xlfn.XLOOKUP(B54,'Base stats'!B:B,'Base stats'!AC:AC),"")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stats'!AC:AC)&lt;&gt;"No",_xlfn.XLOOKUP(B54,'Base stats'!B:B,'Base stats'!AC:AC),"")
  )
)</f>
        <v>No</v>
      </c>
      <c r="BQ54" s="25" t="str">
        <f>IF(
   AND(
      'Base stats'!AL54="Standard",_xlfn.XLOOKUP(_xlfn.XLOOKUP(B54,'Base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stats'!AT:AT) * 1.8) * 2) * 2.5 + 10 + I54 * 2,5)+IF(_xlfn.XLOOKUP(B54,'Base stats'!B:B,'Base stats'!AI:AI)=1,50,0)</f>
        <v>65</v>
      </c>
      <c r="BS54" s="8">
        <f t="shared" si="5"/>
        <v>0.45</v>
      </c>
      <c r="BT54" s="8" t="str">
        <f>_xlfn.XLOOKUP(B54,'Base stats'!B:B,'Base stats'!AD:AD)</f>
        <v>5~15</v>
      </c>
      <c r="BU54" s="2" t="str">
        <f>IF(AND(J54&lt;=0.95,OR(_xlfn.XLOOKUP(B54,'Base stats'!B:B,'Base stats'!AI:AI)=1,_xlfn.XLOOKUP(B54,'Base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stats'!AG:AG)=1,"true","false")</f>
        <v>false</v>
      </c>
      <c r="BW54" s="25" t="str">
        <f>IF(E54="BaseInsect","AnimalInsect",
IF(J54&gt;0.95,"AnimalExotic",
_xlfn.TEXTJOIN(", ",TRUE,
IF(OR(_xlfn.XLOOKUP(B54,'Base stats'!B:B,'Base stats'!AK:AK)=1,AND(_xlfn.XLOOKUP(B54,'Base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stats'!AI:AI)=1,AND(BI54&lt;&gt;"None",BR54&gt;=60),ISNUMBER(SEARCH("Attack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Grasslands LavaField</v>
      </c>
      <c r="BY54" s="25" t="str">
        <f>IF(_xlfn.XLOOKUP(B54,'Base stats'!B:B,'Base stats'!AH:AH)=1,"true","false")</f>
        <v>false</v>
      </c>
      <c r="BZ54" s="25">
        <f>IF(_xlfn.XLOOKUP(B54,'Base stats'!B:B,'Base stats'!N:N)=1,"No",MAX(0.01,MIN(MROUND(IF(OR(_xlfn.XLOOKUP(B54,'Base stats'!B:B,'Base stats'!AK:AK)=1,AND(BJ54="True",CC54="False")),POWER(10,3.47*LOG10(_xlfn.XLOOKUP(B54,'Base stats'!B:B,'Base stats'!C:C)*1000)^-0.96),POWER(10,4.15*LOG10(_xlfn.XLOOKUP(B54,'Base stats'!B:B,'Base stats'!C:C)*1000)^-0.73))*IF(OR(_xlfn.XLOOKUP(B54,'Base stats'!B:B,'Base stats'!AK:AK)=1,_xlfn.XLOOKUP(B54,'Base stats'!B:B,'Base stats'!AI:AI)=1),0.5,1)/100,0.025),1)))</f>
        <v>0.25</v>
      </c>
      <c r="CA54" s="25" t="str">
        <f>IF(P54="Standard","No",MAX(0.01,IF(_xlfn.XLOOKUP(B54,'Base stats'!B:B,'Base stats'!N:N)=0,MROUND(BZ54*P54,0.05),MIN(1,MAX(0.025,MROUND(IF(OR(CC54="true",AND(BJ54="false",BO54="false")),POWER(10,4.15*LOG10(_xlfn.XLOOKUP(B54,'Base stats'!B:B,'Base stats'!C:C)*1000)^-0.73),POWER(10,3.47*LOG10(_xlfn.XLOOKUP(B54,'Base stats'!B:B,'Base stats'!C:C)*1000)^-0.96))*IF(_xlfn.XLOOKUP(B54,'Base stats'!B:B,'Base stats'!AI:AI)=1,0.5,1)/100,0.025))))))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272</v>
      </c>
      <c r="C55" s="28" t="s">
        <v>742</v>
      </c>
      <c r="D55" s="28" t="s">
        <v>45</v>
      </c>
      <c r="E55" s="28" t="s">
        <v>685</v>
      </c>
      <c r="F55" s="28" t="s">
        <v>685</v>
      </c>
      <c r="G55" s="28" t="s">
        <v>685</v>
      </c>
      <c r="H55" s="2">
        <f>MROUND((
  (IF(AND(_xlfn.XLOOKUP(B55,'Base stats'!B:B,'Base stats'!AJ:AJ)=0,BI55="None",_xlfn.XLOOKUP(_xlfn.XLOOKUP(B55,'Base stats'!B:B,'Base stats'!E:E),Groups!A:A,Groups!B:B)=0), (18 + BR55 * 2.7) * 0.5,
    IF(AND(_xlfn.XLOOKUP(B55,'Base stats'!B:B,'Base stats'!AJ:AJ)=0,OR(AO55&lt;0.55,AND(BI55="Intermediate",_xlfn.XLOOKUP(_xlfn.XLOOKUP(B55,'Base stats'!B:B,'Base stats'!E:E),Groups!A:A,Groups!B:B)&lt;2))), (18 + BR55 * 2.7),
      IF(OR(BI55="Advanced",_xlfn.XLOOKUP(B55,'Base stats'!B:B,'Base stats'!AJ:AJ)=1,_xlfn.XLOOKUP(_xlfn.XLOOKUP(B55,'Base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IF(_xlfn.XLOOKUP(_xlfn.XLOOKUP(B55,'Base stats'!B:B,'Base stats'!E:E),Groups!A:A,Groups!C:C)="Untamable",1,IF(_xlfn.XLOOKUP(B55,'Base stats'!B:B,'Base stats'!AJ:AJ)=1,0.99,MIN(MROUND((1-0.6282*EXP(-0.459*AO55))*_xlfn.XLOOKUP(_xlfn.XLOOKUP(B55,'Base stats'!B:B,'Base stats'!E:E),Groups!A:A,Groups!C:C)*IF(_xlfn.XLOOKUP(B55,'Base stats'!B:B,'Base stats'!O:O)=1,0.5,IF(_xlfn.XLOOKUP(B55,'Base stats'!B:B,'Base stats'!O:O)=2,0,1)),0.05),0.985)))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IF(_xlfn.XLOOKUP(_xlfn.XLOOKUP(B55,'Base stats'!B:B,'Base stats'!E:E),Groups!A:A,Groups!L:L)=1,MIN(MROUND(_xlfn.XLOOKUP(B55,'Animals CE'!B:B,'Animals CE'!Z:Z)/2+0.05,0.05),200%),"No")</f>
        <v>No</v>
      </c>
      <c r="O55" s="8" t="str">
        <f>IF(_xlfn.XLOOKUP(_xlfn.XLOOKUP(B55,'Base stats'!B:B,'Base stats'!E:E),Groups!A:A,Groups!L:L)=1,MIN(MROUND(_xlfn.XLOOKUP(B55,'Animals CE'!B:B,'Animals CE'!AA:AA)/2+0.05,0.05),200%),"No")</f>
        <v>No</v>
      </c>
      <c r="P55" s="2">
        <f>_xlfn.XLOOKUP(B55,'Base stats'!B:B,'Base stats'!R:R)</f>
        <v>0.8</v>
      </c>
      <c r="Q55" s="13">
        <f>MROUND((LOG10(_xlfn.XLOOKUP(B55,'Base stats'!B:B,'Base stats'!AP:AP))*(AO55^0.5)+(_xlfn.XLOOKUP(B55,'Base stats'!B:B,'Base stats'!AP:AP)/1000)^(2/3)+_xlfn.XLOOKUP(B55,'Base stats'!B:B,'Base stats'!AY:AY)/2)+0.5,0.5)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stats'!AQ:AQ))*(AO55^0.5)+(_xlfn.XLOOKUP(B55,'Base stats'!B:B,'Base stats'!AQ:AQ)/1000)^(2/3)+_xlfn.XLOOKUP(B55,'Base stats'!B:B,'Base stats'!AY:AY))+_xlfn.XLOOKUP(B55,'Base stats'!B:B,'Base stats'!AW:AW)+0.5,0.5))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stats'!AS:AS))*(AO55^0.5)+(_xlfn.XLOOKUP(B55,'Base stats'!B:B,'Base stats'!AS:AS)/1000)^(2/3)+_xlfn.XLOOKUP(B55,'Base stats'!B:B,'Base stats'!AX:AX))+0.5+IF(_xlfn.XLOOKUP(_xlfn.XLOOKUP(B55,'Base stats'!B:B,'Base stats'!E:E),Groups!A:A,Groups!U:U)&lt;&gt;3,_xlfn.XLOOKUP(B55,'Base stats'!B:B,'Base stats'!AY:AY),0),0.5))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stats'!AR:AR)="No","No",MROUND((LOG10(_xlfn.XLOOKUP(B55,'Base stats'!B:B,'Base stats'!AR:AR))*(AO55^0.75)+(_xlfn.XLOOKUP(B55,'Base stats'!B:B,'Base stats'!AR:AR)/1000)^(2/3)+_xlfn.XLOOKUP(B55,'Base stats'!B:B,'Base stats'!AV:AV)+_xlfn.XLOOKUP(B55,'Base stats'!B:B,'Base stats'!AY:AY))+0.5,0.5))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stats'!AQ:AQ))*(AO55^0.75)+(_xlfn.XLOOKUP(B55,'Base stats'!B:B,'Base stats'!AQ:AQ)/1000)^(2/3)+_xlfn.XLOOKUP(B55,'Base stats'!B:B,'Base stats'!AW:AW)+_xlfn.XLOOKUP(B55,'Base stats'!B:B,'Base stats'!AY:AY))+0.5,0.5))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1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stats'!E:E),Groups!A:A,Groups!AI:AI),0.05)</f>
        <v>2.15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IFERROR(IF(_xlfn.XLOOKUP(B55,'Base stats'!B:B,'Base stats'!F:F)="Lay eggs","Lay eggs",MIN(20,MAX(5.5,ROUND(((_xlfn.XLOOKUP(B55,'Base stats'!B:B,'Base stats'!F:F)-25)*(14.5/615) + 5.5)*2,0)/2))),"Cannot breed")</f>
        <v>6.5</v>
      </c>
      <c r="AT55" s="8">
        <f>IF(OR(A55="Queen",A55="Larva",A55="Megachicken",A55="Megatardi",A55="Toxscorpion"),"No",IFERROR(MAX(IF(_xlfn.XLOOKUP(B55,'Base stats'!B:B,'Base stats'!G:G)&lt;0.5,0.2,0.3),MROUND(_xlfn.XLOOKUP(B55,'Base stats'!B:B,'Base stats'!G:G)/(365/60),0.2)),"Unknown"))</f>
        <v>0.4</v>
      </c>
      <c r="AU55" s="8">
        <f t="shared" si="0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_xlfn.XLOOKUP(B55,'Base stats'!B:B,'Base stats'!AF:AF)</f>
        <v>No</v>
      </c>
      <c r="BB55" s="2" t="str">
        <f>_xlfn.XLOOKUP(B55,'Base stats'!B:B,'Base stats'!AE:AE)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stats'!Z:Z)=0),0,IF(OR(_xlfn.XLOOKUP(Animals!B55,'Base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stats'!AA:AA),0.005))</f>
        <v>0.05</v>
      </c>
      <c r="BE55" s="23">
        <f>MIN(1,MROUND(IF(AND(AO55&lt;0.5,_xlfn.XLOOKUP(B55,'Base stats'!B:B,'Base stats'!Z:Z)=0),0,IF(_xlfn.XLOOKUP(_xlfn.XLOOKUP(B55,'Base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stats'!AB:AB),0.005))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L55" s="2">
        <f t="shared" si="3"/>
        <v>1</v>
      </c>
      <c r="BM55" s="25" t="str">
        <f>IF(_xlfn.XLOOKUP(B55,'Base stats'!B:B,'Base stats'!AL:AL)="Standard","No",MROUND((_xlfn.XLOOKUP(B55,'Base stats'!B:B,'Base stats'!AL:AL)/3.6)/I55,0.1))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stats'!AC:AC)&lt;&gt;"No",_xlfn.XLOOKUP(B55,'Base stats'!B:B,'Base stats'!AC:AC),"")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stats'!AC:AC)&lt;&gt;"No",_xlfn.XLOOKUP(B55,'Base stats'!B:B,'Base stats'!AC:AC),"")
  )
)</f>
        <v>AttackTarget</v>
      </c>
      <c r="BQ55" s="25" t="str">
        <f>IF(
   AND(
      'Base stats'!AL55="Standard",_xlfn.XLOOKUP(_xlfn.XLOOKUP(B55,'Base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stats'!AT:AT) * 1.8) * 2) * 2.5 + 10 + I55 * 2,5)+IF(_xlfn.XLOOKUP(B55,'Base stats'!B:B,'Base stats'!AI:AI)=1,50,0)</f>
        <v>205</v>
      </c>
      <c r="BS55" s="8">
        <f t="shared" si="5"/>
        <v>1.05</v>
      </c>
      <c r="BT55" s="8" t="str">
        <f>_xlfn.XLOOKUP(B55,'Base stats'!B:B,'Base stats'!AD:AD)</f>
        <v>No</v>
      </c>
      <c r="BU55" s="2" t="str">
        <f>IF(AND(J55&lt;=0.95,OR(_xlfn.XLOOKUP(B55,'Base stats'!B:B,'Base stats'!AI:AI)=1,_xlfn.XLOOKUP(B55,'Base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stats'!AG:AG)=1,"true","false")</f>
        <v>false</v>
      </c>
      <c r="BW55" s="25" t="str">
        <f>IF(E55="BaseInsect","AnimalInsect",
IF(J55&gt;0.95,"AnimalExotic",
_xlfn.TEXTJOIN(", ",TRUE,
IF(OR(_xlfn.XLOOKUP(B55,'Base stats'!B:B,'Base stats'!AK:AK)=1,AND(_xlfn.XLOOKUP(B55,'Base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stats'!AI:AI)=1,AND(BI55&lt;&gt;"None",BR55&gt;=60),ISNUMBER(SEARCH("Attack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stats'!AH:AH)=1,"true","false")</f>
        <v>false</v>
      </c>
      <c r="BZ55" s="25">
        <f>IF(_xlfn.XLOOKUP(B55,'Base stats'!B:B,'Base stats'!N:N)=1,"No",MAX(0.01,MIN(MROUND(IF(OR(_xlfn.XLOOKUP(B55,'Base stats'!B:B,'Base stats'!AK:AK)=1,AND(BJ55="True",CC55="False")),POWER(10,3.47*LOG10(_xlfn.XLOOKUP(B55,'Base stats'!B:B,'Base stats'!C:C)*1000)^-0.96),POWER(10,4.15*LOG10(_xlfn.XLOOKUP(B55,'Base stats'!B:B,'Base stats'!C:C)*1000)^-0.73))*IF(OR(_xlfn.XLOOKUP(B55,'Base stats'!B:B,'Base stats'!AK:AK)=1,_xlfn.XLOOKUP(B55,'Base stats'!B:B,'Base stats'!AI:AI)=1),0.5,1)/100,0.025),1)))</f>
        <v>0.05</v>
      </c>
      <c r="CA55" s="25">
        <f>IF(P55="Standard","No",MAX(0.01,IF(_xlfn.XLOOKUP(B55,'Base stats'!B:B,'Base stats'!N:N)=0,MROUND(BZ55*P55,0.05),MIN(1,MAX(0.025,MROUND(IF(OR(CC55="true",AND(BJ55="false",BO55="false")),POWER(10,4.15*LOG10(_xlfn.XLOOKUP(B55,'Base stats'!B:B,'Base stats'!C:C)*1000)^-0.73),POWER(10,3.47*LOG10(_xlfn.XLOOKUP(B55,'Base stats'!B:B,'Base stats'!C:C)*1000)^-0.96))*IF(_xlfn.XLOOKUP(B55,'Base stats'!B:B,'Base stats'!AI:AI)=1,0.5,1)/100,0.025))))))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893</v>
      </c>
      <c r="C56" s="28" t="s">
        <v>743</v>
      </c>
      <c r="D56" s="28" t="s">
        <v>45</v>
      </c>
      <c r="E56" s="28" t="s">
        <v>744</v>
      </c>
      <c r="F56" s="28" t="s">
        <v>745</v>
      </c>
      <c r="G56" s="28" t="s">
        <v>685</v>
      </c>
      <c r="H56" s="2">
        <f>MROUND((
  (IF(AND(_xlfn.XLOOKUP(B56,'Base stats'!B:B,'Base stats'!AJ:AJ)=0,BI56="None",_xlfn.XLOOKUP(_xlfn.XLOOKUP(B56,'Base stats'!B:B,'Base stats'!E:E),Groups!A:A,Groups!B:B)=0), (18 + BR56 * 2.7) * 0.5,
    IF(AND(_xlfn.XLOOKUP(B56,'Base stats'!B:B,'Base stats'!AJ:AJ)=0,OR(AO56&lt;0.55,AND(BI56="Intermediate",_xlfn.XLOOKUP(_xlfn.XLOOKUP(B56,'Base stats'!B:B,'Base stats'!E:E),Groups!A:A,Groups!B:B)&lt;2))), (18 + BR56 * 2.7),
      IF(OR(BI56="Advanced",_xlfn.XLOOKUP(B56,'Base stats'!B:B,'Base stats'!AJ:AJ)=1,_xlfn.XLOOKUP(_xlfn.XLOOKUP(B56,'Base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IF(_xlfn.XLOOKUP(_xlfn.XLOOKUP(B56,'Base stats'!B:B,'Base stats'!E:E),Groups!A:A,Groups!C:C)="Untamable",1,IF(_xlfn.XLOOKUP(B56,'Base stats'!B:B,'Base stats'!AJ:AJ)=1,0.99,MIN(MROUND((1-0.6282*EXP(-0.459*AO56))*_xlfn.XLOOKUP(_xlfn.XLOOKUP(B56,'Base stats'!B:B,'Base stats'!E:E),Groups!A:A,Groups!C:C)*IF(_xlfn.XLOOKUP(B56,'Base stats'!B:B,'Base stats'!O:O)=1,0.5,IF(_xlfn.XLOOKUP(B56,'Base stats'!B:B,'Base stats'!O:O)=2,0,1)),0.05),0.985)))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IF(_xlfn.XLOOKUP(_xlfn.XLOOKUP(B56,'Base stats'!B:B,'Base stats'!E:E),Groups!A:A,Groups!L:L)=1,MIN(MROUND(_xlfn.XLOOKUP(B56,'Animals CE'!B:B,'Animals CE'!Z:Z)/2+0.05,0.05),200%),"No")</f>
        <v>No</v>
      </c>
      <c r="O56" s="8" t="str">
        <f>IF(_xlfn.XLOOKUP(_xlfn.XLOOKUP(B56,'Base stats'!B:B,'Base stats'!E:E),Groups!A:A,Groups!L:L)=1,MIN(MROUND(_xlfn.XLOOKUP(B56,'Animals CE'!B:B,'Animals CE'!AA:AA)/2+0.05,0.05),200%),"No")</f>
        <v>No</v>
      </c>
      <c r="P56" s="2" t="str">
        <f>_xlfn.XLOOKUP(B56,'Base stats'!B:B,'Base stats'!R:R)</f>
        <v>Standard</v>
      </c>
      <c r="Q56" s="13">
        <f>MROUND((LOG10(_xlfn.XLOOKUP(B56,'Base stats'!B:B,'Base stats'!AP:AP))*(AO56^0.5)+(_xlfn.XLOOKUP(B56,'Base stats'!B:B,'Base stats'!AP:AP)/1000)^(2/3)+_xlfn.XLOOKUP(B56,'Base stats'!B:B,'Base stats'!AY:AY)/2)+0.5,0.5)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stats'!AQ:AQ))*(AO56^0.5)+(_xlfn.XLOOKUP(B56,'Base stats'!B:B,'Base stats'!AQ:AQ)/1000)^(2/3)+_xlfn.XLOOKUP(B56,'Base stats'!B:B,'Base stats'!AY:AY))+_xlfn.XLOOKUP(B56,'Base stats'!B:B,'Base stats'!AW:AW)+0.5,0.5))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stats'!AS:AS))*(AO56^0.5)+(_xlfn.XLOOKUP(B56,'Base stats'!B:B,'Base stats'!AS:AS)/1000)^(2/3)+_xlfn.XLOOKUP(B56,'Base stats'!B:B,'Base stats'!AX:AX))+0.5+IF(_xlfn.XLOOKUP(_xlfn.XLOOKUP(B56,'Base stats'!B:B,'Base stats'!E:E),Groups!A:A,Groups!U:U)&lt;&gt;3,_xlfn.XLOOKUP(B56,'Base stats'!B:B,'Base stats'!AY:AY),0),0.5))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stats'!AR:AR)="No","No",MROUND((LOG10(_xlfn.XLOOKUP(B56,'Base stats'!B:B,'Base stats'!AR:AR))*(AO56^0.75)+(_xlfn.XLOOKUP(B56,'Base stats'!B:B,'Base stats'!AR:AR)/1000)^(2/3)+_xlfn.XLOOKUP(B56,'Base stats'!B:B,'Base stats'!AV:AV)+_xlfn.XLOOKUP(B56,'Base stats'!B:B,'Base stats'!AY:AY))+0.5,0.5))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stats'!AQ:AQ))*(AO56^0.75)+(_xlfn.XLOOKUP(B56,'Base stats'!B:B,'Base stats'!AQ:AQ)/1000)^(2/3)+_xlfn.XLOOKUP(B56,'Base stats'!B:B,'Base stats'!AW:AW)+_xlfn.XLOOKUP(B56,'Base stats'!B:B,'Base stats'!AY:AY))+0.5,0.5))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1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IFERROR(IF(_xlfn.XLOOKUP(B56,'Base stats'!B:B,'Base stats'!F:F)="Lay eggs","Lay eggs",MIN(20,MAX(5.5,ROUND(((_xlfn.XLOOKUP(B56,'Base stats'!B:B,'Base stats'!F:F)-25)*(14.5/615) + 5.5)*2,0)/2))),"Cannot breed")</f>
        <v>6.5</v>
      </c>
      <c r="AT56" s="8">
        <f>IF(OR(A56="Queen",A56="Larva",A56="Megachicken",A56="Megatardi",A56="Toxscorpion"),"No",IFERROR(MAX(IF(_xlfn.XLOOKUP(B56,'Base stats'!B:B,'Base stats'!G:G)&lt;0.5,0.2,0.3),MROUND(_xlfn.XLOOKUP(B56,'Base stats'!B:B,'Base stats'!G:G)/(365/60),0.2)),"Unknown"))</f>
        <v>0.4</v>
      </c>
      <c r="AU56" s="8">
        <f t="shared" si="0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_xlfn.XLOOKUP(B56,'Base stats'!B:B,'Base stats'!AF:AF)</f>
        <v>No</v>
      </c>
      <c r="BB56" s="2" t="str">
        <f>_xlfn.XLOOKUP(B56,'Base stats'!B:B,'Base stats'!AE:AE)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stats'!Z:Z)=0),0,IF(OR(_xlfn.XLOOKUP(Animals!B56,'Base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stats'!AA:AA),0.005))</f>
        <v>0.1</v>
      </c>
      <c r="BE56" s="23">
        <f>MIN(1,MROUND(IF(AND(AO56&lt;0.5,_xlfn.XLOOKUP(B56,'Base stats'!B:B,'Base stats'!Z:Z)=0),0,IF(_xlfn.XLOOKUP(_xlfn.XLOOKUP(B56,'Base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stats'!AB:AB),0.005))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stats'!AL:AL)="Standard","No",MROUND((_xlfn.XLOOKUP(B56,'Base stats'!B:B,'Base stats'!AL:AL)/3.6)/I56,0.1))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stats'!AC:AC)&lt;&gt;"No",_xlfn.XLOOKUP(B56,'Base stats'!B:B,'Base stats'!AC:AC),"")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stats'!AC:AC)&lt;&gt;"No",_xlfn.XLOOKUP(B56,'Base stats'!B:B,'Base stats'!AC:AC),"")
  )
)</f>
        <v>AttackTarget</v>
      </c>
      <c r="BQ56" s="25" t="str">
        <f>IF(
   AND(
      'Base stats'!AL56="Standard",_xlfn.XLOOKUP(_xlfn.XLOOKUP(B56,'Base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stats'!AT:AT) * 1.8) * 2) * 2.5 + 10 + I56 * 2,5)+IF(_xlfn.XLOOKUP(B56,'Base stats'!B:B,'Base stats'!AI:AI)=1,50,0)</f>
        <v>100</v>
      </c>
      <c r="BS56" s="8">
        <f t="shared" si="5"/>
        <v>0.55000000000000004</v>
      </c>
      <c r="BT56" s="8" t="str">
        <f>_xlfn.XLOOKUP(B56,'Base stats'!B:B,'Base stats'!AD:AD)</f>
        <v>2~6</v>
      </c>
      <c r="BU56" s="2" t="str">
        <f>IF(AND(J56&lt;=0.95,OR(_xlfn.XLOOKUP(B56,'Base stats'!B:B,'Base stats'!AI:AI)=1,_xlfn.XLOOKUP(B56,'Base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stats'!AG:AG)=1,"true","false")</f>
        <v>false</v>
      </c>
      <c r="BW56" s="25" t="str">
        <f>IF(E56="BaseInsect","AnimalInsect",
IF(J56&gt;0.95,"AnimalExotic",
_xlfn.TEXTJOIN(", ",TRUE,
IF(OR(_xlfn.XLOOKUP(B56,'Base stats'!B:B,'Base stats'!AK:AK)=1,AND(_xlfn.XLOOKUP(B56,'Base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stats'!AI:AI)=1,AND(BI56&lt;&gt;"None",BR56&gt;=60),ISNUMBER(SEARCH("Attack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stats'!AH:AH)=1,"true","false")</f>
        <v>false</v>
      </c>
      <c r="BZ56" s="25">
        <f>IF(_xlfn.XLOOKUP(B56,'Base stats'!B:B,'Base stats'!N:N)=1,"No",MAX(0.01,MIN(MROUND(IF(OR(_xlfn.XLOOKUP(B56,'Base stats'!B:B,'Base stats'!AK:AK)=1,AND(BJ56="True",CC56="False")),POWER(10,3.47*LOG10(_xlfn.XLOOKUP(B56,'Base stats'!B:B,'Base stats'!C:C)*1000)^-0.96),POWER(10,4.15*LOG10(_xlfn.XLOOKUP(B56,'Base stats'!B:B,'Base stats'!C:C)*1000)^-0.73))*IF(OR(_xlfn.XLOOKUP(B56,'Base stats'!B:B,'Base stats'!AK:AK)=1,_xlfn.XLOOKUP(B56,'Base stats'!B:B,'Base stats'!AI:AI)=1),0.5,1)/100,0.025),1)))</f>
        <v>7.5000000000000011E-2</v>
      </c>
      <c r="CA56" s="25" t="str">
        <f>IF(P56="Standard","No",MAX(0.01,IF(_xlfn.XLOOKUP(B56,'Base stats'!B:B,'Base stats'!N:N)=0,MROUND(BZ56*P56,0.05),MIN(1,MAX(0.025,MROUND(IF(OR(CC56="true",AND(BJ56="false",BO56="false")),POWER(10,4.15*LOG10(_xlfn.XLOOKUP(B56,'Base stats'!B:B,'Base stats'!C:C)*1000)^-0.73),POWER(10,3.47*LOG10(_xlfn.XLOOKUP(B56,'Base stats'!B:B,'Base stats'!C:C)*1000)^-0.96))*IF(_xlfn.XLOOKUP(B56,'Base stats'!B:B,'Base stats'!AI:AI)=1,0.5,1)/100,0.025))))))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892</v>
      </c>
      <c r="C57" s="28" t="s">
        <v>746</v>
      </c>
      <c r="D57" s="28" t="s">
        <v>45</v>
      </c>
      <c r="E57" s="28" t="s">
        <v>744</v>
      </c>
      <c r="F57" s="28" t="s">
        <v>745</v>
      </c>
      <c r="G57" s="28" t="s">
        <v>685</v>
      </c>
      <c r="H57" s="2">
        <f>MROUND((
  (IF(AND(_xlfn.XLOOKUP(B57,'Base stats'!B:B,'Base stats'!AJ:AJ)=0,BI57="None",_xlfn.XLOOKUP(_xlfn.XLOOKUP(B57,'Base stats'!B:B,'Base stats'!E:E),Groups!A:A,Groups!B:B)=0), (18 + BR57 * 2.7) * 0.5,
    IF(AND(_xlfn.XLOOKUP(B57,'Base stats'!B:B,'Base stats'!AJ:AJ)=0,OR(AO57&lt;0.55,AND(BI57="Intermediate",_xlfn.XLOOKUP(_xlfn.XLOOKUP(B57,'Base stats'!B:B,'Base stats'!E:E),Groups!A:A,Groups!B:B)&lt;2))), (18 + BR57 * 2.7),
      IF(OR(BI57="Advanced",_xlfn.XLOOKUP(B57,'Base stats'!B:B,'Base stats'!AJ:AJ)=1,_xlfn.XLOOKUP(_xlfn.XLOOKUP(B57,'Base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IF(_xlfn.XLOOKUP(_xlfn.XLOOKUP(B57,'Base stats'!B:B,'Base stats'!E:E),Groups!A:A,Groups!C:C)="Untamable",1,IF(_xlfn.XLOOKUP(B57,'Base stats'!B:B,'Base stats'!AJ:AJ)=1,0.99,MIN(MROUND((1-0.6282*EXP(-0.459*AO57))*_xlfn.XLOOKUP(_xlfn.XLOOKUP(B57,'Base stats'!B:B,'Base stats'!E:E),Groups!A:A,Groups!C:C)*IF(_xlfn.XLOOKUP(B57,'Base stats'!B:B,'Base stats'!O:O)=1,0.5,IF(_xlfn.XLOOKUP(B57,'Base stats'!B:B,'Base stats'!O:O)=2,0,1)),0.05),0.985)))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IF(_xlfn.XLOOKUP(_xlfn.XLOOKUP(B57,'Base stats'!B:B,'Base stats'!E:E),Groups!A:A,Groups!L:L)=1,MIN(MROUND(_xlfn.XLOOKUP(B57,'Animals CE'!B:B,'Animals CE'!Z:Z)/2+0.05,0.05),200%),"No")</f>
        <v>No</v>
      </c>
      <c r="O57" s="8" t="str">
        <f>IF(_xlfn.XLOOKUP(_xlfn.XLOOKUP(B57,'Base stats'!B:B,'Base stats'!E:E),Groups!A:A,Groups!L:L)=1,MIN(MROUND(_xlfn.XLOOKUP(B57,'Animals CE'!B:B,'Animals CE'!AA:AA)/2+0.05,0.05),200%),"No")</f>
        <v>No</v>
      </c>
      <c r="P57" s="2" t="str">
        <f>_xlfn.XLOOKUP(B57,'Base stats'!B:B,'Base stats'!R:R)</f>
        <v>Standard</v>
      </c>
      <c r="Q57" s="13">
        <f>MROUND((LOG10(_xlfn.XLOOKUP(B57,'Base stats'!B:B,'Base stats'!AP:AP))*(AO57^0.5)+(_xlfn.XLOOKUP(B57,'Base stats'!B:B,'Base stats'!AP:AP)/1000)^(2/3)+_xlfn.XLOOKUP(B57,'Base stats'!B:B,'Base stats'!AY:AY)/2)+0.5,0.5)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stats'!AQ:AQ))*(AO57^0.5)+(_xlfn.XLOOKUP(B57,'Base stats'!B:B,'Base stats'!AQ:AQ)/1000)^(2/3)+_xlfn.XLOOKUP(B57,'Base stats'!B:B,'Base stats'!AY:AY))+_xlfn.XLOOKUP(B57,'Base stats'!B:B,'Base stats'!AW:AW)+0.5,0.5))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stats'!AS:AS))*(AO57^0.5)+(_xlfn.XLOOKUP(B57,'Base stats'!B:B,'Base stats'!AS:AS)/1000)^(2/3)+_xlfn.XLOOKUP(B57,'Base stats'!B:B,'Base stats'!AX:AX))+0.5+IF(_xlfn.XLOOKUP(_xlfn.XLOOKUP(B57,'Base stats'!B:B,'Base stats'!E:E),Groups!A:A,Groups!U:U)&lt;&gt;3,_xlfn.XLOOKUP(B57,'Base stats'!B:B,'Base stats'!AY:AY),0),0.5))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stats'!AR:AR)="No","No",MROUND((LOG10(_xlfn.XLOOKUP(B57,'Base stats'!B:B,'Base stats'!AR:AR))*(AO57^0.75)+(_xlfn.XLOOKUP(B57,'Base stats'!B:B,'Base stats'!AR:AR)/1000)^(2/3)+_xlfn.XLOOKUP(B57,'Base stats'!B:B,'Base stats'!AV:AV)+_xlfn.XLOOKUP(B57,'Base stats'!B:B,'Base stats'!AY:AY))+0.5,0.5))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stats'!AQ:AQ))*(AO57^0.75)+(_xlfn.XLOOKUP(B57,'Base stats'!B:B,'Base stats'!AQ:AQ)/1000)^(2/3)+_xlfn.XLOOKUP(B57,'Base stats'!B:B,'Base stats'!AW:AW)+_xlfn.XLOOKUP(B57,'Base stats'!B:B,'Base stats'!AY:AY))+0.5,0.5))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1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IFERROR(IF(_xlfn.XLOOKUP(B57,'Base stats'!B:B,'Base stats'!F:F)="Lay eggs","Lay eggs",MIN(20,MAX(5.5,ROUND(((_xlfn.XLOOKUP(B57,'Base stats'!B:B,'Base stats'!F:F)-25)*(14.5/615) + 5.5)*2,0)/2))),"Cannot breed")</f>
        <v>6.5</v>
      </c>
      <c r="AT57" s="8">
        <f>IF(OR(A57="Queen",A57="Larva",A57="Megachicken",A57="Megatardi",A57="Toxscorpion"),"No",IFERROR(MAX(IF(_xlfn.XLOOKUP(B57,'Base stats'!B:B,'Base stats'!G:G)&lt;0.5,0.2,0.3),MROUND(_xlfn.XLOOKUP(B57,'Base stats'!B:B,'Base stats'!G:G)/(365/60),0.2)),"Unknown"))</f>
        <v>0.4</v>
      </c>
      <c r="AU57" s="8">
        <f t="shared" si="0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_xlfn.XLOOKUP(B57,'Base stats'!B:B,'Base stats'!AF:AF)</f>
        <v>&lt;li&gt;Wolf_Timber&lt;/li&gt;</v>
      </c>
      <c r="BB57" s="2" t="str">
        <f>_xlfn.XLOOKUP(B57,'Base stats'!B:B,'Base stats'!AE:AE)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stats'!Z:Z)=0),0,IF(OR(_xlfn.XLOOKUP(Animals!B57,'Base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stats'!AA:AA),0.005))</f>
        <v>0.1</v>
      </c>
      <c r="BE57" s="23">
        <f>MIN(1,MROUND(IF(AND(AO57&lt;0.5,_xlfn.XLOOKUP(B57,'Base stats'!B:B,'Base stats'!Z:Z)=0),0,IF(_xlfn.XLOOKUP(_xlfn.XLOOKUP(B57,'Base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stats'!AB:AB),0.005))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stats'!AL:AL)="Standard","No",MROUND((_xlfn.XLOOKUP(B57,'Base stats'!B:B,'Base stats'!AL:AL)/3.6)/I57,0.1))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stats'!AC:AC)&lt;&gt;"No",_xlfn.XLOOKUP(B57,'Base stats'!B:B,'Base stats'!AC:AC),"")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stats'!AC:AC)&lt;&gt;"No",_xlfn.XLOOKUP(B57,'Base stats'!B:B,'Base stats'!AC:AC),"")
  )
)</f>
        <v>AttackTarget</v>
      </c>
      <c r="BQ57" s="25" t="str">
        <f>IF(
   AND(
      'Base stats'!AL57="Standard",_xlfn.XLOOKUP(_xlfn.XLOOKUP(B57,'Base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stats'!AT:AT) * 1.8) * 2) * 2.5 + 10 + I57 * 2,5)+IF(_xlfn.XLOOKUP(B57,'Base stats'!B:B,'Base stats'!AI:AI)=1,50,0)</f>
        <v>100</v>
      </c>
      <c r="BS57" s="8">
        <f t="shared" si="5"/>
        <v>0.55000000000000004</v>
      </c>
      <c r="BT57" s="8" t="str">
        <f>_xlfn.XLOOKUP(B57,'Base stats'!B:B,'Base stats'!AD:AD)</f>
        <v>2~6</v>
      </c>
      <c r="BU57" s="2" t="str">
        <f>IF(AND(J57&lt;=0.95,OR(_xlfn.XLOOKUP(B57,'Base stats'!B:B,'Base stats'!AI:AI)=1,_xlfn.XLOOKUP(B57,'Base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stats'!AG:AG)=1,"true","false")</f>
        <v>false</v>
      </c>
      <c r="BW57" s="25" t="str">
        <f>IF(E57="BaseInsect","AnimalInsect",
IF(J57&gt;0.95,"AnimalExotic",
_xlfn.TEXTJOIN(", ",TRUE,
IF(OR(_xlfn.XLOOKUP(B57,'Base stats'!B:B,'Base stats'!AK:AK)=1,AND(_xlfn.XLOOKUP(B57,'Base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stats'!AI:AI)=1,AND(BI57&lt;&gt;"None",BR57&gt;=60),ISNUMBER(SEARCH("Attack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stats'!AH:AH)=1,"true","false")</f>
        <v>false</v>
      </c>
      <c r="BZ57" s="25">
        <f>IF(_xlfn.XLOOKUP(B57,'Base stats'!B:B,'Base stats'!N:N)=1,"No",MAX(0.01,MIN(MROUND(IF(OR(_xlfn.XLOOKUP(B57,'Base stats'!B:B,'Base stats'!AK:AK)=1,AND(BJ57="True",CC57="False")),POWER(10,3.47*LOG10(_xlfn.XLOOKUP(B57,'Base stats'!B:B,'Base stats'!C:C)*1000)^-0.96),POWER(10,4.15*LOG10(_xlfn.XLOOKUP(B57,'Base stats'!B:B,'Base stats'!C:C)*1000)^-0.73))*IF(OR(_xlfn.XLOOKUP(B57,'Base stats'!B:B,'Base stats'!AK:AK)=1,_xlfn.XLOOKUP(B57,'Base stats'!B:B,'Base stats'!AI:AI)=1),0.5,1)/100,0.025),1)))</f>
        <v>7.5000000000000011E-2</v>
      </c>
      <c r="CA57" s="25" t="str">
        <f>IF(P57="Standard","No",MAX(0.01,IF(_xlfn.XLOOKUP(B57,'Base stats'!B:B,'Base stats'!N:N)=0,MROUND(BZ57*P57,0.05),MIN(1,MAX(0.025,MROUND(IF(OR(CC57="true",AND(BJ57="false",BO57="false")),POWER(10,4.15*LOG10(_xlfn.XLOOKUP(B57,'Base stats'!B:B,'Base stats'!C:C)*1000)^-0.73),POWER(10,3.47*LOG10(_xlfn.XLOOKUP(B57,'Base stats'!B:B,'Base stats'!C:C)*1000)^-0.96))*IF(_xlfn.XLOOKUP(B57,'Base stats'!B:B,'Base stats'!AI:AI)=1,0.5,1)/100,0.025))))))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747</v>
      </c>
      <c r="D58" s="28" t="s">
        <v>45</v>
      </c>
      <c r="E58" s="28" t="s">
        <v>748</v>
      </c>
      <c r="F58" s="28" t="s">
        <v>749</v>
      </c>
      <c r="G58" s="28" t="s">
        <v>685</v>
      </c>
      <c r="H58" s="2">
        <f>MROUND((
  (IF(AND(_xlfn.XLOOKUP(B58,'Base stats'!B:B,'Base stats'!AJ:AJ)=0,BI58="None",_xlfn.XLOOKUP(_xlfn.XLOOKUP(B58,'Base stats'!B:B,'Base stats'!E:E),Groups!A:A,Groups!B:B)=0), (18 + BR58 * 2.7) * 0.5,
    IF(AND(_xlfn.XLOOKUP(B58,'Base stats'!B:B,'Base stats'!AJ:AJ)=0,OR(AO58&lt;0.55,AND(BI58="Intermediate",_xlfn.XLOOKUP(_xlfn.XLOOKUP(B58,'Base stats'!B:B,'Base stats'!E:E),Groups!A:A,Groups!B:B)&lt;2))), (18 + BR58 * 2.7),
      IF(OR(BI58="Advanced",_xlfn.XLOOKUP(B58,'Base stats'!B:B,'Base stats'!AJ:AJ)=1,_xlfn.XLOOKUP(_xlfn.XLOOKUP(B58,'Base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150</v>
      </c>
      <c r="I58" s="2">
        <f>MROUND(ROUNDDOWN(_xlfn.XLOOKUP(B58,'Base stats'!B:B,'Base stats'!L:L)/3.6/(23.3/11),1),0.5)</f>
        <v>5.5</v>
      </c>
      <c r="J58" s="2">
        <f>IF(_xlfn.XLOOKUP(_xlfn.XLOOKUP(B58,'Base stats'!B:B,'Base stats'!E:E),Groups!A:A,Groups!C:C)="Untamable",1,IF(_xlfn.XLOOKUP(B58,'Base stats'!B:B,'Base stats'!AJ:AJ)=1,0.99,MIN(MROUND((1-0.6282*EXP(-0.459*AO58))*_xlfn.XLOOKUP(_xlfn.XLOOKUP(B58,'Base stats'!B:B,'Base stats'!E:E),Groups!A:A,Groups!C:C)*IF(_xlfn.XLOOKUP(B58,'Base stats'!B:B,'Base stats'!O:O)=1,0.5,IF(_xlfn.XLOOKUP(B58,'Base stats'!B:B,'Base stats'!O:O)=2,0,1)),0.05),0.985)))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IF(_xlfn.XLOOKUP(_xlfn.XLOOKUP(B58,'Base stats'!B:B,'Base stats'!E:E),Groups!A:A,Groups!L:L)=1,MIN(MROUND(_xlfn.XLOOKUP(B58,'Animals CE'!B:B,'Animals CE'!Z:Z)/2+0.05,0.05),200%),"No")</f>
        <v>No</v>
      </c>
      <c r="O58" s="8" t="str">
        <f>IF(_xlfn.XLOOKUP(_xlfn.XLOOKUP(B58,'Base stats'!B:B,'Base stats'!E:E),Groups!A:A,Groups!L:L)=1,MIN(MROUND(_xlfn.XLOOKUP(B58,'Animals CE'!B:B,'Animals CE'!AA:AA)/2+0.05,0.05),200%),"No")</f>
        <v>No</v>
      </c>
      <c r="P58" s="2" t="str">
        <f>_xlfn.XLOOKUP(B58,'Base stats'!B:B,'Base stats'!R:R)</f>
        <v>Standard</v>
      </c>
      <c r="Q58" s="13">
        <f>MROUND((LOG10(_xlfn.XLOOKUP(B58,'Base stats'!B:B,'Base stats'!AP:AP))*(AO58^0.5)+(_xlfn.XLOOKUP(B58,'Base stats'!B:B,'Base stats'!AP:AP)/1000)^(2/3)+_xlfn.XLOOKUP(B58,'Base stats'!B:B,'Base stats'!AY:AY)/2)+0.5,0.5)</f>
        <v>3</v>
      </c>
      <c r="R58" s="7">
        <f>IF(Q58="No","No",MAX(1,MROUND(_xlfn.XLOOKUP(B58,'Base stats'!B:B,'Base stats'!C:C)^0.165,0.05)))</f>
        <v>1.35</v>
      </c>
      <c r="S58" s="13" t="str">
        <f>IF(_xlfn.XLOOKUP(_xlfn.XLOOKUP(B58,'Base stats'!B:B,'Base stats'!E:E),Groups!A:A,Groups!P:P)=0,"No",MROUND((LOG10(_xlfn.XLOOKUP(B58,'Base stats'!B:B,'Base stats'!AQ:AQ))*(AO58^0.5)+(_xlfn.XLOOKUP(B58,'Base stats'!B:B,'Base stats'!AQ:AQ)/1000)^(2/3)+_xlfn.XLOOKUP(B58,'Base stats'!B:B,'Base stats'!AY:AY))+_xlfn.XLOOKUP(B58,'Base stats'!B:B,'Base stats'!AW:AW)+0.5,0.5))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stats'!AS:AS))*(AO58^0.5)+(_xlfn.XLOOKUP(B58,'Base stats'!B:B,'Base stats'!AS:AS)/1000)^(2/3)+_xlfn.XLOOKUP(B58,'Base stats'!B:B,'Base stats'!AX:AX))+0.5+IF(_xlfn.XLOOKUP(_xlfn.XLOOKUP(B58,'Base stats'!B:B,'Base stats'!E:E),Groups!A:A,Groups!U:U)&lt;&gt;3,_xlfn.XLOOKUP(B58,'Base stats'!B:B,'Base stats'!AY:AY),0),0.5))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stats'!AR:AR)="No","No",MROUND((LOG10(_xlfn.XLOOKUP(B58,'Base stats'!B:B,'Base stats'!AR:AR))*(AO58^0.75)+(_xlfn.XLOOKUP(B58,'Base stats'!B:B,'Base stats'!AR:AR)/1000)^(2/3)+_xlfn.XLOOKUP(B58,'Base stats'!B:B,'Base stats'!AV:AV)+_xlfn.XLOOKUP(B58,'Base stats'!B:B,'Base stats'!AY:AY))+0.5,0.5))</f>
        <v>6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stats'!AQ:AQ))*(AO58^0.75)+(_xlfn.XLOOKUP(B58,'Base stats'!B:B,'Base stats'!AQ:AQ)/1000)^(2/3)+_xlfn.XLOOKUP(B58,'Base stats'!B:B,'Base stats'!AW:AW)+_xlfn.XLOOKUP(B58,'Base stats'!B:B,'Base stats'!AY:AY))+0.5,0.5))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1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0.35000000000000003</v>
      </c>
      <c r="AP58" s="8">
        <f>MROUND(AO58*_xlfn.XLOOKUP(_xlfn.XLOOKUP(B58,'Base stats'!B:B,'Base stats'!E:E),Groups!A:A,Groups!AI:AI),0.05)</f>
        <v>0.4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0.30000000000000004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IFERROR(IF(_xlfn.XLOOKUP(B58,'Base stats'!B:B,'Base stats'!F:F)="Lay eggs","Lay eggs",MIN(20,MAX(5.5,ROUND(((_xlfn.XLOOKUP(B58,'Base stats'!B:B,'Base stats'!F:F)-25)*(14.5/615) + 5.5)*2,0)/2))),"Cannot breed")</f>
        <v>6</v>
      </c>
      <c r="AT58" s="8">
        <f>IF(OR(A58="Queen",A58="Larva",A58="Megachicken",A58="Megatardi",A58="Toxscorpion"),"No",IFERROR(MAX(IF(_xlfn.XLOOKUP(B58,'Base stats'!B:B,'Base stats'!G:G)&lt;0.5,0.2,0.3),MROUND(_xlfn.XLOOKUP(B58,'Base stats'!B:B,'Base stats'!G:G)/(365/60),0.2)),"Unknown"))</f>
        <v>0.3</v>
      </c>
      <c r="AU58" s="8">
        <f t="shared" si="0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_xlfn.XLOOKUP(B58,'Base stats'!B:B,'Base stats'!AF:AF)</f>
        <v xml:space="preserve">&lt;li&gt;Fox_Fennec&lt;/li&gt; </v>
      </c>
      <c r="BB58" s="2" t="str">
        <f>_xlfn.XLOOKUP(B58,'Base stats'!B:B,'Base stats'!AE:AE)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stats'!Z:Z)=0),0,IF(OR(_xlfn.XLOOKUP(Animals!B58,'Base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stats'!AA:AA),0.005))</f>
        <v>0</v>
      </c>
      <c r="BE58" s="23">
        <f>MIN(1,MROUND(IF(AND(AO58&lt;0.5,_xlfn.XLOOKUP(B58,'Base stats'!B:B,'Base stats'!Z:Z)=0),0,IF(_xlfn.XLOOKUP(_xlfn.XLOOKUP(B58,'Base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stats'!AB:AB),0.005))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stats'!AL:AL)="Standard","No",MROUND((_xlfn.XLOOKUP(B58,'Base stats'!B:B,'Base stats'!AL:AL)/3.6)/I58,0.1))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stats'!AC:AC)&lt;&gt;"No",_xlfn.XLOOKUP(B58,'Base stats'!B:B,'Base stats'!AC:AC),"")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stats'!AC:AC)&lt;&gt;"No",_xlfn.XLOOKUP(B58,'Base stats'!B:B,'Base stats'!AC:AC),"")
  )
)</f>
        <v>Comfort</v>
      </c>
      <c r="BQ58" s="25" t="str">
        <f>IF(
   AND(
      'Base stats'!AL58="Standard",_xlfn.XLOOKUP(_xlfn.XLOOKUP(B58,'Base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stats'!AT:AT) * 1.8) * 2) * 2.5 + 10 + I58 * 2,5)+IF(_xlfn.XLOOKUP(B58,'Base stats'!B:B,'Base stats'!AI:AI)=1,50,0)</f>
        <v>55</v>
      </c>
      <c r="BS58" s="8">
        <f t="shared" si="5"/>
        <v>0.30000000000000004</v>
      </c>
      <c r="BT58" s="8" t="str">
        <f>_xlfn.XLOOKUP(B58,'Base stats'!B:B,'Base stats'!AD:AD)</f>
        <v>No</v>
      </c>
      <c r="BU58" s="2" t="str">
        <f>IF(AND(J58&lt;=0.95,OR(_xlfn.XLOOKUP(B58,'Base stats'!B:B,'Base stats'!AI:AI)=1,_xlfn.XLOOKUP(B58,'Base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stats'!AG:AG)=1,"true","false")</f>
        <v>false</v>
      </c>
      <c r="BW58" s="25" t="str">
        <f>IF(E58="BaseInsect","AnimalInsect",
IF(J58&gt;0.95,"AnimalExotic",
_xlfn.TEXTJOIN(", ",TRUE,
IF(OR(_xlfn.XLOOKUP(B58,'Base stats'!B:B,'Base stats'!AK:AK)=1,AND(_xlfn.XLOOKUP(B58,'Base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stats'!AI:AI)=1,AND(BI58&lt;&gt;"None",BR58&gt;=60),ISNUMBER(SEARCH("Attack target",BP58))),"AnimalFighter","")
)))</f>
        <v>AnimalCommon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stats'!AH:AH)=1,"true","false")</f>
        <v>false</v>
      </c>
      <c r="BZ58" s="25">
        <f>IF(_xlfn.XLOOKUP(B58,'Base stats'!B:B,'Base stats'!N:N)=1,"No",MAX(0.01,MIN(MROUND(IF(OR(_xlfn.XLOOKUP(B58,'Base stats'!B:B,'Base stats'!AK:AK)=1,AND(BJ58="True",CC58="False")),POWER(10,3.47*LOG10(_xlfn.XLOOKUP(B58,'Base stats'!B:B,'Base stats'!C:C)*1000)^-0.96),POWER(10,4.15*LOG10(_xlfn.XLOOKUP(B58,'Base stats'!B:B,'Base stats'!C:C)*1000)^-0.73))*IF(OR(_xlfn.XLOOKUP(B58,'Base stats'!B:B,'Base stats'!AK:AK)=1,_xlfn.XLOOKUP(B58,'Base stats'!B:B,'Base stats'!AI:AI)=1),0.5,1)/100,0.025),1)))</f>
        <v>0.1</v>
      </c>
      <c r="CA58" s="25" t="str">
        <f>IF(P58="Standard","No",MAX(0.01,IF(_xlfn.XLOOKUP(B58,'Base stats'!B:B,'Base stats'!N:N)=0,MROUND(BZ58*P58,0.05),MIN(1,MAX(0.025,MROUND(IF(OR(CC58="true",AND(BJ58="false",BO58="false")),POWER(10,4.15*LOG10(_xlfn.XLOOKUP(B58,'Base stats'!B:B,'Base stats'!C:C)*1000)^-0.73),POWER(10,3.47*LOG10(_xlfn.XLOOKUP(B58,'Base stats'!B:B,'Base stats'!C:C)*1000)^-0.96))*IF(_xlfn.XLOOKUP(B58,'Base stats'!B:B,'Base stats'!AI:AI)=1,0.5,1)/100,0.025))))))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750</v>
      </c>
      <c r="D59" s="28" t="s">
        <v>45</v>
      </c>
      <c r="E59" s="28" t="s">
        <v>748</v>
      </c>
      <c r="F59" s="28" t="s">
        <v>749</v>
      </c>
      <c r="G59" s="28" t="s">
        <v>685</v>
      </c>
      <c r="H59" s="2">
        <f>MROUND((
  (IF(AND(_xlfn.XLOOKUP(B59,'Base stats'!B:B,'Base stats'!AJ:AJ)=0,BI59="None",_xlfn.XLOOKUP(_xlfn.XLOOKUP(B59,'Base stats'!B:B,'Base stats'!E:E),Groups!A:A,Groups!B:B)=0), (18 + BR59 * 2.7) * 0.5,
    IF(AND(_xlfn.XLOOKUP(B59,'Base stats'!B:B,'Base stats'!AJ:AJ)=0,OR(AO59&lt;0.55,AND(BI59="Intermediate",_xlfn.XLOOKUP(_xlfn.XLOOKUP(B59,'Base stats'!B:B,'Base stats'!E:E),Groups!A:A,Groups!B:B)&lt;2))), (18 + BR59 * 2.7),
      IF(OR(BI59="Advanced",_xlfn.XLOOKUP(B59,'Base stats'!B:B,'Base stats'!AJ:AJ)=1,_xlfn.XLOOKUP(_xlfn.XLOOKUP(B59,'Base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IF(_xlfn.XLOOKUP(_xlfn.XLOOKUP(B59,'Base stats'!B:B,'Base stats'!E:E),Groups!A:A,Groups!C:C)="Untamable",1,IF(_xlfn.XLOOKUP(B59,'Base stats'!B:B,'Base stats'!AJ:AJ)=1,0.99,MIN(MROUND((1-0.6282*EXP(-0.459*AO59))*_xlfn.XLOOKUP(_xlfn.XLOOKUP(B59,'Base stats'!B:B,'Base stats'!E:E),Groups!A:A,Groups!C:C)*IF(_xlfn.XLOOKUP(B59,'Base stats'!B:B,'Base stats'!O:O)=1,0.5,IF(_xlfn.XLOOKUP(B59,'Base stats'!B:B,'Base stats'!O:O)=2,0,1)),0.05),0.985)))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IF(_xlfn.XLOOKUP(_xlfn.XLOOKUP(B59,'Base stats'!B:B,'Base stats'!E:E),Groups!A:A,Groups!L:L)=1,MIN(MROUND(_xlfn.XLOOKUP(B59,'Animals CE'!B:B,'Animals CE'!Z:Z)/2+0.05,0.05),200%),"No")</f>
        <v>No</v>
      </c>
      <c r="O59" s="8" t="str">
        <f>IF(_xlfn.XLOOKUP(_xlfn.XLOOKUP(B59,'Base stats'!B:B,'Base stats'!E:E),Groups!A:A,Groups!L:L)=1,MIN(MROUND(_xlfn.XLOOKUP(B59,'Animals CE'!B:B,'Animals CE'!AA:AA)/2+0.05,0.05),200%),"No")</f>
        <v>No</v>
      </c>
      <c r="P59" s="2" t="str">
        <f>_xlfn.XLOOKUP(B59,'Base stats'!B:B,'Base stats'!R:R)</f>
        <v>Standard</v>
      </c>
      <c r="Q59" s="13">
        <f>MROUND((LOG10(_xlfn.XLOOKUP(B59,'Base stats'!B:B,'Base stats'!AP:AP))*(AO59^0.5)+(_xlfn.XLOOKUP(B59,'Base stats'!B:B,'Base stats'!AP:AP)/1000)^(2/3)+_xlfn.XLOOKUP(B59,'Base stats'!B:B,'Base stats'!AY:AY)/2)+0.5,0.5)</f>
        <v>2.5</v>
      </c>
      <c r="R59" s="7">
        <f>IF(Q59="No","No",MAX(1,MROUND(_xlfn.XLOOKUP(B59,'Base stats'!B:B,'Base stats'!C:C)^0.165,0.05)))</f>
        <v>1.25</v>
      </c>
      <c r="S59" s="13" t="str">
        <f>IF(_xlfn.XLOOKUP(_xlfn.XLOOKUP(B59,'Base stats'!B:B,'Base stats'!E:E),Groups!A:A,Groups!P:P)=0,"No",MROUND((LOG10(_xlfn.XLOOKUP(B59,'Base stats'!B:B,'Base stats'!AQ:AQ))*(AO59^0.5)+(_xlfn.XLOOKUP(B59,'Base stats'!B:B,'Base stats'!AQ:AQ)/1000)^(2/3)+_xlfn.XLOOKUP(B59,'Base stats'!B:B,'Base stats'!AY:AY))+_xlfn.XLOOKUP(B59,'Base stats'!B:B,'Base stats'!AW:AW)+0.5,0.5))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stats'!AS:AS))*(AO59^0.5)+(_xlfn.XLOOKUP(B59,'Base stats'!B:B,'Base stats'!AS:AS)/1000)^(2/3)+_xlfn.XLOOKUP(B59,'Base stats'!B:B,'Base stats'!AX:AX))+0.5+IF(_xlfn.XLOOKUP(_xlfn.XLOOKUP(B59,'Base stats'!B:B,'Base stats'!E:E),Groups!A:A,Groups!U:U)&lt;&gt;3,_xlfn.XLOOKUP(B59,'Base stats'!B:B,'Base stats'!AY:AY),0),0.5))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stats'!AR:AR)="No","No",MROUND((LOG10(_xlfn.XLOOKUP(B59,'Base stats'!B:B,'Base stats'!AR:AR))*(AO59^0.75)+(_xlfn.XLOOKUP(B59,'Base stats'!B:B,'Base stats'!AR:AR)/1000)^(2/3)+_xlfn.XLOOKUP(B59,'Base stats'!B:B,'Base stats'!AV:AV)+_xlfn.XLOOKUP(B59,'Base stats'!B:B,'Base stats'!AY:AY))+0.5,0.5))</f>
        <v>4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stats'!AQ:AQ))*(AO59^0.75)+(_xlfn.XLOOKUP(B59,'Base stats'!B:B,'Base stats'!AQ:AQ)/1000)^(2/3)+_xlfn.XLOOKUP(B59,'Base stats'!B:B,'Base stats'!AW:AW)+_xlfn.XLOOKUP(B59,'Base stats'!B:B,'Base stats'!AY:AY))+0.5,0.5))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1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0.25</v>
      </c>
      <c r="AP59" s="8">
        <f>MROUND(AO59*_xlfn.XLOOKUP(_xlfn.XLOOKUP(B59,'Base stats'!B:B,'Base stats'!E:E),Groups!A:A,Groups!AI:AI),0.05)</f>
        <v>0.30000000000000004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0.25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IFERROR(IF(_xlfn.XLOOKUP(B59,'Base stats'!B:B,'Base stats'!F:F)="Lay eggs","Lay eggs",MIN(20,MAX(5.5,ROUND(((_xlfn.XLOOKUP(B59,'Base stats'!B:B,'Base stats'!F:F)-25)*(14.5/615) + 5.5)*2,0)/2))),"Cannot breed")</f>
        <v>6</v>
      </c>
      <c r="AT59" s="8">
        <f>IF(OR(A59="Queen",A59="Larva",A59="Megachicken",A59="Megatardi",A59="Toxscorpion"),"No",IFERROR(MAX(IF(_xlfn.XLOOKUP(B59,'Base stats'!B:B,'Base stats'!G:G)&lt;0.5,0.2,0.3),MROUND(_xlfn.XLOOKUP(B59,'Base stats'!B:B,'Base stats'!G:G)/(365/60),0.2)),"Unknown"))</f>
        <v>0.3</v>
      </c>
      <c r="AU59" s="8">
        <f t="shared" si="0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_xlfn.XLOOKUP(B59,'Base stats'!B:B,'Base stats'!AF:AF)</f>
        <v xml:space="preserve">&lt;li&gt;Fox_Fennec&lt;/li&gt; </v>
      </c>
      <c r="BB59" s="2" t="str">
        <f>_xlfn.XLOOKUP(B59,'Base stats'!B:B,'Base stats'!AE:AE)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stats'!Z:Z)=0),0,IF(OR(_xlfn.XLOOKUP(Animals!B59,'Base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stats'!AA:AA),0.005))</f>
        <v>0</v>
      </c>
      <c r="BE59" s="23">
        <f>MIN(1,MROUND(IF(AND(AO59&lt;0.5,_xlfn.XLOOKUP(B59,'Base stats'!B:B,'Base stats'!Z:Z)=0),0,IF(_xlfn.XLOOKUP(_xlfn.XLOOKUP(B59,'Base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stats'!AB:AB),0.005))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0.1</v>
      </c>
      <c r="BL59" s="2">
        <f t="shared" si="3"/>
        <v>1</v>
      </c>
      <c r="BM59" s="25" t="str">
        <f>IF(_xlfn.XLOOKUP(B59,'Base stats'!B:B,'Base stats'!AL:AL)="Standard","No",MROUND((_xlfn.XLOOKUP(B59,'Base stats'!B:B,'Base stats'!AL:AL)/3.6)/I59,0.1))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stats'!AC:AC)&lt;&gt;"No",_xlfn.XLOOKUP(B59,'Base stats'!B:B,'Base stats'!AC:AC),"")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stats'!AC:AC)&lt;&gt;"No",_xlfn.XLOOKUP(B59,'Base stats'!B:B,'Base stats'!AC:AC),"")
  )
)</f>
        <v>Comfort</v>
      </c>
      <c r="BQ59" s="25" t="str">
        <f>IF(
   AND(
      'Base stats'!AL59="Standard",_xlfn.XLOOKUP(_xlfn.XLOOKUP(B59,'Base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stats'!AT:AT) * 1.8) * 2) * 2.5 + 10 + I59 * 2,5)+IF(_xlfn.XLOOKUP(B59,'Base stats'!B:B,'Base stats'!AI:AI)=1,50,0)</f>
        <v>45</v>
      </c>
      <c r="BS59" s="8">
        <f t="shared" si="5"/>
        <v>0.25</v>
      </c>
      <c r="BT59" s="8" t="str">
        <f>_xlfn.XLOOKUP(B59,'Base stats'!B:B,'Base stats'!AD:AD)</f>
        <v>No</v>
      </c>
      <c r="BU59" s="2" t="str">
        <f>IF(AND(J59&lt;=0.95,OR(_xlfn.XLOOKUP(B59,'Base stats'!B:B,'Base stats'!AI:AI)=1,_xlfn.XLOOKUP(B59,'Base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stats'!AG:AG)=1,"true","false")</f>
        <v>false</v>
      </c>
      <c r="BW59" s="25" t="str">
        <f>IF(E59="BaseInsect","AnimalInsect",
IF(J59&gt;0.95,"AnimalExotic",
_xlfn.TEXTJOIN(", ",TRUE,
IF(OR(_xlfn.XLOOKUP(B59,'Base stats'!B:B,'Base stats'!AK:AK)=1,AND(_xlfn.XLOOKUP(B59,'Base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stats'!AI:AI)=1,AND(BI59&lt;&gt;"None",BR59&gt;=60),ISNUMBER(SEARCH("Attack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stats'!AH:AH)=1,"true","false")</f>
        <v>false</v>
      </c>
      <c r="BZ59" s="25">
        <f>IF(_xlfn.XLOOKUP(B59,'Base stats'!B:B,'Base stats'!N:N)=1,"No",MAX(0.01,MIN(MROUND(IF(OR(_xlfn.XLOOKUP(B59,'Base stats'!B:B,'Base stats'!AK:AK)=1,AND(BJ59="True",CC59="False")),POWER(10,3.47*LOG10(_xlfn.XLOOKUP(B59,'Base stats'!B:B,'Base stats'!C:C)*1000)^-0.96),POWER(10,4.15*LOG10(_xlfn.XLOOKUP(B59,'Base stats'!B:B,'Base stats'!C:C)*1000)^-0.73))*IF(OR(_xlfn.XLOOKUP(B59,'Base stats'!B:B,'Base stats'!AK:AK)=1,_xlfn.XLOOKUP(B59,'Base stats'!B:B,'Base stats'!AI:AI)=1),0.5,1)/100,0.025),1)))</f>
        <v>0.1</v>
      </c>
      <c r="CA59" s="25" t="str">
        <f>IF(P59="Standard","No",MAX(0.01,IF(_xlfn.XLOOKUP(B59,'Base stats'!B:B,'Base stats'!N:N)=0,MROUND(BZ59*P59,0.05),MIN(1,MAX(0.025,MROUND(IF(OR(CC59="true",AND(BJ59="false",BO59="false")),POWER(10,4.15*LOG10(_xlfn.XLOOKUP(B59,'Base stats'!B:B,'Base stats'!C:C)*1000)^-0.73),POWER(10,3.47*LOG10(_xlfn.XLOOKUP(B59,'Base stats'!B:B,'Base stats'!C:C)*1000)^-0.96))*IF(_xlfn.XLOOKUP(B59,'Base stats'!B:B,'Base stats'!AI:AI)=1,0.5,1)/100,0.025))))))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497</v>
      </c>
      <c r="C60" s="28" t="s">
        <v>751</v>
      </c>
      <c r="D60" s="28" t="s">
        <v>45</v>
      </c>
      <c r="E60" s="28" t="s">
        <v>748</v>
      </c>
      <c r="F60" s="28" t="s">
        <v>749</v>
      </c>
      <c r="G60" s="28" t="s">
        <v>685</v>
      </c>
      <c r="H60" s="2">
        <f>MROUND((
  (IF(AND(_xlfn.XLOOKUP(B60,'Base stats'!B:B,'Base stats'!AJ:AJ)=0,BI60="None",_xlfn.XLOOKUP(_xlfn.XLOOKUP(B60,'Base stats'!B:B,'Base stats'!E:E),Groups!A:A,Groups!B:B)=0), (18 + BR60 * 2.7) * 0.5,
    IF(AND(_xlfn.XLOOKUP(B60,'Base stats'!B:B,'Base stats'!AJ:AJ)=0,OR(AO60&lt;0.55,AND(BI60="Intermediate",_xlfn.XLOOKUP(_xlfn.XLOOKUP(B60,'Base stats'!B:B,'Base stats'!E:E),Groups!A:A,Groups!B:B)&lt;2))), (18 + BR60 * 2.7),
      IF(OR(BI60="Advanced",_xlfn.XLOOKUP(B60,'Base stats'!B:B,'Base stats'!AJ:AJ)=1,_xlfn.XLOOKUP(_xlfn.XLOOKUP(B60,'Base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IF(_xlfn.XLOOKUP(_xlfn.XLOOKUP(B60,'Base stats'!B:B,'Base stats'!E:E),Groups!A:A,Groups!C:C)="Untamable",1,IF(_xlfn.XLOOKUP(B60,'Base stats'!B:B,'Base stats'!AJ:AJ)=1,0.99,MIN(MROUND((1-0.6282*EXP(-0.459*AO60))*_xlfn.XLOOKUP(_xlfn.XLOOKUP(B60,'Base stats'!B:B,'Base stats'!E:E),Groups!A:A,Groups!C:C)*IF(_xlfn.XLOOKUP(B60,'Base stats'!B:B,'Base stats'!O:O)=1,0.5,IF(_xlfn.XLOOKUP(B60,'Base stats'!B:B,'Base stats'!O:O)=2,0,1)),0.05),0.985)))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IF(_xlfn.XLOOKUP(_xlfn.XLOOKUP(B60,'Base stats'!B:B,'Base stats'!E:E),Groups!A:A,Groups!L:L)=1,MIN(MROUND(_xlfn.XLOOKUP(B60,'Animals CE'!B:B,'Animals CE'!Z:Z)/2+0.05,0.05),200%),"No")</f>
        <v>No</v>
      </c>
      <c r="O60" s="8" t="str">
        <f>IF(_xlfn.XLOOKUP(_xlfn.XLOOKUP(B60,'Base stats'!B:B,'Base stats'!E:E),Groups!A:A,Groups!L:L)=1,MIN(MROUND(_xlfn.XLOOKUP(B60,'Animals CE'!B:B,'Animals CE'!AA:AA)/2+0.05,0.05),200%),"No")</f>
        <v>No</v>
      </c>
      <c r="P60" s="2" t="str">
        <f>_xlfn.XLOOKUP(B60,'Base stats'!B:B,'Base stats'!R:R)</f>
        <v>Standard</v>
      </c>
      <c r="Q60" s="13">
        <f>MROUND((LOG10(_xlfn.XLOOKUP(B60,'Base stats'!B:B,'Base stats'!AP:AP))*(AO60^0.5)+(_xlfn.XLOOKUP(B60,'Base stats'!B:B,'Base stats'!AP:AP)/1000)^(2/3)+_xlfn.XLOOKUP(B60,'Base stats'!B:B,'Base stats'!AY:AY)/2)+0.5,0.5)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stats'!AQ:AQ))*(AO60^0.5)+(_xlfn.XLOOKUP(B60,'Base stats'!B:B,'Base stats'!AQ:AQ)/1000)^(2/3)+_xlfn.XLOOKUP(B60,'Base stats'!B:B,'Base stats'!AY:AY))+_xlfn.XLOOKUP(B60,'Base stats'!B:B,'Base stats'!AW:AW)+0.5,0.5))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stats'!AS:AS))*(AO60^0.5)+(_xlfn.XLOOKUP(B60,'Base stats'!B:B,'Base stats'!AS:AS)/1000)^(2/3)+_xlfn.XLOOKUP(B60,'Base stats'!B:B,'Base stats'!AX:AX))+0.5+IF(_xlfn.XLOOKUP(_xlfn.XLOOKUP(B60,'Base stats'!B:B,'Base stats'!E:E),Groups!A:A,Groups!U:U)&lt;&gt;3,_xlfn.XLOOKUP(B60,'Base stats'!B:B,'Base stats'!AY:AY),0),0.5))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stats'!AR:AR)="No","No",MROUND((LOG10(_xlfn.XLOOKUP(B60,'Base stats'!B:B,'Base stats'!AR:AR))*(AO60^0.75)+(_xlfn.XLOOKUP(B60,'Base stats'!B:B,'Base stats'!AR:AR)/1000)^(2/3)+_xlfn.XLOOKUP(B60,'Base stats'!B:B,'Base stats'!AV:AV)+_xlfn.XLOOKUP(B60,'Base stats'!B:B,'Base stats'!AY:AY))+0.5,0.5))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stats'!AQ:AQ))*(AO60^0.75)+(_xlfn.XLOOKUP(B60,'Base stats'!B:B,'Base stats'!AQ:AQ)/1000)^(2/3)+_xlfn.XLOOKUP(B60,'Base stats'!B:B,'Base stats'!AW:AW)+_xlfn.XLOOKUP(B60,'Base stats'!B:B,'Base stats'!AY:AY))+0.5,0.5))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1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IFERROR(IF(_xlfn.XLOOKUP(B60,'Base stats'!B:B,'Base stats'!F:F)="Lay eggs","Lay eggs",MIN(20,MAX(5.5,ROUND(((_xlfn.XLOOKUP(B60,'Base stats'!B:B,'Base stats'!F:F)-25)*(14.5/615) + 5.5)*2,0)/2))),"Cannot breed")</f>
        <v>6</v>
      </c>
      <c r="AT60" s="8">
        <f>IF(OR(A60="Queen",A60="Larva",A60="Megachicken",A60="Megatardi",A60="Toxscorpion"),"No",IFERROR(MAX(IF(_xlfn.XLOOKUP(B60,'Base stats'!B:B,'Base stats'!G:G)&lt;0.5,0.2,0.3),MROUND(_xlfn.XLOOKUP(B60,'Base stats'!B:B,'Base stats'!G:G)/(365/60),0.2)),"Unknown"))</f>
        <v>0.3</v>
      </c>
      <c r="AU60" s="8">
        <f t="shared" si="0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_xlfn.XLOOKUP(B60,'Base stats'!B:B,'Base stats'!AF:AF)</f>
        <v>No</v>
      </c>
      <c r="BB60" s="2" t="str">
        <f>_xlfn.XLOOKUP(B60,'Base stats'!B:B,'Base stats'!AE:AE)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stats'!Z:Z)=0),0,IF(OR(_xlfn.XLOOKUP(Animals!B60,'Base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stats'!AA:AA),0.005))</f>
        <v>0</v>
      </c>
      <c r="BE60" s="23">
        <f>MIN(1,MROUND(IF(AND(AO60&lt;0.5,_xlfn.XLOOKUP(B60,'Base stats'!B:B,'Base stats'!Z:Z)=0),0,IF(_xlfn.XLOOKUP(_xlfn.XLOOKUP(B60,'Base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stats'!AB:AB),0.005))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stats'!AL:AL)="Standard","No",MROUND((_xlfn.XLOOKUP(B60,'Base stats'!B:B,'Base stats'!AL:AL)/3.6)/I60,0.1))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stats'!AC:AC)&lt;&gt;"No",_xlfn.XLOOKUP(B60,'Base stats'!B:B,'Base stats'!AC:AC),"")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stats'!AC:AC)&lt;&gt;"No",_xlfn.XLOOKUP(B60,'Base stats'!B:B,'Base stats'!AC:AC),"")
  )
)</f>
        <v>Comfort</v>
      </c>
      <c r="BQ60" s="25" t="str">
        <f>IF(
   AND(
      'Base stats'!AL60="Standard",_xlfn.XLOOKUP(_xlfn.XLOOKUP(B60,'Base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stats'!AT:AT) * 1.8) * 2) * 2.5 + 10 + I60 * 2,5)+IF(_xlfn.XLOOKUP(B60,'Base stats'!B:B,'Base stats'!AI:AI)=1,50,0)</f>
        <v>40</v>
      </c>
      <c r="BS60" s="8">
        <f t="shared" si="5"/>
        <v>0.25</v>
      </c>
      <c r="BT60" s="8" t="str">
        <f>_xlfn.XLOOKUP(B60,'Base stats'!B:B,'Base stats'!AD:AD)</f>
        <v>No</v>
      </c>
      <c r="BU60" s="2" t="str">
        <f>IF(AND(J60&lt;=0.95,OR(_xlfn.XLOOKUP(B60,'Base stats'!B:B,'Base stats'!AI:AI)=1,_xlfn.XLOOKUP(B60,'Base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stats'!AG:AG)=1,"true","false")</f>
        <v>false</v>
      </c>
      <c r="BW60" s="25" t="str">
        <f>IF(E60="BaseInsect","AnimalInsect",
IF(J60&gt;0.95,"AnimalExotic",
_xlfn.TEXTJOIN(", ",TRUE,
IF(OR(_xlfn.XLOOKUP(B60,'Base stats'!B:B,'Base stats'!AK:AK)=1,AND(_xlfn.XLOOKUP(B60,'Base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stats'!AI:AI)=1,AND(BI60&lt;&gt;"None",BR60&gt;=60),ISNUMBER(SEARCH("Attack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stats'!AH:AH)=1,"true","false")</f>
        <v>false</v>
      </c>
      <c r="BZ60" s="25">
        <f>IF(_xlfn.XLOOKUP(B60,'Base stats'!B:B,'Base stats'!N:N)=1,"No",MAX(0.01,MIN(MROUND(IF(OR(_xlfn.XLOOKUP(B60,'Base stats'!B:B,'Base stats'!AK:AK)=1,AND(BJ60="True",CC60="False")),POWER(10,3.47*LOG10(_xlfn.XLOOKUP(B60,'Base stats'!B:B,'Base stats'!C:C)*1000)^-0.96),POWER(10,4.15*LOG10(_xlfn.XLOOKUP(B60,'Base stats'!B:B,'Base stats'!C:C)*1000)^-0.73))*IF(OR(_xlfn.XLOOKUP(B60,'Base stats'!B:B,'Base stats'!AK:AK)=1,_xlfn.XLOOKUP(B60,'Base stats'!B:B,'Base stats'!AI:AI)=1),0.5,1)/100,0.025),1)))</f>
        <v>0.125</v>
      </c>
      <c r="CA60" s="25" t="str">
        <f>IF(P60="Standard","No",MAX(0.01,IF(_xlfn.XLOOKUP(B60,'Base stats'!B:B,'Base stats'!N:N)=0,MROUND(BZ60*P60,0.05),MIN(1,MAX(0.025,MROUND(IF(OR(CC60="true",AND(BJ60="false",BO60="false")),POWER(10,4.15*LOG10(_xlfn.XLOOKUP(B60,'Base stats'!B:B,'Base stats'!C:C)*1000)^-0.73),POWER(10,3.47*LOG10(_xlfn.XLOOKUP(B60,'Base stats'!B:B,'Base stats'!C:C)*1000)^-0.96))*IF(_xlfn.XLOOKUP(B60,'Base stats'!B:B,'Base stats'!AI:AI)=1,0.5,1)/100,0.025))))))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129</v>
      </c>
      <c r="C61" s="28" t="s">
        <v>752</v>
      </c>
      <c r="D61" s="28" t="s">
        <v>883</v>
      </c>
      <c r="E61" s="28" t="s">
        <v>685</v>
      </c>
      <c r="F61" s="28" t="s">
        <v>685</v>
      </c>
      <c r="G61" s="28" t="s">
        <v>685</v>
      </c>
      <c r="H61" s="2">
        <f>MROUND((
  (IF(AND(_xlfn.XLOOKUP(B61,'Base stats'!B:B,'Base stats'!AJ:AJ)=0,BI61="None",_xlfn.XLOOKUP(_xlfn.XLOOKUP(B61,'Base stats'!B:B,'Base stats'!E:E),Groups!A:A,Groups!B:B)=0), (18 + BR61 * 2.7) * 0.5,
    IF(AND(_xlfn.XLOOKUP(B61,'Base stats'!B:B,'Base stats'!AJ:AJ)=0,OR(AO61&lt;0.55,AND(BI61="Intermediate",_xlfn.XLOOKUP(_xlfn.XLOOKUP(B61,'Base stats'!B:B,'Base stats'!E:E),Groups!A:A,Groups!B:B)&lt;2))), (18 + BR61 * 2.7),
      IF(OR(BI61="Advanced",_xlfn.XLOOKUP(B61,'Base stats'!B:B,'Base stats'!AJ:AJ)=1,_xlfn.XLOOKUP(_xlfn.XLOOKUP(B61,'Base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IF(_xlfn.XLOOKUP(_xlfn.XLOOKUP(B61,'Base stats'!B:B,'Base stats'!E:E),Groups!A:A,Groups!C:C)="Untamable",1,IF(_xlfn.XLOOKUP(B61,'Base stats'!B:B,'Base stats'!AJ:AJ)=1,0.99,MIN(MROUND((1-0.6282*EXP(-0.459*AO61))*_xlfn.XLOOKUP(_xlfn.XLOOKUP(B61,'Base stats'!B:B,'Base stats'!E:E),Groups!A:A,Groups!C:C)*IF(_xlfn.XLOOKUP(B61,'Base stats'!B:B,'Base stats'!O:O)=1,0.5,IF(_xlfn.XLOOKUP(B61,'Base stats'!B:B,'Base stats'!O:O)=2,0,1)),0.05),0.985)))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IF(_xlfn.XLOOKUP(_xlfn.XLOOKUP(B61,'Base stats'!B:B,'Base stats'!E:E),Groups!A:A,Groups!L:L)=1,MIN(MROUND(_xlfn.XLOOKUP(B61,'Animals CE'!B:B,'Animals CE'!Z:Z)/2+0.05,0.05),200%),"No")</f>
        <v>No</v>
      </c>
      <c r="O61" s="8" t="str">
        <f>IF(_xlfn.XLOOKUP(_xlfn.XLOOKUP(B61,'Base stats'!B:B,'Base stats'!E:E),Groups!A:A,Groups!L:L)=1,MIN(MROUND(_xlfn.XLOOKUP(B61,'Animals CE'!B:B,'Animals CE'!AA:AA)/2+0.05,0.05),200%),"No")</f>
        <v>No</v>
      </c>
      <c r="P61" s="2">
        <f>_xlfn.XLOOKUP(B61,'Base stats'!B:B,'Base stats'!R:R)</f>
        <v>1</v>
      </c>
      <c r="Q61" s="13">
        <f>MROUND((LOG10(_xlfn.XLOOKUP(B61,'Base stats'!B:B,'Base stats'!AP:AP))*(AO61^0.5)+(_xlfn.XLOOKUP(B61,'Base stats'!B:B,'Base stats'!AP:AP)/1000)^(2/3)+_xlfn.XLOOKUP(B61,'Base stats'!B:B,'Base stats'!AY:AY)/2)+0.5,0.5)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stats'!AQ:AQ))*(AO61^0.5)+(_xlfn.XLOOKUP(B61,'Base stats'!B:B,'Base stats'!AQ:AQ)/1000)^(2/3)+_xlfn.XLOOKUP(B61,'Base stats'!B:B,'Base stats'!AY:AY))+_xlfn.XLOOKUP(B61,'Base stats'!B:B,'Base stats'!AW:AW)+0.5,0.5))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stats'!AS:AS))*(AO61^0.5)+(_xlfn.XLOOKUP(B61,'Base stats'!B:B,'Base stats'!AS:AS)/1000)^(2/3)+_xlfn.XLOOKUP(B61,'Base stats'!B:B,'Base stats'!AX:AX))+0.5+IF(_xlfn.XLOOKUP(_xlfn.XLOOKUP(B61,'Base stats'!B:B,'Base stats'!E:E),Groups!A:A,Groups!U:U)&lt;&gt;3,_xlfn.XLOOKUP(B61,'Base stats'!B:B,'Base stats'!AY:AY),0),0.5))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stats'!AR:AR)="No","No",MROUND((LOG10(_xlfn.XLOOKUP(B61,'Base stats'!B:B,'Base stats'!AR:AR))*(AO61^0.75)+(_xlfn.XLOOKUP(B61,'Base stats'!B:B,'Base stats'!AR:AR)/1000)^(2/3)+_xlfn.XLOOKUP(B61,'Base stats'!B:B,'Base stats'!AV:AV)+_xlfn.XLOOKUP(B61,'Base stats'!B:B,'Base stats'!AY:AY))+0.5,0.5))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stats'!AQ:AQ))*(AO61^0.75)+(_xlfn.XLOOKUP(B61,'Base stats'!B:B,'Base stats'!AQ:AQ)/1000)^(2/3)+_xlfn.XLOOKUP(B61,'Base stats'!B:B,'Base stats'!AW:AW)+_xlfn.XLOOKUP(B61,'Base stats'!B:B,'Base stats'!AY:AY))+0.5,0.5))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1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IFERROR(IF(_xlfn.XLOOKUP(B61,'Base stats'!B:B,'Base stats'!F:F)="Lay eggs","Lay eggs",MIN(20,MAX(5.5,ROUND(((_xlfn.XLOOKUP(B61,'Base stats'!B:B,'Base stats'!F:F)-25)*(14.5/615) + 5.5)*2,0)/2))),"Cannot breed")</f>
        <v>7</v>
      </c>
      <c r="AT61" s="8">
        <f>IF(OR(A61="Queen",A61="Larva",A61="Megachicken",A61="Megatardi",A61="Toxscorpion"),"No",IFERROR(MAX(IF(_xlfn.XLOOKUP(B61,'Base stats'!B:B,'Base stats'!G:G)&lt;0.5,0.2,0.3),MROUND(_xlfn.XLOOKUP(B61,'Base stats'!B:B,'Base stats'!G:G)/(365/60),0.2)),"Unknown"))</f>
        <v>0.3</v>
      </c>
      <c r="AU61" s="8">
        <f t="shared" si="0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_xlfn.XLOOKUP(B61,'Base stats'!B:B,'Base stats'!AF:AF)</f>
        <v>No</v>
      </c>
      <c r="BB61" s="2" t="str">
        <f>_xlfn.XLOOKUP(B61,'Base stats'!B:B,'Base stats'!AE:AE)</f>
        <v>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stats'!Z:Z)=0),0,IF(OR(_xlfn.XLOOKUP(Animals!B61,'Base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stats'!AA:AA),0.005))</f>
        <v>0.1</v>
      </c>
      <c r="BE61" s="23">
        <f>MIN(1,MROUND(IF(AND(AO61&lt;0.5,_xlfn.XLOOKUP(B61,'Base stats'!B:B,'Base stats'!Z:Z)=0),0,IF(_xlfn.XLOOKUP(_xlfn.XLOOKUP(B61,'Base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stats'!AB:AB),0.005))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stats'!AL:AL)="Standard","No",MROUND((_xlfn.XLOOKUP(B61,'Base stats'!B:B,'Base stats'!AL:AL)/3.6)/I61,0.1))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stats'!AC:AC)&lt;&gt;"No",_xlfn.XLOOKUP(B61,'Base stats'!B:B,'Base stats'!AC:AC),"")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stats'!AC:AC)&lt;&gt;"No",_xlfn.XLOOKUP(B61,'Base stats'!B:B,'Base stats'!AC:AC),"")
  )
)</f>
        <v>Forage, Comfort</v>
      </c>
      <c r="BQ61" s="25" t="str">
        <f>IF(
   AND(
      'Base stats'!AL61="Standard",_xlfn.XLOOKUP(_xlfn.XLOOKUP(B61,'Base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stats'!AT:AT) * 1.8) * 2) * 2.5 + 10 + I61 * 2,5)+IF(_xlfn.XLOOKUP(B61,'Base stats'!B:B,'Base stats'!AI:AI)=1,50,0)</f>
        <v>50</v>
      </c>
      <c r="BS61" s="8">
        <f t="shared" si="5"/>
        <v>0.35000000000000003</v>
      </c>
      <c r="BT61" s="8" t="str">
        <f>_xlfn.XLOOKUP(B61,'Base stats'!B:B,'Base stats'!AD:AD)</f>
        <v>1~6</v>
      </c>
      <c r="BU61" s="2" t="str">
        <f>IF(AND(J61&lt;=0.95,OR(_xlfn.XLOOKUP(B61,'Base stats'!B:B,'Base stats'!AI:AI)=1,_xlfn.XLOOKUP(B61,'Base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stats'!AG:AG)=1,"true","false")</f>
        <v>false</v>
      </c>
      <c r="BW61" s="25" t="str">
        <f>IF(E61="BaseInsect","AnimalInsect",
IF(J61&gt;0.95,"AnimalExotic",
_xlfn.TEXTJOIN(", ",TRUE,
IF(OR(_xlfn.XLOOKUP(B61,'Base stats'!B:B,'Base stats'!AK:AK)=1,AND(_xlfn.XLOOKUP(B61,'Base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stats'!AI:AI)=1,AND(BI61&lt;&gt;"None",BR61&gt;=60),ISNUMBER(SEARCH("Attack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stats'!AH:AH)=1,"true","false")</f>
        <v>false</v>
      </c>
      <c r="BZ61" s="25" t="str">
        <f>IF(_xlfn.XLOOKUP(B61,'Base stats'!B:B,'Base stats'!N:N)=1,"No",MAX(0.01,MIN(MROUND(IF(OR(_xlfn.XLOOKUP(B61,'Base stats'!B:B,'Base stats'!AK:AK)=1,AND(BJ61="True",CC61="False")),POWER(10,3.47*LOG10(_xlfn.XLOOKUP(B61,'Base stats'!B:B,'Base stats'!C:C)*1000)^-0.96),POWER(10,4.15*LOG10(_xlfn.XLOOKUP(B61,'Base stats'!B:B,'Base stats'!C:C)*1000)^-0.73))*IF(OR(_xlfn.XLOOKUP(B61,'Base stats'!B:B,'Base stats'!AK:AK)=1,_xlfn.XLOOKUP(B61,'Base stats'!B:B,'Base stats'!AI:AI)=1),0.5,1)/100,0.025),1)))</f>
        <v>No</v>
      </c>
      <c r="CA61" s="25">
        <f>IF(P61="Standard","No",MAX(0.01,IF(_xlfn.XLOOKUP(B61,'Base stats'!B:B,'Base stats'!N:N)=0,MROUND(BZ61*P61,0.05),MIN(1,MAX(0.025,MROUND(IF(OR(CC61="true",AND(BJ61="false",BO61="false")),POWER(10,4.15*LOG10(_xlfn.XLOOKUP(B61,'Base stats'!B:B,'Base stats'!C:C)*1000)^-0.73),POWER(10,3.47*LOG10(_xlfn.XLOOKUP(B61,'Base stats'!B:B,'Base stats'!C:C)*1000)^-0.96))*IF(_xlfn.XLOOKUP(B61,'Base stats'!B:B,'Base stats'!AI:AI)=1,0.5,1)/100,0.025))))))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197</v>
      </c>
      <c r="C62" s="28" t="s">
        <v>753</v>
      </c>
      <c r="D62" s="28" t="s">
        <v>882</v>
      </c>
      <c r="E62" s="28" t="s">
        <v>685</v>
      </c>
      <c r="F62" s="28" t="s">
        <v>460</v>
      </c>
      <c r="G62" s="28" t="s">
        <v>685</v>
      </c>
      <c r="H62" s="2">
        <f>MROUND((
  (IF(AND(_xlfn.XLOOKUP(B62,'Base stats'!B:B,'Base stats'!AJ:AJ)=0,BI62="None",_xlfn.XLOOKUP(_xlfn.XLOOKUP(B62,'Base stats'!B:B,'Base stats'!E:E),Groups!A:A,Groups!B:B)=0), (18 + BR62 * 2.7) * 0.5,
    IF(AND(_xlfn.XLOOKUP(B62,'Base stats'!B:B,'Base stats'!AJ:AJ)=0,OR(AO62&lt;0.55,AND(BI62="Intermediate",_xlfn.XLOOKUP(_xlfn.XLOOKUP(B62,'Base stats'!B:B,'Base stats'!E:E),Groups!A:A,Groups!B:B)&lt;2))), (18 + BR62 * 2.7),
      IF(OR(BI62="Advanced",_xlfn.XLOOKUP(B62,'Base stats'!B:B,'Base stats'!AJ:AJ)=1,_xlfn.XLOOKUP(_xlfn.XLOOKUP(B62,'Base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IF(_xlfn.XLOOKUP(_xlfn.XLOOKUP(B62,'Base stats'!B:B,'Base stats'!E:E),Groups!A:A,Groups!C:C)="Untamable",1,IF(_xlfn.XLOOKUP(B62,'Base stats'!B:B,'Base stats'!AJ:AJ)=1,0.99,MIN(MROUND((1-0.6282*EXP(-0.459*AO62))*_xlfn.XLOOKUP(_xlfn.XLOOKUP(B62,'Base stats'!B:B,'Base stats'!E:E),Groups!A:A,Groups!C:C)*IF(_xlfn.XLOOKUP(B62,'Base stats'!B:B,'Base stats'!O:O)=1,0.5,IF(_xlfn.XLOOKUP(B62,'Base stats'!B:B,'Base stats'!O:O)=2,0,1)),0.05),0.985)))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IF(_xlfn.XLOOKUP(_xlfn.XLOOKUP(B62,'Base stats'!B:B,'Base stats'!E:E),Groups!A:A,Groups!L:L)=1,MIN(MROUND(_xlfn.XLOOKUP(B62,'Animals CE'!B:B,'Animals CE'!Z:Z)/2+0.05,0.05),200%),"No")</f>
        <v>No</v>
      </c>
      <c r="O62" s="8" t="str">
        <f>IF(_xlfn.XLOOKUP(_xlfn.XLOOKUP(B62,'Base stats'!B:B,'Base stats'!E:E),Groups!A:A,Groups!L:L)=1,MIN(MROUND(_xlfn.XLOOKUP(B62,'Animals CE'!B:B,'Animals CE'!AA:AA)/2+0.05,0.05),200%),"No")</f>
        <v>No</v>
      </c>
      <c r="P62" s="2" t="str">
        <f>_xlfn.XLOOKUP(B62,'Base stats'!B:B,'Base stats'!R:R)</f>
        <v>Standard</v>
      </c>
      <c r="Q62" s="13">
        <f>MROUND((LOG10(_xlfn.XLOOKUP(B62,'Base stats'!B:B,'Base stats'!AP:AP))*(AO62^0.5)+(_xlfn.XLOOKUP(B62,'Base stats'!B:B,'Base stats'!AP:AP)/1000)^(2/3)+_xlfn.XLOOKUP(B62,'Base stats'!B:B,'Base stats'!AY:AY)/2)+0.5,0.5)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stats'!AQ:AQ))*(AO62^0.5)+(_xlfn.XLOOKUP(B62,'Base stats'!B:B,'Base stats'!AQ:AQ)/1000)^(2/3)+_xlfn.XLOOKUP(B62,'Base stats'!B:B,'Base stats'!AY:AY))+_xlfn.XLOOKUP(B62,'Base stats'!B:B,'Base stats'!AW:AW)+0.5,0.5))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stats'!AS:AS))*(AO62^0.5)+(_xlfn.XLOOKUP(B62,'Base stats'!B:B,'Base stats'!AS:AS)/1000)^(2/3)+_xlfn.XLOOKUP(B62,'Base stats'!B:B,'Base stats'!AX:AX))+0.5+IF(_xlfn.XLOOKUP(_xlfn.XLOOKUP(B62,'Base stats'!B:B,'Base stats'!E:E),Groups!A:A,Groups!U:U)&lt;&gt;3,_xlfn.XLOOKUP(B62,'Base stats'!B:B,'Base stats'!AY:AY),0),0.5))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stats'!AR:AR)="No","No",MROUND((LOG10(_xlfn.XLOOKUP(B62,'Base stats'!B:B,'Base stats'!AR:AR))*(AO62^0.75)+(_xlfn.XLOOKUP(B62,'Base stats'!B:B,'Base stats'!AR:AR)/1000)^(2/3)+_xlfn.XLOOKUP(B62,'Base stats'!B:B,'Base stats'!AV:AV)+_xlfn.XLOOKUP(B62,'Base stats'!B:B,'Base stats'!AY:AY))+0.5,0.5))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stats'!AQ:AQ))*(AO62^0.75)+(_xlfn.XLOOKUP(B62,'Base stats'!B:B,'Base stats'!AQ:AQ)/1000)^(2/3)+_xlfn.XLOOKUP(B62,'Base stats'!B:B,'Base stats'!AW:AW)+_xlfn.XLOOKUP(B62,'Base stats'!B:B,'Base stats'!AY:AY))+0.5,0.5))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FrontRightPaw,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1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IFERROR(IF(_xlfn.XLOOKUP(B62,'Base stats'!B:B,'Base stats'!F:F)="Lay eggs","Lay eggs",MIN(20,MAX(5.5,ROUND(((_xlfn.XLOOKUP(B62,'Base stats'!B:B,'Base stats'!F:F)-25)*(14.5/615) + 5.5)*2,0)/2))),"Cannot breed")</f>
        <v>6</v>
      </c>
      <c r="AT62" s="8">
        <f>IF(OR(A62="Queen",A62="Larva",A62="Megachicken",A62="Megatardi",A62="Toxscorpion"),"No",IFERROR(MAX(IF(_xlfn.XLOOKUP(B62,'Base stats'!B:B,'Base stats'!G:G)&lt;0.5,0.2,0.3),MROUND(_xlfn.XLOOKUP(B62,'Base stats'!B:B,'Base stats'!G:G)/(365/60),0.2)),"Unknown"))</f>
        <v>1</v>
      </c>
      <c r="AU62" s="8">
        <f t="shared" si="0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_xlfn.XLOOKUP(B62,'Base stats'!B:B,'Base stats'!AF:AF)</f>
        <v>&lt;li&gt;Bear_Grizzly&lt;/li&gt;</v>
      </c>
      <c r="BB62" s="2" t="str">
        <f>_xlfn.XLOOKUP(B62,'Base stats'!B:B,'Base stats'!AE:AE)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stats'!Z:Z)=0),0,IF(OR(_xlfn.XLOOKUP(Animals!B62,'Base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stats'!AA:AA),0.005))</f>
        <v>2.5000000000000001E-2</v>
      </c>
      <c r="BE62" s="23">
        <f>MIN(1,MROUND(IF(AND(AO62&lt;0.5,_xlfn.XLOOKUP(B62,'Base stats'!B:B,'Base stats'!Z:Z)=0),0,IF(_xlfn.XLOOKUP(_xlfn.XLOOKUP(B62,'Base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stats'!AB:AB),0.005))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stats'!AL:AL)="Standard","No",MROUND((_xlfn.XLOOKUP(B62,'Base stats'!B:B,'Base stats'!AL:AL)/3.6)/I62,0.1))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stats'!AC:AC)&lt;&gt;"No",_xlfn.XLOOKUP(B62,'Base stats'!B:B,'Base stats'!AC:AC),"")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stats'!AC:AC)&lt;&gt;"No",_xlfn.XLOOKUP(B62,'Base stats'!B:B,'Base stats'!AC:AC),"")
  )
)</f>
        <v>No</v>
      </c>
      <c r="BQ62" s="25" t="str">
        <f>IF(
   AND(
      'Base stats'!AL62="Standard",_xlfn.XLOOKUP(_xlfn.XLOOKUP(B62,'Base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stats'!AT:AT) * 1.8) * 2) * 2.5 + 10 + I62 * 2,5)+IF(_xlfn.XLOOKUP(B62,'Base stats'!B:B,'Base stats'!AI:AI)=1,50,0)</f>
        <v>140</v>
      </c>
      <c r="BS62" s="8">
        <f t="shared" si="5"/>
        <v>0.8</v>
      </c>
      <c r="BT62" s="8" t="str">
        <f>_xlfn.XLOOKUP(B62,'Base stats'!B:B,'Base stats'!AD:AD)</f>
        <v>No</v>
      </c>
      <c r="BU62" s="2" t="str">
        <f>IF(AND(J62&lt;=0.95,OR(_xlfn.XLOOKUP(B62,'Base stats'!B:B,'Base stats'!AI:AI)=1,_xlfn.XLOOKUP(B62,'Base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stats'!AG:AG)=1,"true","false")</f>
        <v>false</v>
      </c>
      <c r="BW62" s="25" t="str">
        <f>IF(E62="BaseInsect","AnimalInsect",
IF(J62&gt;0.95,"AnimalExotic",
_xlfn.TEXTJOIN(", ",TRUE,
IF(OR(_xlfn.XLOOKUP(B62,'Base stats'!B:B,'Base stats'!AK:AK)=1,AND(_xlfn.XLOOKUP(B62,'Base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stats'!AI:AI)=1,AND(BI62&lt;&gt;"None",BR62&gt;=60),ISNUMBER(SEARCH("Attack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stats'!AH:AH)=1,"true","false")</f>
        <v>false</v>
      </c>
      <c r="BZ62" s="25">
        <f>IF(_xlfn.XLOOKUP(B62,'Base stats'!B:B,'Base stats'!N:N)=1,"No",MAX(0.01,MIN(MROUND(IF(OR(_xlfn.XLOOKUP(B62,'Base stats'!B:B,'Base stats'!AK:AK)=1,AND(BJ62="True",CC62="False")),POWER(10,3.47*LOG10(_xlfn.XLOOKUP(B62,'Base stats'!B:B,'Base stats'!C:C)*1000)^-0.96),POWER(10,4.15*LOG10(_xlfn.XLOOKUP(B62,'Base stats'!B:B,'Base stats'!C:C)*1000)^-0.73))*IF(OR(_xlfn.XLOOKUP(B62,'Base stats'!B:B,'Base stats'!AK:AK)=1,_xlfn.XLOOKUP(B62,'Base stats'!B:B,'Base stats'!AI:AI)=1),0.5,1)/100,0.025),1)))</f>
        <v>2.5000000000000001E-2</v>
      </c>
      <c r="CA62" s="25" t="str">
        <f>IF(P62="Standard","No",MAX(0.01,IF(_xlfn.XLOOKUP(B62,'Base stats'!B:B,'Base stats'!N:N)=0,MROUND(BZ62*P62,0.05),MIN(1,MAX(0.025,MROUND(IF(OR(CC62="true",AND(BJ62="false",BO62="false")),POWER(10,4.15*LOG10(_xlfn.XLOOKUP(B62,'Base stats'!B:B,'Base stats'!C:C)*1000)^-0.73),POWER(10,3.47*LOG10(_xlfn.XLOOKUP(B62,'Base stats'!B:B,'Base stats'!C:C)*1000)^-0.96))*IF(_xlfn.XLOOKUP(B62,'Base stats'!B:B,'Base stats'!AI:AI)=1,0.5,1)/100,0.025))))))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223</v>
      </c>
      <c r="C63" s="28" t="s">
        <v>754</v>
      </c>
      <c r="D63" s="28" t="s">
        <v>882</v>
      </c>
      <c r="E63" s="28" t="s">
        <v>755</v>
      </c>
      <c r="F63" s="28" t="s">
        <v>685</v>
      </c>
      <c r="G63" s="28" t="s">
        <v>685</v>
      </c>
      <c r="H63" s="2">
        <f>MROUND((
  (IF(AND(_xlfn.XLOOKUP(B63,'Base stats'!B:B,'Base stats'!AJ:AJ)=0,BI63="None",_xlfn.XLOOKUP(_xlfn.XLOOKUP(B63,'Base stats'!B:B,'Base stats'!E:E),Groups!A:A,Groups!B:B)=0), (18 + BR63 * 2.7) * 0.5,
    IF(AND(_xlfn.XLOOKUP(B63,'Base stats'!B:B,'Base stats'!AJ:AJ)=0,OR(AO63&lt;0.55,AND(BI63="Intermediate",_xlfn.XLOOKUP(_xlfn.XLOOKUP(B63,'Base stats'!B:B,'Base stats'!E:E),Groups!A:A,Groups!B:B)&lt;2))), (18 + BR63 * 2.7),
      IF(OR(BI63="Advanced",_xlfn.XLOOKUP(B63,'Base stats'!B:B,'Base stats'!AJ:AJ)=1,_xlfn.XLOOKUP(_xlfn.XLOOKUP(B63,'Base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IF(_xlfn.XLOOKUP(_xlfn.XLOOKUP(B63,'Base stats'!B:B,'Base stats'!E:E),Groups!A:A,Groups!C:C)="Untamable",1,IF(_xlfn.XLOOKUP(B63,'Base stats'!B:B,'Base stats'!AJ:AJ)=1,0.99,MIN(MROUND((1-0.6282*EXP(-0.459*AO63))*_xlfn.XLOOKUP(_xlfn.XLOOKUP(B63,'Base stats'!B:B,'Base stats'!E:E),Groups!A:A,Groups!C:C)*IF(_xlfn.XLOOKUP(B63,'Base stats'!B:B,'Base stats'!O:O)=1,0.5,IF(_xlfn.XLOOKUP(B63,'Base stats'!B:B,'Base stats'!O:O)=2,0,1)),0.05),0.985)))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IF(_xlfn.XLOOKUP(_xlfn.XLOOKUP(B63,'Base stats'!B:B,'Base stats'!E:E),Groups!A:A,Groups!L:L)=1,MIN(MROUND(_xlfn.XLOOKUP(B63,'Animals CE'!B:B,'Animals CE'!Z:Z)/2+0.05,0.05),200%),"No")</f>
        <v>No</v>
      </c>
      <c r="O63" s="8" t="str">
        <f>IF(_xlfn.XLOOKUP(_xlfn.XLOOKUP(B63,'Base stats'!B:B,'Base stats'!E:E),Groups!A:A,Groups!L:L)=1,MIN(MROUND(_xlfn.XLOOKUP(B63,'Animals CE'!B:B,'Animals CE'!AA:AA)/2+0.05,0.05),200%),"No")</f>
        <v>No</v>
      </c>
      <c r="P63" s="2">
        <f>_xlfn.XLOOKUP(B63,'Base stats'!B:B,'Base stats'!R:R)</f>
        <v>0.8</v>
      </c>
      <c r="Q63" s="13">
        <f>MROUND((LOG10(_xlfn.XLOOKUP(B63,'Base stats'!B:B,'Base stats'!AP:AP))*(AO63^0.5)+(_xlfn.XLOOKUP(B63,'Base stats'!B:B,'Base stats'!AP:AP)/1000)^(2/3)+_xlfn.XLOOKUP(B63,'Base stats'!B:B,'Base stats'!AY:AY)/2)+0.5,0.5)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stats'!AQ:AQ))*(AO63^0.5)+(_xlfn.XLOOKUP(B63,'Base stats'!B:B,'Base stats'!AQ:AQ)/1000)^(2/3)+_xlfn.XLOOKUP(B63,'Base stats'!B:B,'Base stats'!AY:AY))+_xlfn.XLOOKUP(B63,'Base stats'!B:B,'Base stats'!AW:AW)+0.5,0.5))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stats'!AS:AS))*(AO63^0.5)+(_xlfn.XLOOKUP(B63,'Base stats'!B:B,'Base stats'!AS:AS)/1000)^(2/3)+_xlfn.XLOOKUP(B63,'Base stats'!B:B,'Base stats'!AX:AX))+0.5+IF(_xlfn.XLOOKUP(_xlfn.XLOOKUP(B63,'Base stats'!B:B,'Base stats'!E:E),Groups!A:A,Groups!U:U)&lt;&gt;3,_xlfn.XLOOKUP(B63,'Base stats'!B:B,'Base stats'!AY:AY),0),0.5))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stats'!AR:AR)="No","No",MROUND((LOG10(_xlfn.XLOOKUP(B63,'Base stats'!B:B,'Base stats'!AR:AR))*(AO63^0.75)+(_xlfn.XLOOKUP(B63,'Base stats'!B:B,'Base stats'!AR:AR)/1000)^(2/3)+_xlfn.XLOOKUP(B63,'Base stats'!B:B,'Base stats'!AV:AV)+_xlfn.XLOOKUP(B63,'Base stats'!B:B,'Base stats'!AY:AY))+0.5,0.5))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stats'!AQ:AQ))*(AO63^0.75)+(_xlfn.XLOOKUP(B63,'Base stats'!B:B,'Base stats'!AQ:AQ)/1000)^(2/3)+_xlfn.XLOOKUP(B63,'Base stats'!B:B,'Base stats'!AW:AW)+_xlfn.XLOOKUP(B63,'Base stats'!B:B,'Base stats'!AY:AY))+0.5,0.5))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1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IFERROR(IF(_xlfn.XLOOKUP(B63,'Base stats'!B:B,'Base stats'!F:F)="Lay eggs","Lay eggs",MIN(20,MAX(5.5,ROUND(((_xlfn.XLOOKUP(B63,'Base stats'!B:B,'Base stats'!F:F)-25)*(14.5/615) + 5.5)*2,0)/2))),"Cannot breed")</f>
        <v>Lay eggs</v>
      </c>
      <c r="AT63" s="8">
        <f>IF(OR(A63="Queen",A63="Larva",A63="Megachicken",A63="Megatardi",A63="Toxscorpion"),"No",IFERROR(MAX(IF(_xlfn.XLOOKUP(B63,'Base stats'!B:B,'Base stats'!G:G)&lt;0.5,0.2,0.3),MROUND(_xlfn.XLOOKUP(B63,'Base stats'!B:B,'Base stats'!G:G)/(365/60),0.2)),"Unknown"))</f>
        <v>0.2</v>
      </c>
      <c r="AU63" s="8">
        <f t="shared" si="0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_xlfn.XLOOKUP(B63,'Base stats'!B:B,'Base stats'!AF:AF)</f>
        <v>&lt;li&gt;Cassowary&lt;/li&gt;</v>
      </c>
      <c r="BB63" s="2" t="str">
        <f>_xlfn.XLOOKUP(B63,'Base stats'!B:B,'Base stats'!AE:AE)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stats'!Z:Z)=0),0,IF(OR(_xlfn.XLOOKUP(Animals!B63,'Base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stats'!AA:AA),0.005))</f>
        <v>0</v>
      </c>
      <c r="BE63" s="23">
        <f>MIN(1,MROUND(IF(AND(AO63&lt;0.5,_xlfn.XLOOKUP(B63,'Base stats'!B:B,'Base stats'!Z:Z)=0),0,IF(_xlfn.XLOOKUP(_xlfn.XLOOKUP(B63,'Base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stats'!AB:AB),0.005))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stats'!AL:AL)="Standard","No",MROUND((_xlfn.XLOOKUP(B63,'Base stats'!B:B,'Base stats'!AL:AL)/3.6)/I63,0.1))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stats'!AC:AC)&lt;&gt;"No",_xlfn.XLOOKUP(B63,'Base stats'!B:B,'Base stats'!AC:AC),"")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stats'!AC:AC)&lt;&gt;"No",_xlfn.XLOOKUP(B63,'Base stats'!B:B,'Base stats'!AC:AC),"")
  )
)</f>
        <v>No</v>
      </c>
      <c r="BQ63" s="25" t="str">
        <f>IF(
   AND(
      'Base stats'!AL63="Standard",_xlfn.XLOOKUP(_xlfn.XLOOKUP(B63,'Base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stats'!AT:AT) * 1.8) * 2) * 2.5 + 10 + I63 * 2,5)+IF(_xlfn.XLOOKUP(B63,'Base stats'!B:B,'Base stats'!AI:AI)=1,50,0)</f>
        <v>20</v>
      </c>
      <c r="BS63" s="8">
        <f t="shared" si="5"/>
        <v>0.2</v>
      </c>
      <c r="BT63" s="8" t="str">
        <f>_xlfn.XLOOKUP(B63,'Base stats'!B:B,'Base stats'!AD:AD)</f>
        <v>3~8</v>
      </c>
      <c r="BU63" s="2" t="str">
        <f>IF(AND(J63&lt;=0.95,OR(_xlfn.XLOOKUP(B63,'Base stats'!B:B,'Base stats'!AI:AI)=1,_xlfn.XLOOKUP(B63,'Base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stats'!AG:AG)=1,"true","false")</f>
        <v>false</v>
      </c>
      <c r="BW63" s="25" t="str">
        <f>IF(E63="BaseInsect","AnimalInsect",
IF(J63&gt;0.95,"AnimalExotic",
_xlfn.TEXTJOIN(", ",TRUE,
IF(OR(_xlfn.XLOOKUP(B63,'Base stats'!B:B,'Base stats'!AK:AK)=1,AND(_xlfn.XLOOKUP(B63,'Base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stats'!AI:AI)=1,AND(BI63&lt;&gt;"None",BR63&gt;=60),ISNUMBER(SEARCH("Attack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stats'!AH:AH)=1,"true","false")</f>
        <v>false</v>
      </c>
      <c r="BZ63" s="25">
        <f>IF(_xlfn.XLOOKUP(B63,'Base stats'!B:B,'Base stats'!N:N)=1,"No",MAX(0.01,MIN(MROUND(IF(OR(_xlfn.XLOOKUP(B63,'Base stats'!B:B,'Base stats'!AK:AK)=1,AND(BJ63="True",CC63="False")),POWER(10,3.47*LOG10(_xlfn.XLOOKUP(B63,'Base stats'!B:B,'Base stats'!C:C)*1000)^-0.96),POWER(10,4.15*LOG10(_xlfn.XLOOKUP(B63,'Base stats'!B:B,'Base stats'!C:C)*1000)^-0.73))*IF(OR(_xlfn.XLOOKUP(B63,'Base stats'!B:B,'Base stats'!AK:AK)=1,_xlfn.XLOOKUP(B63,'Base stats'!B:B,'Base stats'!AI:AI)=1),0.5,1)/100,0.025),1)))</f>
        <v>1</v>
      </c>
      <c r="CA63" s="25">
        <f>IF(P63="Standard","No",MAX(0.01,IF(_xlfn.XLOOKUP(B63,'Base stats'!B:B,'Base stats'!N:N)=0,MROUND(BZ63*P63,0.05),MIN(1,MAX(0.025,MROUND(IF(OR(CC63="true",AND(BJ63="false",BO63="false")),POWER(10,4.15*LOG10(_xlfn.XLOOKUP(B63,'Base stats'!B:B,'Base stats'!C:C)*1000)^-0.73),POWER(10,3.47*LOG10(_xlfn.XLOOKUP(B63,'Base stats'!B:B,'Base stats'!C:C)*1000)^-0.96))*IF(_xlfn.XLOOKUP(B63,'Base stats'!B:B,'Base stats'!AI:AI)=1,0.5,1)/100,0.025))))))</f>
        <v>0.8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562</v>
      </c>
      <c r="C64" s="28" t="s">
        <v>756</v>
      </c>
      <c r="D64" s="28" t="s">
        <v>882</v>
      </c>
      <c r="E64" s="28" t="s">
        <v>755</v>
      </c>
      <c r="F64" s="28" t="s">
        <v>685</v>
      </c>
      <c r="G64" s="28" t="s">
        <v>685</v>
      </c>
      <c r="H64" s="2">
        <f>MROUND((
  (IF(AND(_xlfn.XLOOKUP(B64,'Base stats'!B:B,'Base stats'!AJ:AJ)=0,BI64="None",_xlfn.XLOOKUP(_xlfn.XLOOKUP(B64,'Base stats'!B:B,'Base stats'!E:E),Groups!A:A,Groups!B:B)=0), (18 + BR64 * 2.7) * 0.5,
    IF(AND(_xlfn.XLOOKUP(B64,'Base stats'!B:B,'Base stats'!AJ:AJ)=0,OR(AO64&lt;0.55,AND(BI64="Intermediate",_xlfn.XLOOKUP(_xlfn.XLOOKUP(B64,'Base stats'!B:B,'Base stats'!E:E),Groups!A:A,Groups!B:B)&lt;2))), (18 + BR64 * 2.7),
      IF(OR(BI64="Advanced",_xlfn.XLOOKUP(B64,'Base stats'!B:B,'Base stats'!AJ:AJ)=1,_xlfn.XLOOKUP(_xlfn.XLOOKUP(B64,'Base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IF(_xlfn.XLOOKUP(_xlfn.XLOOKUP(B64,'Base stats'!B:B,'Base stats'!E:E),Groups!A:A,Groups!C:C)="Untamable",1,IF(_xlfn.XLOOKUP(B64,'Base stats'!B:B,'Base stats'!AJ:AJ)=1,0.99,MIN(MROUND((1-0.6282*EXP(-0.459*AO64))*_xlfn.XLOOKUP(_xlfn.XLOOKUP(B64,'Base stats'!B:B,'Base stats'!E:E),Groups!A:A,Groups!C:C)*IF(_xlfn.XLOOKUP(B64,'Base stats'!B:B,'Base stats'!O:O)=1,0.5,IF(_xlfn.XLOOKUP(B64,'Base stats'!B:B,'Base stats'!O:O)=2,0,1)),0.05),0.985)))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IF(_xlfn.XLOOKUP(_xlfn.XLOOKUP(B64,'Base stats'!B:B,'Base stats'!E:E),Groups!A:A,Groups!L:L)=1,MIN(MROUND(_xlfn.XLOOKUP(B64,'Animals CE'!B:B,'Animals CE'!Z:Z)/2+0.05,0.05),200%),"No")</f>
        <v>No</v>
      </c>
      <c r="O64" s="8" t="str">
        <f>IF(_xlfn.XLOOKUP(_xlfn.XLOOKUP(B64,'Base stats'!B:B,'Base stats'!E:E),Groups!A:A,Groups!L:L)=1,MIN(MROUND(_xlfn.XLOOKUP(B64,'Animals CE'!B:B,'Animals CE'!AA:AA)/2+0.05,0.05),200%),"No")</f>
        <v>No</v>
      </c>
      <c r="P64" s="2" t="str">
        <f>_xlfn.XLOOKUP(B64,'Base stats'!B:B,'Base stats'!R:R)</f>
        <v>Standard</v>
      </c>
      <c r="Q64" s="13">
        <f>MROUND((LOG10(_xlfn.XLOOKUP(B64,'Base stats'!B:B,'Base stats'!AP:AP))*(AO64^0.5)+(_xlfn.XLOOKUP(B64,'Base stats'!B:B,'Base stats'!AP:AP)/1000)^(2/3)+_xlfn.XLOOKUP(B64,'Base stats'!B:B,'Base stats'!AY:AY)/2)+0.5,0.5)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stats'!AQ:AQ))*(AO64^0.5)+(_xlfn.XLOOKUP(B64,'Base stats'!B:B,'Base stats'!AQ:AQ)/1000)^(2/3)+_xlfn.XLOOKUP(B64,'Base stats'!B:B,'Base stats'!AY:AY))+_xlfn.XLOOKUP(B64,'Base stats'!B:B,'Base stats'!AW:AW)+0.5,0.5))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stats'!AS:AS))*(AO64^0.5)+(_xlfn.XLOOKUP(B64,'Base stats'!B:B,'Base stats'!AS:AS)/1000)^(2/3)+_xlfn.XLOOKUP(B64,'Base stats'!B:B,'Base stats'!AX:AX))+0.5+IF(_xlfn.XLOOKUP(_xlfn.XLOOKUP(B64,'Base stats'!B:B,'Base stats'!E:E),Groups!A:A,Groups!U:U)&lt;&gt;3,_xlfn.XLOOKUP(B64,'Base stats'!B:B,'Base stats'!AY:AY),0),0.5))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stats'!AR:AR)="No","No",MROUND((LOG10(_xlfn.XLOOKUP(B64,'Base stats'!B:B,'Base stats'!AR:AR))*(AO64^0.75)+(_xlfn.XLOOKUP(B64,'Base stats'!B:B,'Base stats'!AR:AR)/1000)^(2/3)+_xlfn.XLOOKUP(B64,'Base stats'!B:B,'Base stats'!AV:AV)+_xlfn.XLOOKUP(B64,'Base stats'!B:B,'Base stats'!AY:AY))+0.5,0.5))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stats'!AQ:AQ))*(AO64^0.75)+(_xlfn.XLOOKUP(B64,'Base stats'!B:B,'Base stats'!AQ:AQ)/1000)^(2/3)+_xlfn.XLOOKUP(B64,'Base stats'!B:B,'Base stats'!AW:AW)+_xlfn.XLOOKUP(B64,'Base stats'!B:B,'Base stats'!AY:AY))+0.5,0.5))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1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IFERROR(IF(_xlfn.XLOOKUP(B64,'Base stats'!B:B,'Base stats'!F:F)="Lay eggs","Lay eggs",MIN(20,MAX(5.5,ROUND(((_xlfn.XLOOKUP(B64,'Base stats'!B:B,'Base stats'!F:F)-25)*(14.5/615) + 5.5)*2,0)/2))),"Cannot breed")</f>
        <v>Lay eggs</v>
      </c>
      <c r="AT64" s="8">
        <f>IF(OR(A64="Queen",A64="Larva",A64="Megachicken",A64="Megatardi",A64="Toxscorpion"),"No",IFERROR(MAX(IF(_xlfn.XLOOKUP(B64,'Base stats'!B:B,'Base stats'!G:G)&lt;0.5,0.2,0.3),MROUND(_xlfn.XLOOKUP(B64,'Base stats'!B:B,'Base stats'!G:G)/(365/60),0.2)),"Unknown"))</f>
        <v>0.3</v>
      </c>
      <c r="AU64" s="8">
        <f t="shared" si="0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_xlfn.XLOOKUP(B64,'Base stats'!B:B,'Base stats'!AF:AF)</f>
        <v>&lt;li&gt;Cassowary&lt;/li&gt;</v>
      </c>
      <c r="BB64" s="2" t="str">
        <f>_xlfn.XLOOKUP(B64,'Base stats'!B:B,'Base stats'!AE:AE)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stats'!Z:Z)=0),0,IF(OR(_xlfn.XLOOKUP(Animals!B64,'Base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stats'!AA:AA),0.005))</f>
        <v>0</v>
      </c>
      <c r="BE64" s="23">
        <f>MIN(1,MROUND(IF(AND(AO64&lt;0.5,_xlfn.XLOOKUP(B64,'Base stats'!B:B,'Base stats'!Z:Z)=0),0,IF(_xlfn.XLOOKUP(_xlfn.XLOOKUP(B64,'Base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stats'!AB:AB),0.005))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stats'!AL:AL)="Standard","No",MROUND((_xlfn.XLOOKUP(B64,'Base stats'!B:B,'Base stats'!AL:AL)/3.6)/I64,0.1))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stats'!AC:AC)&lt;&gt;"No",_xlfn.XLOOKUP(B64,'Base stats'!B:B,'Base stats'!AC:AC),"")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stats'!AC:AC)&lt;&gt;"No",_xlfn.XLOOKUP(B64,'Base stats'!B:B,'Base stats'!AC:AC),"")
  )
)</f>
        <v>No</v>
      </c>
      <c r="BQ64" s="25" t="str">
        <f>IF(
   AND(
      'Base stats'!AL64="Standard",_xlfn.XLOOKUP(_xlfn.XLOOKUP(B64,'Base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stats'!AT:AT) * 1.8) * 2) * 2.5 + 10 + I64 * 2,5)+IF(_xlfn.XLOOKUP(B64,'Base stats'!B:B,'Base stats'!AI:AI)=1,50,0)</f>
        <v>20</v>
      </c>
      <c r="BS64" s="8">
        <f t="shared" si="5"/>
        <v>0.2</v>
      </c>
      <c r="BT64" s="8" t="str">
        <f>_xlfn.XLOOKUP(B64,'Base stats'!B:B,'Base stats'!AD:AD)</f>
        <v>No</v>
      </c>
      <c r="BU64" s="2" t="str">
        <f>IF(AND(J64&lt;=0.95,OR(_xlfn.XLOOKUP(B64,'Base stats'!B:B,'Base stats'!AI:AI)=1,_xlfn.XLOOKUP(B64,'Base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stats'!AG:AG)=1,"true","false")</f>
        <v>false</v>
      </c>
      <c r="BW64" s="25" t="str">
        <f>IF(E64="BaseInsect","AnimalInsect",
IF(J64&gt;0.95,"AnimalExotic",
_xlfn.TEXTJOIN(", ",TRUE,
IF(OR(_xlfn.XLOOKUP(B64,'Base stats'!B:B,'Base stats'!AK:AK)=1,AND(_xlfn.XLOOKUP(B64,'Base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stats'!AI:AI)=1,AND(BI64&lt;&gt;"None",BR64&gt;=60),ISNUMBER(SEARCH("Attack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stats'!AH:AH)=1,"true","false")</f>
        <v>false</v>
      </c>
      <c r="BZ64" s="25">
        <f>IF(_xlfn.XLOOKUP(B64,'Base stats'!B:B,'Base stats'!N:N)=1,"No",MAX(0.01,MIN(MROUND(IF(OR(_xlfn.XLOOKUP(B64,'Base stats'!B:B,'Base stats'!AK:AK)=1,AND(BJ64="True",CC64="False")),POWER(10,3.47*LOG10(_xlfn.XLOOKUP(B64,'Base stats'!B:B,'Base stats'!C:C)*1000)^-0.96),POWER(10,4.15*LOG10(_xlfn.XLOOKUP(B64,'Base stats'!B:B,'Base stats'!C:C)*1000)^-0.73))*IF(OR(_xlfn.XLOOKUP(B64,'Base stats'!B:B,'Base stats'!AK:AK)=1,_xlfn.XLOOKUP(B64,'Base stats'!B:B,'Base stats'!AI:AI)=1),0.5,1)/100,0.025),1)))</f>
        <v>1</v>
      </c>
      <c r="CA64" s="25" t="str">
        <f>IF(P64="Standard","No",MAX(0.01,IF(_xlfn.XLOOKUP(B64,'Base stats'!B:B,'Base stats'!N:N)=0,MROUND(BZ64*P64,0.05),MIN(1,MAX(0.025,MROUND(IF(OR(CC64="true",AND(BJ64="false",BO64="false")),POWER(10,4.15*LOG10(_xlfn.XLOOKUP(B64,'Base stats'!B:B,'Base stats'!C:C)*1000)^-0.73),POWER(10,3.47*LOG10(_xlfn.XLOOKUP(B64,'Base stats'!B:B,'Base stats'!C:C)*1000)^-0.96))*IF(_xlfn.XLOOKUP(B64,'Base stats'!B:B,'Base stats'!AI:AI)=1,0.5,1)/100,0.025))))))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299</v>
      </c>
      <c r="C65" s="28" t="s">
        <v>757</v>
      </c>
      <c r="D65" s="28" t="s">
        <v>882</v>
      </c>
      <c r="E65" s="28" t="s">
        <v>755</v>
      </c>
      <c r="F65" s="28" t="s">
        <v>685</v>
      </c>
      <c r="G65" s="28" t="s">
        <v>685</v>
      </c>
      <c r="H65" s="2">
        <f>MROUND((
  (IF(AND(_xlfn.XLOOKUP(B65,'Base stats'!B:B,'Base stats'!AJ:AJ)=0,BI65="None",_xlfn.XLOOKUP(_xlfn.XLOOKUP(B65,'Base stats'!B:B,'Base stats'!E:E),Groups!A:A,Groups!B:B)=0), (18 + BR65 * 2.7) * 0.5,
    IF(AND(_xlfn.XLOOKUP(B65,'Base stats'!B:B,'Base stats'!AJ:AJ)=0,OR(AO65&lt;0.55,AND(BI65="Intermediate",_xlfn.XLOOKUP(_xlfn.XLOOKUP(B65,'Base stats'!B:B,'Base stats'!E:E),Groups!A:A,Groups!B:B)&lt;2))), (18 + BR65 * 2.7),
      IF(OR(BI65="Advanced",_xlfn.XLOOKUP(B65,'Base stats'!B:B,'Base stats'!AJ:AJ)=1,_xlfn.XLOOKUP(_xlfn.XLOOKUP(B65,'Base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IF(_xlfn.XLOOKUP(_xlfn.XLOOKUP(B65,'Base stats'!B:B,'Base stats'!E:E),Groups!A:A,Groups!C:C)="Untamable",1,IF(_xlfn.XLOOKUP(B65,'Base stats'!B:B,'Base stats'!AJ:AJ)=1,0.99,MIN(MROUND((1-0.6282*EXP(-0.459*AO65))*_xlfn.XLOOKUP(_xlfn.XLOOKUP(B65,'Base stats'!B:B,'Base stats'!E:E),Groups!A:A,Groups!C:C)*IF(_xlfn.XLOOKUP(B65,'Base stats'!B:B,'Base stats'!O:O)=1,0.5,IF(_xlfn.XLOOKUP(B65,'Base stats'!B:B,'Base stats'!O:O)=2,0,1)),0.05),0.985)))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IF(_xlfn.XLOOKUP(_xlfn.XLOOKUP(B65,'Base stats'!B:B,'Base stats'!E:E),Groups!A:A,Groups!L:L)=1,MIN(MROUND(_xlfn.XLOOKUP(B65,'Animals CE'!B:B,'Animals CE'!Z:Z)/2+0.05,0.05),200%),"No")</f>
        <v>No</v>
      </c>
      <c r="O65" s="8" t="str">
        <f>IF(_xlfn.XLOOKUP(_xlfn.XLOOKUP(B65,'Base stats'!B:B,'Base stats'!E:E),Groups!A:A,Groups!L:L)=1,MIN(MROUND(_xlfn.XLOOKUP(B65,'Animals CE'!B:B,'Animals CE'!AA:AA)/2+0.05,0.05),200%),"No")</f>
        <v>No</v>
      </c>
      <c r="P65" s="2">
        <f>_xlfn.XLOOKUP(B65,'Base stats'!B:B,'Base stats'!R:R)</f>
        <v>0.8</v>
      </c>
      <c r="Q65" s="13">
        <f>MROUND((LOG10(_xlfn.XLOOKUP(B65,'Base stats'!B:B,'Base stats'!AP:AP))*(AO65^0.5)+(_xlfn.XLOOKUP(B65,'Base stats'!B:B,'Base stats'!AP:AP)/1000)^(2/3)+_xlfn.XLOOKUP(B65,'Base stats'!B:B,'Base stats'!AY:AY)/2)+0.5,0.5)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stats'!AQ:AQ))*(AO65^0.5)+(_xlfn.XLOOKUP(B65,'Base stats'!B:B,'Base stats'!AQ:AQ)/1000)^(2/3)+_xlfn.XLOOKUP(B65,'Base stats'!B:B,'Base stats'!AY:AY))+_xlfn.XLOOKUP(B65,'Base stats'!B:B,'Base stats'!AW:AW)+0.5,0.5))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stats'!AS:AS))*(AO65^0.5)+(_xlfn.XLOOKUP(B65,'Base stats'!B:B,'Base stats'!AS:AS)/1000)^(2/3)+_xlfn.XLOOKUP(B65,'Base stats'!B:B,'Base stats'!AX:AX))+0.5+IF(_xlfn.XLOOKUP(_xlfn.XLOOKUP(B65,'Base stats'!B:B,'Base stats'!E:E),Groups!A:A,Groups!U:U)&lt;&gt;3,_xlfn.XLOOKUP(B65,'Base stats'!B:B,'Base stats'!AY:AY),0),0.5))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stats'!AR:AR)="No","No",MROUND((LOG10(_xlfn.XLOOKUP(B65,'Base stats'!B:B,'Base stats'!AR:AR))*(AO65^0.75)+(_xlfn.XLOOKUP(B65,'Base stats'!B:B,'Base stats'!AR:AR)/1000)^(2/3)+_xlfn.XLOOKUP(B65,'Base stats'!B:B,'Base stats'!AV:AV)+_xlfn.XLOOKUP(B65,'Base stats'!B:B,'Base stats'!AY:AY))+0.5,0.5))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stats'!AQ:AQ))*(AO65^0.75)+(_xlfn.XLOOKUP(B65,'Base stats'!B:B,'Base stats'!AQ:AQ)/1000)^(2/3)+_xlfn.XLOOKUP(B65,'Base stats'!B:B,'Base stats'!AW:AW)+_xlfn.XLOOKUP(B65,'Base stats'!B:B,'Base stats'!AY:AY))+0.5,0.5))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1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IFERROR(IF(_xlfn.XLOOKUP(B65,'Base stats'!B:B,'Base stats'!F:F)="Lay eggs","Lay eggs",MIN(20,MAX(5.5,ROUND(((_xlfn.XLOOKUP(B65,'Base stats'!B:B,'Base stats'!F:F)-25)*(14.5/615) + 5.5)*2,0)/2))),"Cannot breed")</f>
        <v>Lay eggs</v>
      </c>
      <c r="AT65" s="8">
        <f>IF(OR(A65="Queen",A65="Larva",A65="Megachicken",A65="Megatardi",A65="Toxscorpion"),"No",IFERROR(MAX(IF(_xlfn.XLOOKUP(B65,'Base stats'!B:B,'Base stats'!G:G)&lt;0.5,0.2,0.3),MROUND(_xlfn.XLOOKUP(B65,'Base stats'!B:B,'Base stats'!G:G)/(365/60),0.2)),"Unknown"))</f>
        <v>0.4</v>
      </c>
      <c r="AU65" s="8">
        <f t="shared" si="0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_xlfn.XLOOKUP(B65,'Base stats'!B:B,'Base stats'!AF:AF)</f>
        <v>&lt;li&gt;Cassowary&lt;/li&gt;</v>
      </c>
      <c r="BB65" s="2" t="str">
        <f>_xlfn.XLOOKUP(B65,'Base stats'!B:B,'Base stats'!AE:AE)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stats'!Z:Z)=0),0,IF(OR(_xlfn.XLOOKUP(Animals!B65,'Base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stats'!AA:AA),0.005))</f>
        <v>0</v>
      </c>
      <c r="BE65" s="23">
        <f>MIN(1,MROUND(IF(AND(AO65&lt;0.5,_xlfn.XLOOKUP(B65,'Base stats'!B:B,'Base stats'!Z:Z)=0),0,IF(_xlfn.XLOOKUP(_xlfn.XLOOKUP(B65,'Base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stats'!AB:AB),0.005))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stats'!AL:AL)="Standard","No",MROUND((_xlfn.XLOOKUP(B65,'Base stats'!B:B,'Base stats'!AL:AL)/3.6)/I65,0.1))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stats'!AC:AC)&lt;&gt;"No",_xlfn.XLOOKUP(B65,'Base stats'!B:B,'Base stats'!AC:AC),"")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stats'!AC:AC)&lt;&gt;"No",_xlfn.XLOOKUP(B65,'Base stats'!B:B,'Base stats'!AC:AC),"")
  )
)</f>
        <v>No</v>
      </c>
      <c r="BQ65" s="25" t="str">
        <f>IF(
   AND(
      'Base stats'!AL65="Standard",_xlfn.XLOOKUP(_xlfn.XLOOKUP(B65,'Base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stats'!AT:AT) * 1.8) * 2) * 2.5 + 10 + I65 * 2,5)+IF(_xlfn.XLOOKUP(B65,'Base stats'!B:B,'Base stats'!AI:AI)=1,50,0)</f>
        <v>25</v>
      </c>
      <c r="BS65" s="8">
        <f t="shared" si="5"/>
        <v>0.2</v>
      </c>
      <c r="BT65" s="8" t="str">
        <f>_xlfn.XLOOKUP(B65,'Base stats'!B:B,'Base stats'!AD:AD)</f>
        <v>3~8</v>
      </c>
      <c r="BU65" s="2" t="str">
        <f>IF(AND(J65&lt;=0.95,OR(_xlfn.XLOOKUP(B65,'Base stats'!B:B,'Base stats'!AI:AI)=1,_xlfn.XLOOKUP(B65,'Base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stats'!AG:AG)=1,"true","false")</f>
        <v>false</v>
      </c>
      <c r="BW65" s="25" t="str">
        <f>IF(E65="BaseInsect","AnimalInsect",
IF(J65&gt;0.95,"AnimalExotic",
_xlfn.TEXTJOIN(", ",TRUE,
IF(OR(_xlfn.XLOOKUP(B65,'Base stats'!B:B,'Base stats'!AK:AK)=1,AND(_xlfn.XLOOKUP(B65,'Base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stats'!AI:AI)=1,AND(BI65&lt;&gt;"None",BR65&gt;=60),ISNUMBER(SEARCH("Attack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stats'!AH:AH)=1,"true","false")</f>
        <v>false</v>
      </c>
      <c r="BZ65" s="25">
        <f>IF(_xlfn.XLOOKUP(B65,'Base stats'!B:B,'Base stats'!N:N)=1,"No",MAX(0.01,MIN(MROUND(IF(OR(_xlfn.XLOOKUP(B65,'Base stats'!B:B,'Base stats'!AK:AK)=1,AND(BJ65="True",CC65="False")),POWER(10,3.47*LOG10(_xlfn.XLOOKUP(B65,'Base stats'!B:B,'Base stats'!C:C)*1000)^-0.96),POWER(10,4.15*LOG10(_xlfn.XLOOKUP(B65,'Base stats'!B:B,'Base stats'!C:C)*1000)^-0.73))*IF(OR(_xlfn.XLOOKUP(B65,'Base stats'!B:B,'Base stats'!AK:AK)=1,_xlfn.XLOOKUP(B65,'Base stats'!B:B,'Base stats'!AI:AI)=1),0.5,1)/100,0.025),1)))</f>
        <v>1</v>
      </c>
      <c r="CA65" s="25">
        <f>IF(P65="Standard","No",MAX(0.01,IF(_xlfn.XLOOKUP(B65,'Base stats'!B:B,'Base stats'!N:N)=0,MROUND(BZ65*P65,0.05),MIN(1,MAX(0.025,MROUND(IF(OR(CC65="true",AND(BJ65="false",BO65="false")),POWER(10,4.15*LOG10(_xlfn.XLOOKUP(B65,'Base stats'!B:B,'Base stats'!C:C)*1000)^-0.73),POWER(10,3.47*LOG10(_xlfn.XLOOKUP(B65,'Base stats'!B:B,'Base stats'!C:C)*1000)^-0.96))*IF(_xlfn.XLOOKUP(B65,'Base stats'!B:B,'Base stats'!AI:AI)=1,0.5,1)/100,0.025))))))</f>
        <v>0.8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231</v>
      </c>
      <c r="C66" s="28" t="s">
        <v>758</v>
      </c>
      <c r="D66" s="28" t="s">
        <v>882</v>
      </c>
      <c r="E66" s="28" t="s">
        <v>755</v>
      </c>
      <c r="F66" s="28" t="s">
        <v>685</v>
      </c>
      <c r="G66" s="28" t="s">
        <v>685</v>
      </c>
      <c r="H66" s="2">
        <f>MROUND((
  (IF(AND(_xlfn.XLOOKUP(B66,'Base stats'!B:B,'Base stats'!AJ:AJ)=0,BI66="None",_xlfn.XLOOKUP(_xlfn.XLOOKUP(B66,'Base stats'!B:B,'Base stats'!E:E),Groups!A:A,Groups!B:B)=0), (18 + BR66 * 2.7) * 0.5,
    IF(AND(_xlfn.XLOOKUP(B66,'Base stats'!B:B,'Base stats'!AJ:AJ)=0,OR(AO66&lt;0.55,AND(BI66="Intermediate",_xlfn.XLOOKUP(_xlfn.XLOOKUP(B66,'Base stats'!B:B,'Base stats'!E:E),Groups!A:A,Groups!B:B)&lt;2))), (18 + BR66 * 2.7),
      IF(OR(BI66="Advanced",_xlfn.XLOOKUP(B66,'Base stats'!B:B,'Base stats'!AJ:AJ)=1,_xlfn.XLOOKUP(_xlfn.XLOOKUP(B66,'Base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IF(_xlfn.XLOOKUP(_xlfn.XLOOKUP(B66,'Base stats'!B:B,'Base stats'!E:E),Groups!A:A,Groups!C:C)="Untamable",1,IF(_xlfn.XLOOKUP(B66,'Base stats'!B:B,'Base stats'!AJ:AJ)=1,0.99,MIN(MROUND((1-0.6282*EXP(-0.459*AO66))*_xlfn.XLOOKUP(_xlfn.XLOOKUP(B66,'Base stats'!B:B,'Base stats'!E:E),Groups!A:A,Groups!C:C)*IF(_xlfn.XLOOKUP(B66,'Base stats'!B:B,'Base stats'!O:O)=1,0.5,IF(_xlfn.XLOOKUP(B66,'Base stats'!B:B,'Base stats'!O:O)=2,0,1)),0.05),0.985)))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IF(_xlfn.XLOOKUP(_xlfn.XLOOKUP(B66,'Base stats'!B:B,'Base stats'!E:E),Groups!A:A,Groups!L:L)=1,MIN(MROUND(_xlfn.XLOOKUP(B66,'Animals CE'!B:B,'Animals CE'!Z:Z)/2+0.05,0.05),200%),"No")</f>
        <v>No</v>
      </c>
      <c r="O66" s="8" t="str">
        <f>IF(_xlfn.XLOOKUP(_xlfn.XLOOKUP(B66,'Base stats'!B:B,'Base stats'!E:E),Groups!A:A,Groups!L:L)=1,MIN(MROUND(_xlfn.XLOOKUP(B66,'Animals CE'!B:B,'Animals CE'!AA:AA)/2+0.05,0.05),200%),"No")</f>
        <v>No</v>
      </c>
      <c r="P66" s="2" t="str">
        <f>_xlfn.XLOOKUP(B66,'Base stats'!B:B,'Base stats'!R:R)</f>
        <v>Standard</v>
      </c>
      <c r="Q66" s="13">
        <f>MROUND((LOG10(_xlfn.XLOOKUP(B66,'Base stats'!B:B,'Base stats'!AP:AP))*(AO66^0.5)+(_xlfn.XLOOKUP(B66,'Base stats'!B:B,'Base stats'!AP:AP)/1000)^(2/3)+_xlfn.XLOOKUP(B66,'Base stats'!B:B,'Base stats'!AY:AY)/2)+0.5,0.5)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stats'!AQ:AQ))*(AO66^0.5)+(_xlfn.XLOOKUP(B66,'Base stats'!B:B,'Base stats'!AQ:AQ)/1000)^(2/3)+_xlfn.XLOOKUP(B66,'Base stats'!B:B,'Base stats'!AY:AY))+_xlfn.XLOOKUP(B66,'Base stats'!B:B,'Base stats'!AW:AW)+0.5,0.5))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stats'!AS:AS))*(AO66^0.5)+(_xlfn.XLOOKUP(B66,'Base stats'!B:B,'Base stats'!AS:AS)/1000)^(2/3)+_xlfn.XLOOKUP(B66,'Base stats'!B:B,'Base stats'!AX:AX))+0.5+IF(_xlfn.XLOOKUP(_xlfn.XLOOKUP(B66,'Base stats'!B:B,'Base stats'!E:E),Groups!A:A,Groups!U:U)&lt;&gt;3,_xlfn.XLOOKUP(B66,'Base stats'!B:B,'Base stats'!AY:AY),0),0.5))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stats'!AR:AR)="No","No",MROUND((LOG10(_xlfn.XLOOKUP(B66,'Base stats'!B:B,'Base stats'!AR:AR))*(AO66^0.75)+(_xlfn.XLOOKUP(B66,'Base stats'!B:B,'Base stats'!AR:AR)/1000)^(2/3)+_xlfn.XLOOKUP(B66,'Base stats'!B:B,'Base stats'!AV:AV)+_xlfn.XLOOKUP(B66,'Base stats'!B:B,'Base stats'!AY:AY))+0.5,0.5))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stats'!AQ:AQ))*(AO66^0.75)+(_xlfn.XLOOKUP(B66,'Base stats'!B:B,'Base stats'!AQ:AQ)/1000)^(2/3)+_xlfn.XLOOKUP(B66,'Base stats'!B:B,'Base stats'!AW:AW)+_xlfn.XLOOKUP(B66,'Base stats'!B:B,'Base stats'!AY:AY))+0.5,0.5))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1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IFERROR(IF(_xlfn.XLOOKUP(B66,'Base stats'!B:B,'Base stats'!F:F)="Lay eggs","Lay eggs",MIN(20,MAX(5.5,ROUND(((_xlfn.XLOOKUP(B66,'Base stats'!B:B,'Base stats'!F:F)-25)*(14.5/615) + 5.5)*2,0)/2))),"Cannot breed")</f>
        <v>Lay eggs</v>
      </c>
      <c r="AT66" s="8">
        <f>IF(OR(A66="Queen",A66="Larva",A66="Megachicken",A66="Megatardi",A66="Toxscorpion"),"No",IFERROR(MAX(IF(_xlfn.XLOOKUP(B66,'Base stats'!B:B,'Base stats'!G:G)&lt;0.5,0.2,0.3),MROUND(_xlfn.XLOOKUP(B66,'Base stats'!B:B,'Base stats'!G:G)/(365/60),0.2)),"Unknown"))</f>
        <v>0.4</v>
      </c>
      <c r="AU66" s="8">
        <f t="shared" ref="AU66:AU129" si="7">IF(AT66="No","No",IFERROR(MROUND(AT66/2,0.05),"Unknown"))</f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_xlfn.XLOOKUP(B66,'Base stats'!B:B,'Base stats'!AF:AF)</f>
        <v>&lt;li&gt;Cassowary&lt;/li&gt;</v>
      </c>
      <c r="BB66" s="2" t="str">
        <f>_xlfn.XLOOKUP(B66,'Base stats'!B:B,'Base stats'!AE:AE)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stats'!Z:Z)=0),0,IF(OR(_xlfn.XLOOKUP(Animals!B66,'Base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stats'!AA:AA),0.005))</f>
        <v>0</v>
      </c>
      <c r="BE66" s="23">
        <f>MIN(1,MROUND(IF(AND(AO66&lt;0.5,_xlfn.XLOOKUP(B66,'Base stats'!B:B,'Base stats'!Z:Z)=0),0,IF(_xlfn.XLOOKUP(_xlfn.XLOOKUP(B66,'Base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stats'!AB:AB),0.005))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stats'!AL:AL)="Standard","No",MROUND((_xlfn.XLOOKUP(B66,'Base stats'!B:B,'Base stats'!AL:AL)/3.6)/I66,0.1))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stats'!AC:AC)&lt;&gt;"No",_xlfn.XLOOKUP(B66,'Base stats'!B:B,'Base stats'!AC:AC),"")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stats'!AC:AC)&lt;&gt;"No",_xlfn.XLOOKUP(B66,'Base stats'!B:B,'Base stats'!AC:AC),"")
  )
)</f>
        <v>No</v>
      </c>
      <c r="BQ66" s="25" t="str">
        <f>IF(
   AND(
      'Base stats'!AL66="Standard",_xlfn.XLOOKUP(_xlfn.XLOOKUP(B66,'Base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stats'!AT:AT) * 1.8) * 2) * 2.5 + 10 + I66 * 2,5)+IF(_xlfn.XLOOKUP(B66,'Base stats'!B:B,'Base stats'!AI:AI)=1,50,0)</f>
        <v>25</v>
      </c>
      <c r="BS66" s="8">
        <f t="shared" si="5"/>
        <v>0.25</v>
      </c>
      <c r="BT66" s="8" t="str">
        <f>_xlfn.XLOOKUP(B66,'Base stats'!B:B,'Base stats'!AD:AD)</f>
        <v>3~8</v>
      </c>
      <c r="BU66" s="2" t="str">
        <f>IF(AND(J66&lt;=0.95,OR(_xlfn.XLOOKUP(B66,'Base stats'!B:B,'Base stats'!AI:AI)=1,_xlfn.XLOOKUP(B66,'Base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stats'!AG:AG)=1,"true","false")</f>
        <v>false</v>
      </c>
      <c r="BW66" s="25" t="str">
        <f>IF(E66="BaseInsect","AnimalInsect",
IF(J66&gt;0.95,"AnimalExotic",
_xlfn.TEXTJOIN(", ",TRUE,
IF(OR(_xlfn.XLOOKUP(B66,'Base stats'!B:B,'Base stats'!AK:AK)=1,AND(_xlfn.XLOOKUP(B66,'Base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stats'!AI:AI)=1,AND(BI66&lt;&gt;"None",BR66&gt;=60),ISNUMBER(SEARCH("Attack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stats'!AH:AH)=1,"true","false")</f>
        <v>false</v>
      </c>
      <c r="BZ66" s="25">
        <f>IF(_xlfn.XLOOKUP(B66,'Base stats'!B:B,'Base stats'!N:N)=1,"No",MAX(0.01,MIN(MROUND(IF(OR(_xlfn.XLOOKUP(B66,'Base stats'!B:B,'Base stats'!AK:AK)=1,AND(BJ66="True",CC66="False")),POWER(10,3.47*LOG10(_xlfn.XLOOKUP(B66,'Base stats'!B:B,'Base stats'!C:C)*1000)^-0.96),POWER(10,4.15*LOG10(_xlfn.XLOOKUP(B66,'Base stats'!B:B,'Base stats'!C:C)*1000)^-0.73))*IF(OR(_xlfn.XLOOKUP(B66,'Base stats'!B:B,'Base stats'!AK:AK)=1,_xlfn.XLOOKUP(B66,'Base stats'!B:B,'Base stats'!AI:AI)=1),0.5,1)/100,0.025),1)))</f>
        <v>0.72500000000000009</v>
      </c>
      <c r="CA66" s="25" t="str">
        <f>IF(P66="Standard","No",MAX(0.01,IF(_xlfn.XLOOKUP(B66,'Base stats'!B:B,'Base stats'!N:N)=0,MROUND(BZ66*P66,0.05),MIN(1,MAX(0.025,MROUND(IF(OR(CC66="true",AND(BJ66="false",BO66="false")),POWER(10,4.15*LOG10(_xlfn.XLOOKUP(B66,'Base stats'!B:B,'Base stats'!C:C)*1000)^-0.73),POWER(10,3.47*LOG10(_xlfn.XLOOKUP(B66,'Base stats'!B:B,'Base stats'!C:C)*1000)^-0.96))*IF(_xlfn.XLOOKUP(B66,'Base stats'!B:B,'Base stats'!AI:AI)=1,0.5,1)/100,0.025))))))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224</v>
      </c>
      <c r="C67" s="28" t="s">
        <v>759</v>
      </c>
      <c r="D67" s="28" t="s">
        <v>882</v>
      </c>
      <c r="E67" s="28" t="s">
        <v>755</v>
      </c>
      <c r="F67" s="28" t="s">
        <v>685</v>
      </c>
      <c r="G67" s="28" t="s">
        <v>685</v>
      </c>
      <c r="H67" s="2">
        <f>MROUND((
  (IF(AND(_xlfn.XLOOKUP(B67,'Base stats'!B:B,'Base stats'!AJ:AJ)=0,BI67="None",_xlfn.XLOOKUP(_xlfn.XLOOKUP(B67,'Base stats'!B:B,'Base stats'!E:E),Groups!A:A,Groups!B:B)=0), (18 + BR67 * 2.7) * 0.5,
    IF(AND(_xlfn.XLOOKUP(B67,'Base stats'!B:B,'Base stats'!AJ:AJ)=0,OR(AO67&lt;0.55,AND(BI67="Intermediate",_xlfn.XLOOKUP(_xlfn.XLOOKUP(B67,'Base stats'!B:B,'Base stats'!E:E),Groups!A:A,Groups!B:B)&lt;2))), (18 + BR67 * 2.7),
      IF(OR(BI67="Advanced",_xlfn.XLOOKUP(B67,'Base stats'!B:B,'Base stats'!AJ:AJ)=1,_xlfn.XLOOKUP(_xlfn.XLOOKUP(B67,'Base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IF(_xlfn.XLOOKUP(_xlfn.XLOOKUP(B67,'Base stats'!B:B,'Base stats'!E:E),Groups!A:A,Groups!C:C)="Untamable",1,IF(_xlfn.XLOOKUP(B67,'Base stats'!B:B,'Base stats'!AJ:AJ)=1,0.99,MIN(MROUND((1-0.6282*EXP(-0.459*AO67))*_xlfn.XLOOKUP(_xlfn.XLOOKUP(B67,'Base stats'!B:B,'Base stats'!E:E),Groups!A:A,Groups!C:C)*IF(_xlfn.XLOOKUP(B67,'Base stats'!B:B,'Base stats'!O:O)=1,0.5,IF(_xlfn.XLOOKUP(B67,'Base stats'!B:B,'Base stats'!O:O)=2,0,1)),0.05),0.985)))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IF(_xlfn.XLOOKUP(_xlfn.XLOOKUP(B67,'Base stats'!B:B,'Base stats'!E:E),Groups!A:A,Groups!L:L)=1,MIN(MROUND(_xlfn.XLOOKUP(B67,'Animals CE'!B:B,'Animals CE'!Z:Z)/2+0.05,0.05),200%),"No")</f>
        <v>No</v>
      </c>
      <c r="O67" s="8" t="str">
        <f>IF(_xlfn.XLOOKUP(_xlfn.XLOOKUP(B67,'Base stats'!B:B,'Base stats'!E:E),Groups!A:A,Groups!L:L)=1,MIN(MROUND(_xlfn.XLOOKUP(B67,'Animals CE'!B:B,'Animals CE'!AA:AA)/2+0.05,0.05),200%),"No")</f>
        <v>No</v>
      </c>
      <c r="P67" s="2" t="str">
        <f>_xlfn.XLOOKUP(B67,'Base stats'!B:B,'Base stats'!R:R)</f>
        <v>Standard</v>
      </c>
      <c r="Q67" s="13">
        <f>MROUND((LOG10(_xlfn.XLOOKUP(B67,'Base stats'!B:B,'Base stats'!AP:AP))*(AO67^0.5)+(_xlfn.XLOOKUP(B67,'Base stats'!B:B,'Base stats'!AP:AP)/1000)^(2/3)+_xlfn.XLOOKUP(B67,'Base stats'!B:B,'Base stats'!AY:AY)/2)+0.5,0.5)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stats'!AQ:AQ))*(AO67^0.5)+(_xlfn.XLOOKUP(B67,'Base stats'!B:B,'Base stats'!AQ:AQ)/1000)^(2/3)+_xlfn.XLOOKUP(B67,'Base stats'!B:B,'Base stats'!AY:AY))+_xlfn.XLOOKUP(B67,'Base stats'!B:B,'Base stats'!AW:AW)+0.5,0.5))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stats'!AS:AS))*(AO67^0.5)+(_xlfn.XLOOKUP(B67,'Base stats'!B:B,'Base stats'!AS:AS)/1000)^(2/3)+_xlfn.XLOOKUP(B67,'Base stats'!B:B,'Base stats'!AX:AX))+0.5+IF(_xlfn.XLOOKUP(_xlfn.XLOOKUP(B67,'Base stats'!B:B,'Base stats'!E:E),Groups!A:A,Groups!U:U)&lt;&gt;3,_xlfn.XLOOKUP(B67,'Base stats'!B:B,'Base stats'!AY:AY),0),0.5))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stats'!AR:AR)="No","No",MROUND((LOG10(_xlfn.XLOOKUP(B67,'Base stats'!B:B,'Base stats'!AR:AR))*(AO67^0.75)+(_xlfn.XLOOKUP(B67,'Base stats'!B:B,'Base stats'!AR:AR)/1000)^(2/3)+_xlfn.XLOOKUP(B67,'Base stats'!B:B,'Base stats'!AV:AV)+_xlfn.XLOOKUP(B67,'Base stats'!B:B,'Base stats'!AY:AY))+0.5,0.5))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stats'!AQ:AQ))*(AO67^0.75)+(_xlfn.XLOOKUP(B67,'Base stats'!B:B,'Base stats'!AQ:AQ)/1000)^(2/3)+_xlfn.XLOOKUP(B67,'Base stats'!B:B,'Base stats'!AW:AW)+_xlfn.XLOOKUP(B67,'Base stats'!B:B,'Base stats'!AY:AY))+0.5,0.5))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8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IFERROR(IF(_xlfn.XLOOKUP(B67,'Base stats'!B:B,'Base stats'!F:F)="Lay eggs","Lay eggs",MIN(20,MAX(5.5,ROUND(((_xlfn.XLOOKUP(B67,'Base stats'!B:B,'Base stats'!F:F)-25)*(14.5/615) + 5.5)*2,0)/2))),"Cannot breed")</f>
        <v>Lay eggs</v>
      </c>
      <c r="AT67" s="8">
        <f>IF(OR(A67="Queen",A67="Larva",A67="Megachicken",A67="Megatardi",A67="Toxscorpion"),"No",IFERROR(MAX(IF(_xlfn.XLOOKUP(B67,'Base stats'!B:B,'Base stats'!G:G)&lt;0.5,0.2,0.3),MROUND(_xlfn.XLOOKUP(B67,'Base stats'!B:B,'Base stats'!G:G)/(365/60),0.2)),"Unknown"))</f>
        <v>0.3</v>
      </c>
      <c r="AU67" s="8">
        <f t="shared" si="7"/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_xlfn.XLOOKUP(B67,'Base stats'!B:B,'Base stats'!AF:AF)</f>
        <v>No</v>
      </c>
      <c r="BB67" s="2" t="str">
        <f>_xlfn.XLOOKUP(B67,'Base stats'!B:B,'Base stats'!AE:AE)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stats'!Z:Z)=0),0,IF(OR(_xlfn.XLOOKUP(Animals!B67,'Base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stats'!AA:AA),0.005))</f>
        <v>0</v>
      </c>
      <c r="BE67" s="23">
        <f>MIN(1,MROUND(IF(AND(AO67&lt;0.5,_xlfn.XLOOKUP(B67,'Base stats'!B:B,'Base stats'!Z:Z)=0),0,IF(_xlfn.XLOOKUP(_xlfn.XLOOKUP(B67,'Base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stats'!AB:AB),0.005))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8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stats'!AL:AL)="Standard","No",MROUND((_xlfn.XLOOKUP(B67,'Base stats'!B:B,'Base stats'!AL:AL)/3.6)/I67,0.1))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stats'!AC:AC)&lt;&gt;"No",_xlfn.XLOOKUP(B67,'Base stats'!B:B,'Base stats'!AC:AC),"")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stats'!AC:AC)&lt;&gt;"No",_xlfn.XLOOKUP(B67,'Base stats'!B:B,'Base stats'!AC:AC),"")
  )
)</f>
        <v>No</v>
      </c>
      <c r="BQ67" s="25" t="str">
        <f>IF(
   AND(
      'Base stats'!AL67="Standard",_xlfn.XLOOKUP(_xlfn.XLOOKUP(B67,'Base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stats'!AT:AT) * 1.8) * 2) * 2.5 + 10 + I67 * 2,5)+IF(_xlfn.XLOOKUP(B67,'Base stats'!B:B,'Base stats'!AI:AI)=1,50,0)</f>
        <v>20</v>
      </c>
      <c r="BS67" s="8">
        <f t="shared" ref="BS67:BS130" si="12">MROUND(AO67 * 0.2 + AQ67 * 0.8,0.05)</f>
        <v>0.2</v>
      </c>
      <c r="BT67" s="8" t="str">
        <f>_xlfn.XLOOKUP(B67,'Base stats'!B:B,'Base stats'!AD:AD)</f>
        <v>3~8</v>
      </c>
      <c r="BU67" s="2" t="str">
        <f>IF(AND(J67&lt;=0.95,OR(_xlfn.XLOOKUP(B67,'Base stats'!B:B,'Base stats'!AI:AI)=1,_xlfn.XLOOKUP(B67,'Base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stats'!AG:AG)=1,"true","false")</f>
        <v>false</v>
      </c>
      <c r="BW67" s="25" t="str">
        <f>IF(E67="BaseInsect","AnimalInsect",
IF(J67&gt;0.95,"AnimalExotic",
_xlfn.TEXTJOIN(", ",TRUE,
IF(OR(_xlfn.XLOOKUP(B67,'Base stats'!B:B,'Base stats'!AK:AK)=1,AND(_xlfn.XLOOKUP(B67,'Base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stats'!AI:AI)=1,AND(BI67&lt;&gt;"None",BR67&gt;=60),ISNUMBER(SEARCH("Attack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stats'!AH:AH)=1,"true","false")</f>
        <v>false</v>
      </c>
      <c r="BZ67" s="25">
        <f>IF(_xlfn.XLOOKUP(B67,'Base stats'!B:B,'Base stats'!N:N)=1,"No",MAX(0.01,MIN(MROUND(IF(OR(_xlfn.XLOOKUP(B67,'Base stats'!B:B,'Base stats'!AK:AK)=1,AND(BJ67="True",CC67="False")),POWER(10,3.47*LOG10(_xlfn.XLOOKUP(B67,'Base stats'!B:B,'Base stats'!C:C)*1000)^-0.96),POWER(10,4.15*LOG10(_xlfn.XLOOKUP(B67,'Base stats'!B:B,'Base stats'!C:C)*1000)^-0.73))*IF(OR(_xlfn.XLOOKUP(B67,'Base stats'!B:B,'Base stats'!AK:AK)=1,_xlfn.XLOOKUP(B67,'Base stats'!B:B,'Base stats'!AI:AI)=1),0.5,1)/100,0.025),1)))</f>
        <v>1</v>
      </c>
      <c r="CA67" s="25" t="str">
        <f>IF(P67="Standard","No",MAX(0.01,IF(_xlfn.XLOOKUP(B67,'Base stats'!B:B,'Base stats'!N:N)=0,MROUND(BZ67*P67,0.05),MIN(1,MAX(0.025,MROUND(IF(OR(CC67="true",AND(BJ67="false",BO67="false")),POWER(10,4.15*LOG10(_xlfn.XLOOKUP(B67,'Base stats'!B:B,'Base stats'!C:C)*1000)^-0.73),POWER(10,3.47*LOG10(_xlfn.XLOOKUP(B67,'Base stats'!B:B,'Base stats'!C:C)*1000)^-0.96))*IF(_xlfn.XLOOKUP(B67,'Base stats'!B:B,'Base stats'!AI:AI)=1,0.5,1)/100,0.025))))))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222</v>
      </c>
      <c r="C68" s="28" t="s">
        <v>760</v>
      </c>
      <c r="D68" s="28" t="s">
        <v>882</v>
      </c>
      <c r="E68" s="28" t="s">
        <v>687</v>
      </c>
      <c r="F68" s="28" t="s">
        <v>688</v>
      </c>
      <c r="G68" s="28" t="s">
        <v>685</v>
      </c>
      <c r="H68" s="2">
        <f>MROUND((
  (IF(AND(_xlfn.XLOOKUP(B68,'Base stats'!B:B,'Base stats'!AJ:AJ)=0,BI68="None",_xlfn.XLOOKUP(_xlfn.XLOOKUP(B68,'Base stats'!B:B,'Base stats'!E:E),Groups!A:A,Groups!B:B)=0), (18 + BR68 * 2.7) * 0.5,
    IF(AND(_xlfn.XLOOKUP(B68,'Base stats'!B:B,'Base stats'!AJ:AJ)=0,OR(AO68&lt;0.55,AND(BI68="Intermediate",_xlfn.XLOOKUP(_xlfn.XLOOKUP(B68,'Base stats'!B:B,'Base stats'!E:E),Groups!A:A,Groups!B:B)&lt;2))), (18 + BR68 * 2.7),
      IF(OR(BI68="Advanced",_xlfn.XLOOKUP(B68,'Base stats'!B:B,'Base stats'!AJ:AJ)=1,_xlfn.XLOOKUP(_xlfn.XLOOKUP(B68,'Base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IF(_xlfn.XLOOKUP(_xlfn.XLOOKUP(B68,'Base stats'!B:B,'Base stats'!E:E),Groups!A:A,Groups!C:C)="Untamable",1,IF(_xlfn.XLOOKUP(B68,'Base stats'!B:B,'Base stats'!AJ:AJ)=1,0.99,MIN(MROUND((1-0.6282*EXP(-0.459*AO68))*_xlfn.XLOOKUP(_xlfn.XLOOKUP(B68,'Base stats'!B:B,'Base stats'!E:E),Groups!A:A,Groups!C:C)*IF(_xlfn.XLOOKUP(B68,'Base stats'!B:B,'Base stats'!O:O)=1,0.5,IF(_xlfn.XLOOKUP(B68,'Base stats'!B:B,'Base stats'!O:O)=2,0,1)),0.05),0.985)))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IF(_xlfn.XLOOKUP(_xlfn.XLOOKUP(B68,'Base stats'!B:B,'Base stats'!E:E),Groups!A:A,Groups!L:L)=1,MIN(MROUND(_xlfn.XLOOKUP(B68,'Animals CE'!B:B,'Animals CE'!Z:Z)/2+0.05,0.05),200%),"No")</f>
        <v>No</v>
      </c>
      <c r="O68" s="8" t="str">
        <f>IF(_xlfn.XLOOKUP(_xlfn.XLOOKUP(B68,'Base stats'!B:B,'Base stats'!E:E),Groups!A:A,Groups!L:L)=1,MIN(MROUND(_xlfn.XLOOKUP(B68,'Animals CE'!B:B,'Animals CE'!AA:AA)/2+0.05,0.05),200%),"No")</f>
        <v>No</v>
      </c>
      <c r="P68" s="2" t="str">
        <f>_xlfn.XLOOKUP(B68,'Base stats'!B:B,'Base stats'!R:R)</f>
        <v>Standard</v>
      </c>
      <c r="Q68" s="13">
        <f>MROUND((LOG10(_xlfn.XLOOKUP(B68,'Base stats'!B:B,'Base stats'!AP:AP))*(AO68^0.5)+(_xlfn.XLOOKUP(B68,'Base stats'!B:B,'Base stats'!AP:AP)/1000)^(2/3)+_xlfn.XLOOKUP(B68,'Base stats'!B:B,'Base stats'!AY:AY)/2)+0.5,0.5)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stats'!AQ:AQ))*(AO68^0.5)+(_xlfn.XLOOKUP(B68,'Base stats'!B:B,'Base stats'!AQ:AQ)/1000)^(2/3)+_xlfn.XLOOKUP(B68,'Base stats'!B:B,'Base stats'!AY:AY))+_xlfn.XLOOKUP(B68,'Base stats'!B:B,'Base stats'!AW:AW)+0.5,0.5))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stats'!AS:AS))*(AO68^0.5)+(_xlfn.XLOOKUP(B68,'Base stats'!B:B,'Base stats'!AS:AS)/1000)^(2/3)+_xlfn.XLOOKUP(B68,'Base stats'!B:B,'Base stats'!AX:AX))+0.5+IF(_xlfn.XLOOKUP(_xlfn.XLOOKUP(B68,'Base stats'!B:B,'Base stats'!E:E),Groups!A:A,Groups!U:U)&lt;&gt;3,_xlfn.XLOOKUP(B68,'Base stats'!B:B,'Base stats'!AY:AY),0),0.5))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stats'!AR:AR)="No","No",MROUND((LOG10(_xlfn.XLOOKUP(B68,'Base stats'!B:B,'Base stats'!AR:AR))*(AO68^0.75)+(_xlfn.XLOOKUP(B68,'Base stats'!B:B,'Base stats'!AR:AR)/1000)^(2/3)+_xlfn.XLOOKUP(B68,'Base stats'!B:B,'Base stats'!AV:AV)+_xlfn.XLOOKUP(B68,'Base stats'!B:B,'Base stats'!AY:AY))+0.5,0.5))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stats'!AQ:AQ))*(AO68^0.75)+(_xlfn.XLOOKUP(B68,'Base stats'!B:B,'Base stats'!AQ:AQ)/1000)^(2/3)+_xlfn.XLOOKUP(B68,'Base stats'!B:B,'Base stats'!AW:AW)+_xlfn.XLOOKUP(B68,'Base stats'!B:B,'Base stats'!AY:AY))+0.5,0.5))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8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IFERROR(IF(_xlfn.XLOOKUP(B68,'Base stats'!B:B,'Base stats'!F:F)="Lay eggs","Lay eggs",MIN(20,MAX(5.5,ROUND(((_xlfn.XLOOKUP(B68,'Base stats'!B:B,'Base stats'!F:F)-25)*(14.5/615) + 5.5)*2,0)/2))),"Cannot breed")</f>
        <v>Lay eggs</v>
      </c>
      <c r="AT68" s="8">
        <f>IF(OR(A68="Queen",A68="Larva",A68="Megachicken",A68="Megatardi",A68="Toxscorpion"),"No",IFERROR(MAX(IF(_xlfn.XLOOKUP(B68,'Base stats'!B:B,'Base stats'!G:G)&lt;0.5,0.2,0.3),MROUND(_xlfn.XLOOKUP(B68,'Base stats'!B:B,'Base stats'!G:G)/(365/60),0.2)),"Unknown"))</f>
        <v>0.4</v>
      </c>
      <c r="AU68" s="8">
        <f t="shared" si="7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_xlfn.XLOOKUP(B68,'Base stats'!B:B,'Base stats'!AF:AF)</f>
        <v>&lt;li&gt;Cassowary&lt;/li&gt;</v>
      </c>
      <c r="BB68" s="2" t="str">
        <f>_xlfn.XLOOKUP(B68,'Base stats'!B:B,'Base stats'!AE:AE)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stats'!Z:Z)=0),0,IF(OR(_xlfn.XLOOKUP(Animals!B68,'Base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stats'!AA:AA),0.005))</f>
        <v>0</v>
      </c>
      <c r="BE68" s="23">
        <f>MIN(1,MROUND(IF(AND(AO68&lt;0.5,_xlfn.XLOOKUP(B68,'Base stats'!B:B,'Base stats'!Z:Z)=0),0,IF(_xlfn.XLOOKUP(_xlfn.XLOOKUP(B68,'Base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stats'!AB:AB),0.005))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stats'!AL:AL)="Standard","No",MROUND((_xlfn.XLOOKUP(B68,'Base stats'!B:B,'Base stats'!AL:AL)/3.6)/I68,0.1))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stats'!AC:AC)&lt;&gt;"No",_xlfn.XLOOKUP(B68,'Base stats'!B:B,'Base stats'!AC:AC),"")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stats'!AC:AC)&lt;&gt;"No",_xlfn.XLOOKUP(B68,'Base stats'!B:B,'Base stats'!AC:AC),"")
  )
)</f>
        <v>No</v>
      </c>
      <c r="BQ68" s="25">
        <f>IF(
   AND(
      'Base stats'!AL68="Standard",_xlfn.XLOOKUP(_xlfn.XLOOKUP(B68,'Base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stats'!AT:AT) * 1.8) * 2) * 2.5 + 10 + I68 * 2,5)+IF(_xlfn.XLOOKUP(B68,'Base stats'!B:B,'Base stats'!AI:AI)=1,50,0)</f>
        <v>35</v>
      </c>
      <c r="BS68" s="8">
        <f t="shared" si="12"/>
        <v>0.4</v>
      </c>
      <c r="BT68" s="8" t="str">
        <f>_xlfn.XLOOKUP(B68,'Base stats'!B:B,'Base stats'!AD:AD)</f>
        <v>No</v>
      </c>
      <c r="BU68" s="2" t="str">
        <f>IF(AND(J68&lt;=0.95,OR(_xlfn.XLOOKUP(B68,'Base stats'!B:B,'Base stats'!AI:AI)=1,_xlfn.XLOOKUP(B68,'Base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stats'!AG:AG)=1,"true","false")</f>
        <v>false</v>
      </c>
      <c r="BW68" s="25" t="str">
        <f>IF(E68="BaseInsect","AnimalInsect",
IF(J68&gt;0.95,"AnimalExotic",
_xlfn.TEXTJOIN(", ",TRUE,
IF(OR(_xlfn.XLOOKUP(B68,'Base stats'!B:B,'Base stats'!AK:AK)=1,AND(_xlfn.XLOOKUP(B68,'Base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stats'!AI:AI)=1,AND(BI68&lt;&gt;"None",BR68&gt;=60),ISNUMBER(SEARCH("Attack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stats'!AH:AH)=1,"true","false")</f>
        <v>false</v>
      </c>
      <c r="BZ68" s="25">
        <f>IF(_xlfn.XLOOKUP(B68,'Base stats'!B:B,'Base stats'!N:N)=1,"No",MAX(0.01,MIN(MROUND(IF(OR(_xlfn.XLOOKUP(B68,'Base stats'!B:B,'Base stats'!AK:AK)=1,AND(BJ68="True",CC68="False")),POWER(10,3.47*LOG10(_xlfn.XLOOKUP(B68,'Base stats'!B:B,'Base stats'!C:C)*1000)^-0.96),POWER(10,4.15*LOG10(_xlfn.XLOOKUP(B68,'Base stats'!B:B,'Base stats'!C:C)*1000)^-0.73))*IF(OR(_xlfn.XLOOKUP(B68,'Base stats'!B:B,'Base stats'!AK:AK)=1,_xlfn.XLOOKUP(B68,'Base stats'!B:B,'Base stats'!AI:AI)=1),0.5,1)/100,0.025),1)))</f>
        <v>0.32500000000000001</v>
      </c>
      <c r="CA68" s="25" t="str">
        <f>IF(P68="Standard","No",MAX(0.01,IF(_xlfn.XLOOKUP(B68,'Base stats'!B:B,'Base stats'!N:N)=0,MROUND(BZ68*P68,0.05),MIN(1,MAX(0.025,MROUND(IF(OR(CC68="true",AND(BJ68="false",BO68="false")),POWER(10,4.15*LOG10(_xlfn.XLOOKUP(B68,'Base stats'!B:B,'Base stats'!C:C)*1000)^-0.73),POWER(10,3.47*LOG10(_xlfn.XLOOKUP(B68,'Base stats'!B:B,'Base stats'!C:C)*1000)^-0.96))*IF(_xlfn.XLOOKUP(B68,'Base stats'!B:B,'Base stats'!AI:AI)=1,0.5,1)/100,0.025))))))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228</v>
      </c>
      <c r="C69" s="28" t="s">
        <v>761</v>
      </c>
      <c r="D69" s="28" t="s">
        <v>882</v>
      </c>
      <c r="E69" s="28" t="s">
        <v>687</v>
      </c>
      <c r="F69" s="28" t="s">
        <v>688</v>
      </c>
      <c r="G69" s="28" t="s">
        <v>685</v>
      </c>
      <c r="H69" s="2">
        <f>MROUND((
  (IF(AND(_xlfn.XLOOKUP(B69,'Base stats'!B:B,'Base stats'!AJ:AJ)=0,BI69="None",_xlfn.XLOOKUP(_xlfn.XLOOKUP(B69,'Base stats'!B:B,'Base stats'!E:E),Groups!A:A,Groups!B:B)=0), (18 + BR69 * 2.7) * 0.5,
    IF(AND(_xlfn.XLOOKUP(B69,'Base stats'!B:B,'Base stats'!AJ:AJ)=0,OR(AO69&lt;0.55,AND(BI69="Intermediate",_xlfn.XLOOKUP(_xlfn.XLOOKUP(B69,'Base stats'!B:B,'Base stats'!E:E),Groups!A:A,Groups!B:B)&lt;2))), (18 + BR69 * 2.7),
      IF(OR(BI69="Advanced",_xlfn.XLOOKUP(B69,'Base stats'!B:B,'Base stats'!AJ:AJ)=1,_xlfn.XLOOKUP(_xlfn.XLOOKUP(B69,'Base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IF(_xlfn.XLOOKUP(_xlfn.XLOOKUP(B69,'Base stats'!B:B,'Base stats'!E:E),Groups!A:A,Groups!C:C)="Untamable",1,IF(_xlfn.XLOOKUP(B69,'Base stats'!B:B,'Base stats'!AJ:AJ)=1,0.99,MIN(MROUND((1-0.6282*EXP(-0.459*AO69))*_xlfn.XLOOKUP(_xlfn.XLOOKUP(B69,'Base stats'!B:B,'Base stats'!E:E),Groups!A:A,Groups!C:C)*IF(_xlfn.XLOOKUP(B69,'Base stats'!B:B,'Base stats'!O:O)=1,0.5,IF(_xlfn.XLOOKUP(B69,'Base stats'!B:B,'Base stats'!O:O)=2,0,1)),0.05),0.985)))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IF(_xlfn.XLOOKUP(_xlfn.XLOOKUP(B69,'Base stats'!B:B,'Base stats'!E:E),Groups!A:A,Groups!L:L)=1,MIN(MROUND(_xlfn.XLOOKUP(B69,'Animals CE'!B:B,'Animals CE'!Z:Z)/2+0.05,0.05),200%),"No")</f>
        <v>No</v>
      </c>
      <c r="O69" s="8" t="str">
        <f>IF(_xlfn.XLOOKUP(_xlfn.XLOOKUP(B69,'Base stats'!B:B,'Base stats'!E:E),Groups!A:A,Groups!L:L)=1,MIN(MROUND(_xlfn.XLOOKUP(B69,'Animals CE'!B:B,'Animals CE'!AA:AA)/2+0.05,0.05),200%),"No")</f>
        <v>No</v>
      </c>
      <c r="P69" s="2" t="str">
        <f>_xlfn.XLOOKUP(B69,'Base stats'!B:B,'Base stats'!R:R)</f>
        <v>Standard</v>
      </c>
      <c r="Q69" s="13">
        <f>MROUND((LOG10(_xlfn.XLOOKUP(B69,'Base stats'!B:B,'Base stats'!AP:AP))*(AO69^0.5)+(_xlfn.XLOOKUP(B69,'Base stats'!B:B,'Base stats'!AP:AP)/1000)^(2/3)+_xlfn.XLOOKUP(B69,'Base stats'!B:B,'Base stats'!AY:AY)/2)+0.5,0.5)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stats'!AQ:AQ))*(AO69^0.5)+(_xlfn.XLOOKUP(B69,'Base stats'!B:B,'Base stats'!AQ:AQ)/1000)^(2/3)+_xlfn.XLOOKUP(B69,'Base stats'!B:B,'Base stats'!AY:AY))+_xlfn.XLOOKUP(B69,'Base stats'!B:B,'Base stats'!AW:AW)+0.5,0.5))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stats'!AS:AS))*(AO69^0.5)+(_xlfn.XLOOKUP(B69,'Base stats'!B:B,'Base stats'!AS:AS)/1000)^(2/3)+_xlfn.XLOOKUP(B69,'Base stats'!B:B,'Base stats'!AX:AX))+0.5+IF(_xlfn.XLOOKUP(_xlfn.XLOOKUP(B69,'Base stats'!B:B,'Base stats'!E:E),Groups!A:A,Groups!U:U)&lt;&gt;3,_xlfn.XLOOKUP(B69,'Base stats'!B:B,'Base stats'!AY:AY),0),0.5))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stats'!AR:AR)="No","No",MROUND((LOG10(_xlfn.XLOOKUP(B69,'Base stats'!B:B,'Base stats'!AR:AR))*(AO69^0.75)+(_xlfn.XLOOKUP(B69,'Base stats'!B:B,'Base stats'!AR:AR)/1000)^(2/3)+_xlfn.XLOOKUP(B69,'Base stats'!B:B,'Base stats'!AV:AV)+_xlfn.XLOOKUP(B69,'Base stats'!B:B,'Base stats'!AY:AY))+0.5,0.5))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stats'!AQ:AQ))*(AO69^0.75)+(_xlfn.XLOOKUP(B69,'Base stats'!B:B,'Base stats'!AQ:AQ)/1000)^(2/3)+_xlfn.XLOOKUP(B69,'Base stats'!B:B,'Base stats'!AW:AW)+_xlfn.XLOOKUP(B69,'Base stats'!B:B,'Base stats'!AY:AY))+0.5,0.5))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8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IFERROR(IF(_xlfn.XLOOKUP(B69,'Base stats'!B:B,'Base stats'!F:F)="Lay eggs","Lay eggs",MIN(20,MAX(5.5,ROUND(((_xlfn.XLOOKUP(B69,'Base stats'!B:B,'Base stats'!F:F)-25)*(14.5/615) + 5.5)*2,0)/2))),"Cannot breed")</f>
        <v>Lay eggs</v>
      </c>
      <c r="AT69" s="8">
        <f>IF(OR(A69="Queen",A69="Larva",A69="Megachicken",A69="Megatardi",A69="Toxscorpion"),"No",IFERROR(MAX(IF(_xlfn.XLOOKUP(B69,'Base stats'!B:B,'Base stats'!G:G)&lt;0.5,0.2,0.3),MROUND(_xlfn.XLOOKUP(B69,'Base stats'!B:B,'Base stats'!G:G)/(365/60),0.2)),"Unknown"))</f>
        <v>0.4</v>
      </c>
      <c r="AU69" s="8">
        <f t="shared" si="7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_xlfn.XLOOKUP(B69,'Base stats'!B:B,'Base stats'!AF:AF)</f>
        <v>&lt;li&gt;Cassowary&lt;/li&gt;</v>
      </c>
      <c r="BB69" s="2" t="str">
        <f>_xlfn.XLOOKUP(B69,'Base stats'!B:B,'Base stats'!AE:AE)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stats'!Z:Z)=0),0,IF(OR(_xlfn.XLOOKUP(Animals!B69,'Base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stats'!AA:AA),0.005))</f>
        <v>0</v>
      </c>
      <c r="BE69" s="23">
        <f>MIN(1,MROUND(IF(AND(AO69&lt;0.5,_xlfn.XLOOKUP(B69,'Base stats'!B:B,'Base stats'!Z:Z)=0),0,IF(_xlfn.XLOOKUP(_xlfn.XLOOKUP(B69,'Base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stats'!AB:AB),0.005))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8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stats'!AL:AL)="Standard","No",MROUND((_xlfn.XLOOKUP(B69,'Base stats'!B:B,'Base stats'!AL:AL)/3.6)/I69,0.1))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stats'!AC:AC)&lt;&gt;"No",_xlfn.XLOOKUP(B69,'Base stats'!B:B,'Base stats'!AC:AC),"")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stats'!AC:AC)&lt;&gt;"No",_xlfn.XLOOKUP(B69,'Base stats'!B:B,'Base stats'!AC:AC),"")
  )
)</f>
        <v>No</v>
      </c>
      <c r="BQ69" s="25">
        <f>IF(
   AND(
      'Base stats'!AL69="Standard",_xlfn.XLOOKUP(_xlfn.XLOOKUP(B69,'Base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stats'!AT:AT) * 1.8) * 2) * 2.5 + 10 + I69 * 2,5)+IF(_xlfn.XLOOKUP(B69,'Base stats'!B:B,'Base stats'!AI:AI)=1,50,0)</f>
        <v>25</v>
      </c>
      <c r="BS69" s="8">
        <f t="shared" si="12"/>
        <v>0.30000000000000004</v>
      </c>
      <c r="BT69" s="8" t="str">
        <f>_xlfn.XLOOKUP(B69,'Base stats'!B:B,'Base stats'!AD:AD)</f>
        <v>No</v>
      </c>
      <c r="BU69" s="2" t="str">
        <f>IF(AND(J69&lt;=0.95,OR(_xlfn.XLOOKUP(B69,'Base stats'!B:B,'Base stats'!AI:AI)=1,_xlfn.XLOOKUP(B69,'Base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stats'!AG:AG)=1,"true","false")</f>
        <v>false</v>
      </c>
      <c r="BW69" s="25" t="str">
        <f>IF(E69="BaseInsect","AnimalInsect",
IF(J69&gt;0.95,"AnimalExotic",
_xlfn.TEXTJOIN(", ",TRUE,
IF(OR(_xlfn.XLOOKUP(B69,'Base stats'!B:B,'Base stats'!AK:AK)=1,AND(_xlfn.XLOOKUP(B69,'Base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stats'!AI:AI)=1,AND(BI69&lt;&gt;"None",BR69&gt;=60),ISNUMBER(SEARCH("Attack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stats'!AH:AH)=1,"true","false")</f>
        <v>false</v>
      </c>
      <c r="BZ69" s="25">
        <f>IF(_xlfn.XLOOKUP(B69,'Base stats'!B:B,'Base stats'!N:N)=1,"No",MAX(0.01,MIN(MROUND(IF(OR(_xlfn.XLOOKUP(B69,'Base stats'!B:B,'Base stats'!AK:AK)=1,AND(BJ69="True",CC69="False")),POWER(10,3.47*LOG10(_xlfn.XLOOKUP(B69,'Base stats'!B:B,'Base stats'!C:C)*1000)^-0.96),POWER(10,4.15*LOG10(_xlfn.XLOOKUP(B69,'Base stats'!B:B,'Base stats'!C:C)*1000)^-0.73))*IF(OR(_xlfn.XLOOKUP(B69,'Base stats'!B:B,'Base stats'!AK:AK)=1,_xlfn.XLOOKUP(B69,'Base stats'!B:B,'Base stats'!AI:AI)=1),0.5,1)/100,0.025),1)))</f>
        <v>0.60000000000000009</v>
      </c>
      <c r="CA69" s="25" t="str">
        <f>IF(P69="Standard","No",MAX(0.01,IF(_xlfn.XLOOKUP(B69,'Base stats'!B:B,'Base stats'!N:N)=0,MROUND(BZ69*P69,0.05),MIN(1,MAX(0.025,MROUND(IF(OR(CC69="true",AND(BJ69="false",BO69="false")),POWER(10,4.15*LOG10(_xlfn.XLOOKUP(B69,'Base stats'!B:B,'Base stats'!C:C)*1000)^-0.73),POWER(10,3.47*LOG10(_xlfn.XLOOKUP(B69,'Base stats'!B:B,'Base stats'!C:C)*1000)^-0.96))*IF(_xlfn.XLOOKUP(B69,'Base stats'!B:B,'Base stats'!AI:AI)=1,0.5,1)/100,0.025))))))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246</v>
      </c>
      <c r="C70" s="28" t="s">
        <v>762</v>
      </c>
      <c r="D70" s="28" t="s">
        <v>882</v>
      </c>
      <c r="E70" s="28" t="s">
        <v>687</v>
      </c>
      <c r="F70" s="28" t="s">
        <v>688</v>
      </c>
      <c r="G70" s="28" t="s">
        <v>685</v>
      </c>
      <c r="H70" s="2">
        <f>MROUND((
  (IF(AND(_xlfn.XLOOKUP(B70,'Base stats'!B:B,'Base stats'!AJ:AJ)=0,BI70="None",_xlfn.XLOOKUP(_xlfn.XLOOKUP(B70,'Base stats'!B:B,'Base stats'!E:E),Groups!A:A,Groups!B:B)=0), (18 + BR70 * 2.7) * 0.5,
    IF(AND(_xlfn.XLOOKUP(B70,'Base stats'!B:B,'Base stats'!AJ:AJ)=0,OR(AO70&lt;0.55,AND(BI70="Intermediate",_xlfn.XLOOKUP(_xlfn.XLOOKUP(B70,'Base stats'!B:B,'Base stats'!E:E),Groups!A:A,Groups!B:B)&lt;2))), (18 + BR70 * 2.7),
      IF(OR(BI70="Advanced",_xlfn.XLOOKUP(B70,'Base stats'!B:B,'Base stats'!AJ:AJ)=1,_xlfn.XLOOKUP(_xlfn.XLOOKUP(B70,'Base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IF(_xlfn.XLOOKUP(_xlfn.XLOOKUP(B70,'Base stats'!B:B,'Base stats'!E:E),Groups!A:A,Groups!C:C)="Untamable",1,IF(_xlfn.XLOOKUP(B70,'Base stats'!B:B,'Base stats'!AJ:AJ)=1,0.99,MIN(MROUND((1-0.6282*EXP(-0.459*AO70))*_xlfn.XLOOKUP(_xlfn.XLOOKUP(B70,'Base stats'!B:B,'Base stats'!E:E),Groups!A:A,Groups!C:C)*IF(_xlfn.XLOOKUP(B70,'Base stats'!B:B,'Base stats'!O:O)=1,0.5,IF(_xlfn.XLOOKUP(B70,'Base stats'!B:B,'Base stats'!O:O)=2,0,1)),0.05),0.985)))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IF(_xlfn.XLOOKUP(_xlfn.XLOOKUP(B70,'Base stats'!B:B,'Base stats'!E:E),Groups!A:A,Groups!L:L)=1,MIN(MROUND(_xlfn.XLOOKUP(B70,'Animals CE'!B:B,'Animals CE'!Z:Z)/2+0.05,0.05),200%),"No")</f>
        <v>No</v>
      </c>
      <c r="O70" s="8" t="str">
        <f>IF(_xlfn.XLOOKUP(_xlfn.XLOOKUP(B70,'Base stats'!B:B,'Base stats'!E:E),Groups!A:A,Groups!L:L)=1,MIN(MROUND(_xlfn.XLOOKUP(B70,'Animals CE'!B:B,'Animals CE'!AA:AA)/2+0.05,0.05),200%),"No")</f>
        <v>No</v>
      </c>
      <c r="P70" s="2" t="str">
        <f>_xlfn.XLOOKUP(B70,'Base stats'!B:B,'Base stats'!R:R)</f>
        <v>Standard</v>
      </c>
      <c r="Q70" s="13">
        <f>MROUND((LOG10(_xlfn.XLOOKUP(B70,'Base stats'!B:B,'Base stats'!AP:AP))*(AO70^0.5)+(_xlfn.XLOOKUP(B70,'Base stats'!B:B,'Base stats'!AP:AP)/1000)^(2/3)+_xlfn.XLOOKUP(B70,'Base stats'!B:B,'Base stats'!AY:AY)/2)+0.5,0.5)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stats'!AQ:AQ))*(AO70^0.5)+(_xlfn.XLOOKUP(B70,'Base stats'!B:B,'Base stats'!AQ:AQ)/1000)^(2/3)+_xlfn.XLOOKUP(B70,'Base stats'!B:B,'Base stats'!AY:AY))+_xlfn.XLOOKUP(B70,'Base stats'!B:B,'Base stats'!AW:AW)+0.5,0.5))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stats'!AS:AS))*(AO70^0.5)+(_xlfn.XLOOKUP(B70,'Base stats'!B:B,'Base stats'!AS:AS)/1000)^(2/3)+_xlfn.XLOOKUP(B70,'Base stats'!B:B,'Base stats'!AX:AX))+0.5+IF(_xlfn.XLOOKUP(_xlfn.XLOOKUP(B70,'Base stats'!B:B,'Base stats'!E:E),Groups!A:A,Groups!U:U)&lt;&gt;3,_xlfn.XLOOKUP(B70,'Base stats'!B:B,'Base stats'!AY:AY),0),0.5))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stats'!AR:AR)="No","No",MROUND((LOG10(_xlfn.XLOOKUP(B70,'Base stats'!B:B,'Base stats'!AR:AR))*(AO70^0.75)+(_xlfn.XLOOKUP(B70,'Base stats'!B:B,'Base stats'!AR:AR)/1000)^(2/3)+_xlfn.XLOOKUP(B70,'Base stats'!B:B,'Base stats'!AV:AV)+_xlfn.XLOOKUP(B70,'Base stats'!B:B,'Base stats'!AY:AY))+0.5,0.5))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stats'!AQ:AQ))*(AO70^0.75)+(_xlfn.XLOOKUP(B70,'Base stats'!B:B,'Base stats'!AQ:AQ)/1000)^(2/3)+_xlfn.XLOOKUP(B70,'Base stats'!B:B,'Base stats'!AW:AW)+_xlfn.XLOOKUP(B70,'Base stats'!B:B,'Base stats'!AY:AY))+0.5,0.5))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8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IFERROR(IF(_xlfn.XLOOKUP(B70,'Base stats'!B:B,'Base stats'!F:F)="Lay eggs","Lay eggs",MIN(20,MAX(5.5,ROUND(((_xlfn.XLOOKUP(B70,'Base stats'!B:B,'Base stats'!F:F)-25)*(14.5/615) + 5.5)*2,0)/2))),"Cannot breed")</f>
        <v>Lay eggs</v>
      </c>
      <c r="AT70" s="8">
        <f>IF(OR(A70="Queen",A70="Larva",A70="Megachicken",A70="Megatardi",A70="Toxscorpion"),"No",IFERROR(MAX(IF(_xlfn.XLOOKUP(B70,'Base stats'!B:B,'Base stats'!G:G)&lt;0.5,0.2,0.3),MROUND(_xlfn.XLOOKUP(B70,'Base stats'!B:B,'Base stats'!G:G)/(365/60),0.2)),"Unknown"))</f>
        <v>0.8</v>
      </c>
      <c r="AU70" s="8">
        <f t="shared" si="7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_xlfn.XLOOKUP(B70,'Base stats'!B:B,'Base stats'!AF:AF)</f>
        <v>&lt;li&gt;Cassowary&lt;/li&gt;</v>
      </c>
      <c r="BB70" s="2" t="str">
        <f>_xlfn.XLOOKUP(B70,'Base stats'!B:B,'Base stats'!AE:AE)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stats'!Z:Z)=0),0,IF(OR(_xlfn.XLOOKUP(Animals!B70,'Base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stats'!AA:AA),0.005))</f>
        <v>0</v>
      </c>
      <c r="BE70" s="23">
        <f>MIN(1,MROUND(IF(AND(AO70&lt;0.5,_xlfn.XLOOKUP(B70,'Base stats'!B:B,'Base stats'!Z:Z)=0),0,IF(_xlfn.XLOOKUP(_xlfn.XLOOKUP(B70,'Base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stats'!AB:AB),0.005))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8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stats'!AL:AL)="Standard","No",MROUND((_xlfn.XLOOKUP(B70,'Base stats'!B:B,'Base stats'!AL:AL)/3.6)/I70,0.1))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stats'!AC:AC)&lt;&gt;"No",_xlfn.XLOOKUP(B70,'Base stats'!B:B,'Base stats'!AC:AC),"")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stats'!AC:AC)&lt;&gt;"No",_xlfn.XLOOKUP(B70,'Base stats'!B:B,'Base stats'!AC:AC),"")
  )
)</f>
        <v>No</v>
      </c>
      <c r="BQ70" s="25">
        <f>IF(
   AND(
      'Base stats'!AL70="Standard",_xlfn.XLOOKUP(_xlfn.XLOOKUP(B70,'Base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stats'!AT:AT) * 1.8) * 2) * 2.5 + 10 + I70 * 2,5)+IF(_xlfn.XLOOKUP(B70,'Base stats'!B:B,'Base stats'!AI:AI)=1,50,0)</f>
        <v>30</v>
      </c>
      <c r="BS70" s="8">
        <f t="shared" si="12"/>
        <v>0.35000000000000003</v>
      </c>
      <c r="BT70" s="8" t="str">
        <f>_xlfn.XLOOKUP(B70,'Base stats'!B:B,'Base stats'!AD:AD)</f>
        <v>5~15</v>
      </c>
      <c r="BU70" s="2" t="str">
        <f>IF(AND(J70&lt;=0.95,OR(_xlfn.XLOOKUP(B70,'Base stats'!B:B,'Base stats'!AI:AI)=1,_xlfn.XLOOKUP(B70,'Base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stats'!AG:AG)=1,"true","false")</f>
        <v>false</v>
      </c>
      <c r="BW70" s="25" t="str">
        <f>IF(E70="BaseInsect","AnimalInsect",
IF(J70&gt;0.95,"AnimalExotic",
_xlfn.TEXTJOIN(", ",TRUE,
IF(OR(_xlfn.XLOOKUP(B70,'Base stats'!B:B,'Base stats'!AK:AK)=1,AND(_xlfn.XLOOKUP(B70,'Base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stats'!AI:AI)=1,AND(BI70&lt;&gt;"None",BR70&gt;=60),ISNUMBER(SEARCH("Attack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stats'!AH:AH)=1,"true","false")</f>
        <v>false</v>
      </c>
      <c r="BZ70" s="25">
        <f>IF(_xlfn.XLOOKUP(B70,'Base stats'!B:B,'Base stats'!N:N)=1,"No",MAX(0.01,MIN(MROUND(IF(OR(_xlfn.XLOOKUP(B70,'Base stats'!B:B,'Base stats'!AK:AK)=1,AND(BJ70="True",CC70="False")),POWER(10,3.47*LOG10(_xlfn.XLOOKUP(B70,'Base stats'!B:B,'Base stats'!C:C)*1000)^-0.96),POWER(10,4.15*LOG10(_xlfn.XLOOKUP(B70,'Base stats'!B:B,'Base stats'!C:C)*1000)^-0.73))*IF(OR(_xlfn.XLOOKUP(B70,'Base stats'!B:B,'Base stats'!AK:AK)=1,_xlfn.XLOOKUP(B70,'Base stats'!B:B,'Base stats'!AI:AI)=1),0.5,1)/100,0.025),1)))</f>
        <v>0.45</v>
      </c>
      <c r="CA70" s="25" t="str">
        <f>IF(P70="Standard","No",MAX(0.01,IF(_xlfn.XLOOKUP(B70,'Base stats'!B:B,'Base stats'!N:N)=0,MROUND(BZ70*P70,0.05),MIN(1,MAX(0.025,MROUND(IF(OR(CC70="true",AND(BJ70="false",BO70="false")),POWER(10,4.15*LOG10(_xlfn.XLOOKUP(B70,'Base stats'!B:B,'Base stats'!C:C)*1000)^-0.73),POWER(10,3.47*LOG10(_xlfn.XLOOKUP(B70,'Base stats'!B:B,'Base stats'!C:C)*1000)^-0.96))*IF(_xlfn.XLOOKUP(B70,'Base stats'!B:B,'Base stats'!AI:AI)=1,0.5,1)/100,0.025))))))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188</v>
      </c>
      <c r="C71" s="28" t="s">
        <v>763</v>
      </c>
      <c r="D71" s="28" t="s">
        <v>882</v>
      </c>
      <c r="E71" s="28" t="s">
        <v>687</v>
      </c>
      <c r="F71" s="28" t="s">
        <v>688</v>
      </c>
      <c r="G71" s="28" t="s">
        <v>685</v>
      </c>
      <c r="H71" s="2">
        <f>MROUND((
  (IF(AND(_xlfn.XLOOKUP(B71,'Base stats'!B:B,'Base stats'!AJ:AJ)=0,BI71="None",_xlfn.XLOOKUP(_xlfn.XLOOKUP(B71,'Base stats'!B:B,'Base stats'!E:E),Groups!A:A,Groups!B:B)=0), (18 + BR71 * 2.7) * 0.5,
    IF(AND(_xlfn.XLOOKUP(B71,'Base stats'!B:B,'Base stats'!AJ:AJ)=0,OR(AO71&lt;0.55,AND(BI71="Intermediate",_xlfn.XLOOKUP(_xlfn.XLOOKUP(B71,'Base stats'!B:B,'Base stats'!E:E),Groups!A:A,Groups!B:B)&lt;2))), (18 + BR71 * 2.7),
      IF(OR(BI71="Advanced",_xlfn.XLOOKUP(B71,'Base stats'!B:B,'Base stats'!AJ:AJ)=1,_xlfn.XLOOKUP(_xlfn.XLOOKUP(B71,'Base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IF(_xlfn.XLOOKUP(_xlfn.XLOOKUP(B71,'Base stats'!B:B,'Base stats'!E:E),Groups!A:A,Groups!C:C)="Untamable",1,IF(_xlfn.XLOOKUP(B71,'Base stats'!B:B,'Base stats'!AJ:AJ)=1,0.99,MIN(MROUND((1-0.6282*EXP(-0.459*AO71))*_xlfn.XLOOKUP(_xlfn.XLOOKUP(B71,'Base stats'!B:B,'Base stats'!E:E),Groups!A:A,Groups!C:C)*IF(_xlfn.XLOOKUP(B71,'Base stats'!B:B,'Base stats'!O:O)=1,0.5,IF(_xlfn.XLOOKUP(B71,'Base stats'!B:B,'Base stats'!O:O)=2,0,1)),0.05),0.985)))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IF(_xlfn.XLOOKUP(_xlfn.XLOOKUP(B71,'Base stats'!B:B,'Base stats'!E:E),Groups!A:A,Groups!L:L)=1,MIN(MROUND(_xlfn.XLOOKUP(B71,'Animals CE'!B:B,'Animals CE'!Z:Z)/2+0.05,0.05),200%),"No")</f>
        <v>No</v>
      </c>
      <c r="O71" s="8" t="str">
        <f>IF(_xlfn.XLOOKUP(_xlfn.XLOOKUP(B71,'Base stats'!B:B,'Base stats'!E:E),Groups!A:A,Groups!L:L)=1,MIN(MROUND(_xlfn.XLOOKUP(B71,'Animals CE'!B:B,'Animals CE'!AA:AA)/2+0.05,0.05),200%),"No")</f>
        <v>No</v>
      </c>
      <c r="P71" s="2" t="str">
        <f>_xlfn.XLOOKUP(B71,'Base stats'!B:B,'Base stats'!R:R)</f>
        <v>Standard</v>
      </c>
      <c r="Q71" s="13">
        <f>MROUND((LOG10(_xlfn.XLOOKUP(B71,'Base stats'!B:B,'Base stats'!AP:AP))*(AO71^0.5)+(_xlfn.XLOOKUP(B71,'Base stats'!B:B,'Base stats'!AP:AP)/1000)^(2/3)+_xlfn.XLOOKUP(B71,'Base stats'!B:B,'Base stats'!AY:AY)/2)+0.5,0.5)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stats'!AQ:AQ))*(AO71^0.5)+(_xlfn.XLOOKUP(B71,'Base stats'!B:B,'Base stats'!AQ:AQ)/1000)^(2/3)+_xlfn.XLOOKUP(B71,'Base stats'!B:B,'Base stats'!AY:AY))+_xlfn.XLOOKUP(B71,'Base stats'!B:B,'Base stats'!AW:AW)+0.5,0.5))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stats'!AS:AS))*(AO71^0.5)+(_xlfn.XLOOKUP(B71,'Base stats'!B:B,'Base stats'!AS:AS)/1000)^(2/3)+_xlfn.XLOOKUP(B71,'Base stats'!B:B,'Base stats'!AX:AX))+0.5+IF(_xlfn.XLOOKUP(_xlfn.XLOOKUP(B71,'Base stats'!B:B,'Base stats'!E:E),Groups!A:A,Groups!U:U)&lt;&gt;3,_xlfn.XLOOKUP(B71,'Base stats'!B:B,'Base stats'!AY:AY),0),0.5))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stats'!AR:AR)="No","No",MROUND((LOG10(_xlfn.XLOOKUP(B71,'Base stats'!B:B,'Base stats'!AR:AR))*(AO71^0.75)+(_xlfn.XLOOKUP(B71,'Base stats'!B:B,'Base stats'!AR:AR)/1000)^(2/3)+_xlfn.XLOOKUP(B71,'Base stats'!B:B,'Base stats'!AV:AV)+_xlfn.XLOOKUP(B71,'Base stats'!B:B,'Base stats'!AY:AY))+0.5,0.5))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stats'!AQ:AQ))*(AO71^0.75)+(_xlfn.XLOOKUP(B71,'Base stats'!B:B,'Base stats'!AQ:AQ)/1000)^(2/3)+_xlfn.XLOOKUP(B71,'Base stats'!B:B,'Base stats'!AW:AW)+_xlfn.XLOOKUP(B71,'Base stats'!B:B,'Base stats'!AY:AY))+0.5,0.5))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8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IFERROR(IF(_xlfn.XLOOKUP(B71,'Base stats'!B:B,'Base stats'!F:F)="Lay eggs","Lay eggs",MIN(20,MAX(5.5,ROUND(((_xlfn.XLOOKUP(B71,'Base stats'!B:B,'Base stats'!F:F)-25)*(14.5/615) + 5.5)*2,0)/2))),"Cannot breed")</f>
        <v>Lay eggs</v>
      </c>
      <c r="AT71" s="8">
        <f>IF(OR(A71="Queen",A71="Larva",A71="Megachicken",A71="Megatardi",A71="Toxscorpion"),"No",IFERROR(MAX(IF(_xlfn.XLOOKUP(B71,'Base stats'!B:B,'Base stats'!G:G)&lt;0.5,0.2,0.3),MROUND(_xlfn.XLOOKUP(B71,'Base stats'!B:B,'Base stats'!G:G)/(365/60),0.2)),"Unknown"))</f>
        <v>0.8</v>
      </c>
      <c r="AU71" s="8">
        <f t="shared" si="7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_xlfn.XLOOKUP(B71,'Base stats'!B:B,'Base stats'!AF:AF)</f>
        <v>&lt;li&gt;Cassowary&lt;/li&gt;</v>
      </c>
      <c r="BB71" s="2" t="str">
        <f>_xlfn.XLOOKUP(B71,'Base stats'!B:B,'Base stats'!AE:AE)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stats'!Z:Z)=0),0,IF(OR(_xlfn.XLOOKUP(Animals!B71,'Base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stats'!AA:AA),0.005))</f>
        <v>0</v>
      </c>
      <c r="BE71" s="23">
        <f>MIN(1,MROUND(IF(AND(AO71&lt;0.5,_xlfn.XLOOKUP(B71,'Base stats'!B:B,'Base stats'!Z:Z)=0),0,IF(_xlfn.XLOOKUP(_xlfn.XLOOKUP(B71,'Base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stats'!AB:AB),0.005))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stats'!AL:AL)="Standard","No",MROUND((_xlfn.XLOOKUP(B71,'Base stats'!B:B,'Base stats'!AL:AL)/3.6)/I71,0.1))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stats'!AC:AC)&lt;&gt;"No",_xlfn.XLOOKUP(B71,'Base stats'!B:B,'Base stats'!AC:AC),"")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stats'!AC:AC)&lt;&gt;"No",_xlfn.XLOOKUP(B71,'Base stats'!B:B,'Base stats'!AC:AC),"")
  )
)</f>
        <v>No</v>
      </c>
      <c r="BQ71" s="25">
        <f>IF(
   AND(
      'Base stats'!AL71="Standard",_xlfn.XLOOKUP(_xlfn.XLOOKUP(B71,'Base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stats'!AT:AT) * 1.8) * 2) * 2.5 + 10 + I71 * 2,5)+IF(_xlfn.XLOOKUP(B71,'Base stats'!B:B,'Base stats'!AI:AI)=1,50,0)</f>
        <v>45</v>
      </c>
      <c r="BS71" s="8">
        <f t="shared" si="12"/>
        <v>0.60000000000000009</v>
      </c>
      <c r="BT71" s="8" t="str">
        <f>_xlfn.XLOOKUP(B71,'Base stats'!B:B,'Base stats'!AD:AD)</f>
        <v>5~15</v>
      </c>
      <c r="BU71" s="2" t="str">
        <f>IF(AND(J71&lt;=0.95,OR(_xlfn.XLOOKUP(B71,'Base stats'!B:B,'Base stats'!AI:AI)=1,_xlfn.XLOOKUP(B71,'Base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stats'!AG:AG)=1,"true","false")</f>
        <v>false</v>
      </c>
      <c r="BW71" s="25" t="str">
        <f>IF(E71="BaseInsect","AnimalInsect",
IF(J71&gt;0.95,"AnimalExotic",
_xlfn.TEXTJOIN(", ",TRUE,
IF(OR(_xlfn.XLOOKUP(B71,'Base stats'!B:B,'Base stats'!AK:AK)=1,AND(_xlfn.XLOOKUP(B71,'Base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stats'!AI:AI)=1,AND(BI71&lt;&gt;"None",BR71&gt;=60),ISNUMBER(SEARCH("Attack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stats'!AH:AH)=1,"true","false")</f>
        <v>true</v>
      </c>
      <c r="BZ71" s="25">
        <f>IF(_xlfn.XLOOKUP(B71,'Base stats'!B:B,'Base stats'!N:N)=1,"No",MAX(0.01,MIN(MROUND(IF(OR(_xlfn.XLOOKUP(B71,'Base stats'!B:B,'Base stats'!AK:AK)=1,AND(BJ71="True",CC71="False")),POWER(10,3.47*LOG10(_xlfn.XLOOKUP(B71,'Base stats'!B:B,'Base stats'!C:C)*1000)^-0.96),POWER(10,4.15*LOG10(_xlfn.XLOOKUP(B71,'Base stats'!B:B,'Base stats'!C:C)*1000)^-0.73))*IF(OR(_xlfn.XLOOKUP(B71,'Base stats'!B:B,'Base stats'!AK:AK)=1,_xlfn.XLOOKUP(B71,'Base stats'!B:B,'Base stats'!AI:AI)=1),0.5,1)/100,0.025),1)))</f>
        <v>0.25</v>
      </c>
      <c r="CA71" s="25" t="str">
        <f>IF(P71="Standard","No",MAX(0.01,IF(_xlfn.XLOOKUP(B71,'Base stats'!B:B,'Base stats'!N:N)=0,MROUND(BZ71*P71,0.05),MIN(1,MAX(0.025,MROUND(IF(OR(CC71="true",AND(BJ71="false",BO71="false")),POWER(10,4.15*LOG10(_xlfn.XLOOKUP(B71,'Base stats'!B:B,'Base stats'!C:C)*1000)^-0.73),POWER(10,3.47*LOG10(_xlfn.XLOOKUP(B71,'Base stats'!B:B,'Base stats'!C:C)*1000)^-0.96))*IF(_xlfn.XLOOKUP(B71,'Base stats'!B:B,'Base stats'!AI:AI)=1,0.5,1)/100,0.025))))))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232</v>
      </c>
      <c r="C72" s="28" t="s">
        <v>764</v>
      </c>
      <c r="D72" s="28" t="s">
        <v>882</v>
      </c>
      <c r="E72" s="28" t="s">
        <v>687</v>
      </c>
      <c r="F72" s="28" t="s">
        <v>688</v>
      </c>
      <c r="G72" s="28" t="s">
        <v>685</v>
      </c>
      <c r="H72" s="2">
        <f>MROUND((
  (IF(AND(_xlfn.XLOOKUP(B72,'Base stats'!B:B,'Base stats'!AJ:AJ)=0,BI72="None",_xlfn.XLOOKUP(_xlfn.XLOOKUP(B72,'Base stats'!B:B,'Base stats'!E:E),Groups!A:A,Groups!B:B)=0), (18 + BR72 * 2.7) * 0.5,
    IF(AND(_xlfn.XLOOKUP(B72,'Base stats'!B:B,'Base stats'!AJ:AJ)=0,OR(AO72&lt;0.55,AND(BI72="Intermediate",_xlfn.XLOOKUP(_xlfn.XLOOKUP(B72,'Base stats'!B:B,'Base stats'!E:E),Groups!A:A,Groups!B:B)&lt;2))), (18 + BR72 * 2.7),
      IF(OR(BI72="Advanced",_xlfn.XLOOKUP(B72,'Base stats'!B:B,'Base stats'!AJ:AJ)=1,_xlfn.XLOOKUP(_xlfn.XLOOKUP(B72,'Base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IF(_xlfn.XLOOKUP(_xlfn.XLOOKUP(B72,'Base stats'!B:B,'Base stats'!E:E),Groups!A:A,Groups!C:C)="Untamable",1,IF(_xlfn.XLOOKUP(B72,'Base stats'!B:B,'Base stats'!AJ:AJ)=1,0.99,MIN(MROUND((1-0.6282*EXP(-0.459*AO72))*_xlfn.XLOOKUP(_xlfn.XLOOKUP(B72,'Base stats'!B:B,'Base stats'!E:E),Groups!A:A,Groups!C:C)*IF(_xlfn.XLOOKUP(B72,'Base stats'!B:B,'Base stats'!O:O)=1,0.5,IF(_xlfn.XLOOKUP(B72,'Base stats'!B:B,'Base stats'!O:O)=2,0,1)),0.05),0.985)))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IF(_xlfn.XLOOKUP(_xlfn.XLOOKUP(B72,'Base stats'!B:B,'Base stats'!E:E),Groups!A:A,Groups!L:L)=1,MIN(MROUND(_xlfn.XLOOKUP(B72,'Animals CE'!B:B,'Animals CE'!Z:Z)/2+0.05,0.05),200%),"No")</f>
        <v>No</v>
      </c>
      <c r="O72" s="8" t="str">
        <f>IF(_xlfn.XLOOKUP(_xlfn.XLOOKUP(B72,'Base stats'!B:B,'Base stats'!E:E),Groups!A:A,Groups!L:L)=1,MIN(MROUND(_xlfn.XLOOKUP(B72,'Animals CE'!B:B,'Animals CE'!AA:AA)/2+0.05,0.05),200%),"No")</f>
        <v>No</v>
      </c>
      <c r="P72" s="2" t="str">
        <f>_xlfn.XLOOKUP(B72,'Base stats'!B:B,'Base stats'!R:R)</f>
        <v>Standard</v>
      </c>
      <c r="Q72" s="13">
        <f>MROUND((LOG10(_xlfn.XLOOKUP(B72,'Base stats'!B:B,'Base stats'!AP:AP))*(AO72^0.5)+(_xlfn.XLOOKUP(B72,'Base stats'!B:B,'Base stats'!AP:AP)/1000)^(2/3)+_xlfn.XLOOKUP(B72,'Base stats'!B:B,'Base stats'!AY:AY)/2)+0.5,0.5)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stats'!AQ:AQ))*(AO72^0.5)+(_xlfn.XLOOKUP(B72,'Base stats'!B:B,'Base stats'!AQ:AQ)/1000)^(2/3)+_xlfn.XLOOKUP(B72,'Base stats'!B:B,'Base stats'!AY:AY))+_xlfn.XLOOKUP(B72,'Base stats'!B:B,'Base stats'!AW:AW)+0.5,0.5))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stats'!AS:AS))*(AO72^0.5)+(_xlfn.XLOOKUP(B72,'Base stats'!B:B,'Base stats'!AS:AS)/1000)^(2/3)+_xlfn.XLOOKUP(B72,'Base stats'!B:B,'Base stats'!AX:AX))+0.5+IF(_xlfn.XLOOKUP(_xlfn.XLOOKUP(B72,'Base stats'!B:B,'Base stats'!E:E),Groups!A:A,Groups!U:U)&lt;&gt;3,_xlfn.XLOOKUP(B72,'Base stats'!B:B,'Base stats'!AY:AY),0),0.5))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stats'!AR:AR)="No","No",MROUND((LOG10(_xlfn.XLOOKUP(B72,'Base stats'!B:B,'Base stats'!AR:AR))*(AO72^0.75)+(_xlfn.XLOOKUP(B72,'Base stats'!B:B,'Base stats'!AR:AR)/1000)^(2/3)+_xlfn.XLOOKUP(B72,'Base stats'!B:B,'Base stats'!AV:AV)+_xlfn.XLOOKUP(B72,'Base stats'!B:B,'Base stats'!AY:AY))+0.5,0.5))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stats'!AQ:AQ))*(AO72^0.75)+(_xlfn.XLOOKUP(B72,'Base stats'!B:B,'Base stats'!AQ:AQ)/1000)^(2/3)+_xlfn.XLOOKUP(B72,'Base stats'!B:B,'Base stats'!AW:AW)+_xlfn.XLOOKUP(B72,'Base stats'!B:B,'Base stats'!AY:AY))+0.5,0.5))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8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IFERROR(IF(_xlfn.XLOOKUP(B72,'Base stats'!B:B,'Base stats'!F:F)="Lay eggs","Lay eggs",MIN(20,MAX(5.5,ROUND(((_xlfn.XLOOKUP(B72,'Base stats'!B:B,'Base stats'!F:F)-25)*(14.5/615) + 5.5)*2,0)/2))),"Cannot breed")</f>
        <v>Lay eggs</v>
      </c>
      <c r="AT72" s="8">
        <f>IF(OR(A72="Queen",A72="Larva",A72="Megachicken",A72="Megatardi",A72="Toxscorpion"),"No",IFERROR(MAX(IF(_xlfn.XLOOKUP(B72,'Base stats'!B:B,'Base stats'!G:G)&lt;0.5,0.2,0.3),MROUND(_xlfn.XLOOKUP(B72,'Base stats'!B:B,'Base stats'!G:G)/(365/60),0.2)),"Unknown"))</f>
        <v>0.4</v>
      </c>
      <c r="AU72" s="8">
        <f t="shared" si="7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_xlfn.XLOOKUP(B72,'Base stats'!B:B,'Base stats'!AF:AF)</f>
        <v>&lt;li&gt;Cassowary&lt;/li&gt;</v>
      </c>
      <c r="BB72" s="2" t="str">
        <f>_xlfn.XLOOKUP(B72,'Base stats'!B:B,'Base stats'!AE:AE)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stats'!Z:Z)=0),0,IF(OR(_xlfn.XLOOKUP(Animals!B72,'Base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stats'!AA:AA),0.005))</f>
        <v>0</v>
      </c>
      <c r="BE72" s="23">
        <f>MIN(1,MROUND(IF(AND(AO72&lt;0.5,_xlfn.XLOOKUP(B72,'Base stats'!B:B,'Base stats'!Z:Z)=0),0,IF(_xlfn.XLOOKUP(_xlfn.XLOOKUP(B72,'Base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stats'!AB:AB),0.005))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8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stats'!AL:AL)="Standard","No",MROUND((_xlfn.XLOOKUP(B72,'Base stats'!B:B,'Base stats'!AL:AL)/3.6)/I72,0.1))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stats'!AC:AC)&lt;&gt;"No",_xlfn.XLOOKUP(B72,'Base stats'!B:B,'Base stats'!AC:AC),"")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stats'!AC:AC)&lt;&gt;"No",_xlfn.XLOOKUP(B72,'Base stats'!B:B,'Base stats'!AC:AC),"")
  )
)</f>
        <v>No</v>
      </c>
      <c r="BQ72" s="25" t="str">
        <f>IF(
   AND(
      'Base stats'!AL72="Standard",_xlfn.XLOOKUP(_xlfn.XLOOKUP(B72,'Base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stats'!AT:AT) * 1.8) * 2) * 2.5 + 10 + I72 * 2,5)+IF(_xlfn.XLOOKUP(B72,'Base stats'!B:B,'Base stats'!AI:AI)=1,50,0)</f>
        <v>30</v>
      </c>
      <c r="BS72" s="8">
        <f t="shared" si="12"/>
        <v>0.35000000000000003</v>
      </c>
      <c r="BT72" s="8" t="str">
        <f>_xlfn.XLOOKUP(B72,'Base stats'!B:B,'Base stats'!AD:AD)</f>
        <v>2~6</v>
      </c>
      <c r="BU72" s="2" t="str">
        <f>IF(AND(J72&lt;=0.95,OR(_xlfn.XLOOKUP(B72,'Base stats'!B:B,'Base stats'!AI:AI)=1,_xlfn.XLOOKUP(B72,'Base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stats'!AG:AG)=1,"true","false")</f>
        <v>false</v>
      </c>
      <c r="BW72" s="25" t="str">
        <f>IF(E72="BaseInsect","AnimalInsect",
IF(J72&gt;0.95,"AnimalExotic",
_xlfn.TEXTJOIN(", ",TRUE,
IF(OR(_xlfn.XLOOKUP(B72,'Base stats'!B:B,'Base stats'!AK:AK)=1,AND(_xlfn.XLOOKUP(B72,'Base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stats'!AI:AI)=1,AND(BI72&lt;&gt;"None",BR72&gt;=60),ISNUMBER(SEARCH("Attack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stats'!AH:AH)=1,"true","false")</f>
        <v>false</v>
      </c>
      <c r="BZ72" s="25">
        <f>IF(_xlfn.XLOOKUP(B72,'Base stats'!B:B,'Base stats'!N:N)=1,"No",MAX(0.01,MIN(MROUND(IF(OR(_xlfn.XLOOKUP(B72,'Base stats'!B:B,'Base stats'!AK:AK)=1,AND(BJ72="True",CC72="False")),POWER(10,3.47*LOG10(_xlfn.XLOOKUP(B72,'Base stats'!B:B,'Base stats'!C:C)*1000)^-0.96),POWER(10,4.15*LOG10(_xlfn.XLOOKUP(B72,'Base stats'!B:B,'Base stats'!C:C)*1000)^-0.73))*IF(OR(_xlfn.XLOOKUP(B72,'Base stats'!B:B,'Base stats'!AK:AK)=1,_xlfn.XLOOKUP(B72,'Base stats'!B:B,'Base stats'!AI:AI)=1),0.5,1)/100,0.025),1)))</f>
        <v>0.42500000000000004</v>
      </c>
      <c r="CA72" s="25" t="str">
        <f>IF(P72="Standard","No",MAX(0.01,IF(_xlfn.XLOOKUP(B72,'Base stats'!B:B,'Base stats'!N:N)=0,MROUND(BZ72*P72,0.05),MIN(1,MAX(0.025,MROUND(IF(OR(CC72="true",AND(BJ72="false",BO72="false")),POWER(10,4.15*LOG10(_xlfn.XLOOKUP(B72,'Base stats'!B:B,'Base stats'!C:C)*1000)^-0.73),POWER(10,3.47*LOG10(_xlfn.XLOOKUP(B72,'Base stats'!B:B,'Base stats'!C:C)*1000)^-0.96))*IF(_xlfn.XLOOKUP(B72,'Base stats'!B:B,'Base stats'!AI:AI)=1,0.5,1)/100,0.025))))))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234</v>
      </c>
      <c r="C73" s="28" t="s">
        <v>765</v>
      </c>
      <c r="D73" s="28" t="s">
        <v>882</v>
      </c>
      <c r="E73" s="28" t="s">
        <v>687</v>
      </c>
      <c r="F73" s="28" t="s">
        <v>688</v>
      </c>
      <c r="G73" s="28" t="s">
        <v>685</v>
      </c>
      <c r="H73" s="2">
        <f>MROUND((
  (IF(AND(_xlfn.XLOOKUP(B73,'Base stats'!B:B,'Base stats'!AJ:AJ)=0,BI73="None",_xlfn.XLOOKUP(_xlfn.XLOOKUP(B73,'Base stats'!B:B,'Base stats'!E:E),Groups!A:A,Groups!B:B)=0), (18 + BR73 * 2.7) * 0.5,
    IF(AND(_xlfn.XLOOKUP(B73,'Base stats'!B:B,'Base stats'!AJ:AJ)=0,OR(AO73&lt;0.55,AND(BI73="Intermediate",_xlfn.XLOOKUP(_xlfn.XLOOKUP(B73,'Base stats'!B:B,'Base stats'!E:E),Groups!A:A,Groups!B:B)&lt;2))), (18 + BR73 * 2.7),
      IF(OR(BI73="Advanced",_xlfn.XLOOKUP(B73,'Base stats'!B:B,'Base stats'!AJ:AJ)=1,_xlfn.XLOOKUP(_xlfn.XLOOKUP(B73,'Base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IF(_xlfn.XLOOKUP(_xlfn.XLOOKUP(B73,'Base stats'!B:B,'Base stats'!E:E),Groups!A:A,Groups!C:C)="Untamable",1,IF(_xlfn.XLOOKUP(B73,'Base stats'!B:B,'Base stats'!AJ:AJ)=1,0.99,MIN(MROUND((1-0.6282*EXP(-0.459*AO73))*_xlfn.XLOOKUP(_xlfn.XLOOKUP(B73,'Base stats'!B:B,'Base stats'!E:E),Groups!A:A,Groups!C:C)*IF(_xlfn.XLOOKUP(B73,'Base stats'!B:B,'Base stats'!O:O)=1,0.5,IF(_xlfn.XLOOKUP(B73,'Base stats'!B:B,'Base stats'!O:O)=2,0,1)),0.05),0.985)))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IF(_xlfn.XLOOKUP(_xlfn.XLOOKUP(B73,'Base stats'!B:B,'Base stats'!E:E),Groups!A:A,Groups!L:L)=1,MIN(MROUND(_xlfn.XLOOKUP(B73,'Animals CE'!B:B,'Animals CE'!Z:Z)/2+0.05,0.05),200%),"No")</f>
        <v>No</v>
      </c>
      <c r="O73" s="8" t="str">
        <f>IF(_xlfn.XLOOKUP(_xlfn.XLOOKUP(B73,'Base stats'!B:B,'Base stats'!E:E),Groups!A:A,Groups!L:L)=1,MIN(MROUND(_xlfn.XLOOKUP(B73,'Animals CE'!B:B,'Animals CE'!AA:AA)/2+0.05,0.05),200%),"No")</f>
        <v>No</v>
      </c>
      <c r="P73" s="2" t="str">
        <f>_xlfn.XLOOKUP(B73,'Base stats'!B:B,'Base stats'!R:R)</f>
        <v>Standard</v>
      </c>
      <c r="Q73" s="13">
        <f>MROUND((LOG10(_xlfn.XLOOKUP(B73,'Base stats'!B:B,'Base stats'!AP:AP))*(AO73^0.5)+(_xlfn.XLOOKUP(B73,'Base stats'!B:B,'Base stats'!AP:AP)/1000)^(2/3)+_xlfn.XLOOKUP(B73,'Base stats'!B:B,'Base stats'!AY:AY)/2)+0.5,0.5)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stats'!AQ:AQ))*(AO73^0.5)+(_xlfn.XLOOKUP(B73,'Base stats'!B:B,'Base stats'!AQ:AQ)/1000)^(2/3)+_xlfn.XLOOKUP(B73,'Base stats'!B:B,'Base stats'!AY:AY))+_xlfn.XLOOKUP(B73,'Base stats'!B:B,'Base stats'!AW:AW)+0.5,0.5))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stats'!AS:AS))*(AO73^0.5)+(_xlfn.XLOOKUP(B73,'Base stats'!B:B,'Base stats'!AS:AS)/1000)^(2/3)+_xlfn.XLOOKUP(B73,'Base stats'!B:B,'Base stats'!AX:AX))+0.5+IF(_xlfn.XLOOKUP(_xlfn.XLOOKUP(B73,'Base stats'!B:B,'Base stats'!E:E),Groups!A:A,Groups!U:U)&lt;&gt;3,_xlfn.XLOOKUP(B73,'Base stats'!B:B,'Base stats'!AY:AY),0),0.5))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stats'!AR:AR)="No","No",MROUND((LOG10(_xlfn.XLOOKUP(B73,'Base stats'!B:B,'Base stats'!AR:AR))*(AO73^0.75)+(_xlfn.XLOOKUP(B73,'Base stats'!B:B,'Base stats'!AR:AR)/1000)^(2/3)+_xlfn.XLOOKUP(B73,'Base stats'!B:B,'Base stats'!AV:AV)+_xlfn.XLOOKUP(B73,'Base stats'!B:B,'Base stats'!AY:AY))+0.5,0.5))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stats'!AQ:AQ))*(AO73^0.75)+(_xlfn.XLOOKUP(B73,'Base stats'!B:B,'Base stats'!AQ:AQ)/1000)^(2/3)+_xlfn.XLOOKUP(B73,'Base stats'!B:B,'Base stats'!AW:AW)+_xlfn.XLOOKUP(B73,'Base stats'!B:B,'Base stats'!AY:AY))+0.5,0.5))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8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IFERROR(IF(_xlfn.XLOOKUP(B73,'Base stats'!B:B,'Base stats'!F:F)="Lay eggs","Lay eggs",MIN(20,MAX(5.5,ROUND(((_xlfn.XLOOKUP(B73,'Base stats'!B:B,'Base stats'!F:F)-25)*(14.5/615) + 5.5)*2,0)/2))),"Cannot breed")</f>
        <v>Lay eggs</v>
      </c>
      <c r="AT73" s="8">
        <f>IF(OR(A73="Queen",A73="Larva",A73="Megachicken",A73="Megatardi",A73="Toxscorpion"),"No",IFERROR(MAX(IF(_xlfn.XLOOKUP(B73,'Base stats'!B:B,'Base stats'!G:G)&lt;0.5,0.2,0.3),MROUND(_xlfn.XLOOKUP(B73,'Base stats'!B:B,'Base stats'!G:G)/(365/60),0.2)),"Unknown"))</f>
        <v>1</v>
      </c>
      <c r="AU73" s="8">
        <f t="shared" si="7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_xlfn.XLOOKUP(B73,'Base stats'!B:B,'Base stats'!AF:AF)</f>
        <v>&lt;li&gt;Cassowary&lt;/li&gt;</v>
      </c>
      <c r="BB73" s="2" t="str">
        <f>_xlfn.XLOOKUP(B73,'Base stats'!B:B,'Base stats'!AE:AE)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stats'!Z:Z)=0),0,IF(OR(_xlfn.XLOOKUP(Animals!B73,'Base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stats'!AA:AA),0.005))</f>
        <v>0</v>
      </c>
      <c r="BE73" s="23">
        <f>MIN(1,MROUND(IF(AND(AO73&lt;0.5,_xlfn.XLOOKUP(B73,'Base stats'!B:B,'Base stats'!Z:Z)=0),0,IF(_xlfn.XLOOKUP(_xlfn.XLOOKUP(B73,'Base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stats'!AB:AB),0.005))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8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stats'!AL:AL)="Standard","No",MROUND((_xlfn.XLOOKUP(B73,'Base stats'!B:B,'Base stats'!AL:AL)/3.6)/I73,0.1))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stats'!AC:AC)&lt;&gt;"No",_xlfn.XLOOKUP(B73,'Base stats'!B:B,'Base stats'!AC:AC),"")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stats'!AC:AC)&lt;&gt;"No",_xlfn.XLOOKUP(B73,'Base stats'!B:B,'Base stats'!AC:AC),"")
  )
)</f>
        <v>No</v>
      </c>
      <c r="BQ73" s="25" t="str">
        <f>IF(
   AND(
      'Base stats'!AL73="Standard",_xlfn.XLOOKUP(_xlfn.XLOOKUP(B73,'Base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stats'!AT:AT) * 1.8) * 2) * 2.5 + 10 + I73 * 2,5)+IF(_xlfn.XLOOKUP(B73,'Base stats'!B:B,'Base stats'!AI:AI)=1,50,0)</f>
        <v>30</v>
      </c>
      <c r="BS73" s="8">
        <f t="shared" si="12"/>
        <v>0.35000000000000003</v>
      </c>
      <c r="BT73" s="8" t="str">
        <f>_xlfn.XLOOKUP(B73,'Base stats'!B:B,'Base stats'!AD:AD)</f>
        <v>No</v>
      </c>
      <c r="BU73" s="2" t="str">
        <f>IF(AND(J73&lt;=0.95,OR(_xlfn.XLOOKUP(B73,'Base stats'!B:B,'Base stats'!AI:AI)=1,_xlfn.XLOOKUP(B73,'Base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stats'!AG:AG)=1,"true","false")</f>
        <v>false</v>
      </c>
      <c r="BW73" s="25" t="str">
        <f>IF(E73="BaseInsect","AnimalInsect",
IF(J73&gt;0.95,"AnimalExotic",
_xlfn.TEXTJOIN(", ",TRUE,
IF(OR(_xlfn.XLOOKUP(B73,'Base stats'!B:B,'Base stats'!AK:AK)=1,AND(_xlfn.XLOOKUP(B73,'Base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stats'!AI:AI)=1,AND(BI73&lt;&gt;"None",BR73&gt;=60),ISNUMBER(SEARCH("Attack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stats'!AH:AH)=1,"true","false")</f>
        <v>false</v>
      </c>
      <c r="BZ73" s="25">
        <f>IF(_xlfn.XLOOKUP(B73,'Base stats'!B:B,'Base stats'!N:N)=1,"No",MAX(0.01,MIN(MROUND(IF(OR(_xlfn.XLOOKUP(B73,'Base stats'!B:B,'Base stats'!AK:AK)=1,AND(BJ73="True",CC73="False")),POWER(10,3.47*LOG10(_xlfn.XLOOKUP(B73,'Base stats'!B:B,'Base stats'!C:C)*1000)^-0.96),POWER(10,4.15*LOG10(_xlfn.XLOOKUP(B73,'Base stats'!B:B,'Base stats'!C:C)*1000)^-0.73))*IF(OR(_xlfn.XLOOKUP(B73,'Base stats'!B:B,'Base stats'!AK:AK)=1,_xlfn.XLOOKUP(B73,'Base stats'!B:B,'Base stats'!AI:AI)=1),0.5,1)/100,0.025),1)))</f>
        <v>0.375</v>
      </c>
      <c r="CA73" s="25" t="str">
        <f>IF(P73="Standard","No",MAX(0.01,IF(_xlfn.XLOOKUP(B73,'Base stats'!B:B,'Base stats'!N:N)=0,MROUND(BZ73*P73,0.05),MIN(1,MAX(0.025,MROUND(IF(OR(CC73="true",AND(BJ73="false",BO73="false")),POWER(10,4.15*LOG10(_xlfn.XLOOKUP(B73,'Base stats'!B:B,'Base stats'!C:C)*1000)^-0.73),POWER(10,3.47*LOG10(_xlfn.XLOOKUP(B73,'Base stats'!B:B,'Base stats'!C:C)*1000)^-0.96))*IF(_xlfn.XLOOKUP(B73,'Base stats'!B:B,'Base stats'!AI:AI)=1,0.5,1)/100,0.025))))))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74</v>
      </c>
      <c r="C74" s="28" t="s">
        <v>766</v>
      </c>
      <c r="D74" s="28" t="s">
        <v>882</v>
      </c>
      <c r="E74" s="28" t="s">
        <v>701</v>
      </c>
      <c r="F74" s="28" t="s">
        <v>702</v>
      </c>
      <c r="G74" s="28" t="s">
        <v>685</v>
      </c>
      <c r="H74" s="2">
        <f>MROUND((
  (IF(AND(_xlfn.XLOOKUP(B74,'Base stats'!B:B,'Base stats'!AJ:AJ)=0,BI74="None",_xlfn.XLOOKUP(_xlfn.XLOOKUP(B74,'Base stats'!B:B,'Base stats'!E:E),Groups!A:A,Groups!B:B)=0), (18 + BR74 * 2.7) * 0.5,
    IF(AND(_xlfn.XLOOKUP(B74,'Base stats'!B:B,'Base stats'!AJ:AJ)=0,OR(AO74&lt;0.55,AND(BI74="Intermediate",_xlfn.XLOOKUP(_xlfn.XLOOKUP(B74,'Base stats'!B:B,'Base stats'!E:E),Groups!A:A,Groups!B:B)&lt;2))), (18 + BR74 * 2.7),
      IF(OR(BI74="Advanced",_xlfn.XLOOKUP(B74,'Base stats'!B:B,'Base stats'!AJ:AJ)=1,_xlfn.XLOOKUP(_xlfn.XLOOKUP(B74,'Base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IF(_xlfn.XLOOKUP(_xlfn.XLOOKUP(B74,'Base stats'!B:B,'Base stats'!E:E),Groups!A:A,Groups!C:C)="Untamable",1,IF(_xlfn.XLOOKUP(B74,'Base stats'!B:B,'Base stats'!AJ:AJ)=1,0.99,MIN(MROUND((1-0.6282*EXP(-0.459*AO74))*_xlfn.XLOOKUP(_xlfn.XLOOKUP(B74,'Base stats'!B:B,'Base stats'!E:E),Groups!A:A,Groups!C:C)*IF(_xlfn.XLOOKUP(B74,'Base stats'!B:B,'Base stats'!O:O)=1,0.5,IF(_xlfn.XLOOKUP(B74,'Base stats'!B:B,'Base stats'!O:O)=2,0,1)),0.05),0.985)))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IF(_xlfn.XLOOKUP(_xlfn.XLOOKUP(B74,'Base stats'!B:B,'Base stats'!E:E),Groups!A:A,Groups!L:L)=1,MIN(MROUND(_xlfn.XLOOKUP(B74,'Animals CE'!B:B,'Animals CE'!Z:Z)/2+0.05,0.05),200%),"No")</f>
        <v>No</v>
      </c>
      <c r="O74" s="8" t="str">
        <f>IF(_xlfn.XLOOKUP(_xlfn.XLOOKUP(B74,'Base stats'!B:B,'Base stats'!E:E),Groups!A:A,Groups!L:L)=1,MIN(MROUND(_xlfn.XLOOKUP(B74,'Animals CE'!B:B,'Animals CE'!AA:AA)/2+0.05,0.05),200%),"No")</f>
        <v>No</v>
      </c>
      <c r="P74" s="2" t="str">
        <f>_xlfn.XLOOKUP(B74,'Base stats'!B:B,'Base stats'!R:R)</f>
        <v>Standard</v>
      </c>
      <c r="Q74" s="13">
        <f>MROUND((LOG10(_xlfn.XLOOKUP(B74,'Base stats'!B:B,'Base stats'!AP:AP))*(AO74^0.5)+(_xlfn.XLOOKUP(B74,'Base stats'!B:B,'Base stats'!AP:AP)/1000)^(2/3)+_xlfn.XLOOKUP(B74,'Base stats'!B:B,'Base stats'!AY:AY)/2)+0.5,0.5)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stats'!AQ:AQ))*(AO74^0.5)+(_xlfn.XLOOKUP(B74,'Base stats'!B:B,'Base stats'!AQ:AQ)/1000)^(2/3)+_xlfn.XLOOKUP(B74,'Base stats'!B:B,'Base stats'!AY:AY))+_xlfn.XLOOKUP(B74,'Base stats'!B:B,'Base stats'!AW:AW)+0.5,0.5))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stats'!AS:AS))*(AO74^0.5)+(_xlfn.XLOOKUP(B74,'Base stats'!B:B,'Base stats'!AS:AS)/1000)^(2/3)+_xlfn.XLOOKUP(B74,'Base stats'!B:B,'Base stats'!AX:AX))+0.5+IF(_xlfn.XLOOKUP(_xlfn.XLOOKUP(B74,'Base stats'!B:B,'Base stats'!E:E),Groups!A:A,Groups!U:U)&lt;&gt;3,_xlfn.XLOOKUP(B74,'Base stats'!B:B,'Base stats'!AY:AY),0),0.5))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stats'!AR:AR)="No","No",MROUND((LOG10(_xlfn.XLOOKUP(B74,'Base stats'!B:B,'Base stats'!AR:AR))*(AO74^0.75)+(_xlfn.XLOOKUP(B74,'Base stats'!B:B,'Base stats'!AR:AR)/1000)^(2/3)+_xlfn.XLOOKUP(B74,'Base stats'!B:B,'Base stats'!AV:AV)+_xlfn.XLOOKUP(B74,'Base stats'!B:B,'Base stats'!AY:AY))+0.5,0.5))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stats'!AQ:AQ))*(AO74^0.75)+(_xlfn.XLOOKUP(B74,'Base stats'!B:B,'Base stats'!AQ:AQ)/1000)^(2/3)+_xlfn.XLOOKUP(B74,'Base stats'!B:B,'Base stats'!AW:AW)+_xlfn.XLOOKUP(B74,'Base stats'!B:B,'Base stats'!AY:AY))+0.5,0.5))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FrontRightPaw,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8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IFERROR(IF(_xlfn.XLOOKUP(B74,'Base stats'!B:B,'Base stats'!F:F)="Lay eggs","Lay eggs",MIN(20,MAX(5.5,ROUND(((_xlfn.XLOOKUP(B74,'Base stats'!B:B,'Base stats'!F:F)-25)*(14.5/615) + 5.5)*2,0)/2))),"Cannot breed")</f>
        <v>7.5</v>
      </c>
      <c r="AT74" s="8">
        <f>IF(OR(A74="Queen",A74="Larva",A74="Megachicken",A74="Megatardi",A74="Toxscorpion"),"No",IFERROR(MAX(IF(_xlfn.XLOOKUP(B74,'Base stats'!B:B,'Base stats'!G:G)&lt;0.5,0.2,0.3),MROUND(_xlfn.XLOOKUP(B74,'Base stats'!B:B,'Base stats'!G:G)/(365/60),0.2)),"Unknown"))</f>
        <v>0.60000000000000009</v>
      </c>
      <c r="AU74" s="8">
        <f t="shared" si="7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_xlfn.XLOOKUP(B74,'Base stats'!B:B,'Base stats'!AF:AF)</f>
        <v>No</v>
      </c>
      <c r="BB74" s="2" t="str">
        <f>_xlfn.XLOOKUP(B74,'Base stats'!B:B,'Base stats'!AE:AE)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stats'!Z:Z)=0),0,IF(OR(_xlfn.XLOOKUP(Animals!B74,'Base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stats'!AA:AA),0.005))</f>
        <v>0.1</v>
      </c>
      <c r="BE74" s="23">
        <f>MIN(1,MROUND(IF(AND(AO74&lt;0.5,_xlfn.XLOOKUP(B74,'Base stats'!B:B,'Base stats'!Z:Z)=0),0,IF(_xlfn.XLOOKUP(_xlfn.XLOOKUP(B74,'Base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stats'!AB:AB),0.005))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stats'!AL:AL)="Standard","No",MROUND((_xlfn.XLOOKUP(B74,'Base stats'!B:B,'Base stats'!AL:AL)/3.6)/I74,0.1))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stats'!AC:AC)&lt;&gt;"No",_xlfn.XLOOKUP(B74,'Base stats'!B:B,'Base stats'!AC:AC),"")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stats'!AC:AC)&lt;&gt;"No",_xlfn.XLOOKUP(B74,'Base stats'!B:B,'Base stats'!AC:AC),"")
  )
)</f>
        <v>AttackTarget</v>
      </c>
      <c r="BQ74" s="25">
        <f>IF(
   AND(
      'Base stats'!AL74="Standard",_xlfn.XLOOKUP(_xlfn.XLOOKUP(B74,'Base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stats'!AT:AT) * 1.8) * 2) * 2.5 + 10 + I74 * 2,5)+IF(_xlfn.XLOOKUP(B74,'Base stats'!B:B,'Base stats'!AI:AI)=1,50,0)</f>
        <v>210</v>
      </c>
      <c r="BS74" s="8">
        <f t="shared" si="12"/>
        <v>1</v>
      </c>
      <c r="BT74" s="8" t="str">
        <f>_xlfn.XLOOKUP(B74,'Base stats'!B:B,'Base stats'!AD:AD)</f>
        <v>No</v>
      </c>
      <c r="BU74" s="2" t="str">
        <f>IF(AND(J74&lt;=0.95,OR(_xlfn.XLOOKUP(B74,'Base stats'!B:B,'Base stats'!AI:AI)=1,_xlfn.XLOOKUP(B74,'Base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stats'!AG:AG)=1,"true","false")</f>
        <v>false</v>
      </c>
      <c r="BW74" s="25" t="str">
        <f>IF(E74="BaseInsect","AnimalInsect",
IF(J74&gt;0.95,"AnimalExotic",
_xlfn.TEXTJOIN(", ",TRUE,
IF(OR(_xlfn.XLOOKUP(B74,'Base stats'!B:B,'Base stats'!AK:AK)=1,AND(_xlfn.XLOOKUP(B74,'Base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stats'!AI:AI)=1,AND(BI74&lt;&gt;"None",BR74&gt;=60),ISNUMBER(SEARCH("Attack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stats'!AH:AH)=1,"true","false")</f>
        <v>false</v>
      </c>
      <c r="BZ74" s="25">
        <f>IF(_xlfn.XLOOKUP(B74,'Base stats'!B:B,'Base stats'!N:N)=1,"No",MAX(0.01,MIN(MROUND(IF(OR(_xlfn.XLOOKUP(B74,'Base stats'!B:B,'Base stats'!AK:AK)=1,AND(BJ74="True",CC74="False")),POWER(10,3.47*LOG10(_xlfn.XLOOKUP(B74,'Base stats'!B:B,'Base stats'!C:C)*1000)^-0.96),POWER(10,4.15*LOG10(_xlfn.XLOOKUP(B74,'Base stats'!B:B,'Base stats'!C:C)*1000)^-0.73))*IF(OR(_xlfn.XLOOKUP(B74,'Base stats'!B:B,'Base stats'!AK:AK)=1,_xlfn.XLOOKUP(B74,'Base stats'!B:B,'Base stats'!AI:AI)=1),0.5,1)/100,0.025),1)))</f>
        <v>0.05</v>
      </c>
      <c r="CA74" s="25" t="str">
        <f>IF(P74="Standard","No",MAX(0.01,IF(_xlfn.XLOOKUP(B74,'Base stats'!B:B,'Base stats'!N:N)=0,MROUND(BZ74*P74,0.05),MIN(1,MAX(0.025,MROUND(IF(OR(CC74="true",AND(BJ74="false",BO74="false")),POWER(10,4.15*LOG10(_xlfn.XLOOKUP(B74,'Base stats'!B:B,'Base stats'!C:C)*1000)^-0.73),POWER(10,3.47*LOG10(_xlfn.XLOOKUP(B74,'Base stats'!B:B,'Base stats'!C:C)*1000)^-0.96))*IF(_xlfn.XLOOKUP(B74,'Base stats'!B:B,'Base stats'!AI:AI)=1,0.5,1)/100,0.025))))))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281</v>
      </c>
      <c r="C75" s="28" t="s">
        <v>767</v>
      </c>
      <c r="D75" s="28" t="s">
        <v>882</v>
      </c>
      <c r="E75" s="28" t="s">
        <v>701</v>
      </c>
      <c r="F75" s="28" t="s">
        <v>702</v>
      </c>
      <c r="G75" s="28" t="s">
        <v>685</v>
      </c>
      <c r="H75" s="2">
        <f>MROUND((
  (IF(AND(_xlfn.XLOOKUP(B75,'Base stats'!B:B,'Base stats'!AJ:AJ)=0,BI75="None",_xlfn.XLOOKUP(_xlfn.XLOOKUP(B75,'Base stats'!B:B,'Base stats'!E:E),Groups!A:A,Groups!B:B)=0), (18 + BR75 * 2.7) * 0.5,
    IF(AND(_xlfn.XLOOKUP(B75,'Base stats'!B:B,'Base stats'!AJ:AJ)=0,OR(AO75&lt;0.55,AND(BI75="Intermediate",_xlfn.XLOOKUP(_xlfn.XLOOKUP(B75,'Base stats'!B:B,'Base stats'!E:E),Groups!A:A,Groups!B:B)&lt;2))), (18 + BR75 * 2.7),
      IF(OR(BI75="Advanced",_xlfn.XLOOKUP(B75,'Base stats'!B:B,'Base stats'!AJ:AJ)=1,_xlfn.XLOOKUP(_xlfn.XLOOKUP(B75,'Base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IF(_xlfn.XLOOKUP(_xlfn.XLOOKUP(B75,'Base stats'!B:B,'Base stats'!E:E),Groups!A:A,Groups!C:C)="Untamable",1,IF(_xlfn.XLOOKUP(B75,'Base stats'!B:B,'Base stats'!AJ:AJ)=1,0.99,MIN(MROUND((1-0.6282*EXP(-0.459*AO75))*_xlfn.XLOOKUP(_xlfn.XLOOKUP(B75,'Base stats'!B:B,'Base stats'!E:E),Groups!A:A,Groups!C:C)*IF(_xlfn.XLOOKUP(B75,'Base stats'!B:B,'Base stats'!O:O)=1,0.5,IF(_xlfn.XLOOKUP(B75,'Base stats'!B:B,'Base stats'!O:O)=2,0,1)),0.05),0.985)))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IF(_xlfn.XLOOKUP(_xlfn.XLOOKUP(B75,'Base stats'!B:B,'Base stats'!E:E),Groups!A:A,Groups!L:L)=1,MIN(MROUND(_xlfn.XLOOKUP(B75,'Animals CE'!B:B,'Animals CE'!Z:Z)/2+0.05,0.05),200%),"No")</f>
        <v>No</v>
      </c>
      <c r="O75" s="8" t="str">
        <f>IF(_xlfn.XLOOKUP(_xlfn.XLOOKUP(B75,'Base stats'!B:B,'Base stats'!E:E),Groups!A:A,Groups!L:L)=1,MIN(MROUND(_xlfn.XLOOKUP(B75,'Animals CE'!B:B,'Animals CE'!AA:AA)/2+0.05,0.05),200%),"No")</f>
        <v>No</v>
      </c>
      <c r="P75" s="2" t="str">
        <f>_xlfn.XLOOKUP(B75,'Base stats'!B:B,'Base stats'!R:R)</f>
        <v>Standard</v>
      </c>
      <c r="Q75" s="13">
        <f>MROUND((LOG10(_xlfn.XLOOKUP(B75,'Base stats'!B:B,'Base stats'!AP:AP))*(AO75^0.5)+(_xlfn.XLOOKUP(B75,'Base stats'!B:B,'Base stats'!AP:AP)/1000)^(2/3)+_xlfn.XLOOKUP(B75,'Base stats'!B:B,'Base stats'!AY:AY)/2)+0.5,0.5)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stats'!AQ:AQ))*(AO75^0.5)+(_xlfn.XLOOKUP(B75,'Base stats'!B:B,'Base stats'!AQ:AQ)/1000)^(2/3)+_xlfn.XLOOKUP(B75,'Base stats'!B:B,'Base stats'!AY:AY))+_xlfn.XLOOKUP(B75,'Base stats'!B:B,'Base stats'!AW:AW)+0.5,0.5))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stats'!AS:AS))*(AO75^0.5)+(_xlfn.XLOOKUP(B75,'Base stats'!B:B,'Base stats'!AS:AS)/1000)^(2/3)+_xlfn.XLOOKUP(B75,'Base stats'!B:B,'Base stats'!AX:AX))+0.5+IF(_xlfn.XLOOKUP(_xlfn.XLOOKUP(B75,'Base stats'!B:B,'Base stats'!E:E),Groups!A:A,Groups!U:U)&lt;&gt;3,_xlfn.XLOOKUP(B75,'Base stats'!B:B,'Base stats'!AY:AY),0),0.5))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stats'!AR:AR)="No","No",MROUND((LOG10(_xlfn.XLOOKUP(B75,'Base stats'!B:B,'Base stats'!AR:AR))*(AO75^0.75)+(_xlfn.XLOOKUP(B75,'Base stats'!B:B,'Base stats'!AR:AR)/1000)^(2/3)+_xlfn.XLOOKUP(B75,'Base stats'!B:B,'Base stats'!AV:AV)+_xlfn.XLOOKUP(B75,'Base stats'!B:B,'Base stats'!AY:AY))+0.5,0.5))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stats'!AQ:AQ))*(AO75^0.75)+(_xlfn.XLOOKUP(B75,'Base stats'!B:B,'Base stats'!AQ:AQ)/1000)^(2/3)+_xlfn.XLOOKUP(B75,'Base stats'!B:B,'Base stats'!AW:AW)+_xlfn.XLOOKUP(B75,'Base stats'!B:B,'Base stats'!AY:AY))+0.5,0.5))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FrontRightPaw,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8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IFERROR(IF(_xlfn.XLOOKUP(B75,'Base stats'!B:B,'Base stats'!F:F)="Lay eggs","Lay eggs",MIN(20,MAX(5.5,ROUND(((_xlfn.XLOOKUP(B75,'Base stats'!B:B,'Base stats'!F:F)-25)*(14.5/615) + 5.5)*2,0)/2))),"Cannot breed")</f>
        <v>7.5</v>
      </c>
      <c r="AT75" s="8">
        <f>IF(OR(A75="Queen",A75="Larva",A75="Megachicken",A75="Megatardi",A75="Toxscorpion"),"No",IFERROR(MAX(IF(_xlfn.XLOOKUP(B75,'Base stats'!B:B,'Base stats'!G:G)&lt;0.5,0.2,0.3),MROUND(_xlfn.XLOOKUP(B75,'Base stats'!B:B,'Base stats'!G:G)/(365/60),0.2)),"Unknown"))</f>
        <v>0.60000000000000009</v>
      </c>
      <c r="AU75" s="8">
        <f t="shared" si="7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_xlfn.XLOOKUP(B75,'Base stats'!B:B,'Base stats'!AF:AF)</f>
        <v>No</v>
      </c>
      <c r="BB75" s="2" t="str">
        <f>_xlfn.XLOOKUP(B75,'Base stats'!B:B,'Base stats'!AE:AE)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stats'!Z:Z)=0),0,IF(OR(_xlfn.XLOOKUP(Animals!B75,'Base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stats'!AA:AA),0.005))</f>
        <v>0.1</v>
      </c>
      <c r="BE75" s="23">
        <f>MIN(1,MROUND(IF(AND(AO75&lt;0.5,_xlfn.XLOOKUP(B75,'Base stats'!B:B,'Base stats'!Z:Z)=0),0,IF(_xlfn.XLOOKUP(_xlfn.XLOOKUP(B75,'Base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stats'!AB:AB),0.005))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stats'!AL:AL)="Standard","No",MROUND((_xlfn.XLOOKUP(B75,'Base stats'!B:B,'Base stats'!AL:AL)/3.6)/I75,0.1))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stats'!AC:AC)&lt;&gt;"No",_xlfn.XLOOKUP(B75,'Base stats'!B:B,'Base stats'!AC:AC),"")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stats'!AC:AC)&lt;&gt;"No",_xlfn.XLOOKUP(B75,'Base stats'!B:B,'Base stats'!AC:AC),"")
  )
)</f>
        <v>AttackTarget</v>
      </c>
      <c r="BQ75" s="25" t="str">
        <f>IF(
   AND(
      'Base stats'!AL75="Standard",_xlfn.XLOOKUP(_xlfn.XLOOKUP(B75,'Base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stats'!AT:AT) * 1.8) * 2) * 2.5 + 10 + I75 * 2,5)+IF(_xlfn.XLOOKUP(B75,'Base stats'!B:B,'Base stats'!AI:AI)=1,50,0)</f>
        <v>230</v>
      </c>
      <c r="BS75" s="8">
        <f t="shared" si="12"/>
        <v>1.05</v>
      </c>
      <c r="BT75" s="8" t="str">
        <f>_xlfn.XLOOKUP(B75,'Base stats'!B:B,'Base stats'!AD:AD)</f>
        <v>1~3</v>
      </c>
      <c r="BU75" s="2" t="str">
        <f>IF(AND(J75&lt;=0.95,OR(_xlfn.XLOOKUP(B75,'Base stats'!B:B,'Base stats'!AI:AI)=1,_xlfn.XLOOKUP(B75,'Base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stats'!AG:AG)=1,"true","false")</f>
        <v>false</v>
      </c>
      <c r="BW75" s="25" t="str">
        <f>IF(E75="BaseInsect","AnimalInsect",
IF(J75&gt;0.95,"AnimalExotic",
_xlfn.TEXTJOIN(", ",TRUE,
IF(OR(_xlfn.XLOOKUP(B75,'Base stats'!B:B,'Base stats'!AK:AK)=1,AND(_xlfn.XLOOKUP(B75,'Base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stats'!AI:AI)=1,AND(BI75&lt;&gt;"None",BR75&gt;=60),ISNUMBER(SEARCH("Attack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stats'!AH:AH)=1,"true","false")</f>
        <v>false</v>
      </c>
      <c r="BZ75" s="25">
        <f>IF(_xlfn.XLOOKUP(B75,'Base stats'!B:B,'Base stats'!N:N)=1,"No",MAX(0.01,MIN(MROUND(IF(OR(_xlfn.XLOOKUP(B75,'Base stats'!B:B,'Base stats'!AK:AK)=1,AND(BJ75="True",CC75="False")),POWER(10,3.47*LOG10(_xlfn.XLOOKUP(B75,'Base stats'!B:B,'Base stats'!C:C)*1000)^-0.96),POWER(10,4.15*LOG10(_xlfn.XLOOKUP(B75,'Base stats'!B:B,'Base stats'!C:C)*1000)^-0.73))*IF(OR(_xlfn.XLOOKUP(B75,'Base stats'!B:B,'Base stats'!AK:AK)=1,_xlfn.XLOOKUP(B75,'Base stats'!B:B,'Base stats'!AI:AI)=1),0.5,1)/100,0.025),1)))</f>
        <v>0.05</v>
      </c>
      <c r="CA75" s="25" t="str">
        <f>IF(P75="Standard","No",MAX(0.01,IF(_xlfn.XLOOKUP(B75,'Base stats'!B:B,'Base stats'!N:N)=0,MROUND(BZ75*P75,0.05),MIN(1,MAX(0.025,MROUND(IF(OR(CC75="true",AND(BJ75="false",BO75="false")),POWER(10,4.15*LOG10(_xlfn.XLOOKUP(B75,'Base stats'!B:B,'Base stats'!C:C)*1000)^-0.73),POWER(10,3.47*LOG10(_xlfn.XLOOKUP(B75,'Base stats'!B:B,'Base stats'!C:C)*1000)^-0.96))*IF(_xlfn.XLOOKUP(B75,'Base stats'!B:B,'Base stats'!AI:AI)=1,0.5,1)/100,0.025))))))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229</v>
      </c>
      <c r="C76" s="28" t="s">
        <v>768</v>
      </c>
      <c r="D76" s="28" t="s">
        <v>882</v>
      </c>
      <c r="E76" s="28" t="s">
        <v>685</v>
      </c>
      <c r="F76" s="28" t="s">
        <v>685</v>
      </c>
      <c r="G76" s="28" t="s">
        <v>685</v>
      </c>
      <c r="H76" s="2">
        <f>MROUND((
  (IF(AND(_xlfn.XLOOKUP(B76,'Base stats'!B:B,'Base stats'!AJ:AJ)=0,BI76="None",_xlfn.XLOOKUP(_xlfn.XLOOKUP(B76,'Base stats'!B:B,'Base stats'!E:E),Groups!A:A,Groups!B:B)=0), (18 + BR76 * 2.7) * 0.5,
    IF(AND(_xlfn.XLOOKUP(B76,'Base stats'!B:B,'Base stats'!AJ:AJ)=0,OR(AO76&lt;0.55,AND(BI76="Intermediate",_xlfn.XLOOKUP(_xlfn.XLOOKUP(B76,'Base stats'!B:B,'Base stats'!E:E),Groups!A:A,Groups!B:B)&lt;2))), (18 + BR76 * 2.7),
      IF(OR(BI76="Advanced",_xlfn.XLOOKUP(B76,'Base stats'!B:B,'Base stats'!AJ:AJ)=1,_xlfn.XLOOKUP(_xlfn.XLOOKUP(B76,'Base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IF(_xlfn.XLOOKUP(_xlfn.XLOOKUP(B76,'Base stats'!B:B,'Base stats'!E:E),Groups!A:A,Groups!C:C)="Untamable",1,IF(_xlfn.XLOOKUP(B76,'Base stats'!B:B,'Base stats'!AJ:AJ)=1,0.99,MIN(MROUND((1-0.6282*EXP(-0.459*AO76))*_xlfn.XLOOKUP(_xlfn.XLOOKUP(B76,'Base stats'!B:B,'Base stats'!E:E),Groups!A:A,Groups!C:C)*IF(_xlfn.XLOOKUP(B76,'Base stats'!B:B,'Base stats'!O:O)=1,0.5,IF(_xlfn.XLOOKUP(B76,'Base stats'!B:B,'Base stats'!O:O)=2,0,1)),0.05),0.985)))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IF(_xlfn.XLOOKUP(_xlfn.XLOOKUP(B76,'Base stats'!B:B,'Base stats'!E:E),Groups!A:A,Groups!L:L)=1,MIN(MROUND(_xlfn.XLOOKUP(B76,'Animals CE'!B:B,'Animals CE'!Z:Z)/2+0.05,0.05),200%),"No")</f>
        <v>No</v>
      </c>
      <c r="O76" s="8" t="str">
        <f>IF(_xlfn.XLOOKUP(_xlfn.XLOOKUP(B76,'Base stats'!B:B,'Base stats'!E:E),Groups!A:A,Groups!L:L)=1,MIN(MROUND(_xlfn.XLOOKUP(B76,'Animals CE'!B:B,'Animals CE'!AA:AA)/2+0.05,0.05),200%),"No")</f>
        <v>No</v>
      </c>
      <c r="P76" s="2" t="str">
        <f>_xlfn.XLOOKUP(B76,'Base stats'!B:B,'Base stats'!R:R)</f>
        <v>Standard</v>
      </c>
      <c r="Q76" s="13">
        <f>MROUND((LOG10(_xlfn.XLOOKUP(B76,'Base stats'!B:B,'Base stats'!AP:AP))*(AO76^0.5)+(_xlfn.XLOOKUP(B76,'Base stats'!B:B,'Base stats'!AP:AP)/1000)^(2/3)+_xlfn.XLOOKUP(B76,'Base stats'!B:B,'Base stats'!AY:AY)/2)+0.5,0.5)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stats'!AQ:AQ))*(AO76^0.5)+(_xlfn.XLOOKUP(B76,'Base stats'!B:B,'Base stats'!AQ:AQ)/1000)^(2/3)+_xlfn.XLOOKUP(B76,'Base stats'!B:B,'Base stats'!AY:AY))+_xlfn.XLOOKUP(B76,'Base stats'!B:B,'Base stats'!AW:AW)+0.5,0.5))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stats'!AS:AS))*(AO76^0.5)+(_xlfn.XLOOKUP(B76,'Base stats'!B:B,'Base stats'!AS:AS)/1000)^(2/3)+_xlfn.XLOOKUP(B76,'Base stats'!B:B,'Base stats'!AX:AX))+0.5+IF(_xlfn.XLOOKUP(_xlfn.XLOOKUP(B76,'Base stats'!B:B,'Base stats'!E:E),Groups!A:A,Groups!U:U)&lt;&gt;3,_xlfn.XLOOKUP(B76,'Base stats'!B:B,'Base stats'!AY:AY),0),0.5))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stats'!AR:AR)="No","No",MROUND((LOG10(_xlfn.XLOOKUP(B76,'Base stats'!B:B,'Base stats'!AR:AR))*(AO76^0.75)+(_xlfn.XLOOKUP(B76,'Base stats'!B:B,'Base stats'!AR:AR)/1000)^(2/3)+_xlfn.XLOOKUP(B76,'Base stats'!B:B,'Base stats'!AV:AV)+_xlfn.XLOOKUP(B76,'Base stats'!B:B,'Base stats'!AY:AY))+0.5,0.5))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stats'!AQ:AQ))*(AO76^0.75)+(_xlfn.XLOOKUP(B76,'Base stats'!B:B,'Base stats'!AQ:AQ)/1000)^(2/3)+_xlfn.XLOOKUP(B76,'Base stats'!B:B,'Base stats'!AW:AW)+_xlfn.XLOOKUP(B76,'Base stats'!B:B,'Base stats'!AY:AY))+0.5,0.5))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8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IFERROR(IF(_xlfn.XLOOKUP(B76,'Base stats'!B:B,'Base stats'!F:F)="Lay eggs","Lay eggs",MIN(20,MAX(5.5,ROUND(((_xlfn.XLOOKUP(B76,'Base stats'!B:B,'Base stats'!F:F)-25)*(14.5/615) + 5.5)*2,0)/2))),"Cannot breed")</f>
        <v>6</v>
      </c>
      <c r="AT76" s="8">
        <f>IF(OR(A76="Queen",A76="Larva",A76="Megachicken",A76="Megatardi",A76="Toxscorpion"),"No",IFERROR(MAX(IF(_xlfn.XLOOKUP(B76,'Base stats'!B:B,'Base stats'!G:G)&lt;0.5,0.2,0.3),MROUND(_xlfn.XLOOKUP(B76,'Base stats'!B:B,'Base stats'!G:G)/(365/60),0.2)),"Unknown"))</f>
        <v>0.60000000000000009</v>
      </c>
      <c r="AU76" s="8">
        <f t="shared" si="7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_xlfn.XLOOKUP(B76,'Base stats'!B:B,'Base stats'!AF:AF)</f>
        <v>&lt;li&gt;ColossusToad&lt;/li&gt;</v>
      </c>
      <c r="BB76" s="2" t="str">
        <f>_xlfn.XLOOKUP(B76,'Base stats'!B:B,'Base stats'!AE:AE)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stats'!Z:Z)=0),0,IF(OR(_xlfn.XLOOKUP(Animals!B76,'Base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stats'!AA:AA),0.005))</f>
        <v>0</v>
      </c>
      <c r="BE76" s="23">
        <f>MIN(1,MROUND(IF(AND(AO76&lt;0.5,_xlfn.XLOOKUP(B76,'Base stats'!B:B,'Base stats'!Z:Z)=0),0,IF(_xlfn.XLOOKUP(_xlfn.XLOOKUP(B76,'Base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stats'!AB:AB),0.005))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stats'!AL:AL)="Standard","No",MROUND((_xlfn.XLOOKUP(B76,'Base stats'!B:B,'Base stats'!AL:AL)/3.6)/I76,0.1))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stats'!AC:AC)&lt;&gt;"No",_xlfn.XLOOKUP(B76,'Base stats'!B:B,'Base stats'!AC:AC),"")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stats'!AC:AC)&lt;&gt;"No",_xlfn.XLOOKUP(B76,'Base stats'!B:B,'Base stats'!AC:AC),"")
  )
)</f>
        <v>No</v>
      </c>
      <c r="BQ76" s="25">
        <f>IF(
   AND(
      'Base stats'!AL76="Standard",_xlfn.XLOOKUP(_xlfn.XLOOKUP(B76,'Base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stats'!AT:AT) * 1.8) * 2) * 2.5 + 10 + I76 * 2,5)+IF(_xlfn.XLOOKUP(B76,'Base stats'!B:B,'Base stats'!AI:AI)=1,50,0)</f>
        <v>20</v>
      </c>
      <c r="BS76" s="8">
        <f t="shared" si="12"/>
        <v>0.05</v>
      </c>
      <c r="BT76" s="8" t="str">
        <f>_xlfn.XLOOKUP(B76,'Base stats'!B:B,'Base stats'!AD:AD)</f>
        <v>No</v>
      </c>
      <c r="BU76" s="2" t="str">
        <f>IF(AND(J76&lt;=0.95,OR(_xlfn.XLOOKUP(B76,'Base stats'!B:B,'Base stats'!AI:AI)=1,_xlfn.XLOOKUP(B76,'Base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stats'!AG:AG)=1,"true","false")</f>
        <v>false</v>
      </c>
      <c r="BW76" s="25" t="str">
        <f>IF(E76="BaseInsect","AnimalInsect",
IF(J76&gt;0.95,"AnimalExotic",
_xlfn.TEXTJOIN(", ",TRUE,
IF(OR(_xlfn.XLOOKUP(B76,'Base stats'!B:B,'Base stats'!AK:AK)=1,AND(_xlfn.XLOOKUP(B76,'Base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stats'!AI:AI)=1,AND(BI76&lt;&gt;"None",BR76&gt;=60),ISNUMBER(SEARCH("Attack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stats'!AH:AH)=1,"true","false")</f>
        <v>false</v>
      </c>
      <c r="BZ76" s="25">
        <f>IF(_xlfn.XLOOKUP(B76,'Base stats'!B:B,'Base stats'!N:N)=1,"No",MAX(0.01,MIN(MROUND(IF(OR(_xlfn.XLOOKUP(B76,'Base stats'!B:B,'Base stats'!AK:AK)=1,AND(BJ76="True",CC76="False")),POWER(10,3.47*LOG10(_xlfn.XLOOKUP(B76,'Base stats'!B:B,'Base stats'!C:C)*1000)^-0.96),POWER(10,4.15*LOG10(_xlfn.XLOOKUP(B76,'Base stats'!B:B,'Base stats'!C:C)*1000)^-0.73))*IF(OR(_xlfn.XLOOKUP(B76,'Base stats'!B:B,'Base stats'!AK:AK)=1,_xlfn.XLOOKUP(B76,'Base stats'!B:B,'Base stats'!AI:AI)=1),0.5,1)/100,0.025),1)))</f>
        <v>1</v>
      </c>
      <c r="CA76" s="25" t="str">
        <f>IF(P76="Standard","No",MAX(0.01,IF(_xlfn.XLOOKUP(B76,'Base stats'!B:B,'Base stats'!N:N)=0,MROUND(BZ76*P76,0.05),MIN(1,MAX(0.025,MROUND(IF(OR(CC76="true",AND(BJ76="false",BO76="false")),POWER(10,4.15*LOG10(_xlfn.XLOOKUP(B76,'Base stats'!B:B,'Base stats'!C:C)*1000)^-0.73),POWER(10,3.47*LOG10(_xlfn.XLOOKUP(B76,'Base stats'!B:B,'Base stats'!C:C)*1000)^-0.96))*IF(_xlfn.XLOOKUP(B76,'Base stats'!B:B,'Base stats'!AI:AI)=1,0.5,1)/100,0.025))))))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310</v>
      </c>
      <c r="C77" s="28" t="s">
        <v>769</v>
      </c>
      <c r="D77" s="28" t="s">
        <v>882</v>
      </c>
      <c r="E77" s="28" t="s">
        <v>685</v>
      </c>
      <c r="F77" s="28" t="s">
        <v>685</v>
      </c>
      <c r="G77" s="28" t="s">
        <v>685</v>
      </c>
      <c r="H77" s="2">
        <f>MROUND((
  (IF(AND(_xlfn.XLOOKUP(B77,'Base stats'!B:B,'Base stats'!AJ:AJ)=0,BI77="None",_xlfn.XLOOKUP(_xlfn.XLOOKUP(B77,'Base stats'!B:B,'Base stats'!E:E),Groups!A:A,Groups!B:B)=0), (18 + BR77 * 2.7) * 0.5,
    IF(AND(_xlfn.XLOOKUP(B77,'Base stats'!B:B,'Base stats'!AJ:AJ)=0,OR(AO77&lt;0.55,AND(BI77="Intermediate",_xlfn.XLOOKUP(_xlfn.XLOOKUP(B77,'Base stats'!B:B,'Base stats'!E:E),Groups!A:A,Groups!B:B)&lt;2))), (18 + BR77 * 2.7),
      IF(OR(BI77="Advanced",_xlfn.XLOOKUP(B77,'Base stats'!B:B,'Base stats'!AJ:AJ)=1,_xlfn.XLOOKUP(_xlfn.XLOOKUP(B77,'Base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IF(_xlfn.XLOOKUP(_xlfn.XLOOKUP(B77,'Base stats'!B:B,'Base stats'!E:E),Groups!A:A,Groups!C:C)="Untamable",1,IF(_xlfn.XLOOKUP(B77,'Base stats'!B:B,'Base stats'!AJ:AJ)=1,0.99,MIN(MROUND((1-0.6282*EXP(-0.459*AO77))*_xlfn.XLOOKUP(_xlfn.XLOOKUP(B77,'Base stats'!B:B,'Base stats'!E:E),Groups!A:A,Groups!C:C)*IF(_xlfn.XLOOKUP(B77,'Base stats'!B:B,'Base stats'!O:O)=1,0.5,IF(_xlfn.XLOOKUP(B77,'Base stats'!B:B,'Base stats'!O:O)=2,0,1)),0.05),0.985)))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IF(_xlfn.XLOOKUP(_xlfn.XLOOKUP(B77,'Base stats'!B:B,'Base stats'!E:E),Groups!A:A,Groups!L:L)=1,MIN(MROUND(_xlfn.XLOOKUP(B77,'Animals CE'!B:B,'Animals CE'!Z:Z)/2+0.05,0.05),200%),"No")</f>
        <v>No</v>
      </c>
      <c r="O77" s="8" t="str">
        <f>IF(_xlfn.XLOOKUP(_xlfn.XLOOKUP(B77,'Base stats'!B:B,'Base stats'!E:E),Groups!A:A,Groups!L:L)=1,MIN(MROUND(_xlfn.XLOOKUP(B77,'Animals CE'!B:B,'Animals CE'!AA:AA)/2+0.05,0.05),200%),"No")</f>
        <v>No</v>
      </c>
      <c r="P77" s="2" t="str">
        <f>_xlfn.XLOOKUP(B77,'Base stats'!B:B,'Base stats'!R:R)</f>
        <v>Standard</v>
      </c>
      <c r="Q77" s="13">
        <f>MROUND((LOG10(_xlfn.XLOOKUP(B77,'Base stats'!B:B,'Base stats'!AP:AP))*(AO77^0.5)+(_xlfn.XLOOKUP(B77,'Base stats'!B:B,'Base stats'!AP:AP)/1000)^(2/3)+_xlfn.XLOOKUP(B77,'Base stats'!B:B,'Base stats'!AY:AY)/2)+0.5,0.5)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stats'!AQ:AQ))*(AO77^0.5)+(_xlfn.XLOOKUP(B77,'Base stats'!B:B,'Base stats'!AQ:AQ)/1000)^(2/3)+_xlfn.XLOOKUP(B77,'Base stats'!B:B,'Base stats'!AY:AY))+_xlfn.XLOOKUP(B77,'Base stats'!B:B,'Base stats'!AW:AW)+0.5,0.5))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stats'!AS:AS))*(AO77^0.5)+(_xlfn.XLOOKUP(B77,'Base stats'!B:B,'Base stats'!AS:AS)/1000)^(2/3)+_xlfn.XLOOKUP(B77,'Base stats'!B:B,'Base stats'!AX:AX))+0.5+IF(_xlfn.XLOOKUP(_xlfn.XLOOKUP(B77,'Base stats'!B:B,'Base stats'!E:E),Groups!A:A,Groups!U:U)&lt;&gt;3,_xlfn.XLOOKUP(B77,'Base stats'!B:B,'Base stats'!AY:AY),0),0.5))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stats'!AR:AR)="No","No",MROUND((LOG10(_xlfn.XLOOKUP(B77,'Base stats'!B:B,'Base stats'!AR:AR))*(AO77^0.75)+(_xlfn.XLOOKUP(B77,'Base stats'!B:B,'Base stats'!AR:AR)/1000)^(2/3)+_xlfn.XLOOKUP(B77,'Base stats'!B:B,'Base stats'!AV:AV)+_xlfn.XLOOKUP(B77,'Base stats'!B:B,'Base stats'!AY:AY))+0.5,0.5))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stats'!AQ:AQ))*(AO77^0.75)+(_xlfn.XLOOKUP(B77,'Base stats'!B:B,'Base stats'!AQ:AQ)/1000)^(2/3)+_xlfn.XLOOKUP(B77,'Base stats'!B:B,'Base stats'!AW:AW)+_xlfn.XLOOKUP(B77,'Base stats'!B:B,'Base stats'!AY:AY))+0.5,0.5))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8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IFERROR(IF(_xlfn.XLOOKUP(B77,'Base stats'!B:B,'Base stats'!F:F)="Lay eggs","Lay eggs",MIN(20,MAX(5.5,ROUND(((_xlfn.XLOOKUP(B77,'Base stats'!B:B,'Base stats'!F:F)-25)*(14.5/615) + 5.5)*2,0)/2))),"Cannot breed")</f>
        <v>7.5</v>
      </c>
      <c r="AT77" s="8">
        <f>IF(OR(A77="Queen",A77="Larva",A77="Megachicken",A77="Megatardi",A77="Toxscorpion"),"No",IFERROR(MAX(IF(_xlfn.XLOOKUP(B77,'Base stats'!B:B,'Base stats'!G:G)&lt;0.5,0.2,0.3),MROUND(_xlfn.XLOOKUP(B77,'Base stats'!B:B,'Base stats'!G:G)/(365/60),0.2)),"Unknown"))</f>
        <v>0.8</v>
      </c>
      <c r="AU77" s="8">
        <f t="shared" si="7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_xlfn.XLOOKUP(B77,'Base stats'!B:B,'Base stats'!AF:AF)</f>
        <v>No</v>
      </c>
      <c r="BB77" s="2" t="str">
        <f>_xlfn.XLOOKUP(B77,'Base stats'!B:B,'Base stats'!AE:AE)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stats'!Z:Z)=0),0,IF(OR(_xlfn.XLOOKUP(Animals!B77,'Base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stats'!AA:AA),0.005))</f>
        <v>0</v>
      </c>
      <c r="BE77" s="23">
        <f>MIN(1,MROUND(IF(AND(AO77&lt;0.5,_xlfn.XLOOKUP(B77,'Base stats'!B:B,'Base stats'!Z:Z)=0),0,IF(_xlfn.XLOOKUP(_xlfn.XLOOKUP(B77,'Base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stats'!AB:AB),0.005))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stats'!AL:AL)="Standard","No",MROUND((_xlfn.XLOOKUP(B77,'Base stats'!B:B,'Base stats'!AL:AL)/3.6)/I77,0.1))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stats'!AC:AC)&lt;&gt;"No",_xlfn.XLOOKUP(B77,'Base stats'!B:B,'Base stats'!AC:AC),"")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stats'!AC:AC)&lt;&gt;"No",_xlfn.XLOOKUP(B77,'Base stats'!B:B,'Base stats'!AC:AC),"")
  )
)</f>
        <v>No</v>
      </c>
      <c r="BQ77" s="25">
        <f>IF(
   AND(
      'Base stats'!AL77="Standard",_xlfn.XLOOKUP(_xlfn.XLOOKUP(B77,'Base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stats'!AT:AT) * 1.8) * 2) * 2.5 + 10 + I77 * 2,5)+IF(_xlfn.XLOOKUP(B77,'Base stats'!B:B,'Base stats'!AI:AI)=1,50,0)</f>
        <v>55</v>
      </c>
      <c r="BS77" s="8">
        <f t="shared" si="12"/>
        <v>0.30000000000000004</v>
      </c>
      <c r="BT77" s="8" t="str">
        <f>_xlfn.XLOOKUP(B77,'Base stats'!B:B,'Base stats'!AD:AD)</f>
        <v>No</v>
      </c>
      <c r="BU77" s="2" t="str">
        <f>IF(AND(J77&lt;=0.95,OR(_xlfn.XLOOKUP(B77,'Base stats'!B:B,'Base stats'!AI:AI)=1,_xlfn.XLOOKUP(B77,'Base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stats'!AG:AG)=1,"true","false")</f>
        <v>false</v>
      </c>
      <c r="BW77" s="25" t="str">
        <f>IF(E77="BaseInsect","AnimalInsect",
IF(J77&gt;0.95,"AnimalExotic",
_xlfn.TEXTJOIN(", ",TRUE,
IF(OR(_xlfn.XLOOKUP(B77,'Base stats'!B:B,'Base stats'!AK:AK)=1,AND(_xlfn.XLOOKUP(B77,'Base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stats'!AI:AI)=1,AND(BI77&lt;&gt;"None",BR77&gt;=60),ISNUMBER(SEARCH("Attack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stats'!AH:AH)=1,"true","false")</f>
        <v>false</v>
      </c>
      <c r="BZ77" s="25">
        <f>IF(_xlfn.XLOOKUP(B77,'Base stats'!B:B,'Base stats'!N:N)=1,"No",MAX(0.01,MIN(MROUND(IF(OR(_xlfn.XLOOKUP(B77,'Base stats'!B:B,'Base stats'!AK:AK)=1,AND(BJ77="True",CC77="False")),POWER(10,3.47*LOG10(_xlfn.XLOOKUP(B77,'Base stats'!B:B,'Base stats'!C:C)*1000)^-0.96),POWER(10,4.15*LOG10(_xlfn.XLOOKUP(B77,'Base stats'!B:B,'Base stats'!C:C)*1000)^-0.73))*IF(OR(_xlfn.XLOOKUP(B77,'Base stats'!B:B,'Base stats'!AK:AK)=1,_xlfn.XLOOKUP(B77,'Base stats'!B:B,'Base stats'!AI:AI)=1),0.5,1)/100,0.025),1)))</f>
        <v>0.22500000000000001</v>
      </c>
      <c r="CA77" s="25" t="str">
        <f>IF(P77="Standard","No",MAX(0.01,IF(_xlfn.XLOOKUP(B77,'Base stats'!B:B,'Base stats'!N:N)=0,MROUND(BZ77*P77,0.05),MIN(1,MAX(0.025,MROUND(IF(OR(CC77="true",AND(BJ77="false",BO77="false")),POWER(10,4.15*LOG10(_xlfn.XLOOKUP(B77,'Base stats'!B:B,'Base stats'!C:C)*1000)^-0.73),POWER(10,3.47*LOG10(_xlfn.XLOOKUP(B77,'Base stats'!B:B,'Base stats'!C:C)*1000)^-0.96))*IF(_xlfn.XLOOKUP(B77,'Base stats'!B:B,'Base stats'!AI:AI)=1,0.5,1)/100,0.025))))))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186</v>
      </c>
      <c r="C78" s="28" t="s">
        <v>770</v>
      </c>
      <c r="D78" s="28" t="s">
        <v>882</v>
      </c>
      <c r="E78" s="28" t="s">
        <v>685</v>
      </c>
      <c r="F78" s="28" t="s">
        <v>685</v>
      </c>
      <c r="G78" s="28" t="s">
        <v>685</v>
      </c>
      <c r="H78" s="2">
        <f>MROUND((
  (IF(AND(_xlfn.XLOOKUP(B78,'Base stats'!B:B,'Base stats'!AJ:AJ)=0,BI78="None",_xlfn.XLOOKUP(_xlfn.XLOOKUP(B78,'Base stats'!B:B,'Base stats'!E:E),Groups!A:A,Groups!B:B)=0), (18 + BR78 * 2.7) * 0.5,
    IF(AND(_xlfn.XLOOKUP(B78,'Base stats'!B:B,'Base stats'!AJ:AJ)=0,OR(AO78&lt;0.55,AND(BI78="Intermediate",_xlfn.XLOOKUP(_xlfn.XLOOKUP(B78,'Base stats'!B:B,'Base stats'!E:E),Groups!A:A,Groups!B:B)&lt;2))), (18 + BR78 * 2.7),
      IF(OR(BI78="Advanced",_xlfn.XLOOKUP(B78,'Base stats'!B:B,'Base stats'!AJ:AJ)=1,_xlfn.XLOOKUP(_xlfn.XLOOKUP(B78,'Base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IF(_xlfn.XLOOKUP(_xlfn.XLOOKUP(B78,'Base stats'!B:B,'Base stats'!E:E),Groups!A:A,Groups!C:C)="Untamable",1,IF(_xlfn.XLOOKUP(B78,'Base stats'!B:B,'Base stats'!AJ:AJ)=1,0.99,MIN(MROUND((1-0.6282*EXP(-0.459*AO78))*_xlfn.XLOOKUP(_xlfn.XLOOKUP(B78,'Base stats'!B:B,'Base stats'!E:E),Groups!A:A,Groups!C:C)*IF(_xlfn.XLOOKUP(B78,'Base stats'!B:B,'Base stats'!O:O)=1,0.5,IF(_xlfn.XLOOKUP(B78,'Base stats'!B:B,'Base stats'!O:O)=2,0,1)),0.05),0.985)))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IF(_xlfn.XLOOKUP(_xlfn.XLOOKUP(B78,'Base stats'!B:B,'Base stats'!E:E),Groups!A:A,Groups!L:L)=1,MIN(MROUND(_xlfn.XLOOKUP(B78,'Animals CE'!B:B,'Animals CE'!Z:Z)/2+0.05,0.05),200%),"No")</f>
        <v>No</v>
      </c>
      <c r="O78" s="8" t="str">
        <f>IF(_xlfn.XLOOKUP(_xlfn.XLOOKUP(B78,'Base stats'!B:B,'Base stats'!E:E),Groups!A:A,Groups!L:L)=1,MIN(MROUND(_xlfn.XLOOKUP(B78,'Animals CE'!B:B,'Animals CE'!AA:AA)/2+0.05,0.05),200%),"No")</f>
        <v>No</v>
      </c>
      <c r="P78" s="2" t="str">
        <f>_xlfn.XLOOKUP(B78,'Base stats'!B:B,'Base stats'!R:R)</f>
        <v>Standard</v>
      </c>
      <c r="Q78" s="13">
        <f>MROUND((LOG10(_xlfn.XLOOKUP(B78,'Base stats'!B:B,'Base stats'!AP:AP))*(AO78^0.5)+(_xlfn.XLOOKUP(B78,'Base stats'!B:B,'Base stats'!AP:AP)/1000)^(2/3)+_xlfn.XLOOKUP(B78,'Base stats'!B:B,'Base stats'!AY:AY)/2)+0.5,0.5)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stats'!AQ:AQ))*(AO78^0.5)+(_xlfn.XLOOKUP(B78,'Base stats'!B:B,'Base stats'!AQ:AQ)/1000)^(2/3)+_xlfn.XLOOKUP(B78,'Base stats'!B:B,'Base stats'!AY:AY))+_xlfn.XLOOKUP(B78,'Base stats'!B:B,'Base stats'!AW:AW)+0.5,0.5))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stats'!AS:AS))*(AO78^0.5)+(_xlfn.XLOOKUP(B78,'Base stats'!B:B,'Base stats'!AS:AS)/1000)^(2/3)+_xlfn.XLOOKUP(B78,'Base stats'!B:B,'Base stats'!AX:AX))+0.5+IF(_xlfn.XLOOKUP(_xlfn.XLOOKUP(B78,'Base stats'!B:B,'Base stats'!E:E),Groups!A:A,Groups!U:U)&lt;&gt;3,_xlfn.XLOOKUP(B78,'Base stats'!B:B,'Base stats'!AY:AY),0),0.5))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stats'!AR:AR)="No","No",MROUND((LOG10(_xlfn.XLOOKUP(B78,'Base stats'!B:B,'Base stats'!AR:AR))*(AO78^0.75)+(_xlfn.XLOOKUP(B78,'Base stats'!B:B,'Base stats'!AR:AR)/1000)^(2/3)+_xlfn.XLOOKUP(B78,'Base stats'!B:B,'Base stats'!AV:AV)+_xlfn.XLOOKUP(B78,'Base stats'!B:B,'Base stats'!AY:AY))+0.5,0.5))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stats'!AQ:AQ))*(AO78^0.75)+(_xlfn.XLOOKUP(B78,'Base stats'!B:B,'Base stats'!AQ:AQ)/1000)^(2/3)+_xlfn.XLOOKUP(B78,'Base stats'!B:B,'Base stats'!AW:AW)+_xlfn.XLOOKUP(B78,'Base stats'!B:B,'Base stats'!AY:AY))+0.5,0.5))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8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IFERROR(IF(_xlfn.XLOOKUP(B78,'Base stats'!B:B,'Base stats'!F:F)="Lay eggs","Lay eggs",MIN(20,MAX(5.5,ROUND(((_xlfn.XLOOKUP(B78,'Base stats'!B:B,'Base stats'!F:F)-25)*(14.5/615) + 5.5)*2,0)/2))),"Cannot breed")</f>
        <v>10.5</v>
      </c>
      <c r="AT78" s="8">
        <f>IF(OR(A78="Queen",A78="Larva",A78="Megachicken",A78="Megatardi",A78="Toxscorpion"),"No",IFERROR(MAX(IF(_xlfn.XLOOKUP(B78,'Base stats'!B:B,'Base stats'!G:G)&lt;0.5,0.2,0.3),MROUND(_xlfn.XLOOKUP(B78,'Base stats'!B:B,'Base stats'!G:G)/(365/60),0.2)),"Unknown"))</f>
        <v>0.60000000000000009</v>
      </c>
      <c r="AU78" s="8">
        <f t="shared" si="7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_xlfn.XLOOKUP(B78,'Base stats'!B:B,'Base stats'!AF:AF)</f>
        <v>No</v>
      </c>
      <c r="BB78" s="2" t="str">
        <f>_xlfn.XLOOKUP(B78,'Base stats'!B:B,'Base stats'!AE:AE)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stats'!Z:Z)=0),0,IF(OR(_xlfn.XLOOKUP(Animals!B78,'Base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stats'!AA:AA),0.005))</f>
        <v>0.1</v>
      </c>
      <c r="BE78" s="23">
        <f>MIN(1,MROUND(IF(AND(AO78&lt;0.5,_xlfn.XLOOKUP(B78,'Base stats'!B:B,'Base stats'!Z:Z)=0),0,IF(_xlfn.XLOOKUP(_xlfn.XLOOKUP(B78,'Base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stats'!AB:AB),0.005))</f>
        <v>0.3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stats'!AL:AL)="Standard","No",MROUND((_xlfn.XLOOKUP(B78,'Base stats'!B:B,'Base stats'!AL:AL)/3.6)/I78,0.1))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stats'!AC:AC)&lt;&gt;"No",_xlfn.XLOOKUP(B78,'Base stats'!B:B,'Base stats'!AC:AC),"")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stats'!AC:AC)&lt;&gt;"No",_xlfn.XLOOKUP(B78,'Base stats'!B:B,'Base stats'!AC:AC),"")
  )
)</f>
        <v>No</v>
      </c>
      <c r="BQ78" s="25">
        <f>IF(
   AND(
      'Base stats'!AL78="Standard",_xlfn.XLOOKUP(_xlfn.XLOOKUP(B78,'Base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stats'!AT:AT) * 1.8) * 2) * 2.5 + 10 + I78 * 2,5)+IF(_xlfn.XLOOKUP(B78,'Base stats'!B:B,'Base stats'!AI:AI)=1,50,0)</f>
        <v>390</v>
      </c>
      <c r="BS78" s="8">
        <f t="shared" si="12"/>
        <v>2.5</v>
      </c>
      <c r="BT78" s="8" t="str">
        <f>_xlfn.XLOOKUP(B78,'Base stats'!B:B,'Base stats'!AD:AD)</f>
        <v>5~15</v>
      </c>
      <c r="BU78" s="2" t="str">
        <f>IF(AND(J78&lt;=0.95,OR(_xlfn.XLOOKUP(B78,'Base stats'!B:B,'Base stats'!AI:AI)=1,_xlfn.XLOOKUP(B78,'Base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stats'!AG:AG)=1,"true","false")</f>
        <v>false</v>
      </c>
      <c r="BW78" s="25" t="str">
        <f>IF(E78="BaseInsect","AnimalInsect",
IF(J78&gt;0.95,"AnimalExotic",
_xlfn.TEXTJOIN(", ",TRUE,
IF(OR(_xlfn.XLOOKUP(B78,'Base stats'!B:B,'Base stats'!AK:AK)=1,AND(_xlfn.XLOOKUP(B78,'Base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stats'!AI:AI)=1,AND(BI78&lt;&gt;"None",BR78&gt;=60),ISNUMBER(SEARCH("Attack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stats'!AH:AH)=1,"true","false")</f>
        <v>false</v>
      </c>
      <c r="BZ78" s="25">
        <f>IF(_xlfn.XLOOKUP(B78,'Base stats'!B:B,'Base stats'!N:N)=1,"No",MAX(0.01,MIN(MROUND(IF(OR(_xlfn.XLOOKUP(B78,'Base stats'!B:B,'Base stats'!AK:AK)=1,AND(BJ78="True",CC78="False")),POWER(10,3.47*LOG10(_xlfn.XLOOKUP(B78,'Base stats'!B:B,'Base stats'!C:C)*1000)^-0.96),POWER(10,4.15*LOG10(_xlfn.XLOOKUP(B78,'Base stats'!B:B,'Base stats'!C:C)*1000)^-0.73))*IF(OR(_xlfn.XLOOKUP(B78,'Base stats'!B:B,'Base stats'!AK:AK)=1,_xlfn.XLOOKUP(B78,'Base stats'!B:B,'Base stats'!AI:AI)=1),0.5,1)/100,0.025),1)))</f>
        <v>0.125</v>
      </c>
      <c r="CA78" s="25" t="str">
        <f>IF(P78="Standard","No",MAX(0.01,IF(_xlfn.XLOOKUP(B78,'Base stats'!B:B,'Base stats'!N:N)=0,MROUND(BZ78*P78,0.05),MIN(1,MAX(0.025,MROUND(IF(OR(CC78="true",AND(BJ78="false",BO78="false")),POWER(10,4.15*LOG10(_xlfn.XLOOKUP(B78,'Base stats'!B:B,'Base stats'!C:C)*1000)^-0.73),POWER(10,3.47*LOG10(_xlfn.XLOOKUP(B78,'Base stats'!B:B,'Base stats'!C:C)*1000)^-0.96))*IF(_xlfn.XLOOKUP(B78,'Base stats'!B:B,'Base stats'!AI:AI)=1,0.5,1)/100,0.025))))))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287</v>
      </c>
      <c r="C79" s="28" t="s">
        <v>771</v>
      </c>
      <c r="D79" s="28" t="s">
        <v>882</v>
      </c>
      <c r="E79" s="28" t="s">
        <v>685</v>
      </c>
      <c r="F79" s="28" t="s">
        <v>685</v>
      </c>
      <c r="G79" s="28" t="s">
        <v>685</v>
      </c>
      <c r="H79" s="2">
        <f>MROUND((
  (IF(AND(_xlfn.XLOOKUP(B79,'Base stats'!B:B,'Base stats'!AJ:AJ)=0,BI79="None",_xlfn.XLOOKUP(_xlfn.XLOOKUP(B79,'Base stats'!B:B,'Base stats'!E:E),Groups!A:A,Groups!B:B)=0), (18 + BR79 * 2.7) * 0.5,
    IF(AND(_xlfn.XLOOKUP(B79,'Base stats'!B:B,'Base stats'!AJ:AJ)=0,OR(AO79&lt;0.55,AND(BI79="Intermediate",_xlfn.XLOOKUP(_xlfn.XLOOKUP(B79,'Base stats'!B:B,'Base stats'!E:E),Groups!A:A,Groups!B:B)&lt;2))), (18 + BR79 * 2.7),
      IF(OR(BI79="Advanced",_xlfn.XLOOKUP(B79,'Base stats'!B:B,'Base stats'!AJ:AJ)=1,_xlfn.XLOOKUP(_xlfn.XLOOKUP(B79,'Base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IF(_xlfn.XLOOKUP(_xlfn.XLOOKUP(B79,'Base stats'!B:B,'Base stats'!E:E),Groups!A:A,Groups!C:C)="Untamable",1,IF(_xlfn.XLOOKUP(B79,'Base stats'!B:B,'Base stats'!AJ:AJ)=1,0.99,MIN(MROUND((1-0.6282*EXP(-0.459*AO79))*_xlfn.XLOOKUP(_xlfn.XLOOKUP(B79,'Base stats'!B:B,'Base stats'!E:E),Groups!A:A,Groups!C:C)*IF(_xlfn.XLOOKUP(B79,'Base stats'!B:B,'Base stats'!O:O)=1,0.5,IF(_xlfn.XLOOKUP(B79,'Base stats'!B:B,'Base stats'!O:O)=2,0,1)),0.05),0.985)))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IF(_xlfn.XLOOKUP(_xlfn.XLOOKUP(B79,'Base stats'!B:B,'Base stats'!E:E),Groups!A:A,Groups!L:L)=1,MIN(MROUND(_xlfn.XLOOKUP(B79,'Animals CE'!B:B,'Animals CE'!Z:Z)/2+0.05,0.05),200%),"No")</f>
        <v>No</v>
      </c>
      <c r="O79" s="8" t="str">
        <f>IF(_xlfn.XLOOKUP(_xlfn.XLOOKUP(B79,'Base stats'!B:B,'Base stats'!E:E),Groups!A:A,Groups!L:L)=1,MIN(MROUND(_xlfn.XLOOKUP(B79,'Animals CE'!B:B,'Animals CE'!AA:AA)/2+0.05,0.05),200%),"No")</f>
        <v>No</v>
      </c>
      <c r="P79" s="2" t="str">
        <f>_xlfn.XLOOKUP(B79,'Base stats'!B:B,'Base stats'!R:R)</f>
        <v>Standard</v>
      </c>
      <c r="Q79" s="13">
        <f>MROUND((LOG10(_xlfn.XLOOKUP(B79,'Base stats'!B:B,'Base stats'!AP:AP))*(AO79^0.5)+(_xlfn.XLOOKUP(B79,'Base stats'!B:B,'Base stats'!AP:AP)/1000)^(2/3)+_xlfn.XLOOKUP(B79,'Base stats'!B:B,'Base stats'!AY:AY)/2)+0.5,0.5)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stats'!AQ:AQ))*(AO79^0.5)+(_xlfn.XLOOKUP(B79,'Base stats'!B:B,'Base stats'!AQ:AQ)/1000)^(2/3)+_xlfn.XLOOKUP(B79,'Base stats'!B:B,'Base stats'!AY:AY))+_xlfn.XLOOKUP(B79,'Base stats'!B:B,'Base stats'!AW:AW)+0.5,0.5))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stats'!AS:AS))*(AO79^0.5)+(_xlfn.XLOOKUP(B79,'Base stats'!B:B,'Base stats'!AS:AS)/1000)^(2/3)+_xlfn.XLOOKUP(B79,'Base stats'!B:B,'Base stats'!AX:AX))+0.5+IF(_xlfn.XLOOKUP(_xlfn.XLOOKUP(B79,'Base stats'!B:B,'Base stats'!E:E),Groups!A:A,Groups!U:U)&lt;&gt;3,_xlfn.XLOOKUP(B79,'Base stats'!B:B,'Base stats'!AY:AY),0),0.5))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stats'!AR:AR)="No","No",MROUND((LOG10(_xlfn.XLOOKUP(B79,'Base stats'!B:B,'Base stats'!AR:AR))*(AO79^0.75)+(_xlfn.XLOOKUP(B79,'Base stats'!B:B,'Base stats'!AR:AR)/1000)^(2/3)+_xlfn.XLOOKUP(B79,'Base stats'!B:B,'Base stats'!AV:AV)+_xlfn.XLOOKUP(B79,'Base stats'!B:B,'Base stats'!AY:AY))+0.5,0.5))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stats'!AQ:AQ))*(AO79^0.75)+(_xlfn.XLOOKUP(B79,'Base stats'!B:B,'Base stats'!AQ:AQ)/1000)^(2/3)+_xlfn.XLOOKUP(B79,'Base stats'!B:B,'Base stats'!AW:AW)+_xlfn.XLOOKUP(B79,'Base stats'!B:B,'Base stats'!AY:AY))+0.5,0.5))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8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IFERROR(IF(_xlfn.XLOOKUP(B79,'Base stats'!B:B,'Base stats'!F:F)="Lay eggs","Lay eggs",MIN(20,MAX(5.5,ROUND(((_xlfn.XLOOKUP(B79,'Base stats'!B:B,'Base stats'!F:F)-25)*(14.5/615) + 5.5)*2,0)/2))),"Cannot breed")</f>
        <v>20</v>
      </c>
      <c r="AT79" s="8">
        <f>IF(OR(A79="Queen",A79="Larva",A79="Megachicken",A79="Megatardi",A79="Toxscorpion"),"No",IFERROR(MAX(IF(_xlfn.XLOOKUP(B79,'Base stats'!B:B,'Base stats'!G:G)&lt;0.5,0.2,0.3),MROUND(_xlfn.XLOOKUP(B79,'Base stats'!B:B,'Base stats'!G:G)/(365/60),0.2)),"Unknown"))</f>
        <v>1.8</v>
      </c>
      <c r="AU79" s="8">
        <f t="shared" si="7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_xlfn.XLOOKUP(B79,'Base stats'!B:B,'Base stats'!AF:AF)</f>
        <v>&lt;li&gt;Elephant&lt;/li&gt;</v>
      </c>
      <c r="BB79" s="2" t="str">
        <f>_xlfn.XLOOKUP(B79,'Base stats'!B:B,'Base stats'!AE:AE)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stats'!Z:Z)=0),0,IF(OR(_xlfn.XLOOKUP(Animals!B79,'Base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stats'!AA:AA),0.005))</f>
        <v>2.5000000000000001E-2</v>
      </c>
      <c r="BE79" s="23">
        <f>MIN(1,MROUND(IF(AND(AO79&lt;0.5,_xlfn.XLOOKUP(B79,'Base stats'!B:B,'Base stats'!Z:Z)=0),0,IF(_xlfn.XLOOKUP(_xlfn.XLOOKUP(B79,'Base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stats'!AB:AB),0.005))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stats'!AL:AL)="Standard","No",MROUND((_xlfn.XLOOKUP(B79,'Base stats'!B:B,'Base stats'!AL:AL)/3.6)/I79,0.1))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stats'!AC:AC)&lt;&gt;"No",_xlfn.XLOOKUP(B79,'Base stats'!B:B,'Base stats'!AC:AC),"")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stats'!AC:AC)&lt;&gt;"No",_xlfn.XLOOKUP(B79,'Base stats'!B:B,'Base stats'!AC:AC),"")
  )
)</f>
        <v>WarTrumpet</v>
      </c>
      <c r="BQ79" s="25" t="str">
        <f>IF(
   AND(
      'Base stats'!AL79="Standard",_xlfn.XLOOKUP(_xlfn.XLOOKUP(B79,'Base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stats'!AT:AT) * 1.8) * 2) * 2.5 + 10 + I79 * 2,5)+IF(_xlfn.XLOOKUP(B79,'Base stats'!B:B,'Base stats'!AI:AI)=1,50,0)</f>
        <v>520</v>
      </c>
      <c r="BS79" s="8">
        <f t="shared" si="12"/>
        <v>3.4000000000000004</v>
      </c>
      <c r="BT79" s="8" t="str">
        <f>_xlfn.XLOOKUP(B79,'Base stats'!B:B,'Base stats'!AD:AD)</f>
        <v>3~10</v>
      </c>
      <c r="BU79" s="2" t="str">
        <f>IF(AND(J79&lt;=0.95,OR(_xlfn.XLOOKUP(B79,'Base stats'!B:B,'Base stats'!AI:AI)=1,_xlfn.XLOOKUP(B79,'Base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stats'!AG:AG)=1,"true","false")</f>
        <v>true</v>
      </c>
      <c r="BW79" s="25" t="str">
        <f>IF(E79="BaseInsect","AnimalInsect",
IF(J79&gt;0.95,"AnimalExotic",
_xlfn.TEXTJOIN(", ",TRUE,
IF(OR(_xlfn.XLOOKUP(B79,'Base stats'!B:B,'Base stats'!AK:AK)=1,AND(_xlfn.XLOOKUP(B79,'Base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stats'!AI:AI)=1,AND(BI79&lt;&gt;"None",BR79&gt;=60),ISNUMBER(SEARCH("Attack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stats'!AH:AH)=1,"true","false")</f>
        <v>false</v>
      </c>
      <c r="BZ79" s="25">
        <f>IF(_xlfn.XLOOKUP(B79,'Base stats'!B:B,'Base stats'!N:N)=1,"No",MAX(0.01,MIN(MROUND(IF(OR(_xlfn.XLOOKUP(B79,'Base stats'!B:B,'Base stats'!AK:AK)=1,AND(BJ79="True",CC79="False")),POWER(10,3.47*LOG10(_xlfn.XLOOKUP(B79,'Base stats'!B:B,'Base stats'!C:C)*1000)^-0.96),POWER(10,4.15*LOG10(_xlfn.XLOOKUP(B79,'Base stats'!B:B,'Base stats'!C:C)*1000)^-0.73))*IF(OR(_xlfn.XLOOKUP(B79,'Base stats'!B:B,'Base stats'!AK:AK)=1,_xlfn.XLOOKUP(B79,'Base stats'!B:B,'Base stats'!AI:AI)=1),0.5,1)/100,0.025),1)))</f>
        <v>0.1</v>
      </c>
      <c r="CA79" s="25" t="str">
        <f>IF(P79="Standard","No",MAX(0.01,IF(_xlfn.XLOOKUP(B79,'Base stats'!B:B,'Base stats'!N:N)=0,MROUND(BZ79*P79,0.05),MIN(1,MAX(0.025,MROUND(IF(OR(CC79="true",AND(BJ79="false",BO79="false")),POWER(10,4.15*LOG10(_xlfn.XLOOKUP(B79,'Base stats'!B:B,'Base stats'!C:C)*1000)^-0.73),POWER(10,3.47*LOG10(_xlfn.XLOOKUP(B79,'Base stats'!B:B,'Base stats'!C:C)*1000)^-0.96))*IF(_xlfn.XLOOKUP(B79,'Base stats'!B:B,'Base stats'!AI:AI)=1,0.5,1)/100,0.025))))))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1143</v>
      </c>
      <c r="C80" s="28" t="s">
        <v>772</v>
      </c>
      <c r="D80" s="28" t="s">
        <v>882</v>
      </c>
      <c r="E80" s="28" t="s">
        <v>685</v>
      </c>
      <c r="F80" s="28" t="s">
        <v>685</v>
      </c>
      <c r="G80" s="28" t="s">
        <v>685</v>
      </c>
      <c r="H80" s="2">
        <f>MROUND((
  (IF(AND(_xlfn.XLOOKUP(B80,'Base stats'!B:B,'Base stats'!AJ:AJ)=0,BI80="None",_xlfn.XLOOKUP(_xlfn.XLOOKUP(B80,'Base stats'!B:B,'Base stats'!E:E),Groups!A:A,Groups!B:B)=0), (18 + BR80 * 2.7) * 0.5,
    IF(AND(_xlfn.XLOOKUP(B80,'Base stats'!B:B,'Base stats'!AJ:AJ)=0,OR(AO80&lt;0.55,AND(BI80="Intermediate",_xlfn.XLOOKUP(_xlfn.XLOOKUP(B80,'Base stats'!B:B,'Base stats'!E:E),Groups!A:A,Groups!B:B)&lt;2))), (18 + BR80 * 2.7),
      IF(OR(BI80="Advanced",_xlfn.XLOOKUP(B80,'Base stats'!B:B,'Base stats'!AJ:AJ)=1,_xlfn.XLOOKUP(_xlfn.XLOOKUP(B80,'Base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3675</v>
      </c>
      <c r="I80" s="2">
        <f>MROUND(ROUNDDOWN(_xlfn.XLOOKUP(B80,'Base stats'!B:B,'Base stats'!L:L)/3.6/(23.3/11),1),0.5)</f>
        <v>4.5</v>
      </c>
      <c r="J80" s="2">
        <f>IF(_xlfn.XLOOKUP(_xlfn.XLOOKUP(B80,'Base stats'!B:B,'Base stats'!E:E),Groups!A:A,Groups!C:C)="Untamable",1,IF(_xlfn.XLOOKUP(B80,'Base stats'!B:B,'Base stats'!AJ:AJ)=1,0.99,MIN(MROUND((1-0.6282*EXP(-0.459*AO80))*_xlfn.XLOOKUP(_xlfn.XLOOKUP(B80,'Base stats'!B:B,'Base stats'!E:E),Groups!A:A,Groups!C:C)*IF(_xlfn.XLOOKUP(B80,'Base stats'!B:B,'Base stats'!O:O)=1,0.5,IF(_xlfn.XLOOKUP(B80,'Base stats'!B:B,'Base stats'!O:O)=2,0,1)),0.05),0.985)))</f>
        <v>0.98499999999999999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IF(_xlfn.XLOOKUP(_xlfn.XLOOKUP(B80,'Base stats'!B:B,'Base stats'!E:E),Groups!A:A,Groups!L:L)=1,MIN(MROUND(_xlfn.XLOOKUP(B80,'Animals CE'!B:B,'Animals CE'!Z:Z)/2+0.05,0.05),200%),"No")</f>
        <v>1.2000000000000002</v>
      </c>
      <c r="O80" s="8">
        <f>IF(_xlfn.XLOOKUP(_xlfn.XLOOKUP(B80,'Base stats'!B:B,'Base stats'!E:E),Groups!A:A,Groups!L:L)=1,MIN(MROUND(_xlfn.XLOOKUP(B80,'Animals CE'!B:B,'Animals CE'!AA:AA)/2+0.05,0.05),200%),"No")</f>
        <v>1.2000000000000002</v>
      </c>
      <c r="P80" s="2">
        <f>_xlfn.XLOOKUP(B80,'Base stats'!B:B,'Base stats'!R:R)</f>
        <v>1</v>
      </c>
      <c r="Q80" s="13">
        <f>MROUND((LOG10(_xlfn.XLOOKUP(B80,'Base stats'!B:B,'Base stats'!AP:AP))*(AO80^0.5)+(_xlfn.XLOOKUP(B80,'Base stats'!B:B,'Base stats'!AP:AP)/1000)^(2/3)+_xlfn.XLOOKUP(B80,'Base stats'!B:B,'Base stats'!AY:AY)/2)+0.5,0.5)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stats'!AQ:AQ))*(AO80^0.5)+(_xlfn.XLOOKUP(B80,'Base stats'!B:B,'Base stats'!AQ:AQ)/1000)^(2/3)+_xlfn.XLOOKUP(B80,'Base stats'!B:B,'Base stats'!AY:AY))+_xlfn.XLOOKUP(B80,'Base stats'!B:B,'Base stats'!AW:AW)+0.5,0.5))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stats'!AS:AS))*(AO80^0.5)+(_xlfn.XLOOKUP(B80,'Base stats'!B:B,'Base stats'!AS:AS)/1000)^(2/3)+_xlfn.XLOOKUP(B80,'Base stats'!B:B,'Base stats'!AX:AX))+0.5+IF(_xlfn.XLOOKUP(_xlfn.XLOOKUP(B80,'Base stats'!B:B,'Base stats'!E:E),Groups!A:A,Groups!U:U)&lt;&gt;3,_xlfn.XLOOKUP(B80,'Base stats'!B:B,'Base stats'!AY:AY),0),0.5))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stats'!AR:AR)="No","No",MROUND((LOG10(_xlfn.XLOOKUP(B80,'Base stats'!B:B,'Base stats'!AR:AR))*(AO80^0.75)+(_xlfn.XLOOKUP(B80,'Base stats'!B:B,'Base stats'!AR:AR)/1000)^(2/3)+_xlfn.XLOOKUP(B80,'Base stats'!B:B,'Base stats'!AV:AV)+_xlfn.XLOOKUP(B80,'Base stats'!B:B,'Base stats'!AY:AY))+0.5,0.5))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stats'!AQ:AQ))*(AO80^0.75)+(_xlfn.XLOOKUP(B80,'Base stats'!B:B,'Base stats'!AQ:AQ)/1000)^(2/3)+_xlfn.XLOOKUP(B80,'Base stats'!B:B,'Base stats'!AW:AW)+_xlfn.XLOOKUP(B80,'Base stats'!B:B,'Base stats'!AY:AY))+0.5,0.5))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8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stats'!E:E),Groups!A:A,Groups!AI:AI),0.05)</f>
        <v>9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IFERROR(IF(_xlfn.XLOOKUP(B80,'Base stats'!B:B,'Base stats'!F:F)="Lay eggs","Lay eggs",MIN(20,MAX(5.5,ROUND(((_xlfn.XLOOKUP(B80,'Base stats'!B:B,'Base stats'!F:F)-25)*(14.5/615) + 5.5)*2,0)/2))),"Cannot breed")</f>
        <v>20</v>
      </c>
      <c r="AT80" s="8">
        <f>IF(OR(A80="Queen",A80="Larva",A80="Megachicken",A80="Megatardi",A80="Toxscorpion"),"No",IFERROR(MAX(IF(_xlfn.XLOOKUP(B80,'Base stats'!B:B,'Base stats'!G:G)&lt;0.5,0.2,0.3),MROUND(_xlfn.XLOOKUP(B80,'Base stats'!B:B,'Base stats'!G:G)/(365/60),0.2)),"Unknown"))</f>
        <v>2</v>
      </c>
      <c r="AU80" s="8">
        <f t="shared" si="7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_xlfn.XLOOKUP(B80,'Base stats'!B:B,'Base stats'!AF:AF)</f>
        <v>&lt;li&gt;Thrumbo&lt;/li&gt;</v>
      </c>
      <c r="BB80" s="2" t="str">
        <f>_xlfn.XLOOKUP(B80,'Base stats'!B:B,'Base stats'!AE:AE)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stats'!Z:Z)=0),0,IF(OR(_xlfn.XLOOKUP(Animals!B80,'Base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stats'!AA:AA),0.005))</f>
        <v>0</v>
      </c>
      <c r="BE80" s="23">
        <f>MIN(1,MROUND(IF(AND(AO80&lt;0.5,_xlfn.XLOOKUP(B80,'Base stats'!B:B,'Base stats'!Z:Z)=0),0,IF(_xlfn.XLOOKUP(_xlfn.XLOOKUP(B80,'Base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stats'!AB:AB),0.005))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stats'!AL:AL)="Standard","No",MROUND((_xlfn.XLOOKUP(B80,'Base stats'!B:B,'Base stats'!AL:AL)/3.6)/I80,0.1))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stats'!AC:AC)&lt;&gt;"No",_xlfn.XLOOKUP(B80,'Base stats'!B:B,'Base stats'!AC:AC),"")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stats'!AC:AC)&lt;&gt;"No",_xlfn.XLOOKUP(B80,'Base stats'!B:B,'Base stats'!AC:AC),"")
  )
)</f>
        <v>ThrumboRoar</v>
      </c>
      <c r="BQ80" s="25" t="str">
        <f>IF(
   AND(
      'Base stats'!AL80="Standard",_xlfn.XLOOKUP(_xlfn.XLOOKUP(B80,'Base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stats'!AT:AT) * 1.8) * 2) * 2.5 + 10 + I80 * 2,5)+IF(_xlfn.XLOOKUP(B80,'Base stats'!B:B,'Base stats'!AI:AI)=1,50,0)</f>
        <v>1240</v>
      </c>
      <c r="BS80" s="8">
        <f t="shared" si="12"/>
        <v>3.6500000000000004</v>
      </c>
      <c r="BT80" s="8" t="str">
        <f>_xlfn.XLOOKUP(B80,'Base stats'!B:B,'Base stats'!AD:AD)</f>
        <v>1~6</v>
      </c>
      <c r="BU80" s="2" t="str">
        <f>IF(AND(J80&lt;=0.95,OR(_xlfn.XLOOKUP(B80,'Base stats'!B:B,'Base stats'!AI:AI)=1,_xlfn.XLOOKUP(B80,'Base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stats'!AG:AG)=1,"true","false")</f>
        <v>false</v>
      </c>
      <c r="BW80" s="25" t="str">
        <f>IF(E80="BaseInsect","AnimalInsect",
IF(J80&gt;0.95,"AnimalExotic",
_xlfn.TEXTJOIN(", ",TRUE,
IF(OR(_xlfn.XLOOKUP(B80,'Base stats'!B:B,'Base stats'!AK:AK)=1,AND(_xlfn.XLOOKUP(B80,'Base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stats'!AI:AI)=1,AND(BI80&lt;&gt;"None",BR80&gt;=60),ISNUMBER(SEARCH("Attack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stats'!AH:AH)=1,"true","false")</f>
        <v>false</v>
      </c>
      <c r="BZ80" s="25">
        <f>IF(_xlfn.XLOOKUP(B80,'Base stats'!B:B,'Base stats'!N:N)=1,"No",MAX(0.01,MIN(MROUND(IF(OR(_xlfn.XLOOKUP(B80,'Base stats'!B:B,'Base stats'!AK:AK)=1,AND(BJ80="True",CC80="False")),POWER(10,3.47*LOG10(_xlfn.XLOOKUP(B80,'Base stats'!B:B,'Base stats'!C:C)*1000)^-0.96),POWER(10,4.15*LOG10(_xlfn.XLOOKUP(B80,'Base stats'!B:B,'Base stats'!C:C)*1000)^-0.73))*IF(OR(_xlfn.XLOOKUP(B80,'Base stats'!B:B,'Base stats'!AK:AK)=1,_xlfn.XLOOKUP(B80,'Base stats'!B:B,'Base stats'!AI:AI)=1),0.5,1)/100,0.025),1)))</f>
        <v>2.5000000000000001E-2</v>
      </c>
      <c r="CA80" s="25">
        <f>IF(P80="Standard","No",MAX(0.01,IF(_xlfn.XLOOKUP(B80,'Base stats'!B:B,'Base stats'!N:N)=0,MROUND(BZ80*P80,0.05),MIN(1,MAX(0.025,MROUND(IF(OR(CC80="true",AND(BJ80="false",BO80="false")),POWER(10,4.15*LOG10(_xlfn.XLOOKUP(B80,'Base stats'!B:B,'Base stats'!C:C)*1000)^-0.73),POWER(10,3.47*LOG10(_xlfn.XLOOKUP(B80,'Base stats'!B:B,'Base stats'!C:C)*1000)^-0.96))*IF(_xlfn.XLOOKUP(B80,'Base stats'!B:B,'Base stats'!AI:AI)=1,0.5,1)/100,0.025))))))</f>
        <v>0.05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False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235</v>
      </c>
      <c r="C81" s="28" t="s">
        <v>773</v>
      </c>
      <c r="D81" s="28" t="s">
        <v>882</v>
      </c>
      <c r="E81" s="28" t="s">
        <v>685</v>
      </c>
      <c r="F81" s="28" t="s">
        <v>685</v>
      </c>
      <c r="G81" s="28" t="s">
        <v>685</v>
      </c>
      <c r="H81" s="2">
        <f>MROUND((
  (IF(AND(_xlfn.XLOOKUP(B81,'Base stats'!B:B,'Base stats'!AJ:AJ)=0,BI81="None",_xlfn.XLOOKUP(_xlfn.XLOOKUP(B81,'Base stats'!B:B,'Base stats'!E:E),Groups!A:A,Groups!B:B)=0), (18 + BR81 * 2.7) * 0.5,
    IF(AND(_xlfn.XLOOKUP(B81,'Base stats'!B:B,'Base stats'!AJ:AJ)=0,OR(AO81&lt;0.55,AND(BI81="Intermediate",_xlfn.XLOOKUP(_xlfn.XLOOKUP(B81,'Base stats'!B:B,'Base stats'!E:E),Groups!A:A,Groups!B:B)&lt;2))), (18 + BR81 * 2.7),
      IF(OR(BI81="Advanced",_xlfn.XLOOKUP(B81,'Base stats'!B:B,'Base stats'!AJ:AJ)=1,_xlfn.XLOOKUP(_xlfn.XLOOKUP(B81,'Base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3.5</v>
      </c>
      <c r="J81" s="2">
        <f>IF(_xlfn.XLOOKUP(_xlfn.XLOOKUP(B81,'Base stats'!B:B,'Base stats'!E:E),Groups!A:A,Groups!C:C)="Untamable",1,IF(_xlfn.XLOOKUP(B81,'Base stats'!B:B,'Base stats'!AJ:AJ)=1,0.99,MIN(MROUND((1-0.6282*EXP(-0.459*AO81))*_xlfn.XLOOKUP(_xlfn.XLOOKUP(B81,'Base stats'!B:B,'Base stats'!E:E),Groups!A:A,Groups!C:C)*IF(_xlfn.XLOOKUP(B81,'Base stats'!B:B,'Base stats'!O:O)=1,0.5,IF(_xlfn.XLOOKUP(B81,'Base stats'!B:B,'Base stats'!O:O)=2,0,1)),0.05),0.985)))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IF(_xlfn.XLOOKUP(_xlfn.XLOOKUP(B81,'Base stats'!B:B,'Base stats'!E:E),Groups!A:A,Groups!L:L)=1,MIN(MROUND(_xlfn.XLOOKUP(B81,'Animals CE'!B:B,'Animals CE'!Z:Z)/2+0.05,0.05),200%),"No")</f>
        <v>0.30000000000000004</v>
      </c>
      <c r="O81" s="8">
        <f>IF(_xlfn.XLOOKUP(_xlfn.XLOOKUP(B81,'Base stats'!B:B,'Base stats'!E:E),Groups!A:A,Groups!L:L)=1,MIN(MROUND(_xlfn.XLOOKUP(B81,'Animals CE'!B:B,'Animals CE'!AA:AA)/2+0.05,0.05),200%),"No")</f>
        <v>0.2</v>
      </c>
      <c r="P81" s="2" t="str">
        <f>_xlfn.XLOOKUP(B81,'Base stats'!B:B,'Base stats'!R:R)</f>
        <v>Standard</v>
      </c>
      <c r="Q81" s="13">
        <f>MROUND((LOG10(_xlfn.XLOOKUP(B81,'Base stats'!B:B,'Base stats'!AP:AP))*(AO81^0.5)+(_xlfn.XLOOKUP(B81,'Base stats'!B:B,'Base stats'!AP:AP)/1000)^(2/3)+_xlfn.XLOOKUP(B81,'Base stats'!B:B,'Base stats'!AY:AY)/2)+0.5,0.5)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stats'!AQ:AQ))*(AO81^0.5)+(_xlfn.XLOOKUP(B81,'Base stats'!B:B,'Base stats'!AQ:AQ)/1000)^(2/3)+_xlfn.XLOOKUP(B81,'Base stats'!B:B,'Base stats'!AY:AY))+_xlfn.XLOOKUP(B81,'Base stats'!B:B,'Base stats'!AW:AW)+0.5,0.5))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stats'!AS:AS))*(AO81^0.5)+(_xlfn.XLOOKUP(B81,'Base stats'!B:B,'Base stats'!AS:AS)/1000)^(2/3)+_xlfn.XLOOKUP(B81,'Base stats'!B:B,'Base stats'!AX:AX))+0.5+IF(_xlfn.XLOOKUP(_xlfn.XLOOKUP(B81,'Base stats'!B:B,'Base stats'!E:E),Groups!A:A,Groups!U:U)&lt;&gt;3,_xlfn.XLOOKUP(B81,'Base stats'!B:B,'Base stats'!AY:AY),0),0.5))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stats'!AR:AR)="No","No",MROUND((LOG10(_xlfn.XLOOKUP(B81,'Base stats'!B:B,'Base stats'!AR:AR))*(AO81^0.75)+(_xlfn.XLOOKUP(B81,'Base stats'!B:B,'Base stats'!AR:AR)/1000)^(2/3)+_xlfn.XLOOKUP(B81,'Base stats'!B:B,'Base stats'!AV:AV)+_xlfn.XLOOKUP(B81,'Base stats'!B:B,'Base stats'!AY:AY))+0.5,0.5))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1.1500000000000001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stats'!AQ:AQ))*(AO81^0.75)+(_xlfn.XLOOKUP(B81,'Base stats'!B:B,'Base stats'!AQ:AQ)/1000)^(2/3)+_xlfn.XLOOKUP(B81,'Base stats'!B:B,'Base stats'!AW:AW)+_xlfn.XLOOKUP(B81,'Base stats'!B:B,'Base stats'!AY:AY))+0.5,0.5))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8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IFERROR(IF(_xlfn.XLOOKUP(B81,'Base stats'!B:B,'Base stats'!F:F)="Lay eggs","Lay eggs",MIN(20,MAX(5.5,ROUND(((_xlfn.XLOOKUP(B81,'Base stats'!B:B,'Base stats'!F:F)-25)*(14.5/615) + 5.5)*2,0)/2))),"Cannot breed")</f>
        <v>8</v>
      </c>
      <c r="AT81" s="8">
        <f>IF(OR(A81="Queen",A81="Larva",A81="Megachicken",A81="Megatardi",A81="Toxscorpion"),"No",IFERROR(MAX(IF(_xlfn.XLOOKUP(B81,'Base stats'!B:B,'Base stats'!G:G)&lt;0.5,0.2,0.3),MROUND(_xlfn.XLOOKUP(B81,'Base stats'!B:B,'Base stats'!G:G)/(365/60),0.2)),"Unknown"))</f>
        <v>0.3</v>
      </c>
      <c r="AU81" s="8">
        <f t="shared" si="7"/>
        <v>0.15000000000000002</v>
      </c>
      <c r="AV81" s="8">
        <f>IFERROR(IFERROR(MROUND(_xlfn.XLOOKUP(B81,'Base stats'!B:B,'Base stats'!J:J),0.1),"Lay eggs"),"Cannot breed")</f>
        <v>4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_xlfn.XLOOKUP(B81,'Base stats'!B:B,'Base stats'!AF:AF)</f>
        <v>No</v>
      </c>
      <c r="BB81" s="2" t="str">
        <f>_xlfn.XLOOKUP(B81,'Base stats'!B:B,'Base stats'!AE:AE)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stats'!Z:Z)=0),0,IF(OR(_xlfn.XLOOKUP(Animals!B81,'Base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stats'!AA:AA),0.005))</f>
        <v>0</v>
      </c>
      <c r="BE81" s="23">
        <f>MIN(1,MROUND(IF(AND(AO81&lt;0.5,_xlfn.XLOOKUP(B81,'Base stats'!B:B,'Base stats'!Z:Z)=0),0,IF(_xlfn.XLOOKUP(_xlfn.XLOOKUP(B81,'Base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stats'!AB:AB),0.005))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stats'!AL:AL)="Standard","No",MROUND((_xlfn.XLOOKUP(B81,'Base stats'!B:B,'Base stats'!AL:AL)/3.6)/I81,0.1))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stats'!AC:AC)&lt;&gt;"No",_xlfn.XLOOKUP(B81,'Base stats'!B:B,'Base stats'!AC:AC),"")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stats'!AC:AC)&lt;&gt;"No",_xlfn.XLOOKUP(B81,'Base stats'!B:B,'Base stats'!AC:AC),"")
  )
)</f>
        <v>Forage</v>
      </c>
      <c r="BQ81" s="25" t="str">
        <f>IF(
   AND(
      'Base stats'!AL81="Standard",_xlfn.XLOOKUP(_xlfn.XLOOKUP(B81,'Base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stats'!AT:AT) * 1.8) * 2) * 2.5 + 10 + I81 * 2,5)+IF(_xlfn.XLOOKUP(B81,'Base stats'!B:B,'Base stats'!AI:AI)=1,50,0)</f>
        <v>50</v>
      </c>
      <c r="BS81" s="8">
        <f t="shared" si="12"/>
        <v>0.30000000000000004</v>
      </c>
      <c r="BT81" s="8" t="str">
        <f>_xlfn.XLOOKUP(B81,'Base stats'!B:B,'Base stats'!AD:AD)</f>
        <v>No</v>
      </c>
      <c r="BU81" s="2" t="str">
        <f>IF(AND(J81&lt;=0.95,OR(_xlfn.XLOOKUP(B81,'Base stats'!B:B,'Base stats'!AI:AI)=1,_xlfn.XLOOKUP(B81,'Base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stats'!AG:AG)=1,"true","false")</f>
        <v>false</v>
      </c>
      <c r="BW81" s="25" t="str">
        <f>IF(E81="BaseInsect","AnimalInsect",
IF(J81&gt;0.95,"AnimalExotic",
_xlfn.TEXTJOIN(", ",TRUE,
IF(OR(_xlfn.XLOOKUP(B81,'Base stats'!B:B,'Base stats'!AK:AK)=1,AND(_xlfn.XLOOKUP(B81,'Base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stats'!AI:AI)=1,AND(BI81&lt;&gt;"None",BR81&gt;=60),ISNUMBER(SEARCH("Attack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stats'!AH:AH)=1,"true","false")</f>
        <v>false</v>
      </c>
      <c r="BZ81" s="25">
        <f>IF(_xlfn.XLOOKUP(B81,'Base stats'!B:B,'Base stats'!N:N)=1,"No",MAX(0.01,MIN(MROUND(IF(OR(_xlfn.XLOOKUP(B81,'Base stats'!B:B,'Base stats'!AK:AK)=1,AND(BJ81="True",CC81="False")),POWER(10,3.47*LOG10(_xlfn.XLOOKUP(B81,'Base stats'!B:B,'Base stats'!C:C)*1000)^-0.96),POWER(10,4.15*LOG10(_xlfn.XLOOKUP(B81,'Base stats'!B:B,'Base stats'!C:C)*1000)^-0.73))*IF(OR(_xlfn.XLOOKUP(B81,'Base stats'!B:B,'Base stats'!AK:AK)=1,_xlfn.XLOOKUP(B81,'Base stats'!B:B,'Base stats'!AI:AI)=1),0.5,1)/100,0.025),1)))</f>
        <v>0.375</v>
      </c>
      <c r="CA81" s="25" t="str">
        <f>IF(P81="Standard","No",MAX(0.01,IF(_xlfn.XLOOKUP(B81,'Base stats'!B:B,'Base stats'!N:N)=0,MROUND(BZ81*P81,0.05),MIN(1,MAX(0.025,MROUND(IF(OR(CC81="true",AND(BJ81="false",BO81="false")),POWER(10,4.15*LOG10(_xlfn.XLOOKUP(B81,'Base stats'!B:B,'Base stats'!C:C)*1000)^-0.73),POWER(10,3.47*LOG10(_xlfn.XLOOKUP(B81,'Base stats'!B:B,'Base stats'!C:C)*1000)^-0.96))*IF(_xlfn.XLOOKUP(B81,'Base stats'!B:B,'Base stats'!AI:AI)=1,0.5,1)/100,0.025))))))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254</v>
      </c>
      <c r="C82" s="28" t="s">
        <v>774</v>
      </c>
      <c r="D82" s="28" t="s">
        <v>882</v>
      </c>
      <c r="E82" s="28" t="s">
        <v>685</v>
      </c>
      <c r="F82" s="28" t="s">
        <v>685</v>
      </c>
      <c r="G82" s="28" t="s">
        <v>685</v>
      </c>
      <c r="H82" s="2">
        <f>MROUND((
  (IF(AND(_xlfn.XLOOKUP(B82,'Base stats'!B:B,'Base stats'!AJ:AJ)=0,BI82="None",_xlfn.XLOOKUP(_xlfn.XLOOKUP(B82,'Base stats'!B:B,'Base stats'!E:E),Groups!A:A,Groups!B:B)=0), (18 + BR82 * 2.7) * 0.5,
    IF(AND(_xlfn.XLOOKUP(B82,'Base stats'!B:B,'Base stats'!AJ:AJ)=0,OR(AO82&lt;0.55,AND(BI82="Intermediate",_xlfn.XLOOKUP(_xlfn.XLOOKUP(B82,'Base stats'!B:B,'Base stats'!E:E),Groups!A:A,Groups!B:B)&lt;2))), (18 + BR82 * 2.7),
      IF(OR(BI82="Advanced",_xlfn.XLOOKUP(B82,'Base stats'!B:B,'Base stats'!AJ:AJ)=1,_xlfn.XLOOKUP(_xlfn.XLOOKUP(B82,'Base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IF(_xlfn.XLOOKUP(_xlfn.XLOOKUP(B82,'Base stats'!B:B,'Base stats'!E:E),Groups!A:A,Groups!C:C)="Untamable",1,IF(_xlfn.XLOOKUP(B82,'Base stats'!B:B,'Base stats'!AJ:AJ)=1,0.99,MIN(MROUND((1-0.6282*EXP(-0.459*AO82))*_xlfn.XLOOKUP(_xlfn.XLOOKUP(B82,'Base stats'!B:B,'Base stats'!E:E),Groups!A:A,Groups!C:C)*IF(_xlfn.XLOOKUP(B82,'Base stats'!B:B,'Base stats'!O:O)=1,0.5,IF(_xlfn.XLOOKUP(B82,'Base stats'!B:B,'Base stats'!O:O)=2,0,1)),0.05),0.985)))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IF(_xlfn.XLOOKUP(_xlfn.XLOOKUP(B82,'Base stats'!B:B,'Base stats'!E:E),Groups!A:A,Groups!L:L)=1,MIN(MROUND(_xlfn.XLOOKUP(B82,'Animals CE'!B:B,'Animals CE'!Z:Z)/2+0.05,0.05),200%),"No")</f>
        <v>No</v>
      </c>
      <c r="O82" s="8" t="str">
        <f>IF(_xlfn.XLOOKUP(_xlfn.XLOOKUP(B82,'Base stats'!B:B,'Base stats'!E:E),Groups!A:A,Groups!L:L)=1,MIN(MROUND(_xlfn.XLOOKUP(B82,'Animals CE'!B:B,'Animals CE'!AA:AA)/2+0.05,0.05),200%),"No")</f>
        <v>No</v>
      </c>
      <c r="P82" s="2" t="str">
        <f>_xlfn.XLOOKUP(B82,'Base stats'!B:B,'Base stats'!R:R)</f>
        <v>Standard</v>
      </c>
      <c r="Q82" s="13">
        <f>MROUND((LOG10(_xlfn.XLOOKUP(B82,'Base stats'!B:B,'Base stats'!AP:AP))*(AO82^0.5)+(_xlfn.XLOOKUP(B82,'Base stats'!B:B,'Base stats'!AP:AP)/1000)^(2/3)+_xlfn.XLOOKUP(B82,'Base stats'!B:B,'Base stats'!AY:AY)/2)+0.5,0.5)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stats'!AQ:AQ))*(AO82^0.5)+(_xlfn.XLOOKUP(B82,'Base stats'!B:B,'Base stats'!AQ:AQ)/1000)^(2/3)+_xlfn.XLOOKUP(B82,'Base stats'!B:B,'Base stats'!AY:AY))+_xlfn.XLOOKUP(B82,'Base stats'!B:B,'Base stats'!AW:AW)+0.5,0.5))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stats'!AS:AS))*(AO82^0.5)+(_xlfn.XLOOKUP(B82,'Base stats'!B:B,'Base stats'!AS:AS)/1000)^(2/3)+_xlfn.XLOOKUP(B82,'Base stats'!B:B,'Base stats'!AX:AX))+0.5+IF(_xlfn.XLOOKUP(_xlfn.XLOOKUP(B82,'Base stats'!B:B,'Base stats'!E:E),Groups!A:A,Groups!U:U)&lt;&gt;3,_xlfn.XLOOKUP(B82,'Base stats'!B:B,'Base stats'!AY:AY),0),0.5))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stats'!AR:AR)="No","No",MROUND((LOG10(_xlfn.XLOOKUP(B82,'Base stats'!B:B,'Base stats'!AR:AR))*(AO82^0.75)+(_xlfn.XLOOKUP(B82,'Base stats'!B:B,'Base stats'!AR:AR)/1000)^(2/3)+_xlfn.XLOOKUP(B82,'Base stats'!B:B,'Base stats'!AV:AV)+_xlfn.XLOOKUP(B82,'Base stats'!B:B,'Base stats'!AY:AY))+0.5,0.5))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stats'!AQ:AQ))*(AO82^0.75)+(_xlfn.XLOOKUP(B82,'Base stats'!B:B,'Base stats'!AQ:AQ)/1000)^(2/3)+_xlfn.XLOOKUP(B82,'Base stats'!B:B,'Base stats'!AW:AW)+_xlfn.XLOOKUP(B82,'Base stats'!B:B,'Base stats'!AY:AY))+0.5,0.5))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FrontRightPaw,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8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IFERROR(IF(_xlfn.XLOOKUP(B82,'Base stats'!B:B,'Base stats'!F:F)="Lay eggs","Lay eggs",MIN(20,MAX(5.5,ROUND(((_xlfn.XLOOKUP(B82,'Base stats'!B:B,'Base stats'!F:F)-25)*(14.5/615) + 5.5)*2,0)/2))),"Cannot breed")</f>
        <v>5.5</v>
      </c>
      <c r="AT82" s="8">
        <f>IF(OR(A82="Queen",A82="Larva",A82="Megachicken",A82="Megatardi",A82="Toxscorpion"),"No",IFERROR(MAX(IF(_xlfn.XLOOKUP(B82,'Base stats'!B:B,'Base stats'!G:G)&lt;0.5,0.2,0.3),MROUND(_xlfn.XLOOKUP(B82,'Base stats'!B:B,'Base stats'!G:G)/(365/60),0.2)),"Unknown"))</f>
        <v>0.4</v>
      </c>
      <c r="AU82" s="8">
        <f t="shared" si="7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_xlfn.XLOOKUP(B82,'Base stats'!B:B,'Base stats'!AF:AF)</f>
        <v>No</v>
      </c>
      <c r="BB82" s="2" t="str">
        <f>_xlfn.XLOOKUP(B82,'Base stats'!B:B,'Base stats'!AE:AE)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stats'!Z:Z)=0),0,IF(OR(_xlfn.XLOOKUP(Animals!B82,'Base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stats'!AA:AA),0.005))</f>
        <v>0.1</v>
      </c>
      <c r="BE82" s="23">
        <f>MIN(1,MROUND(IF(AND(AO82&lt;0.5,_xlfn.XLOOKUP(B82,'Base stats'!B:B,'Base stats'!Z:Z)=0),0,IF(_xlfn.XLOOKUP(_xlfn.XLOOKUP(B82,'Base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stats'!AB:AB),0.005))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stats'!AL:AL)="Standard","No",MROUND((_xlfn.XLOOKUP(B82,'Base stats'!B:B,'Base stats'!AL:AL)/3.6)/I82,0.1))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stats'!AC:AC)&lt;&gt;"No",_xlfn.XLOOKUP(B82,'Base stats'!B:B,'Base stats'!AC:AC),"")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stats'!AC:AC)&lt;&gt;"No",_xlfn.XLOOKUP(B82,'Base stats'!B:B,'Base stats'!AC:AC),"")
  )
)</f>
        <v>AttackTarget</v>
      </c>
      <c r="BQ82" s="25" t="str">
        <f>IF(
   AND(
      'Base stats'!AL82="Standard",_xlfn.XLOOKUP(_xlfn.XLOOKUP(B82,'Base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stats'!AT:AT) * 1.8) * 2) * 2.5 + 10 + I82 * 2,5)+IF(_xlfn.XLOOKUP(B82,'Base stats'!B:B,'Base stats'!AI:AI)=1,50,0)</f>
        <v>70</v>
      </c>
      <c r="BS82" s="8">
        <f t="shared" si="12"/>
        <v>0.45</v>
      </c>
      <c r="BT82" s="8" t="str">
        <f>_xlfn.XLOOKUP(B82,'Base stats'!B:B,'Base stats'!AD:AD)</f>
        <v>No</v>
      </c>
      <c r="BU82" s="2" t="str">
        <f>IF(AND(J82&lt;=0.95,OR(_xlfn.XLOOKUP(B82,'Base stats'!B:B,'Base stats'!AI:AI)=1,_xlfn.XLOOKUP(B82,'Base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stats'!AG:AG)=1,"true","false")</f>
        <v>false</v>
      </c>
      <c r="BW82" s="25" t="str">
        <f>IF(E82="BaseInsect","AnimalInsect",
IF(J82&gt;0.95,"AnimalExotic",
_xlfn.TEXTJOIN(", ",TRUE,
IF(OR(_xlfn.XLOOKUP(B82,'Base stats'!B:B,'Base stats'!AK:AK)=1,AND(_xlfn.XLOOKUP(B82,'Base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stats'!AI:AI)=1,AND(BI82&lt;&gt;"None",BR82&gt;=60),ISNUMBER(SEARCH("Attack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stats'!AH:AH)=1,"true","false")</f>
        <v>false</v>
      </c>
      <c r="BZ82" s="25">
        <f>IF(_xlfn.XLOOKUP(B82,'Base stats'!B:B,'Base stats'!N:N)=1,"No",MAX(0.01,MIN(MROUND(IF(OR(_xlfn.XLOOKUP(B82,'Base stats'!B:B,'Base stats'!AK:AK)=1,AND(BJ82="True",CC82="False")),POWER(10,3.47*LOG10(_xlfn.XLOOKUP(B82,'Base stats'!B:B,'Base stats'!C:C)*1000)^-0.96),POWER(10,4.15*LOG10(_xlfn.XLOOKUP(B82,'Base stats'!B:B,'Base stats'!C:C)*1000)^-0.73))*IF(OR(_xlfn.XLOOKUP(B82,'Base stats'!B:B,'Base stats'!AK:AK)=1,_xlfn.XLOOKUP(B82,'Base stats'!B:B,'Base stats'!AI:AI)=1),0.5,1)/100,0.025),1)))</f>
        <v>7.5000000000000011E-2</v>
      </c>
      <c r="CA82" s="25" t="str">
        <f>IF(P82="Standard","No",MAX(0.01,IF(_xlfn.XLOOKUP(B82,'Base stats'!B:B,'Base stats'!N:N)=0,MROUND(BZ82*P82,0.05),MIN(1,MAX(0.025,MROUND(IF(OR(CC82="true",AND(BJ82="false",BO82="false")),POWER(10,4.15*LOG10(_xlfn.XLOOKUP(B82,'Base stats'!B:B,'Base stats'!C:C)*1000)^-0.73),POWER(10,3.47*LOG10(_xlfn.XLOOKUP(B82,'Base stats'!B:B,'Base stats'!C:C)*1000)^-0.96))*IF(_xlfn.XLOOKUP(B82,'Base stats'!B:B,'Base stats'!AI:AI)=1,0.5,1)/100,0.025))))))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290</v>
      </c>
      <c r="C83" s="28" t="s">
        <v>775</v>
      </c>
      <c r="D83" s="28" t="s">
        <v>882</v>
      </c>
      <c r="E83" s="28" t="s">
        <v>685</v>
      </c>
      <c r="F83" s="28" t="s">
        <v>685</v>
      </c>
      <c r="G83" s="28" t="s">
        <v>685</v>
      </c>
      <c r="H83" s="2">
        <f>MROUND((
  (IF(AND(_xlfn.XLOOKUP(B83,'Base stats'!B:B,'Base stats'!AJ:AJ)=0,BI83="None",_xlfn.XLOOKUP(_xlfn.XLOOKUP(B83,'Base stats'!B:B,'Base stats'!E:E),Groups!A:A,Groups!B:B)=0), (18 + BR83 * 2.7) * 0.5,
    IF(AND(_xlfn.XLOOKUP(B83,'Base stats'!B:B,'Base stats'!AJ:AJ)=0,OR(AO83&lt;0.55,AND(BI83="Intermediate",_xlfn.XLOOKUP(_xlfn.XLOOKUP(B83,'Base stats'!B:B,'Base stats'!E:E),Groups!A:A,Groups!B:B)&lt;2))), (18 + BR83 * 2.7),
      IF(OR(BI83="Advanced",_xlfn.XLOOKUP(B83,'Base stats'!B:B,'Base stats'!AJ:AJ)=1,_xlfn.XLOOKUP(_xlfn.XLOOKUP(B83,'Base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IF(_xlfn.XLOOKUP(_xlfn.XLOOKUP(B83,'Base stats'!B:B,'Base stats'!E:E),Groups!A:A,Groups!C:C)="Untamable",1,IF(_xlfn.XLOOKUP(B83,'Base stats'!B:B,'Base stats'!AJ:AJ)=1,0.99,MIN(MROUND((1-0.6282*EXP(-0.459*AO83))*_xlfn.XLOOKUP(_xlfn.XLOOKUP(B83,'Base stats'!B:B,'Base stats'!E:E),Groups!A:A,Groups!C:C)*IF(_xlfn.XLOOKUP(B83,'Base stats'!B:B,'Base stats'!O:O)=1,0.5,IF(_xlfn.XLOOKUP(B83,'Base stats'!B:B,'Base stats'!O:O)=2,0,1)),0.05),0.985)))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IF(_xlfn.XLOOKUP(_xlfn.XLOOKUP(B83,'Base stats'!B:B,'Base stats'!E:E),Groups!A:A,Groups!L:L)=1,MIN(MROUND(_xlfn.XLOOKUP(B83,'Animals CE'!B:B,'Animals CE'!Z:Z)/2+0.05,0.05),200%),"No")</f>
        <v>No</v>
      </c>
      <c r="O83" s="8" t="str">
        <f>IF(_xlfn.XLOOKUP(_xlfn.XLOOKUP(B83,'Base stats'!B:B,'Base stats'!E:E),Groups!A:A,Groups!L:L)=1,MIN(MROUND(_xlfn.XLOOKUP(B83,'Animals CE'!B:B,'Animals CE'!AA:AA)/2+0.05,0.05),200%),"No")</f>
        <v>No</v>
      </c>
      <c r="P83" s="2" t="str">
        <f>_xlfn.XLOOKUP(B83,'Base stats'!B:B,'Base stats'!R:R)</f>
        <v>Standard</v>
      </c>
      <c r="Q83" s="13">
        <f>MROUND((LOG10(_xlfn.XLOOKUP(B83,'Base stats'!B:B,'Base stats'!AP:AP))*(AO83^0.5)+(_xlfn.XLOOKUP(B83,'Base stats'!B:B,'Base stats'!AP:AP)/1000)^(2/3)+_xlfn.XLOOKUP(B83,'Base stats'!B:B,'Base stats'!AY:AY)/2)+0.5,0.5)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stats'!AQ:AQ))*(AO83^0.5)+(_xlfn.XLOOKUP(B83,'Base stats'!B:B,'Base stats'!AQ:AQ)/1000)^(2/3)+_xlfn.XLOOKUP(B83,'Base stats'!B:B,'Base stats'!AY:AY))+_xlfn.XLOOKUP(B83,'Base stats'!B:B,'Base stats'!AW:AW)+0.5,0.5))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stats'!AS:AS))*(AO83^0.5)+(_xlfn.XLOOKUP(B83,'Base stats'!B:B,'Base stats'!AS:AS)/1000)^(2/3)+_xlfn.XLOOKUP(B83,'Base stats'!B:B,'Base stats'!AX:AX))+0.5+IF(_xlfn.XLOOKUP(_xlfn.XLOOKUP(B83,'Base stats'!B:B,'Base stats'!E:E),Groups!A:A,Groups!U:U)&lt;&gt;3,_xlfn.XLOOKUP(B83,'Base stats'!B:B,'Base stats'!AY:AY),0),0.5))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stats'!AR:AR)="No","No",MROUND((LOG10(_xlfn.XLOOKUP(B83,'Base stats'!B:B,'Base stats'!AR:AR))*(AO83^0.75)+(_xlfn.XLOOKUP(B83,'Base stats'!B:B,'Base stats'!AR:AR)/1000)^(2/3)+_xlfn.XLOOKUP(B83,'Base stats'!B:B,'Base stats'!AV:AV)+_xlfn.XLOOKUP(B83,'Base stats'!B:B,'Base stats'!AY:AY))+0.5,0.5))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stats'!AQ:AQ))*(AO83^0.75)+(_xlfn.XLOOKUP(B83,'Base stats'!B:B,'Base stats'!AQ:AQ)/1000)^(2/3)+_xlfn.XLOOKUP(B83,'Base stats'!B:B,'Base stats'!AW:AW)+_xlfn.XLOOKUP(B83,'Base stats'!B:B,'Base stats'!AY:AY))+0.5,0.5))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FrontRightPaw,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8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IFERROR(IF(_xlfn.XLOOKUP(B83,'Base stats'!B:B,'Base stats'!F:F)="Lay eggs","Lay eggs",MIN(20,MAX(5.5,ROUND(((_xlfn.XLOOKUP(B83,'Base stats'!B:B,'Base stats'!F:F)-25)*(14.5/615) + 5.5)*2,0)/2))),"Cannot breed")</f>
        <v>6</v>
      </c>
      <c r="AT83" s="8">
        <f>IF(OR(A83="Queen",A83="Larva",A83="Megachicken",A83="Megatardi",A83="Toxscorpion"),"No",IFERROR(MAX(IF(_xlfn.XLOOKUP(B83,'Base stats'!B:B,'Base stats'!G:G)&lt;0.5,0.2,0.3),MROUND(_xlfn.XLOOKUP(B83,'Base stats'!B:B,'Base stats'!G:G)/(365/60),0.2)),"Unknown"))</f>
        <v>0.3</v>
      </c>
      <c r="AU83" s="8">
        <f t="shared" si="7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_xlfn.XLOOKUP(B83,'Base stats'!B:B,'Base stats'!AF:AF)</f>
        <v>No</v>
      </c>
      <c r="BB83" s="2" t="str">
        <f>_xlfn.XLOOKUP(B83,'Base stats'!B:B,'Base stats'!AE:AE)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stats'!Z:Z)=0),0,IF(OR(_xlfn.XLOOKUP(Animals!B83,'Base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stats'!AA:AA),0.005))</f>
        <v>0.1</v>
      </c>
      <c r="BE83" s="23">
        <f>MIN(1,MROUND(IF(AND(AO83&lt;0.5,_xlfn.XLOOKUP(B83,'Base stats'!B:B,'Base stats'!Z:Z)=0),0,IF(_xlfn.XLOOKUP(_xlfn.XLOOKUP(B83,'Base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stats'!AB:AB),0.005))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stats'!AL:AL)="Standard","No",MROUND((_xlfn.XLOOKUP(B83,'Base stats'!B:B,'Base stats'!AL:AL)/3.6)/I83,0.1))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stats'!AC:AC)&lt;&gt;"No",_xlfn.XLOOKUP(B83,'Base stats'!B:B,'Base stats'!AC:AC),"")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stats'!AC:AC)&lt;&gt;"No",_xlfn.XLOOKUP(B83,'Base stats'!B:B,'Base stats'!AC:AC),"")
  )
)</f>
        <v>Comfort</v>
      </c>
      <c r="BQ83" s="25">
        <f>IF(
   AND(
      'Base stats'!AL83="Standard",_xlfn.XLOOKUP(_xlfn.XLOOKUP(B83,'Base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stats'!AT:AT) * 1.8) * 2) * 2.5 + 10 + I83 * 2,5)+IF(_xlfn.XLOOKUP(B83,'Base stats'!B:B,'Base stats'!AI:AI)=1,50,0)</f>
        <v>30</v>
      </c>
      <c r="BS83" s="8">
        <f t="shared" si="12"/>
        <v>0.25</v>
      </c>
      <c r="BT83" s="8" t="str">
        <f>_xlfn.XLOOKUP(B83,'Base stats'!B:B,'Base stats'!AD:AD)</f>
        <v>No</v>
      </c>
      <c r="BU83" s="2" t="str">
        <f>IF(AND(J83&lt;=0.95,OR(_xlfn.XLOOKUP(B83,'Base stats'!B:B,'Base stats'!AI:AI)=1,_xlfn.XLOOKUP(B83,'Base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stats'!AG:AG)=1,"true","false")</f>
        <v>false</v>
      </c>
      <c r="BW83" s="25" t="str">
        <f>IF(E83="BaseInsect","AnimalInsect",
IF(J83&gt;0.95,"AnimalExotic",
_xlfn.TEXTJOIN(", ",TRUE,
IF(OR(_xlfn.XLOOKUP(B83,'Base stats'!B:B,'Base stats'!AK:AK)=1,AND(_xlfn.XLOOKUP(B83,'Base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stats'!AI:AI)=1,AND(BI83&lt;&gt;"None",BR83&gt;=60),ISNUMBER(SEARCH("Attack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stats'!AH:AH)=1,"true","false")</f>
        <v>false</v>
      </c>
      <c r="BZ83" s="25">
        <f>IF(_xlfn.XLOOKUP(B83,'Base stats'!B:B,'Base stats'!N:N)=1,"No",MAX(0.01,MIN(MROUND(IF(OR(_xlfn.XLOOKUP(B83,'Base stats'!B:B,'Base stats'!AK:AK)=1,AND(BJ83="True",CC83="False")),POWER(10,3.47*LOG10(_xlfn.XLOOKUP(B83,'Base stats'!B:B,'Base stats'!C:C)*1000)^-0.96),POWER(10,4.15*LOG10(_xlfn.XLOOKUP(B83,'Base stats'!B:B,'Base stats'!C:C)*1000)^-0.73))*IF(OR(_xlfn.XLOOKUP(B83,'Base stats'!B:B,'Base stats'!AK:AK)=1,_xlfn.XLOOKUP(B83,'Base stats'!B:B,'Base stats'!AI:AI)=1),0.5,1)/100,0.025),1)))</f>
        <v>0.17500000000000002</v>
      </c>
      <c r="CA83" s="25" t="str">
        <f>IF(P83="Standard","No",MAX(0.01,IF(_xlfn.XLOOKUP(B83,'Base stats'!B:B,'Base stats'!N:N)=0,MROUND(BZ83*P83,0.05),MIN(1,MAX(0.025,MROUND(IF(OR(CC83="true",AND(BJ83="false",BO83="false")),POWER(10,4.15*LOG10(_xlfn.XLOOKUP(B83,'Base stats'!B:B,'Base stats'!C:C)*1000)^-0.73),POWER(10,3.47*LOG10(_xlfn.XLOOKUP(B83,'Base stats'!B:B,'Base stats'!C:C)*1000)^-0.96))*IF(_xlfn.XLOOKUP(B83,'Base stats'!B:B,'Base stats'!AI:AI)=1,0.5,1)/100,0.025))))))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106</v>
      </c>
      <c r="C84" s="28" t="s">
        <v>776</v>
      </c>
      <c r="D84" s="28" t="s">
        <v>882</v>
      </c>
      <c r="E84" s="28" t="s">
        <v>685</v>
      </c>
      <c r="F84" s="28" t="s">
        <v>685</v>
      </c>
      <c r="G84" s="28" t="s">
        <v>685</v>
      </c>
      <c r="H84" s="2">
        <f>MROUND((
  (IF(AND(_xlfn.XLOOKUP(B84,'Base stats'!B:B,'Base stats'!AJ:AJ)=0,BI84="None",_xlfn.XLOOKUP(_xlfn.XLOOKUP(B84,'Base stats'!B:B,'Base stats'!E:E),Groups!A:A,Groups!B:B)=0), (18 + BR84 * 2.7) * 0.5,
    IF(AND(_xlfn.XLOOKUP(B84,'Base stats'!B:B,'Base stats'!AJ:AJ)=0,OR(AO84&lt;0.55,AND(BI84="Intermediate",_xlfn.XLOOKUP(_xlfn.XLOOKUP(B84,'Base stats'!B:B,'Base stats'!E:E),Groups!A:A,Groups!B:B)&lt;2))), (18 + BR84 * 2.7),
      IF(OR(BI84="Advanced",_xlfn.XLOOKUP(B84,'Base stats'!B:B,'Base stats'!AJ:AJ)=1,_xlfn.XLOOKUP(_xlfn.XLOOKUP(B84,'Base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IF(_xlfn.XLOOKUP(_xlfn.XLOOKUP(B84,'Base stats'!B:B,'Base stats'!E:E),Groups!A:A,Groups!C:C)="Untamable",1,IF(_xlfn.XLOOKUP(B84,'Base stats'!B:B,'Base stats'!AJ:AJ)=1,0.99,MIN(MROUND((1-0.6282*EXP(-0.459*AO84))*_xlfn.XLOOKUP(_xlfn.XLOOKUP(B84,'Base stats'!B:B,'Base stats'!E:E),Groups!A:A,Groups!C:C)*IF(_xlfn.XLOOKUP(B84,'Base stats'!B:B,'Base stats'!O:O)=1,0.5,IF(_xlfn.XLOOKUP(B84,'Base stats'!B:B,'Base stats'!O:O)=2,0,1)),0.05),0.985)))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IF(_xlfn.XLOOKUP(_xlfn.XLOOKUP(B84,'Base stats'!B:B,'Base stats'!E:E),Groups!A:A,Groups!L:L)=1,MIN(MROUND(_xlfn.XLOOKUP(B84,'Animals CE'!B:B,'Animals CE'!Z:Z)/2+0.05,0.05),200%),"No")</f>
        <v>No</v>
      </c>
      <c r="O84" s="8" t="str">
        <f>IF(_xlfn.XLOOKUP(_xlfn.XLOOKUP(B84,'Base stats'!B:B,'Base stats'!E:E),Groups!A:A,Groups!L:L)=1,MIN(MROUND(_xlfn.XLOOKUP(B84,'Animals CE'!B:B,'Animals CE'!AA:AA)/2+0.05,0.05),200%),"No")</f>
        <v>No</v>
      </c>
      <c r="P84" s="2" t="str">
        <f>_xlfn.XLOOKUP(B84,'Base stats'!B:B,'Base stats'!R:R)</f>
        <v>Standard</v>
      </c>
      <c r="Q84" s="13">
        <f>MROUND((LOG10(_xlfn.XLOOKUP(B84,'Base stats'!B:B,'Base stats'!AP:AP))*(AO84^0.5)+(_xlfn.XLOOKUP(B84,'Base stats'!B:B,'Base stats'!AP:AP)/1000)^(2/3)+_xlfn.XLOOKUP(B84,'Base stats'!B:B,'Base stats'!AY:AY)/2)+0.5,0.5)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stats'!AQ:AQ))*(AO84^0.5)+(_xlfn.XLOOKUP(B84,'Base stats'!B:B,'Base stats'!AQ:AQ)/1000)^(2/3)+_xlfn.XLOOKUP(B84,'Base stats'!B:B,'Base stats'!AY:AY))+_xlfn.XLOOKUP(B84,'Base stats'!B:B,'Base stats'!AW:AW)+0.5,0.5))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stats'!AS:AS))*(AO84^0.5)+(_xlfn.XLOOKUP(B84,'Base stats'!B:B,'Base stats'!AS:AS)/1000)^(2/3)+_xlfn.XLOOKUP(B84,'Base stats'!B:B,'Base stats'!AX:AX))+0.5+IF(_xlfn.XLOOKUP(_xlfn.XLOOKUP(B84,'Base stats'!B:B,'Base stats'!E:E),Groups!A:A,Groups!U:U)&lt;&gt;3,_xlfn.XLOOKUP(B84,'Base stats'!B:B,'Base stats'!AY:AY),0),0.5))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stats'!AR:AR)="No","No",MROUND((LOG10(_xlfn.XLOOKUP(B84,'Base stats'!B:B,'Base stats'!AR:AR))*(AO84^0.75)+(_xlfn.XLOOKUP(B84,'Base stats'!B:B,'Base stats'!AR:AR)/1000)^(2/3)+_xlfn.XLOOKUP(B84,'Base stats'!B:B,'Base stats'!AV:AV)+_xlfn.XLOOKUP(B84,'Base stats'!B:B,'Base stats'!AY:AY))+0.5,0.5))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stats'!AQ:AQ))*(AO84^0.75)+(_xlfn.XLOOKUP(B84,'Base stats'!B:B,'Base stats'!AQ:AQ)/1000)^(2/3)+_xlfn.XLOOKUP(B84,'Base stats'!B:B,'Base stats'!AW:AW)+_xlfn.XLOOKUP(B84,'Base stats'!B:B,'Base stats'!AY:AY))+0.5,0.5))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FrontRightPaw,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8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IFERROR(IF(_xlfn.XLOOKUP(B84,'Base stats'!B:B,'Base stats'!F:F)="Lay eggs","Lay eggs",MIN(20,MAX(5.5,ROUND(((_xlfn.XLOOKUP(B84,'Base stats'!B:B,'Base stats'!F:F)-25)*(14.5/615) + 5.5)*2,0)/2))),"Cannot breed")</f>
        <v>6</v>
      </c>
      <c r="AT84" s="8">
        <f>IF(OR(A84="Queen",A84="Larva",A84="Megachicken",A84="Megatardi",A84="Toxscorpion"),"No",IFERROR(MAX(IF(_xlfn.XLOOKUP(B84,'Base stats'!B:B,'Base stats'!G:G)&lt;0.5,0.2,0.3),MROUND(_xlfn.XLOOKUP(B84,'Base stats'!B:B,'Base stats'!G:G)/(365/60),0.2)),"Unknown"))</f>
        <v>0.3</v>
      </c>
      <c r="AU84" s="8">
        <f t="shared" si="7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_xlfn.XLOOKUP(B84,'Base stats'!B:B,'Base stats'!AF:AF)</f>
        <v>No</v>
      </c>
      <c r="BB84" s="2" t="str">
        <f>_xlfn.XLOOKUP(B84,'Base stats'!B:B,'Base stats'!AE:AE)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stats'!Z:Z)=0),0,IF(OR(_xlfn.XLOOKUP(Animals!B84,'Base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stats'!AA:AA),0.005))</f>
        <v>0</v>
      </c>
      <c r="BE84" s="23">
        <f>MIN(1,MROUND(IF(AND(AO84&lt;0.5,_xlfn.XLOOKUP(B84,'Base stats'!B:B,'Base stats'!Z:Z)=0),0,IF(_xlfn.XLOOKUP(_xlfn.XLOOKUP(B84,'Base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stats'!AB:AB),0.005))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stats'!AL:AL)="Standard","No",MROUND((_xlfn.XLOOKUP(B84,'Base stats'!B:B,'Base stats'!AL:AL)/3.6)/I84,0.1))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stats'!AC:AC)&lt;&gt;"No",_xlfn.XLOOKUP(B84,'Base stats'!B:B,'Base stats'!AC:AC),"")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stats'!AC:AC)&lt;&gt;"No",_xlfn.XLOOKUP(B84,'Base stats'!B:B,'Base stats'!AC:AC),"")
  )
)</f>
        <v>Forage</v>
      </c>
      <c r="BQ84" s="25" t="str">
        <f>IF(
   AND(
      'Base stats'!AL84="Standard",_xlfn.XLOOKUP(_xlfn.XLOOKUP(B84,'Base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stats'!AT:AT) * 1.8) * 2) * 2.5 + 10 + I84 * 2,5)+IF(_xlfn.XLOOKUP(B84,'Base stats'!B:B,'Base stats'!AI:AI)=1,50,0)</f>
        <v>60</v>
      </c>
      <c r="BS84" s="8">
        <f t="shared" si="12"/>
        <v>0.35000000000000003</v>
      </c>
      <c r="BT84" s="8" t="str">
        <f>_xlfn.XLOOKUP(B84,'Base stats'!B:B,'Base stats'!AD:AD)</f>
        <v>No</v>
      </c>
      <c r="BU84" s="2" t="str">
        <f>IF(AND(J84&lt;=0.95,OR(_xlfn.XLOOKUP(B84,'Base stats'!B:B,'Base stats'!AI:AI)=1,_xlfn.XLOOKUP(B84,'Base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stats'!AG:AG)=1,"true","false")</f>
        <v>false</v>
      </c>
      <c r="BW84" s="25" t="str">
        <f>IF(E84="BaseInsect","AnimalInsect",
IF(J84&gt;0.95,"AnimalExotic",
_xlfn.TEXTJOIN(", ",TRUE,
IF(OR(_xlfn.XLOOKUP(B84,'Base stats'!B:B,'Base stats'!AK:AK)=1,AND(_xlfn.XLOOKUP(B84,'Base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stats'!AI:AI)=1,AND(BI84&lt;&gt;"None",BR84&gt;=60),ISNUMBER(SEARCH("Attack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stats'!AH:AH)=1,"true","false")</f>
        <v>false</v>
      </c>
      <c r="BZ84" s="25">
        <f>IF(_xlfn.XLOOKUP(B84,'Base stats'!B:B,'Base stats'!N:N)=1,"No",MAX(0.01,MIN(MROUND(IF(OR(_xlfn.XLOOKUP(B84,'Base stats'!B:B,'Base stats'!AK:AK)=1,AND(BJ84="True",CC84="False")),POWER(10,3.47*LOG10(_xlfn.XLOOKUP(B84,'Base stats'!B:B,'Base stats'!C:C)*1000)^-0.96),POWER(10,4.15*LOG10(_xlfn.XLOOKUP(B84,'Base stats'!B:B,'Base stats'!C:C)*1000)^-0.73))*IF(OR(_xlfn.XLOOKUP(B84,'Base stats'!B:B,'Base stats'!AK:AK)=1,_xlfn.XLOOKUP(B84,'Base stats'!B:B,'Base stats'!AI:AI)=1),0.5,1)/100,0.025),1)))</f>
        <v>0.30000000000000004</v>
      </c>
      <c r="CA84" s="25" t="str">
        <f>IF(P84="Standard","No",MAX(0.01,IF(_xlfn.XLOOKUP(B84,'Base stats'!B:B,'Base stats'!N:N)=0,MROUND(BZ84*P84,0.05),MIN(1,MAX(0.025,MROUND(IF(OR(CC84="true",AND(BJ84="false",BO84="false")),POWER(10,4.15*LOG10(_xlfn.XLOOKUP(B84,'Base stats'!B:B,'Base stats'!C:C)*1000)^-0.73),POWER(10,3.47*LOG10(_xlfn.XLOOKUP(B84,'Base stats'!B:B,'Base stats'!C:C)*1000)^-0.96))*IF(_xlfn.XLOOKUP(B84,'Base stats'!B:B,'Base stats'!AI:AI)=1,0.5,1)/100,0.025))))))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227</v>
      </c>
      <c r="C85" s="28" t="s">
        <v>777</v>
      </c>
      <c r="D85" s="28" t="s">
        <v>882</v>
      </c>
      <c r="E85" s="28" t="s">
        <v>685</v>
      </c>
      <c r="F85" s="28" t="s">
        <v>685</v>
      </c>
      <c r="G85" s="28" t="s">
        <v>685</v>
      </c>
      <c r="H85" s="2">
        <f>MROUND((
  (IF(AND(_xlfn.XLOOKUP(B85,'Base stats'!B:B,'Base stats'!AJ:AJ)=0,BI85="None",_xlfn.XLOOKUP(_xlfn.XLOOKUP(B85,'Base stats'!B:B,'Base stats'!E:E),Groups!A:A,Groups!B:B)=0), (18 + BR85 * 2.7) * 0.5,
    IF(AND(_xlfn.XLOOKUP(B85,'Base stats'!B:B,'Base stats'!AJ:AJ)=0,OR(AO85&lt;0.55,AND(BI85="Intermediate",_xlfn.XLOOKUP(_xlfn.XLOOKUP(B85,'Base stats'!B:B,'Base stats'!E:E),Groups!A:A,Groups!B:B)&lt;2))), (18 + BR85 * 2.7),
      IF(OR(BI85="Advanced",_xlfn.XLOOKUP(B85,'Base stats'!B:B,'Base stats'!AJ:AJ)=1,_xlfn.XLOOKUP(_xlfn.XLOOKUP(B85,'Base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IF(_xlfn.XLOOKUP(_xlfn.XLOOKUP(B85,'Base stats'!B:B,'Base stats'!E:E),Groups!A:A,Groups!C:C)="Untamable",1,IF(_xlfn.XLOOKUP(B85,'Base stats'!B:B,'Base stats'!AJ:AJ)=1,0.99,MIN(MROUND((1-0.6282*EXP(-0.459*AO85))*_xlfn.XLOOKUP(_xlfn.XLOOKUP(B85,'Base stats'!B:B,'Base stats'!E:E),Groups!A:A,Groups!C:C)*IF(_xlfn.XLOOKUP(B85,'Base stats'!B:B,'Base stats'!O:O)=1,0.5,IF(_xlfn.XLOOKUP(B85,'Base stats'!B:B,'Base stats'!O:O)=2,0,1)),0.05),0.985)))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IF(_xlfn.XLOOKUP(_xlfn.XLOOKUP(B85,'Base stats'!B:B,'Base stats'!E:E),Groups!A:A,Groups!L:L)=1,MIN(MROUND(_xlfn.XLOOKUP(B85,'Animals CE'!B:B,'Animals CE'!Z:Z)/2+0.05,0.05),200%),"No")</f>
        <v>No</v>
      </c>
      <c r="O85" s="8" t="str">
        <f>IF(_xlfn.XLOOKUP(_xlfn.XLOOKUP(B85,'Base stats'!B:B,'Base stats'!E:E),Groups!A:A,Groups!L:L)=1,MIN(MROUND(_xlfn.XLOOKUP(B85,'Animals CE'!B:B,'Animals CE'!AA:AA)/2+0.05,0.05),200%),"No")</f>
        <v>No</v>
      </c>
      <c r="P85" s="2" t="str">
        <f>_xlfn.XLOOKUP(B85,'Base stats'!B:B,'Base stats'!R:R)</f>
        <v>Standard</v>
      </c>
      <c r="Q85" s="13">
        <f>MROUND((LOG10(_xlfn.XLOOKUP(B85,'Base stats'!B:B,'Base stats'!AP:AP))*(AO85^0.5)+(_xlfn.XLOOKUP(B85,'Base stats'!B:B,'Base stats'!AP:AP)/1000)^(2/3)+_xlfn.XLOOKUP(B85,'Base stats'!B:B,'Base stats'!AY:AY)/2)+0.5,0.5)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stats'!AQ:AQ))*(AO85^0.5)+(_xlfn.XLOOKUP(B85,'Base stats'!B:B,'Base stats'!AQ:AQ)/1000)^(2/3)+_xlfn.XLOOKUP(B85,'Base stats'!B:B,'Base stats'!AY:AY))+_xlfn.XLOOKUP(B85,'Base stats'!B:B,'Base stats'!AW:AW)+0.5,0.5))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stats'!AS:AS))*(AO85^0.5)+(_xlfn.XLOOKUP(B85,'Base stats'!B:B,'Base stats'!AS:AS)/1000)^(2/3)+_xlfn.XLOOKUP(B85,'Base stats'!B:B,'Base stats'!AX:AX))+0.5+IF(_xlfn.XLOOKUP(_xlfn.XLOOKUP(B85,'Base stats'!B:B,'Base stats'!E:E),Groups!A:A,Groups!U:U)&lt;&gt;3,_xlfn.XLOOKUP(B85,'Base stats'!B:B,'Base stats'!AY:AY),0),0.5))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stats'!AR:AR)="No","No",MROUND((LOG10(_xlfn.XLOOKUP(B85,'Base stats'!B:B,'Base stats'!AR:AR))*(AO85^0.75)+(_xlfn.XLOOKUP(B85,'Base stats'!B:B,'Base stats'!AR:AR)/1000)^(2/3)+_xlfn.XLOOKUP(B85,'Base stats'!B:B,'Base stats'!AV:AV)+_xlfn.XLOOKUP(B85,'Base stats'!B:B,'Base stats'!AY:AY))+0.5,0.5))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stats'!AQ:AQ))*(AO85^0.75)+(_xlfn.XLOOKUP(B85,'Base stats'!B:B,'Base stats'!AQ:AQ)/1000)^(2/3)+_xlfn.XLOOKUP(B85,'Base stats'!B:B,'Base stats'!AW:AW)+_xlfn.XLOOKUP(B85,'Base stats'!B:B,'Base stats'!AY:AY))+0.5,0.5))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FrontRightPaw,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8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IFERROR(IF(_xlfn.XLOOKUP(B85,'Base stats'!B:B,'Base stats'!F:F)="Lay eggs","Lay eggs",MIN(20,MAX(5.5,ROUND(((_xlfn.XLOOKUP(B85,'Base stats'!B:B,'Base stats'!F:F)-25)*(14.5/615) + 5.5)*2,0)/2))),"Cannot breed")</f>
        <v>6.5</v>
      </c>
      <c r="AT85" s="8">
        <f>IF(OR(A85="Queen",A85="Larva",A85="Megachicken",A85="Megatardi",A85="Toxscorpion"),"No",IFERROR(MAX(IF(_xlfn.XLOOKUP(B85,'Base stats'!B:B,'Base stats'!G:G)&lt;0.5,0.2,0.3),MROUND(_xlfn.XLOOKUP(B85,'Base stats'!B:B,'Base stats'!G:G)/(365/60),0.2)),"Unknown"))</f>
        <v>0.3</v>
      </c>
      <c r="AU85" s="8">
        <f t="shared" si="7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_xlfn.XLOOKUP(B85,'Base stats'!B:B,'Base stats'!AF:AF)</f>
        <v>No</v>
      </c>
      <c r="BB85" s="2" t="str">
        <f>_xlfn.XLOOKUP(B85,'Base stats'!B:B,'Base stats'!AE:AE)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stats'!Z:Z)=0),0,IF(OR(_xlfn.XLOOKUP(Animals!B85,'Base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stats'!AA:AA),0.005))</f>
        <v>0</v>
      </c>
      <c r="BE85" s="23">
        <f>MIN(1,MROUND(IF(AND(AO85&lt;0.5,_xlfn.XLOOKUP(B85,'Base stats'!B:B,'Base stats'!Z:Z)=0),0,IF(_xlfn.XLOOKUP(_xlfn.XLOOKUP(B85,'Base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stats'!AB:AB),0.005))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stats'!AL:AL)="Standard","No",MROUND((_xlfn.XLOOKUP(B85,'Base stats'!B:B,'Base stats'!AL:AL)/3.6)/I85,0.1))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stats'!AC:AC)&lt;&gt;"No",_xlfn.XLOOKUP(B85,'Base stats'!B:B,'Base stats'!AC:AC),"")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stats'!AC:AC)&lt;&gt;"No",_xlfn.XLOOKUP(B85,'Base stats'!B:B,'Base stats'!AC:AC),"")
  )
)</f>
        <v>No</v>
      </c>
      <c r="BQ85" s="25">
        <f>IF(
   AND(
      'Base stats'!AL85="Standard",_xlfn.XLOOKUP(_xlfn.XLOOKUP(B85,'Base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stats'!AT:AT) * 1.8) * 2) * 2.5 + 10 + I85 * 2,5)+IF(_xlfn.XLOOKUP(B85,'Base stats'!B:B,'Base stats'!AI:AI)=1,50,0)</f>
        <v>50</v>
      </c>
      <c r="BS85" s="8">
        <f t="shared" si="12"/>
        <v>0.35000000000000003</v>
      </c>
      <c r="BT85" s="8" t="str">
        <f>_xlfn.XLOOKUP(B85,'Base stats'!B:B,'Base stats'!AD:AD)</f>
        <v>No</v>
      </c>
      <c r="BU85" s="2" t="str">
        <f>IF(AND(J85&lt;=0.95,OR(_xlfn.XLOOKUP(B85,'Base stats'!B:B,'Base stats'!AI:AI)=1,_xlfn.XLOOKUP(B85,'Base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stats'!AG:AG)=1,"true","false")</f>
        <v>false</v>
      </c>
      <c r="BW85" s="25" t="str">
        <f>IF(E85="BaseInsect","AnimalInsect",
IF(J85&gt;0.95,"AnimalExotic",
_xlfn.TEXTJOIN(", ",TRUE,
IF(OR(_xlfn.XLOOKUP(B85,'Base stats'!B:B,'Base stats'!AK:AK)=1,AND(_xlfn.XLOOKUP(B85,'Base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stats'!AI:AI)=1,AND(BI85&lt;&gt;"None",BR85&gt;=60),ISNUMBER(SEARCH("Attack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stats'!AH:AH)=1,"true","false")</f>
        <v>false</v>
      </c>
      <c r="BZ85" s="25">
        <f>IF(_xlfn.XLOOKUP(B85,'Base stats'!B:B,'Base stats'!N:N)=1,"No",MAX(0.01,MIN(MROUND(IF(OR(_xlfn.XLOOKUP(B85,'Base stats'!B:B,'Base stats'!AK:AK)=1,AND(BJ85="True",CC85="False")),POWER(10,3.47*LOG10(_xlfn.XLOOKUP(B85,'Base stats'!B:B,'Base stats'!C:C)*1000)^-0.96),POWER(10,4.15*LOG10(_xlfn.XLOOKUP(B85,'Base stats'!B:B,'Base stats'!C:C)*1000)^-0.73))*IF(OR(_xlfn.XLOOKUP(B85,'Base stats'!B:B,'Base stats'!AK:AK)=1,_xlfn.XLOOKUP(B85,'Base stats'!B:B,'Base stats'!AI:AI)=1),0.5,1)/100,0.025),1)))</f>
        <v>7.5000000000000011E-2</v>
      </c>
      <c r="CA85" s="25" t="str">
        <f>IF(P85="Standard","No",MAX(0.01,IF(_xlfn.XLOOKUP(B85,'Base stats'!B:B,'Base stats'!N:N)=0,MROUND(BZ85*P85,0.05),MIN(1,MAX(0.025,MROUND(IF(OR(CC85="true",AND(BJ85="false",BO85="false")),POWER(10,4.15*LOG10(_xlfn.XLOOKUP(B85,'Base stats'!B:B,'Base stats'!C:C)*1000)^-0.73),POWER(10,3.47*LOG10(_xlfn.XLOOKUP(B85,'Base stats'!B:B,'Base stats'!C:C)*1000)^-0.96))*IF(_xlfn.XLOOKUP(B85,'Base stats'!B:B,'Base stats'!AI:AI)=1,0.5,1)/100,0.025))))))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225</v>
      </c>
      <c r="C86" s="28" t="s">
        <v>778</v>
      </c>
      <c r="D86" s="28" t="s">
        <v>882</v>
      </c>
      <c r="E86" s="28" t="s">
        <v>685</v>
      </c>
      <c r="F86" s="28" t="s">
        <v>685</v>
      </c>
      <c r="G86" s="28" t="s">
        <v>685</v>
      </c>
      <c r="H86" s="2">
        <f>MROUND((
  (IF(AND(_xlfn.XLOOKUP(B86,'Base stats'!B:B,'Base stats'!AJ:AJ)=0,BI86="None",_xlfn.XLOOKUP(_xlfn.XLOOKUP(B86,'Base stats'!B:B,'Base stats'!E:E),Groups!A:A,Groups!B:B)=0), (18 + BR86 * 2.7) * 0.5,
    IF(AND(_xlfn.XLOOKUP(B86,'Base stats'!B:B,'Base stats'!AJ:AJ)=0,OR(AO86&lt;0.55,AND(BI86="Intermediate",_xlfn.XLOOKUP(_xlfn.XLOOKUP(B86,'Base stats'!B:B,'Base stats'!E:E),Groups!A:A,Groups!B:B)&lt;2))), (18 + BR86 * 2.7),
      IF(OR(BI86="Advanced",_xlfn.XLOOKUP(B86,'Base stats'!B:B,'Base stats'!AJ:AJ)=1,_xlfn.XLOOKUP(_xlfn.XLOOKUP(B86,'Base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IF(_xlfn.XLOOKUP(_xlfn.XLOOKUP(B86,'Base stats'!B:B,'Base stats'!E:E),Groups!A:A,Groups!C:C)="Untamable",1,IF(_xlfn.XLOOKUP(B86,'Base stats'!B:B,'Base stats'!AJ:AJ)=1,0.99,MIN(MROUND((1-0.6282*EXP(-0.459*AO86))*_xlfn.XLOOKUP(_xlfn.XLOOKUP(B86,'Base stats'!B:B,'Base stats'!E:E),Groups!A:A,Groups!C:C)*IF(_xlfn.XLOOKUP(B86,'Base stats'!B:B,'Base stats'!O:O)=1,0.5,IF(_xlfn.XLOOKUP(B86,'Base stats'!B:B,'Base stats'!O:O)=2,0,1)),0.05),0.985)))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IF(_xlfn.XLOOKUP(_xlfn.XLOOKUP(B86,'Base stats'!B:B,'Base stats'!E:E),Groups!A:A,Groups!L:L)=1,MIN(MROUND(_xlfn.XLOOKUP(B86,'Animals CE'!B:B,'Animals CE'!Z:Z)/2+0.05,0.05),200%),"No")</f>
        <v>No</v>
      </c>
      <c r="O86" s="8" t="str">
        <f>IF(_xlfn.XLOOKUP(_xlfn.XLOOKUP(B86,'Base stats'!B:B,'Base stats'!E:E),Groups!A:A,Groups!L:L)=1,MIN(MROUND(_xlfn.XLOOKUP(B86,'Animals CE'!B:B,'Animals CE'!AA:AA)/2+0.05,0.05),200%),"No")</f>
        <v>No</v>
      </c>
      <c r="P86" s="2" t="str">
        <f>_xlfn.XLOOKUP(B86,'Base stats'!B:B,'Base stats'!R:R)</f>
        <v>Standard</v>
      </c>
      <c r="Q86" s="13">
        <f>MROUND((LOG10(_xlfn.XLOOKUP(B86,'Base stats'!B:B,'Base stats'!AP:AP))*(AO86^0.5)+(_xlfn.XLOOKUP(B86,'Base stats'!B:B,'Base stats'!AP:AP)/1000)^(2/3)+_xlfn.XLOOKUP(B86,'Base stats'!B:B,'Base stats'!AY:AY)/2)+0.5,0.5)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stats'!AQ:AQ))*(AO86^0.5)+(_xlfn.XLOOKUP(B86,'Base stats'!B:B,'Base stats'!AQ:AQ)/1000)^(2/3)+_xlfn.XLOOKUP(B86,'Base stats'!B:B,'Base stats'!AY:AY))+_xlfn.XLOOKUP(B86,'Base stats'!B:B,'Base stats'!AW:AW)+0.5,0.5))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stats'!AS:AS))*(AO86^0.5)+(_xlfn.XLOOKUP(B86,'Base stats'!B:B,'Base stats'!AS:AS)/1000)^(2/3)+_xlfn.XLOOKUP(B86,'Base stats'!B:B,'Base stats'!AX:AX))+0.5+IF(_xlfn.XLOOKUP(_xlfn.XLOOKUP(B86,'Base stats'!B:B,'Base stats'!E:E),Groups!A:A,Groups!U:U)&lt;&gt;3,_xlfn.XLOOKUP(B86,'Base stats'!B:B,'Base stats'!AY:AY),0),0.5))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stats'!AR:AR)="No","No",MROUND((LOG10(_xlfn.XLOOKUP(B86,'Base stats'!B:B,'Base stats'!AR:AR))*(AO86^0.75)+(_xlfn.XLOOKUP(B86,'Base stats'!B:B,'Base stats'!AR:AR)/1000)^(2/3)+_xlfn.XLOOKUP(B86,'Base stats'!B:B,'Base stats'!AV:AV)+_xlfn.XLOOKUP(B86,'Base stats'!B:B,'Base stats'!AY:AY))+0.5,0.5))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stats'!AQ:AQ))*(AO86^0.75)+(_xlfn.XLOOKUP(B86,'Base stats'!B:B,'Base stats'!AQ:AQ)/1000)^(2/3)+_xlfn.XLOOKUP(B86,'Base stats'!B:B,'Base stats'!AW:AW)+_xlfn.XLOOKUP(B86,'Base stats'!B:B,'Base stats'!AY:AY))+0.5,0.5))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8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IFERROR(IF(_xlfn.XLOOKUP(B86,'Base stats'!B:B,'Base stats'!F:F)="Lay eggs","Lay eggs",MIN(20,MAX(5.5,ROUND(((_xlfn.XLOOKUP(B86,'Base stats'!B:B,'Base stats'!F:F)-25)*(14.5/615) + 5.5)*2,0)/2))),"Cannot breed")</f>
        <v>11</v>
      </c>
      <c r="AT86" s="8">
        <f>IF(OR(A86="Queen",A86="Larva",A86="Megachicken",A86="Megatardi",A86="Toxscorpion"),"No",IFERROR(MAX(IF(_xlfn.XLOOKUP(B86,'Base stats'!B:B,'Base stats'!G:G)&lt;0.5,0.2,0.3),MROUND(_xlfn.XLOOKUP(B86,'Base stats'!B:B,'Base stats'!G:G)/(365/60),0.2)),"Unknown"))</f>
        <v>0.4</v>
      </c>
      <c r="AU86" s="8">
        <f t="shared" si="7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_xlfn.XLOOKUP(B86,'Base stats'!B:B,'Base stats'!AF:AF)</f>
        <v>&lt;li&gt;Seal&lt;/li&gt;</v>
      </c>
      <c r="BB86" s="2" t="str">
        <f>_xlfn.XLOOKUP(B86,'Base stats'!B:B,'Base stats'!AE:AE)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stats'!Z:Z)=0),0,IF(OR(_xlfn.XLOOKUP(Animals!B86,'Base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stats'!AA:AA),0.005))</f>
        <v>0</v>
      </c>
      <c r="BE86" s="23">
        <f>MIN(1,MROUND(IF(AND(AO86&lt;0.5,_xlfn.XLOOKUP(B86,'Base stats'!B:B,'Base stats'!Z:Z)=0),0,IF(_xlfn.XLOOKUP(_xlfn.XLOOKUP(B86,'Base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stats'!AB:AB),0.005))</f>
        <v>0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stats'!AL:AL)="Standard","No",MROUND((_xlfn.XLOOKUP(B86,'Base stats'!B:B,'Base stats'!AL:AL)/3.6)/I86,0.1))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stats'!AC:AC)&lt;&gt;"No",_xlfn.XLOOKUP(B86,'Base stats'!B:B,'Base stats'!AC:AC),"")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stats'!AC:AC)&lt;&gt;"No",_xlfn.XLOOKUP(B86,'Base stats'!B:B,'Base stats'!AC:AC),"")
  )
)</f>
        <v>AttackTarget</v>
      </c>
      <c r="BQ86" s="25">
        <f>IF(
   AND(
      'Base stats'!AL86="Standard",_xlfn.XLOOKUP(_xlfn.XLOOKUP(B86,'Base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stats'!AT:AT) * 1.8) * 2) * 2.5 + 10 + I86 * 2,5)+IF(_xlfn.XLOOKUP(B86,'Base stats'!B:B,'Base stats'!AI:AI)=1,50,0)</f>
        <v>155</v>
      </c>
      <c r="BS86" s="8">
        <f t="shared" si="12"/>
        <v>1</v>
      </c>
      <c r="BT86" s="8" t="str">
        <f>_xlfn.XLOOKUP(B86,'Base stats'!B:B,'Base stats'!AD:AD)</f>
        <v>5~15</v>
      </c>
      <c r="BU86" s="2" t="str">
        <f>IF(AND(J86&lt;=0.95,OR(_xlfn.XLOOKUP(B86,'Base stats'!B:B,'Base stats'!AI:AI)=1,_xlfn.XLOOKUP(B86,'Base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stats'!AG:AG)=1,"true","false")</f>
        <v>false</v>
      </c>
      <c r="BW86" s="25" t="str">
        <f>IF(E86="BaseInsect","AnimalInsect",
IF(J86&gt;0.95,"AnimalExotic",
_xlfn.TEXTJOIN(", ",TRUE,
IF(OR(_xlfn.XLOOKUP(B86,'Base stats'!B:B,'Base stats'!AK:AK)=1,AND(_xlfn.XLOOKUP(B86,'Base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stats'!AI:AI)=1,AND(BI86&lt;&gt;"None",BR86&gt;=60),ISNUMBER(SEARCH("Attack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stats'!AH:AH)=1,"true","false")</f>
        <v>true</v>
      </c>
      <c r="BZ86" s="25">
        <f>IF(_xlfn.XLOOKUP(B86,'Base stats'!B:B,'Base stats'!N:N)=1,"No",MAX(0.01,MIN(MROUND(IF(OR(_xlfn.XLOOKUP(B86,'Base stats'!B:B,'Base stats'!AK:AK)=1,AND(BJ86="True",CC86="False")),POWER(10,3.47*LOG10(_xlfn.XLOOKUP(B86,'Base stats'!B:B,'Base stats'!C:C)*1000)^-0.96),POWER(10,4.15*LOG10(_xlfn.XLOOKUP(B86,'Base stats'!B:B,'Base stats'!C:C)*1000)^-0.73))*IF(OR(_xlfn.XLOOKUP(B86,'Base stats'!B:B,'Base stats'!AK:AK)=1,_xlfn.XLOOKUP(B86,'Base stats'!B:B,'Base stats'!AI:AI)=1),0.5,1)/100,0.025),1)))</f>
        <v>0.05</v>
      </c>
      <c r="CA86" s="25" t="str">
        <f>IF(P86="Standard","No",MAX(0.01,IF(_xlfn.XLOOKUP(B86,'Base stats'!B:B,'Base stats'!N:N)=0,MROUND(BZ86*P86,0.05),MIN(1,MAX(0.025,MROUND(IF(OR(CC86="true",AND(BJ86="false",BO86="false")),POWER(10,4.15*LOG10(_xlfn.XLOOKUP(B86,'Base stats'!B:B,'Base stats'!C:C)*1000)^-0.73),POWER(10,3.47*LOG10(_xlfn.XLOOKUP(B86,'Base stats'!B:B,'Base stats'!C:C)*1000)^-0.96))*IF(_xlfn.XLOOKUP(B86,'Base stats'!B:B,'Base stats'!AI:AI)=1,0.5,1)/100,0.025))))))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190</v>
      </c>
      <c r="C87" s="28" t="s">
        <v>779</v>
      </c>
      <c r="D87" s="28" t="s">
        <v>882</v>
      </c>
      <c r="E87" s="28" t="s">
        <v>685</v>
      </c>
      <c r="F87" s="28" t="s">
        <v>685</v>
      </c>
      <c r="G87" s="28" t="s">
        <v>685</v>
      </c>
      <c r="H87" s="2">
        <f>MROUND((
  (IF(AND(_xlfn.XLOOKUP(B87,'Base stats'!B:B,'Base stats'!AJ:AJ)=0,BI87="None",_xlfn.XLOOKUP(_xlfn.XLOOKUP(B87,'Base stats'!B:B,'Base stats'!E:E),Groups!A:A,Groups!B:B)=0), (18 + BR87 * 2.7) * 0.5,
    IF(AND(_xlfn.XLOOKUP(B87,'Base stats'!B:B,'Base stats'!AJ:AJ)=0,OR(AO87&lt;0.55,AND(BI87="Intermediate",_xlfn.XLOOKUP(_xlfn.XLOOKUP(B87,'Base stats'!B:B,'Base stats'!E:E),Groups!A:A,Groups!B:B)&lt;2))), (18 + BR87 * 2.7),
      IF(OR(BI87="Advanced",_xlfn.XLOOKUP(B87,'Base stats'!B:B,'Base stats'!AJ:AJ)=1,_xlfn.XLOOKUP(_xlfn.XLOOKUP(B87,'Base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IF(_xlfn.XLOOKUP(_xlfn.XLOOKUP(B87,'Base stats'!B:B,'Base stats'!E:E),Groups!A:A,Groups!C:C)="Untamable",1,IF(_xlfn.XLOOKUP(B87,'Base stats'!B:B,'Base stats'!AJ:AJ)=1,0.99,MIN(MROUND((1-0.6282*EXP(-0.459*AO87))*_xlfn.XLOOKUP(_xlfn.XLOOKUP(B87,'Base stats'!B:B,'Base stats'!E:E),Groups!A:A,Groups!C:C)*IF(_xlfn.XLOOKUP(B87,'Base stats'!B:B,'Base stats'!O:O)=1,0.5,IF(_xlfn.XLOOKUP(B87,'Base stats'!B:B,'Base stats'!O:O)=2,0,1)),0.05),0.985)))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IF(_xlfn.XLOOKUP(_xlfn.XLOOKUP(B87,'Base stats'!B:B,'Base stats'!E:E),Groups!A:A,Groups!L:L)=1,MIN(MROUND(_xlfn.XLOOKUP(B87,'Animals CE'!B:B,'Animals CE'!Z:Z)/2+0.05,0.05),200%),"No")</f>
        <v>No</v>
      </c>
      <c r="O87" s="8" t="str">
        <f>IF(_xlfn.XLOOKUP(_xlfn.XLOOKUP(B87,'Base stats'!B:B,'Base stats'!E:E),Groups!A:A,Groups!L:L)=1,MIN(MROUND(_xlfn.XLOOKUP(B87,'Animals CE'!B:B,'Animals CE'!AA:AA)/2+0.05,0.05),200%),"No")</f>
        <v>No</v>
      </c>
      <c r="P87" s="2" t="str">
        <f>_xlfn.XLOOKUP(B87,'Base stats'!B:B,'Base stats'!R:R)</f>
        <v>Standard</v>
      </c>
      <c r="Q87" s="13">
        <f>MROUND((LOG10(_xlfn.XLOOKUP(B87,'Base stats'!B:B,'Base stats'!AP:AP))*(AO87^0.5)+(_xlfn.XLOOKUP(B87,'Base stats'!B:B,'Base stats'!AP:AP)/1000)^(2/3)+_xlfn.XLOOKUP(B87,'Base stats'!B:B,'Base stats'!AY:AY)/2)+0.5,0.5)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stats'!AQ:AQ))*(AO87^0.5)+(_xlfn.XLOOKUP(B87,'Base stats'!B:B,'Base stats'!AQ:AQ)/1000)^(2/3)+_xlfn.XLOOKUP(B87,'Base stats'!B:B,'Base stats'!AY:AY))+_xlfn.XLOOKUP(B87,'Base stats'!B:B,'Base stats'!AW:AW)+0.5,0.5))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stats'!AS:AS))*(AO87^0.5)+(_xlfn.XLOOKUP(B87,'Base stats'!B:B,'Base stats'!AS:AS)/1000)^(2/3)+_xlfn.XLOOKUP(B87,'Base stats'!B:B,'Base stats'!AX:AX))+0.5+IF(_xlfn.XLOOKUP(_xlfn.XLOOKUP(B87,'Base stats'!B:B,'Base stats'!E:E),Groups!A:A,Groups!U:U)&lt;&gt;3,_xlfn.XLOOKUP(B87,'Base stats'!B:B,'Base stats'!AY:AY),0),0.5))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stats'!AR:AR)="No","No",MROUND((LOG10(_xlfn.XLOOKUP(B87,'Base stats'!B:B,'Base stats'!AR:AR))*(AO87^0.75)+(_xlfn.XLOOKUP(B87,'Base stats'!B:B,'Base stats'!AR:AR)/1000)^(2/3)+_xlfn.XLOOKUP(B87,'Base stats'!B:B,'Base stats'!AV:AV)+_xlfn.XLOOKUP(B87,'Base stats'!B:B,'Base stats'!AY:AY))+0.5,0.5))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stats'!AQ:AQ))*(AO87^0.75)+(_xlfn.XLOOKUP(B87,'Base stats'!B:B,'Base stats'!AQ:AQ)/1000)^(2/3)+_xlfn.XLOOKUP(B87,'Base stats'!B:B,'Base stats'!AW:AW)+_xlfn.XLOOKUP(B87,'Base stats'!B:B,'Base stats'!AY:AY))+0.5,0.5))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8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IFERROR(IF(_xlfn.XLOOKUP(B87,'Base stats'!B:B,'Base stats'!F:F)="Lay eggs","Lay eggs",MIN(20,MAX(5.5,ROUND(((_xlfn.XLOOKUP(B87,'Base stats'!B:B,'Base stats'!F:F)-25)*(14.5/615) + 5.5)*2,0)/2))),"Cannot breed")</f>
        <v>11</v>
      </c>
      <c r="AT87" s="8">
        <f>IF(OR(A87="Queen",A87="Larva",A87="Megachicken",A87="Megatardi",A87="Toxscorpion"),"No",IFERROR(MAX(IF(_xlfn.XLOOKUP(B87,'Base stats'!B:B,'Base stats'!G:G)&lt;0.5,0.2,0.3),MROUND(_xlfn.XLOOKUP(B87,'Base stats'!B:B,'Base stats'!G:G)/(365/60),0.2)),"Unknown"))</f>
        <v>0.4</v>
      </c>
      <c r="AU87" s="8">
        <f t="shared" si="7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_xlfn.XLOOKUP(B87,'Base stats'!B:B,'Base stats'!AF:AF)</f>
        <v>No</v>
      </c>
      <c r="BB87" s="2" t="str">
        <f>_xlfn.XLOOKUP(B87,'Base stats'!B:B,'Base stats'!AE:AE)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stats'!Z:Z)=0),0,IF(OR(_xlfn.XLOOKUP(Animals!B87,'Base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stats'!AA:AA),0.005))</f>
        <v>0</v>
      </c>
      <c r="BE87" s="23">
        <f>MIN(1,MROUND(IF(AND(AO87&lt;0.5,_xlfn.XLOOKUP(B87,'Base stats'!B:B,'Base stats'!Z:Z)=0),0,IF(_xlfn.XLOOKUP(_xlfn.XLOOKUP(B87,'Base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stats'!AB:AB),0.005))</f>
        <v>0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stats'!AL:AL)="Standard","No",MROUND((_xlfn.XLOOKUP(B87,'Base stats'!B:B,'Base stats'!AL:AL)/3.6)/I87,0.1))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stats'!AC:AC)&lt;&gt;"No",_xlfn.XLOOKUP(B87,'Base stats'!B:B,'Base stats'!AC:AC),"")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stats'!AC:AC)&lt;&gt;"No",_xlfn.XLOOKUP(B87,'Base stats'!B:B,'Base stats'!AC:AC),"")
  )
)</f>
        <v>AttackTarget</v>
      </c>
      <c r="BQ87" s="25">
        <f>IF(
   AND(
      'Base stats'!AL87="Standard",_xlfn.XLOOKUP(_xlfn.XLOOKUP(B87,'Base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stats'!AT:AT) * 1.8) * 2) * 2.5 + 10 + I87 * 2,5)+IF(_xlfn.XLOOKUP(B87,'Base stats'!B:B,'Base stats'!AI:AI)=1,50,0)</f>
        <v>115</v>
      </c>
      <c r="BS87" s="8">
        <f t="shared" si="12"/>
        <v>0.8</v>
      </c>
      <c r="BT87" s="8" t="str">
        <f>_xlfn.XLOOKUP(B87,'Base stats'!B:B,'Base stats'!AD:AD)</f>
        <v>5~15</v>
      </c>
      <c r="BU87" s="2" t="str">
        <f>IF(AND(J87&lt;=0.95,OR(_xlfn.XLOOKUP(B87,'Base stats'!B:B,'Base stats'!AI:AI)=1,_xlfn.XLOOKUP(B87,'Base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stats'!AG:AG)=1,"true","false")</f>
        <v>false</v>
      </c>
      <c r="BW87" s="25" t="str">
        <f>IF(E87="BaseInsect","AnimalInsect",
IF(J87&gt;0.95,"AnimalExotic",
_xlfn.TEXTJOIN(", ",TRUE,
IF(OR(_xlfn.XLOOKUP(B87,'Base stats'!B:B,'Base stats'!AK:AK)=1,AND(_xlfn.XLOOKUP(B87,'Base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stats'!AI:AI)=1,AND(BI87&lt;&gt;"None",BR87&gt;=60),ISNUMBER(SEARCH("Attack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stats'!AH:AH)=1,"true","false")</f>
        <v>true</v>
      </c>
      <c r="BZ87" s="25">
        <f>IF(_xlfn.XLOOKUP(B87,'Base stats'!B:B,'Base stats'!N:N)=1,"No",MAX(0.01,MIN(MROUND(IF(OR(_xlfn.XLOOKUP(B87,'Base stats'!B:B,'Base stats'!AK:AK)=1,AND(BJ87="True",CC87="False")),POWER(10,3.47*LOG10(_xlfn.XLOOKUP(B87,'Base stats'!B:B,'Base stats'!C:C)*1000)^-0.96),POWER(10,4.15*LOG10(_xlfn.XLOOKUP(B87,'Base stats'!B:B,'Base stats'!C:C)*1000)^-0.73))*IF(OR(_xlfn.XLOOKUP(B87,'Base stats'!B:B,'Base stats'!AK:AK)=1,_xlfn.XLOOKUP(B87,'Base stats'!B:B,'Base stats'!AI:AI)=1),0.5,1)/100,0.025),1)))</f>
        <v>0.05</v>
      </c>
      <c r="CA87" s="25" t="str">
        <f>IF(P87="Standard","No",MAX(0.01,IF(_xlfn.XLOOKUP(B87,'Base stats'!B:B,'Base stats'!N:N)=0,MROUND(BZ87*P87,0.05),MIN(1,MAX(0.025,MROUND(IF(OR(CC87="true",AND(BJ87="false",BO87="false")),POWER(10,4.15*LOG10(_xlfn.XLOOKUP(B87,'Base stats'!B:B,'Base stats'!C:C)*1000)^-0.73),POWER(10,3.47*LOG10(_xlfn.XLOOKUP(B87,'Base stats'!B:B,'Base stats'!C:C)*1000)^-0.96))*IF(_xlfn.XLOOKUP(B87,'Base stats'!B:B,'Base stats'!AI:AI)=1,0.5,1)/100,0.025))))))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192</v>
      </c>
      <c r="C88" s="28" t="s">
        <v>780</v>
      </c>
      <c r="D88" s="28" t="s">
        <v>882</v>
      </c>
      <c r="E88" s="28" t="s">
        <v>685</v>
      </c>
      <c r="F88" s="28" t="s">
        <v>685</v>
      </c>
      <c r="G88" s="28" t="s">
        <v>685</v>
      </c>
      <c r="H88" s="2">
        <f>MROUND((
  (IF(AND(_xlfn.XLOOKUP(B88,'Base stats'!B:B,'Base stats'!AJ:AJ)=0,BI88="None",_xlfn.XLOOKUP(_xlfn.XLOOKUP(B88,'Base stats'!B:B,'Base stats'!E:E),Groups!A:A,Groups!B:B)=0), (18 + BR88 * 2.7) * 0.5,
    IF(AND(_xlfn.XLOOKUP(B88,'Base stats'!B:B,'Base stats'!AJ:AJ)=0,OR(AO88&lt;0.55,AND(BI88="Intermediate",_xlfn.XLOOKUP(_xlfn.XLOOKUP(B88,'Base stats'!B:B,'Base stats'!E:E),Groups!A:A,Groups!B:B)&lt;2))), (18 + BR88 * 2.7),
      IF(OR(BI88="Advanced",_xlfn.XLOOKUP(B88,'Base stats'!B:B,'Base stats'!AJ:AJ)=1,_xlfn.XLOOKUP(_xlfn.XLOOKUP(B88,'Base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IF(_xlfn.XLOOKUP(_xlfn.XLOOKUP(B88,'Base stats'!B:B,'Base stats'!E:E),Groups!A:A,Groups!C:C)="Untamable",1,IF(_xlfn.XLOOKUP(B88,'Base stats'!B:B,'Base stats'!AJ:AJ)=1,0.99,MIN(MROUND((1-0.6282*EXP(-0.459*AO88))*_xlfn.XLOOKUP(_xlfn.XLOOKUP(B88,'Base stats'!B:B,'Base stats'!E:E),Groups!A:A,Groups!C:C)*IF(_xlfn.XLOOKUP(B88,'Base stats'!B:B,'Base stats'!O:O)=1,0.5,IF(_xlfn.XLOOKUP(B88,'Base stats'!B:B,'Base stats'!O:O)=2,0,1)),0.05),0.985)))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IF(_xlfn.XLOOKUP(_xlfn.XLOOKUP(B88,'Base stats'!B:B,'Base stats'!E:E),Groups!A:A,Groups!L:L)=1,MIN(MROUND(_xlfn.XLOOKUP(B88,'Animals CE'!B:B,'Animals CE'!Z:Z)/2+0.05,0.05),200%),"No")</f>
        <v>No</v>
      </c>
      <c r="O88" s="8" t="str">
        <f>IF(_xlfn.XLOOKUP(_xlfn.XLOOKUP(B88,'Base stats'!B:B,'Base stats'!E:E),Groups!A:A,Groups!L:L)=1,MIN(MROUND(_xlfn.XLOOKUP(B88,'Animals CE'!B:B,'Animals CE'!AA:AA)/2+0.05,0.05),200%),"No")</f>
        <v>No</v>
      </c>
      <c r="P88" s="2" t="str">
        <f>_xlfn.XLOOKUP(B88,'Base stats'!B:B,'Base stats'!R:R)</f>
        <v>Standard</v>
      </c>
      <c r="Q88" s="13">
        <f>MROUND((LOG10(_xlfn.XLOOKUP(B88,'Base stats'!B:B,'Base stats'!AP:AP))*(AO88^0.5)+(_xlfn.XLOOKUP(B88,'Base stats'!B:B,'Base stats'!AP:AP)/1000)^(2/3)+_xlfn.XLOOKUP(B88,'Base stats'!B:B,'Base stats'!AY:AY)/2)+0.5,0.5)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stats'!AQ:AQ))*(AO88^0.5)+(_xlfn.XLOOKUP(B88,'Base stats'!B:B,'Base stats'!AQ:AQ)/1000)^(2/3)+_xlfn.XLOOKUP(B88,'Base stats'!B:B,'Base stats'!AY:AY))+_xlfn.XLOOKUP(B88,'Base stats'!B:B,'Base stats'!AW:AW)+0.5,0.5))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stats'!AS:AS))*(AO88^0.5)+(_xlfn.XLOOKUP(B88,'Base stats'!B:B,'Base stats'!AS:AS)/1000)^(2/3)+_xlfn.XLOOKUP(B88,'Base stats'!B:B,'Base stats'!AX:AX))+0.5+IF(_xlfn.XLOOKUP(_xlfn.XLOOKUP(B88,'Base stats'!B:B,'Base stats'!E:E),Groups!A:A,Groups!U:U)&lt;&gt;3,_xlfn.XLOOKUP(B88,'Base stats'!B:B,'Base stats'!AY:AY),0),0.5))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stats'!AR:AR)="No","No",MROUND((LOG10(_xlfn.XLOOKUP(B88,'Base stats'!B:B,'Base stats'!AR:AR))*(AO88^0.75)+(_xlfn.XLOOKUP(B88,'Base stats'!B:B,'Base stats'!AR:AR)/1000)^(2/3)+_xlfn.XLOOKUP(B88,'Base stats'!B:B,'Base stats'!AV:AV)+_xlfn.XLOOKUP(B88,'Base stats'!B:B,'Base stats'!AY:AY))+0.5,0.5))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stats'!AQ:AQ))*(AO88^0.75)+(_xlfn.XLOOKUP(B88,'Base stats'!B:B,'Base stats'!AQ:AQ)/1000)^(2/3)+_xlfn.XLOOKUP(B88,'Base stats'!B:B,'Base stats'!AW:AW)+_xlfn.XLOOKUP(B88,'Base stats'!B:B,'Base stats'!AY:AY))+0.5,0.5))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8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IFERROR(IF(_xlfn.XLOOKUP(B88,'Base stats'!B:B,'Base stats'!F:F)="Lay eggs","Lay eggs",MIN(20,MAX(5.5,ROUND(((_xlfn.XLOOKUP(B88,'Base stats'!B:B,'Base stats'!F:F)-25)*(14.5/615) + 5.5)*2,0)/2))),"Cannot breed")</f>
        <v>12.5</v>
      </c>
      <c r="AT88" s="8">
        <f>IF(OR(A88="Queen",A88="Larva",A88="Megachicken",A88="Megatardi",A88="Toxscorpion"),"No",IFERROR(MAX(IF(_xlfn.XLOOKUP(B88,'Base stats'!B:B,'Base stats'!G:G)&lt;0.5,0.2,0.3),MROUND(_xlfn.XLOOKUP(B88,'Base stats'!B:B,'Base stats'!G:G)/(365/60),0.2)),"Unknown"))</f>
        <v>0.8</v>
      </c>
      <c r="AU88" s="8">
        <f t="shared" si="7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_xlfn.XLOOKUP(B88,'Base stats'!B:B,'Base stats'!AF:AF)</f>
        <v>&lt;li&gt;Seal&lt;/li&gt;</v>
      </c>
      <c r="BB88" s="2" t="str">
        <f>_xlfn.XLOOKUP(B88,'Base stats'!B:B,'Base stats'!AE:AE)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stats'!Z:Z)=0),0,IF(OR(_xlfn.XLOOKUP(Animals!B88,'Base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stats'!AA:AA),0.005))</f>
        <v>0</v>
      </c>
      <c r="BE88" s="23">
        <f>MIN(1,MROUND(IF(AND(AO88&lt;0.5,_xlfn.XLOOKUP(B88,'Base stats'!B:B,'Base stats'!Z:Z)=0),0,IF(_xlfn.XLOOKUP(_xlfn.XLOOKUP(B88,'Base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stats'!AB:AB),0.005))</f>
        <v>0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stats'!AL:AL)="Standard","No",MROUND((_xlfn.XLOOKUP(B88,'Base stats'!B:B,'Base stats'!AL:AL)/3.6)/I88,0.1))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stats'!AC:AC)&lt;&gt;"No",_xlfn.XLOOKUP(B88,'Base stats'!B:B,'Base stats'!AC:AC),"")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stats'!AC:AC)&lt;&gt;"No",_xlfn.XLOOKUP(B88,'Base stats'!B:B,'Base stats'!AC:AC),"")
  )
)</f>
        <v>No</v>
      </c>
      <c r="BQ88" s="25">
        <f>IF(
   AND(
      'Base stats'!AL88="Standard",_xlfn.XLOOKUP(_xlfn.XLOOKUP(B88,'Base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stats'!AT:AT) * 1.8) * 2) * 2.5 + 10 + I88 * 2,5)+IF(_xlfn.XLOOKUP(B88,'Base stats'!B:B,'Base stats'!AI:AI)=1,50,0)</f>
        <v>300</v>
      </c>
      <c r="BS88" s="8">
        <f t="shared" si="12"/>
        <v>2.1</v>
      </c>
      <c r="BT88" s="8" t="str">
        <f>_xlfn.XLOOKUP(B88,'Base stats'!B:B,'Base stats'!AD:AD)</f>
        <v>5~15</v>
      </c>
      <c r="BU88" s="2" t="str">
        <f>IF(AND(J88&lt;=0.95,OR(_xlfn.XLOOKUP(B88,'Base stats'!B:B,'Base stats'!AI:AI)=1,_xlfn.XLOOKUP(B88,'Base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stats'!AG:AG)=1,"true","false")</f>
        <v>false</v>
      </c>
      <c r="BW88" s="25" t="str">
        <f>IF(E88="BaseInsect","AnimalInsect",
IF(J88&gt;0.95,"AnimalExotic",
_xlfn.TEXTJOIN(", ",TRUE,
IF(OR(_xlfn.XLOOKUP(B88,'Base stats'!B:B,'Base stats'!AK:AK)=1,AND(_xlfn.XLOOKUP(B88,'Base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stats'!AI:AI)=1,AND(BI88&lt;&gt;"None",BR88&gt;=60),ISNUMBER(SEARCH("Attack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stats'!AH:AH)=1,"true","false")</f>
        <v>true</v>
      </c>
      <c r="BZ88" s="25">
        <f>IF(_xlfn.XLOOKUP(B88,'Base stats'!B:B,'Base stats'!N:N)=1,"No",MAX(0.01,MIN(MROUND(IF(OR(_xlfn.XLOOKUP(B88,'Base stats'!B:B,'Base stats'!AK:AK)=1,AND(BJ88="True",CC88="False")),POWER(10,3.47*LOG10(_xlfn.XLOOKUP(B88,'Base stats'!B:B,'Base stats'!C:C)*1000)^-0.96),POWER(10,4.15*LOG10(_xlfn.XLOOKUP(B88,'Base stats'!B:B,'Base stats'!C:C)*1000)^-0.73))*IF(OR(_xlfn.XLOOKUP(B88,'Base stats'!B:B,'Base stats'!AK:AK)=1,_xlfn.XLOOKUP(B88,'Base stats'!B:B,'Base stats'!AI:AI)=1),0.5,1)/100,0.025),1)))</f>
        <v>0.125</v>
      </c>
      <c r="CA88" s="25" t="str">
        <f>IF(P88="Standard","No",MAX(0.01,IF(_xlfn.XLOOKUP(B88,'Base stats'!B:B,'Base stats'!N:N)=0,MROUND(BZ88*P88,0.05),MIN(1,MAX(0.025,MROUND(IF(OR(CC88="true",AND(BJ88="false",BO88="false")),POWER(10,4.15*LOG10(_xlfn.XLOOKUP(B88,'Base stats'!B:B,'Base stats'!C:C)*1000)^-0.73),POWER(10,3.47*LOG10(_xlfn.XLOOKUP(B88,'Base stats'!B:B,'Base stats'!C:C)*1000)^-0.96))*IF(_xlfn.XLOOKUP(B88,'Base stats'!B:B,'Base stats'!AI:AI)=1,0.5,1)/100,0.025))))))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112</v>
      </c>
      <c r="C89" s="28" t="s">
        <v>781</v>
      </c>
      <c r="D89" s="28" t="s">
        <v>882</v>
      </c>
      <c r="E89" s="28" t="s">
        <v>685</v>
      </c>
      <c r="F89" s="28" t="s">
        <v>685</v>
      </c>
      <c r="G89" s="28" t="s">
        <v>685</v>
      </c>
      <c r="H89" s="2">
        <f>MROUND((
  (IF(AND(_xlfn.XLOOKUP(B89,'Base stats'!B:B,'Base stats'!AJ:AJ)=0,BI89="None",_xlfn.XLOOKUP(_xlfn.XLOOKUP(B89,'Base stats'!B:B,'Base stats'!E:E),Groups!A:A,Groups!B:B)=0), (18 + BR89 * 2.7) * 0.5,
    IF(AND(_xlfn.XLOOKUP(B89,'Base stats'!B:B,'Base stats'!AJ:AJ)=0,OR(AO89&lt;0.55,AND(BI89="Intermediate",_xlfn.XLOOKUP(_xlfn.XLOOKUP(B89,'Base stats'!B:B,'Base stats'!E:E),Groups!A:A,Groups!B:B)&lt;2))), (18 + BR89 * 2.7),
      IF(OR(BI89="Advanced",_xlfn.XLOOKUP(B89,'Base stats'!B:B,'Base stats'!AJ:AJ)=1,_xlfn.XLOOKUP(_xlfn.XLOOKUP(B89,'Base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IF(_xlfn.XLOOKUP(_xlfn.XLOOKUP(B89,'Base stats'!B:B,'Base stats'!E:E),Groups!A:A,Groups!C:C)="Untamable",1,IF(_xlfn.XLOOKUP(B89,'Base stats'!B:B,'Base stats'!AJ:AJ)=1,0.99,MIN(MROUND((1-0.6282*EXP(-0.459*AO89))*_xlfn.XLOOKUP(_xlfn.XLOOKUP(B89,'Base stats'!B:B,'Base stats'!E:E),Groups!A:A,Groups!C:C)*IF(_xlfn.XLOOKUP(B89,'Base stats'!B:B,'Base stats'!O:O)=1,0.5,IF(_xlfn.XLOOKUP(B89,'Base stats'!B:B,'Base stats'!O:O)=2,0,1)),0.05),0.985)))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IF(_xlfn.XLOOKUP(_xlfn.XLOOKUP(B89,'Base stats'!B:B,'Base stats'!E:E),Groups!A:A,Groups!L:L)=1,MIN(MROUND(_xlfn.XLOOKUP(B89,'Animals CE'!B:B,'Animals CE'!Z:Z)/2+0.05,0.05),200%),"No")</f>
        <v>No</v>
      </c>
      <c r="O89" s="8" t="str">
        <f>IF(_xlfn.XLOOKUP(_xlfn.XLOOKUP(B89,'Base stats'!B:B,'Base stats'!E:E),Groups!A:A,Groups!L:L)=1,MIN(MROUND(_xlfn.XLOOKUP(B89,'Animals CE'!B:B,'Animals CE'!AA:AA)/2+0.05,0.05),200%),"No")</f>
        <v>No</v>
      </c>
      <c r="P89" s="2" t="str">
        <f>_xlfn.XLOOKUP(B89,'Base stats'!B:B,'Base stats'!R:R)</f>
        <v>Standard</v>
      </c>
      <c r="Q89" s="13">
        <f>MROUND((LOG10(_xlfn.XLOOKUP(B89,'Base stats'!B:B,'Base stats'!AP:AP))*(AO89^0.5)+(_xlfn.XLOOKUP(B89,'Base stats'!B:B,'Base stats'!AP:AP)/1000)^(2/3)+_xlfn.XLOOKUP(B89,'Base stats'!B:B,'Base stats'!AY:AY)/2)+0.5,0.5)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stats'!AQ:AQ))*(AO89^0.5)+(_xlfn.XLOOKUP(B89,'Base stats'!B:B,'Base stats'!AQ:AQ)/1000)^(2/3)+_xlfn.XLOOKUP(B89,'Base stats'!B:B,'Base stats'!AY:AY))+_xlfn.XLOOKUP(B89,'Base stats'!B:B,'Base stats'!AW:AW)+0.5,0.5))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stats'!AS:AS))*(AO89^0.5)+(_xlfn.XLOOKUP(B89,'Base stats'!B:B,'Base stats'!AS:AS)/1000)^(2/3)+_xlfn.XLOOKUP(B89,'Base stats'!B:B,'Base stats'!AX:AX))+0.5+IF(_xlfn.XLOOKUP(_xlfn.XLOOKUP(B89,'Base stats'!B:B,'Base stats'!E:E),Groups!A:A,Groups!U:U)&lt;&gt;3,_xlfn.XLOOKUP(B89,'Base stats'!B:B,'Base stats'!AY:AY),0),0.5))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stats'!AR:AR)="No","No",MROUND((LOG10(_xlfn.XLOOKUP(B89,'Base stats'!B:B,'Base stats'!AR:AR))*(AO89^0.75)+(_xlfn.XLOOKUP(B89,'Base stats'!B:B,'Base stats'!AR:AR)/1000)^(2/3)+_xlfn.XLOOKUP(B89,'Base stats'!B:B,'Base stats'!AV:AV)+_xlfn.XLOOKUP(B89,'Base stats'!B:B,'Base stats'!AY:AY))+0.5,0.5))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stats'!AQ:AQ))*(AO89^0.75)+(_xlfn.XLOOKUP(B89,'Base stats'!B:B,'Base stats'!AQ:AQ)/1000)^(2/3)+_xlfn.XLOOKUP(B89,'Base stats'!B:B,'Base stats'!AW:AW)+_xlfn.XLOOKUP(B89,'Base stats'!B:B,'Base stats'!AY:AY))+0.5,0.5))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8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IFERROR(IF(_xlfn.XLOOKUP(B89,'Base stats'!B:B,'Base stats'!F:F)="Lay eggs","Lay eggs",MIN(20,MAX(5.5,ROUND(((_xlfn.XLOOKUP(B89,'Base stats'!B:B,'Base stats'!F:F)-25)*(14.5/615) + 5.5)*2,0)/2))),"Cannot breed")</f>
        <v>11</v>
      </c>
      <c r="AT89" s="8">
        <f>IF(OR(A89="Queen",A89="Larva",A89="Megachicken",A89="Megatardi",A89="Toxscorpion"),"No",IFERROR(MAX(IF(_xlfn.XLOOKUP(B89,'Base stats'!B:B,'Base stats'!G:G)&lt;0.5,0.2,0.3),MROUND(_xlfn.XLOOKUP(B89,'Base stats'!B:B,'Base stats'!G:G)/(365/60),0.2)),"Unknown"))</f>
        <v>1.2000000000000002</v>
      </c>
      <c r="AU89" s="8">
        <f t="shared" si="7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_xlfn.XLOOKUP(B89,'Base stats'!B:B,'Base stats'!AF:AF)</f>
        <v>&lt;li&gt;Monkey&lt;/li&gt;</v>
      </c>
      <c r="BB89" s="2" t="str">
        <f>_xlfn.XLOOKUP(B89,'Base stats'!B:B,'Base stats'!AE:AE)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stats'!Z:Z)=0),0,IF(OR(_xlfn.XLOOKUP(Animals!B89,'Base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stats'!AA:AA),0.005))</f>
        <v>2.5000000000000001E-2</v>
      </c>
      <c r="BE89" s="23">
        <f>MIN(1,MROUND(IF(AND(AO89&lt;0.5,_xlfn.XLOOKUP(B89,'Base stats'!B:B,'Base stats'!Z:Z)=0),0,IF(_xlfn.XLOOKUP(_xlfn.XLOOKUP(B89,'Base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stats'!AB:AB),0.005))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stats'!AL:AL)="Standard","No",MROUND((_xlfn.XLOOKUP(B89,'Base stats'!B:B,'Base stats'!AL:AL)/3.6)/I89,0.1))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stats'!AC:AC)&lt;&gt;"No",_xlfn.XLOOKUP(B89,'Base stats'!B:B,'Base stats'!AC:AC),"")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stats'!AC:AC)&lt;&gt;"No",_xlfn.XLOOKUP(B89,'Base stats'!B:B,'Base stats'!AC:AC),"")
  )
)</f>
        <v>Forage</v>
      </c>
      <c r="BQ89" s="25" t="str">
        <f>IF(
   AND(
      'Base stats'!AL89="Standard",_xlfn.XLOOKUP(_xlfn.XLOOKUP(B89,'Base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stats'!AT:AT) * 1.8) * 2) * 2.5 + 10 + I89 * 2,5)+IF(_xlfn.XLOOKUP(B89,'Base stats'!B:B,'Base stats'!AI:AI)=1,50,0)</f>
        <v>125</v>
      </c>
      <c r="BS89" s="8">
        <f t="shared" si="12"/>
        <v>0.9</v>
      </c>
      <c r="BT89" s="8" t="str">
        <f>_xlfn.XLOOKUP(B89,'Base stats'!B:B,'Base stats'!AD:AD)</f>
        <v>3~10</v>
      </c>
      <c r="BU89" s="2" t="str">
        <f>IF(AND(J89&lt;=0.95,OR(_xlfn.XLOOKUP(B89,'Base stats'!B:B,'Base stats'!AI:AI)=1,_xlfn.XLOOKUP(B89,'Base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stats'!AG:AG)=1,"true","false")</f>
        <v>false</v>
      </c>
      <c r="BW89" s="25" t="str">
        <f>IF(E89="BaseInsect","AnimalInsect",
IF(J89&gt;0.95,"AnimalExotic",
_xlfn.TEXTJOIN(", ",TRUE,
IF(OR(_xlfn.XLOOKUP(B89,'Base stats'!B:B,'Base stats'!AK:AK)=1,AND(_xlfn.XLOOKUP(B89,'Base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stats'!AI:AI)=1,AND(BI89&lt;&gt;"None",BR89&gt;=60),ISNUMBER(SEARCH("Attack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stats'!AH:AH)=1,"true","false")</f>
        <v>false</v>
      </c>
      <c r="BZ89" s="25">
        <f>IF(_xlfn.XLOOKUP(B89,'Base stats'!B:B,'Base stats'!N:N)=1,"No",MAX(0.01,MIN(MROUND(IF(OR(_xlfn.XLOOKUP(B89,'Base stats'!B:B,'Base stats'!AK:AK)=1,AND(BJ89="True",CC89="False")),POWER(10,3.47*LOG10(_xlfn.XLOOKUP(B89,'Base stats'!B:B,'Base stats'!C:C)*1000)^-0.96),POWER(10,4.15*LOG10(_xlfn.XLOOKUP(B89,'Base stats'!B:B,'Base stats'!C:C)*1000)^-0.73))*IF(OR(_xlfn.XLOOKUP(B89,'Base stats'!B:B,'Base stats'!AK:AK)=1,_xlfn.XLOOKUP(B89,'Base stats'!B:B,'Base stats'!AI:AI)=1),0.5,1)/100,0.025),1)))</f>
        <v>0.17500000000000002</v>
      </c>
      <c r="CA89" s="25" t="str">
        <f>IF(P89="Standard","No",MAX(0.01,IF(_xlfn.XLOOKUP(B89,'Base stats'!B:B,'Base stats'!N:N)=0,MROUND(BZ89*P89,0.05),MIN(1,MAX(0.025,MROUND(IF(OR(CC89="true",AND(BJ89="false",BO89="false")),POWER(10,4.15*LOG10(_xlfn.XLOOKUP(B89,'Base stats'!B:B,'Base stats'!C:C)*1000)^-0.73),POWER(10,3.47*LOG10(_xlfn.XLOOKUP(B89,'Base stats'!B:B,'Base stats'!C:C)*1000)^-0.96))*IF(_xlfn.XLOOKUP(B89,'Base stats'!B:B,'Base stats'!AI:AI)=1,0.5,1)/100,0.025))))))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268</v>
      </c>
      <c r="C90" s="28" t="s">
        <v>782</v>
      </c>
      <c r="D90" s="28" t="s">
        <v>882</v>
      </c>
      <c r="E90" s="28" t="s">
        <v>685</v>
      </c>
      <c r="F90" s="28" t="s">
        <v>685</v>
      </c>
      <c r="G90" s="28" t="s">
        <v>685</v>
      </c>
      <c r="H90" s="2">
        <f>MROUND((
  (IF(AND(_xlfn.XLOOKUP(B90,'Base stats'!B:B,'Base stats'!AJ:AJ)=0,BI90="None",_xlfn.XLOOKUP(_xlfn.XLOOKUP(B90,'Base stats'!B:B,'Base stats'!E:E),Groups!A:A,Groups!B:B)=0), (18 + BR90 * 2.7) * 0.5,
    IF(AND(_xlfn.XLOOKUP(B90,'Base stats'!B:B,'Base stats'!AJ:AJ)=0,OR(AO90&lt;0.55,AND(BI90="Intermediate",_xlfn.XLOOKUP(_xlfn.XLOOKUP(B90,'Base stats'!B:B,'Base stats'!E:E),Groups!A:A,Groups!B:B)&lt;2))), (18 + BR90 * 2.7),
      IF(OR(BI90="Advanced",_xlfn.XLOOKUP(B90,'Base stats'!B:B,'Base stats'!AJ:AJ)=1,_xlfn.XLOOKUP(_xlfn.XLOOKUP(B90,'Base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IF(_xlfn.XLOOKUP(_xlfn.XLOOKUP(B90,'Base stats'!B:B,'Base stats'!E:E),Groups!A:A,Groups!C:C)="Untamable",1,IF(_xlfn.XLOOKUP(B90,'Base stats'!B:B,'Base stats'!AJ:AJ)=1,0.99,MIN(MROUND((1-0.6282*EXP(-0.459*AO90))*_xlfn.XLOOKUP(_xlfn.XLOOKUP(B90,'Base stats'!B:B,'Base stats'!E:E),Groups!A:A,Groups!C:C)*IF(_xlfn.XLOOKUP(B90,'Base stats'!B:B,'Base stats'!O:O)=1,0.5,IF(_xlfn.XLOOKUP(B90,'Base stats'!B:B,'Base stats'!O:O)=2,0,1)),0.05),0.985)))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IF(_xlfn.XLOOKUP(_xlfn.XLOOKUP(B90,'Base stats'!B:B,'Base stats'!E:E),Groups!A:A,Groups!L:L)=1,MIN(MROUND(_xlfn.XLOOKUP(B90,'Animals CE'!B:B,'Animals CE'!Z:Z)/2+0.05,0.05),200%),"No")</f>
        <v>No</v>
      </c>
      <c r="O90" s="8" t="str">
        <f>IF(_xlfn.XLOOKUP(_xlfn.XLOOKUP(B90,'Base stats'!B:B,'Base stats'!E:E),Groups!A:A,Groups!L:L)=1,MIN(MROUND(_xlfn.XLOOKUP(B90,'Animals CE'!B:B,'Animals CE'!AA:AA)/2+0.05,0.05),200%),"No")</f>
        <v>No</v>
      </c>
      <c r="P90" s="2" t="str">
        <f>_xlfn.XLOOKUP(B90,'Base stats'!B:B,'Base stats'!R:R)</f>
        <v>Standard</v>
      </c>
      <c r="Q90" s="13">
        <f>MROUND((LOG10(_xlfn.XLOOKUP(B90,'Base stats'!B:B,'Base stats'!AP:AP))*(AO90^0.5)+(_xlfn.XLOOKUP(B90,'Base stats'!B:B,'Base stats'!AP:AP)/1000)^(2/3)+_xlfn.XLOOKUP(B90,'Base stats'!B:B,'Base stats'!AY:AY)/2)+0.5,0.5)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stats'!AQ:AQ))*(AO90^0.5)+(_xlfn.XLOOKUP(B90,'Base stats'!B:B,'Base stats'!AQ:AQ)/1000)^(2/3)+_xlfn.XLOOKUP(B90,'Base stats'!B:B,'Base stats'!AY:AY))+_xlfn.XLOOKUP(B90,'Base stats'!B:B,'Base stats'!AW:AW)+0.5,0.5))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stats'!AS:AS))*(AO90^0.5)+(_xlfn.XLOOKUP(B90,'Base stats'!B:B,'Base stats'!AS:AS)/1000)^(2/3)+_xlfn.XLOOKUP(B90,'Base stats'!B:B,'Base stats'!AX:AX))+0.5+IF(_xlfn.XLOOKUP(_xlfn.XLOOKUP(B90,'Base stats'!B:B,'Base stats'!E:E),Groups!A:A,Groups!U:U)&lt;&gt;3,_xlfn.XLOOKUP(B90,'Base stats'!B:B,'Base stats'!AY:AY),0),0.5))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stats'!AR:AR)="No","No",MROUND((LOG10(_xlfn.XLOOKUP(B90,'Base stats'!B:B,'Base stats'!AR:AR))*(AO90^0.75)+(_xlfn.XLOOKUP(B90,'Base stats'!B:B,'Base stats'!AR:AR)/1000)^(2/3)+_xlfn.XLOOKUP(B90,'Base stats'!B:B,'Base stats'!AV:AV)+_xlfn.XLOOKUP(B90,'Base stats'!B:B,'Base stats'!AY:AY))+0.5,0.5))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stats'!AQ:AQ))*(AO90^0.75)+(_xlfn.XLOOKUP(B90,'Base stats'!B:B,'Base stats'!AQ:AQ)/1000)^(2/3)+_xlfn.XLOOKUP(B90,'Base stats'!B:B,'Base stats'!AW:AW)+_xlfn.XLOOKUP(B90,'Base stats'!B:B,'Base stats'!AY:AY))+0.5,0.5))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8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IFERROR(IF(_xlfn.XLOOKUP(B90,'Base stats'!B:B,'Base stats'!F:F)="Lay eggs","Lay eggs",MIN(20,MAX(5.5,ROUND(((_xlfn.XLOOKUP(B90,'Base stats'!B:B,'Base stats'!F:F)-25)*(14.5/615) + 5.5)*2,0)/2))),"Cannot breed")</f>
        <v>Lay eggs</v>
      </c>
      <c r="AT90" s="8">
        <f>IF(OR(A90="Queen",A90="Larva",A90="Megachicken",A90="Megatardi",A90="Toxscorpion"),"No",IFERROR(MAX(IF(_xlfn.XLOOKUP(B90,'Base stats'!B:B,'Base stats'!G:G)&lt;0.5,0.2,0.3),MROUND(_xlfn.XLOOKUP(B90,'Base stats'!B:B,'Base stats'!G:G)/(365/60),0.2)),"Unknown"))</f>
        <v>0.8</v>
      </c>
      <c r="AU90" s="8">
        <f t="shared" si="7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_xlfn.XLOOKUP(B90,'Base stats'!B:B,'Base stats'!AF:AF)</f>
        <v>&lt;li&gt;Iguana&lt;/li&gt;</v>
      </c>
      <c r="BB90" s="2" t="str">
        <f>_xlfn.XLOOKUP(B90,'Base stats'!B:B,'Base stats'!AE:AE)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stats'!Z:Z)=0),0,IF(OR(_xlfn.XLOOKUP(Animals!B90,'Base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stats'!AA:AA),0.005))</f>
        <v>0.1</v>
      </c>
      <c r="BE90" s="23">
        <f>MIN(1,MROUND(IF(AND(AO90&lt;0.5,_xlfn.XLOOKUP(B90,'Base stats'!B:B,'Base stats'!Z:Z)=0),0,IF(_xlfn.XLOOKUP(_xlfn.XLOOKUP(B90,'Base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stats'!AB:AB),0.005))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stats'!AL:AL)="Standard","No",MROUND((_xlfn.XLOOKUP(B90,'Base stats'!B:B,'Base stats'!AL:AL)/3.6)/I90,0.1))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stats'!AC:AC)&lt;&gt;"No",_xlfn.XLOOKUP(B90,'Base stats'!B:B,'Base stats'!AC:AC),"")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stats'!AC:AC)&lt;&gt;"No",_xlfn.XLOOKUP(B90,'Base stats'!B:B,'Base stats'!AC:AC),"")
  )
)</f>
        <v>AttackTarget</v>
      </c>
      <c r="BQ90" s="25" t="str">
        <f>IF(
   AND(
      'Base stats'!AL90="Standard",_xlfn.XLOOKUP(_xlfn.XLOOKUP(B90,'Base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stats'!AT:AT) * 1.8) * 2) * 2.5 + 10 + I90 * 2,5)+IF(_xlfn.XLOOKUP(B90,'Base stats'!B:B,'Base stats'!AI:AI)=1,50,0)</f>
        <v>110</v>
      </c>
      <c r="BS90" s="8">
        <f t="shared" si="12"/>
        <v>0.35000000000000003</v>
      </c>
      <c r="BT90" s="8" t="str">
        <f>_xlfn.XLOOKUP(B90,'Base stats'!B:B,'Base stats'!AD:AD)</f>
        <v>No</v>
      </c>
      <c r="BU90" s="2" t="str">
        <f>IF(AND(J90&lt;=0.95,OR(_xlfn.XLOOKUP(B90,'Base stats'!B:B,'Base stats'!AI:AI)=1,_xlfn.XLOOKUP(B90,'Base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stats'!AG:AG)=1,"true","false")</f>
        <v>false</v>
      </c>
      <c r="BW90" s="25" t="str">
        <f>IF(E90="BaseInsect","AnimalInsect",
IF(J90&gt;0.95,"AnimalExotic",
_xlfn.TEXTJOIN(", ",TRUE,
IF(OR(_xlfn.XLOOKUP(B90,'Base stats'!B:B,'Base stats'!AK:AK)=1,AND(_xlfn.XLOOKUP(B90,'Base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stats'!AI:AI)=1,AND(BI90&lt;&gt;"None",BR90&gt;=60),ISNUMBER(SEARCH("Attack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stats'!AH:AH)=1,"true","false")</f>
        <v>false</v>
      </c>
      <c r="BZ90" s="25">
        <f>IF(_xlfn.XLOOKUP(B90,'Base stats'!B:B,'Base stats'!N:N)=1,"No",MAX(0.01,MIN(MROUND(IF(OR(_xlfn.XLOOKUP(B90,'Base stats'!B:B,'Base stats'!AK:AK)=1,AND(BJ90="True",CC90="False")),POWER(10,3.47*LOG10(_xlfn.XLOOKUP(B90,'Base stats'!B:B,'Base stats'!C:C)*1000)^-0.96),POWER(10,4.15*LOG10(_xlfn.XLOOKUP(B90,'Base stats'!B:B,'Base stats'!C:C)*1000)^-0.73))*IF(OR(_xlfn.XLOOKUP(B90,'Base stats'!B:B,'Base stats'!AK:AK)=1,_xlfn.XLOOKUP(B90,'Base stats'!B:B,'Base stats'!AI:AI)=1),0.5,1)/100,0.025),1)))</f>
        <v>0.2</v>
      </c>
      <c r="CA90" s="25" t="str">
        <f>IF(P90="Standard","No",MAX(0.01,IF(_xlfn.XLOOKUP(B90,'Base stats'!B:B,'Base stats'!N:N)=0,MROUND(BZ90*P90,0.05),MIN(1,MAX(0.025,MROUND(IF(OR(CC90="true",AND(BJ90="false",BO90="false")),POWER(10,4.15*LOG10(_xlfn.XLOOKUP(B90,'Base stats'!B:B,'Base stats'!C:C)*1000)^-0.73),POWER(10,3.47*LOG10(_xlfn.XLOOKUP(B90,'Base stats'!B:B,'Base stats'!C:C)*1000)^-0.96))*IF(_xlfn.XLOOKUP(B90,'Base stats'!B:B,'Base stats'!AI:AI)=1,0.5,1)/100,0.025))))))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194</v>
      </c>
      <c r="C91" s="28" t="s">
        <v>783</v>
      </c>
      <c r="D91" s="28" t="s">
        <v>882</v>
      </c>
      <c r="E91" s="28" t="s">
        <v>685</v>
      </c>
      <c r="F91" s="28" t="s">
        <v>685</v>
      </c>
      <c r="G91" s="28" t="s">
        <v>685</v>
      </c>
      <c r="H91" s="2">
        <f>MROUND((
  (IF(AND(_xlfn.XLOOKUP(B91,'Base stats'!B:B,'Base stats'!AJ:AJ)=0,BI91="None",_xlfn.XLOOKUP(_xlfn.XLOOKUP(B91,'Base stats'!B:B,'Base stats'!E:E),Groups!A:A,Groups!B:B)=0), (18 + BR91 * 2.7) * 0.5,
    IF(AND(_xlfn.XLOOKUP(B91,'Base stats'!B:B,'Base stats'!AJ:AJ)=0,OR(AO91&lt;0.55,AND(BI91="Intermediate",_xlfn.XLOOKUP(_xlfn.XLOOKUP(B91,'Base stats'!B:B,'Base stats'!E:E),Groups!A:A,Groups!B:B)&lt;2))), (18 + BR91 * 2.7),
      IF(OR(BI91="Advanced",_xlfn.XLOOKUP(B91,'Base stats'!B:B,'Base stats'!AJ:AJ)=1,_xlfn.XLOOKUP(_xlfn.XLOOKUP(B91,'Base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IF(_xlfn.XLOOKUP(_xlfn.XLOOKUP(B91,'Base stats'!B:B,'Base stats'!E:E),Groups!A:A,Groups!C:C)="Untamable",1,IF(_xlfn.XLOOKUP(B91,'Base stats'!B:B,'Base stats'!AJ:AJ)=1,0.99,MIN(MROUND((1-0.6282*EXP(-0.459*AO91))*_xlfn.XLOOKUP(_xlfn.XLOOKUP(B91,'Base stats'!B:B,'Base stats'!E:E),Groups!A:A,Groups!C:C)*IF(_xlfn.XLOOKUP(B91,'Base stats'!B:B,'Base stats'!O:O)=1,0.5,IF(_xlfn.XLOOKUP(B91,'Base stats'!B:B,'Base stats'!O:O)=2,0,1)),0.05),0.985)))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IF(_xlfn.XLOOKUP(_xlfn.XLOOKUP(B91,'Base stats'!B:B,'Base stats'!E:E),Groups!A:A,Groups!L:L)=1,MIN(MROUND(_xlfn.XLOOKUP(B91,'Animals CE'!B:B,'Animals CE'!Z:Z)/2+0.05,0.05),200%),"No")</f>
        <v>0.2</v>
      </c>
      <c r="O91" s="8">
        <f>IF(_xlfn.XLOOKUP(_xlfn.XLOOKUP(B91,'Base stats'!B:B,'Base stats'!E:E),Groups!A:A,Groups!L:L)=1,MIN(MROUND(_xlfn.XLOOKUP(B91,'Animals CE'!B:B,'Animals CE'!AA:AA)/2+0.05,0.05),200%),"No")</f>
        <v>0.25</v>
      </c>
      <c r="P91" s="2" t="str">
        <f>_xlfn.XLOOKUP(B91,'Base stats'!B:B,'Base stats'!R:R)</f>
        <v>Standard</v>
      </c>
      <c r="Q91" s="13">
        <f>MROUND((LOG10(_xlfn.XLOOKUP(B91,'Base stats'!B:B,'Base stats'!AP:AP))*(AO91^0.5)+(_xlfn.XLOOKUP(B91,'Base stats'!B:B,'Base stats'!AP:AP)/1000)^(2/3)+_xlfn.XLOOKUP(B91,'Base stats'!B:B,'Base stats'!AY:AY)/2)+0.5,0.5)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stats'!AQ:AQ))*(AO91^0.5)+(_xlfn.XLOOKUP(B91,'Base stats'!B:B,'Base stats'!AQ:AQ)/1000)^(2/3)+_xlfn.XLOOKUP(B91,'Base stats'!B:B,'Base stats'!AY:AY))+_xlfn.XLOOKUP(B91,'Base stats'!B:B,'Base stats'!AW:AW)+0.5,0.5))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stats'!AS:AS))*(AO91^0.5)+(_xlfn.XLOOKUP(B91,'Base stats'!B:B,'Base stats'!AS:AS)/1000)^(2/3)+_xlfn.XLOOKUP(B91,'Base stats'!B:B,'Base stats'!AX:AX))+0.5+IF(_xlfn.XLOOKUP(_xlfn.XLOOKUP(B91,'Base stats'!B:B,'Base stats'!E:E),Groups!A:A,Groups!U:U)&lt;&gt;3,_xlfn.XLOOKUP(B91,'Base stats'!B:B,'Base stats'!AY:AY),0),0.5))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stats'!AR:AR)="No","No",MROUND((LOG10(_xlfn.XLOOKUP(B91,'Base stats'!B:B,'Base stats'!AR:AR))*(AO91^0.75)+(_xlfn.XLOOKUP(B91,'Base stats'!B:B,'Base stats'!AR:AR)/1000)^(2/3)+_xlfn.XLOOKUP(B91,'Base stats'!B:B,'Base stats'!AV:AV)+_xlfn.XLOOKUP(B91,'Base stats'!B:B,'Base stats'!AY:AY))+0.5,0.5))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stats'!AQ:AQ))*(AO91^0.75)+(_xlfn.XLOOKUP(B91,'Base stats'!B:B,'Base stats'!AQ:AQ)/1000)^(2/3)+_xlfn.XLOOKUP(B91,'Base stats'!B:B,'Base stats'!AW:AW)+_xlfn.XLOOKUP(B91,'Base stats'!B:B,'Base stats'!AY:AY))+0.5,0.5))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8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IFERROR(IF(_xlfn.XLOOKUP(B91,'Base stats'!B:B,'Base stats'!F:F)="Lay eggs","Lay eggs",MIN(20,MAX(5.5,ROUND(((_xlfn.XLOOKUP(B91,'Base stats'!B:B,'Base stats'!F:F)-25)*(14.5/615) + 5.5)*2,0)/2))),"Cannot breed")</f>
        <v>Lay eggs</v>
      </c>
      <c r="AT91" s="8">
        <f>IF(OR(A91="Queen",A91="Larva",A91="Megachicken",A91="Megatardi",A91="Toxscorpion"),"No",IFERROR(MAX(IF(_xlfn.XLOOKUP(B91,'Base stats'!B:B,'Base stats'!G:G)&lt;0.5,0.2,0.3),MROUND(_xlfn.XLOOKUP(B91,'Base stats'!B:B,'Base stats'!G:G)/(365/60),0.2)),"Unknown"))</f>
        <v>2</v>
      </c>
      <c r="AU91" s="8">
        <f t="shared" si="7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_xlfn.XLOOKUP(B91,'Base stats'!B:B,'Base stats'!AF:AF)</f>
        <v>No</v>
      </c>
      <c r="BB91" s="2" t="str">
        <f>_xlfn.XLOOKUP(B91,'Base stats'!B:B,'Base stats'!AE:AE)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stats'!Z:Z)=0),0,IF(OR(_xlfn.XLOOKUP(Animals!B91,'Base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stats'!AA:AA),0.005))</f>
        <v>0.1</v>
      </c>
      <c r="BE91" s="23">
        <f>MIN(1,MROUND(IF(AND(AO91&lt;0.5,_xlfn.XLOOKUP(B91,'Base stats'!B:B,'Base stats'!Z:Z)=0),0,IF(_xlfn.XLOOKUP(_xlfn.XLOOKUP(B91,'Base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stats'!AB:AB),0.005))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stats'!AL:AL)="Standard","No",MROUND((_xlfn.XLOOKUP(B91,'Base stats'!B:B,'Base stats'!AL:AL)/3.6)/I91,0.1))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stats'!AC:AC)&lt;&gt;"No",_xlfn.XLOOKUP(B91,'Base stats'!B:B,'Base stats'!AC:AC),"")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stats'!AC:AC)&lt;&gt;"No",_xlfn.XLOOKUP(B91,'Base stats'!B:B,'Base stats'!AC:AC),"")
  )
)</f>
        <v>No</v>
      </c>
      <c r="BQ91" s="25">
        <f>IF(
   AND(
      'Base stats'!AL91="Standard",_xlfn.XLOOKUP(_xlfn.XLOOKUP(B91,'Base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stats'!AT:AT) * 1.8) * 2) * 2.5 + 10 + I91 * 2,5)+IF(_xlfn.XLOOKUP(B91,'Base stats'!B:B,'Base stats'!AI:AI)=1,50,0)</f>
        <v>150</v>
      </c>
      <c r="BS91" s="8">
        <f t="shared" si="12"/>
        <v>0.5</v>
      </c>
      <c r="BT91" s="8" t="str">
        <f>_xlfn.XLOOKUP(B91,'Base stats'!B:B,'Base stats'!AD:AD)</f>
        <v>No</v>
      </c>
      <c r="BU91" s="2" t="str">
        <f>IF(AND(J91&lt;=0.95,OR(_xlfn.XLOOKUP(B91,'Base stats'!B:B,'Base stats'!AI:AI)=1,_xlfn.XLOOKUP(B91,'Base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stats'!AG:AG)=1,"true","false")</f>
        <v>false</v>
      </c>
      <c r="BW91" s="25" t="str">
        <f>IF(E91="BaseInsect","AnimalInsect",
IF(J91&gt;0.95,"AnimalExotic",
_xlfn.TEXTJOIN(", ",TRUE,
IF(OR(_xlfn.XLOOKUP(B91,'Base stats'!B:B,'Base stats'!AK:AK)=1,AND(_xlfn.XLOOKUP(B91,'Base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stats'!AI:AI)=1,AND(BI91&lt;&gt;"None",BR91&gt;=60),ISNUMBER(SEARCH("Attack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stats'!AH:AH)=1,"true","false")</f>
        <v>false</v>
      </c>
      <c r="BZ91" s="25">
        <f>IF(_xlfn.XLOOKUP(B91,'Base stats'!B:B,'Base stats'!N:N)=1,"No",MAX(0.01,MIN(MROUND(IF(OR(_xlfn.XLOOKUP(B91,'Base stats'!B:B,'Base stats'!AK:AK)=1,AND(BJ91="True",CC91="False")),POWER(10,3.47*LOG10(_xlfn.XLOOKUP(B91,'Base stats'!B:B,'Base stats'!C:C)*1000)^-0.96),POWER(10,4.15*LOG10(_xlfn.XLOOKUP(B91,'Base stats'!B:B,'Base stats'!C:C)*1000)^-0.73))*IF(OR(_xlfn.XLOOKUP(B91,'Base stats'!B:B,'Base stats'!AK:AK)=1,_xlfn.XLOOKUP(B91,'Base stats'!B:B,'Base stats'!AI:AI)=1),0.5,1)/100,0.025),1)))</f>
        <v>0.17500000000000002</v>
      </c>
      <c r="CA91" s="25" t="str">
        <f>IF(P91="Standard","No",MAX(0.01,IF(_xlfn.XLOOKUP(B91,'Base stats'!B:B,'Base stats'!N:N)=0,MROUND(BZ91*P91,0.05),MIN(1,MAX(0.025,MROUND(IF(OR(CC91="true",AND(BJ91="false",BO91="false")),POWER(10,4.15*LOG10(_xlfn.XLOOKUP(B91,'Base stats'!B:B,'Base stats'!C:C)*1000)^-0.73),POWER(10,3.47*LOG10(_xlfn.XLOOKUP(B91,'Base stats'!B:B,'Base stats'!C:C)*1000)^-0.96))*IF(_xlfn.XLOOKUP(B91,'Base stats'!B:B,'Base stats'!AI:AI)=1,0.5,1)/100,0.025))))))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233</v>
      </c>
      <c r="C92" s="28" t="s">
        <v>784</v>
      </c>
      <c r="D92" s="28" t="s">
        <v>882</v>
      </c>
      <c r="E92" s="28" t="s">
        <v>685</v>
      </c>
      <c r="F92" s="28" t="s">
        <v>685</v>
      </c>
      <c r="G92" s="28" t="s">
        <v>685</v>
      </c>
      <c r="H92" s="2">
        <f>MROUND((
  (IF(AND(_xlfn.XLOOKUP(B92,'Base stats'!B:B,'Base stats'!AJ:AJ)=0,BI92="None",_xlfn.XLOOKUP(_xlfn.XLOOKUP(B92,'Base stats'!B:B,'Base stats'!E:E),Groups!A:A,Groups!B:B)=0), (18 + BR92 * 2.7) * 0.5,
    IF(AND(_xlfn.XLOOKUP(B92,'Base stats'!B:B,'Base stats'!AJ:AJ)=0,OR(AO92&lt;0.55,AND(BI92="Intermediate",_xlfn.XLOOKUP(_xlfn.XLOOKUP(B92,'Base stats'!B:B,'Base stats'!E:E),Groups!A:A,Groups!B:B)&lt;2))), (18 + BR92 * 2.7),
      IF(OR(BI92="Advanced",_xlfn.XLOOKUP(B92,'Base stats'!B:B,'Base stats'!AJ:AJ)=1,_xlfn.XLOOKUP(_xlfn.XLOOKUP(B92,'Base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675</v>
      </c>
      <c r="I92" s="2">
        <f>MROUND(ROUNDDOWN(_xlfn.XLOOKUP(B92,'Base stats'!B:B,'Base stats'!L:L)/3.6/(23.3/11),1),0.5)</f>
        <v>0.5</v>
      </c>
      <c r="J92" s="2">
        <f>IF(_xlfn.XLOOKUP(_xlfn.XLOOKUP(B92,'Base stats'!B:B,'Base stats'!E:E),Groups!A:A,Groups!C:C)="Untamable",1,IF(_xlfn.XLOOKUP(B92,'Base stats'!B:B,'Base stats'!AJ:AJ)=1,0.99,MIN(MROUND((1-0.6282*EXP(-0.459*AO92))*_xlfn.XLOOKUP(_xlfn.XLOOKUP(B92,'Base stats'!B:B,'Base stats'!E:E),Groups!A:A,Groups!C:C)*IF(_xlfn.XLOOKUP(B92,'Base stats'!B:B,'Base stats'!O:O)=1,0.5,IF(_xlfn.XLOOKUP(B92,'Base stats'!B:B,'Base stats'!O:O)=2,0,1)),0.05),0.985)))</f>
        <v>0.95000000000000007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IF(_xlfn.XLOOKUP(_xlfn.XLOOKUP(B92,'Base stats'!B:B,'Base stats'!E:E),Groups!A:A,Groups!L:L)=1,MIN(MROUND(_xlfn.XLOOKUP(B92,'Animals CE'!B:B,'Animals CE'!Z:Z)/2+0.05,0.05),200%),"No")</f>
        <v>1.1500000000000001</v>
      </c>
      <c r="O92" s="8">
        <f>IF(_xlfn.XLOOKUP(_xlfn.XLOOKUP(B92,'Base stats'!B:B,'Base stats'!E:E),Groups!A:A,Groups!L:L)=1,MIN(MROUND(_xlfn.XLOOKUP(B92,'Animals CE'!B:B,'Animals CE'!AA:AA)/2+0.05,0.05),200%),"No")</f>
        <v>1.9500000000000002</v>
      </c>
      <c r="P92" s="2" t="str">
        <f>_xlfn.XLOOKUP(B92,'Base stats'!B:B,'Base stats'!R:R)</f>
        <v>Standard</v>
      </c>
      <c r="Q92" s="13">
        <f>MROUND((LOG10(_xlfn.XLOOKUP(B92,'Base stats'!B:B,'Base stats'!AP:AP))*(AO92^0.5)+(_xlfn.XLOOKUP(B92,'Base stats'!B:B,'Base stats'!AP:AP)/1000)^(2/3)+_xlfn.XLOOKUP(B92,'Base stats'!B:B,'Base stats'!AY:AY)/2)+0.5,0.5)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stats'!AQ:AQ))*(AO92^0.5)+(_xlfn.XLOOKUP(B92,'Base stats'!B:B,'Base stats'!AQ:AQ)/1000)^(2/3)+_xlfn.XLOOKUP(B92,'Base stats'!B:B,'Base stats'!AY:AY))+_xlfn.XLOOKUP(B92,'Base stats'!B:B,'Base stats'!AW:AW)+0.5,0.5))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stats'!AS:AS))*(AO92^0.5)+(_xlfn.XLOOKUP(B92,'Base stats'!B:B,'Base stats'!AS:AS)/1000)^(2/3)+_xlfn.XLOOKUP(B92,'Base stats'!B:B,'Base stats'!AX:AX))+0.5+IF(_xlfn.XLOOKUP(_xlfn.XLOOKUP(B92,'Base stats'!B:B,'Base stats'!E:E),Groups!A:A,Groups!U:U)&lt;&gt;3,_xlfn.XLOOKUP(B92,'Base stats'!B:B,'Base stats'!AY:AY),0),0.5))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stats'!AR:AR)="No","No",MROUND((LOG10(_xlfn.XLOOKUP(B92,'Base stats'!B:B,'Base stats'!AR:AR))*(AO92^0.75)+(_xlfn.XLOOKUP(B92,'Base stats'!B:B,'Base stats'!AR:AR)/1000)^(2/3)+_xlfn.XLOOKUP(B92,'Base stats'!B:B,'Base stats'!AV:AV)+_xlfn.XLOOKUP(B92,'Base stats'!B:B,'Base stats'!AY:AY))+0.5,0.5))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stats'!AQ:AQ))*(AO92^0.75)+(_xlfn.XLOOKUP(B92,'Base stats'!B:B,'Base stats'!AQ:AQ)/1000)^(2/3)+_xlfn.XLOOKUP(B92,'Base stats'!B:B,'Base stats'!AW:AW)+_xlfn.XLOOKUP(B92,'Base stats'!B:B,'Base stats'!AY:AY))+0.5,0.5))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8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IFERROR(IF(_xlfn.XLOOKUP(B92,'Base stats'!B:B,'Base stats'!F:F)="Lay eggs","Lay eggs",MIN(20,MAX(5.5,ROUND(((_xlfn.XLOOKUP(B92,'Base stats'!B:B,'Base stats'!F:F)-25)*(14.5/615) + 5.5)*2,0)/2))),"Cannot breed")</f>
        <v>Lay eggs</v>
      </c>
      <c r="AT92" s="8">
        <f>IF(OR(A92="Queen",A92="Larva",A92="Megachicken",A92="Megatardi",A92="Toxscorpion"),"No",IFERROR(MAX(IF(_xlfn.XLOOKUP(B92,'Base stats'!B:B,'Base stats'!G:G)&lt;0.5,0.2,0.3),MROUND(_xlfn.XLOOKUP(B92,'Base stats'!B:B,'Base stats'!G:G)/(365/60),0.2)),"Unknown"))</f>
        <v>1.6</v>
      </c>
      <c r="AU92" s="8">
        <f t="shared" si="7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_xlfn.XLOOKUP(B92,'Base stats'!B:B,'Base stats'!AF:AF)</f>
        <v>&lt;li&gt;Tortoise&lt;/li&gt;</v>
      </c>
      <c r="BB92" s="2" t="str">
        <f>_xlfn.XLOOKUP(B92,'Base stats'!B:B,'Base stats'!AE:AE)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stats'!Z:Z)=0),0,IF(OR(_xlfn.XLOOKUP(Animals!B92,'Base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stats'!AA:AA),0.005))</f>
        <v>0</v>
      </c>
      <c r="BE92" s="23">
        <f>MIN(1,MROUND(IF(AND(AO92&lt;0.5,_xlfn.XLOOKUP(B92,'Base stats'!B:B,'Base stats'!Z:Z)=0),0,IF(_xlfn.XLOOKUP(_xlfn.XLOOKUP(B92,'Base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stats'!AB:AB),0.005))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stats'!AL:AL)="Standard","No",MROUND((_xlfn.XLOOKUP(B92,'Base stats'!B:B,'Base stats'!AL:AL)/3.6)/I92,0.1))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stats'!AC:AC)&lt;&gt;"No",_xlfn.XLOOKUP(B92,'Base stats'!B:B,'Base stats'!AC:AC),"")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stats'!AC:AC)&lt;&gt;"No",_xlfn.XLOOKUP(B92,'Base stats'!B:B,'Base stats'!AC:AC),"")
  )
)</f>
        <v>No</v>
      </c>
      <c r="BQ92" s="25">
        <f>IF(
   AND(
      'Base stats'!AL92="Standard",_xlfn.XLOOKUP(_xlfn.XLOOKUP(B92,'Base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stats'!AT:AT) * 1.8) * 2) * 2.5 + 10 + I92 * 2,5)+IF(_xlfn.XLOOKUP(B92,'Base stats'!B:B,'Base stats'!AI:AI)=1,50,0)</f>
        <v>190</v>
      </c>
      <c r="BS92" s="8">
        <f t="shared" si="12"/>
        <v>0.5</v>
      </c>
      <c r="BT92" s="8" t="str">
        <f>_xlfn.XLOOKUP(B92,'Base stats'!B:B,'Base stats'!AD:AD)</f>
        <v>No</v>
      </c>
      <c r="BU92" s="2" t="str">
        <f>IF(AND(J92&lt;=0.95,OR(_xlfn.XLOOKUP(B92,'Base stats'!B:B,'Base stats'!AI:AI)=1,_xlfn.XLOOKUP(B92,'Base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stats'!AG:AG)=1,"true","false")</f>
        <v>false</v>
      </c>
      <c r="BW92" s="25" t="str">
        <f>IF(E92="BaseInsect","AnimalInsect",
IF(J92&gt;0.95,"AnimalExotic",
_xlfn.TEXTJOIN(", ",TRUE,
IF(OR(_xlfn.XLOOKUP(B92,'Base stats'!B:B,'Base stats'!AK:AK)=1,AND(_xlfn.XLOOKUP(B92,'Base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stats'!AI:AI)=1,AND(BI92&lt;&gt;"None",BR92&gt;=60),ISNUMBER(SEARCH("Attack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stats'!AH:AH)=1,"true","false")</f>
        <v>true</v>
      </c>
      <c r="BZ92" s="25">
        <f>IF(_xlfn.XLOOKUP(B92,'Base stats'!B:B,'Base stats'!N:N)=1,"No",MAX(0.01,MIN(MROUND(IF(OR(_xlfn.XLOOKUP(B92,'Base stats'!B:B,'Base stats'!AK:AK)=1,AND(BJ92="True",CC92="False")),POWER(10,3.47*LOG10(_xlfn.XLOOKUP(B92,'Base stats'!B:B,'Base stats'!C:C)*1000)^-0.96),POWER(10,4.15*LOG10(_xlfn.XLOOKUP(B92,'Base stats'!B:B,'Base stats'!C:C)*1000)^-0.73))*IF(OR(_xlfn.XLOOKUP(B92,'Base stats'!B:B,'Base stats'!AK:AK)=1,_xlfn.XLOOKUP(B92,'Base stats'!B:B,'Base stats'!AI:AI)=1),0.5,1)/100,0.025),1)))</f>
        <v>0.17500000000000002</v>
      </c>
      <c r="CA92" s="25" t="str">
        <f>IF(P92="Standard","No",MAX(0.01,IF(_xlfn.XLOOKUP(B92,'Base stats'!B:B,'Base stats'!N:N)=0,MROUND(BZ92*P92,0.05),MIN(1,MAX(0.025,MROUND(IF(OR(CC92="true",AND(BJ92="false",BO92="false")),POWER(10,4.15*LOG10(_xlfn.XLOOKUP(B92,'Base stats'!B:B,'Base stats'!C:C)*1000)^-0.73),POWER(10,3.47*LOG10(_xlfn.XLOOKUP(B92,'Base stats'!B:B,'Base stats'!C:C)*1000)^-0.96))*IF(_xlfn.XLOOKUP(B92,'Base stats'!B:B,'Base stats'!AI:AI)=1,0.5,1)/100,0.025))))))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279</v>
      </c>
      <c r="C93" s="28" t="s">
        <v>785</v>
      </c>
      <c r="D93" s="28" t="s">
        <v>882</v>
      </c>
      <c r="E93" s="28" t="s">
        <v>685</v>
      </c>
      <c r="F93" s="28" t="s">
        <v>685</v>
      </c>
      <c r="G93" s="28" t="s">
        <v>685</v>
      </c>
      <c r="H93" s="2">
        <f>MROUND((
  (IF(AND(_xlfn.XLOOKUP(B93,'Base stats'!B:B,'Base stats'!AJ:AJ)=0,BI93="None",_xlfn.XLOOKUP(_xlfn.XLOOKUP(B93,'Base stats'!B:B,'Base stats'!E:E),Groups!A:A,Groups!B:B)=0), (18 + BR93 * 2.7) * 0.5,
    IF(AND(_xlfn.XLOOKUP(B93,'Base stats'!B:B,'Base stats'!AJ:AJ)=0,OR(AO93&lt;0.55,AND(BI93="Intermediate",_xlfn.XLOOKUP(_xlfn.XLOOKUP(B93,'Base stats'!B:B,'Base stats'!E:E),Groups!A:A,Groups!B:B)&lt;2))), (18 + BR93 * 2.7),
      IF(OR(BI93="Advanced",_xlfn.XLOOKUP(B93,'Base stats'!B:B,'Base stats'!AJ:AJ)=1,_xlfn.XLOOKUP(_xlfn.XLOOKUP(B93,'Base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IF(_xlfn.XLOOKUP(_xlfn.XLOOKUP(B93,'Base stats'!B:B,'Base stats'!E:E),Groups!A:A,Groups!C:C)="Untamable",1,IF(_xlfn.XLOOKUP(B93,'Base stats'!B:B,'Base stats'!AJ:AJ)=1,0.99,MIN(MROUND((1-0.6282*EXP(-0.459*AO93))*_xlfn.XLOOKUP(_xlfn.XLOOKUP(B93,'Base stats'!B:B,'Base stats'!E:E),Groups!A:A,Groups!C:C)*IF(_xlfn.XLOOKUP(B93,'Base stats'!B:B,'Base stats'!O:O)=1,0.5,IF(_xlfn.XLOOKUP(B93,'Base stats'!B:B,'Base stats'!O:O)=2,0,1)),0.05),0.985)))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IF(_xlfn.XLOOKUP(_xlfn.XLOOKUP(B93,'Base stats'!B:B,'Base stats'!E:E),Groups!A:A,Groups!L:L)=1,MIN(MROUND(_xlfn.XLOOKUP(B93,'Animals CE'!B:B,'Animals CE'!Z:Z)/2+0.05,0.05),200%),"No")</f>
        <v>No</v>
      </c>
      <c r="O93" s="8" t="str">
        <f>IF(_xlfn.XLOOKUP(_xlfn.XLOOKUP(B93,'Base stats'!B:B,'Base stats'!E:E),Groups!A:A,Groups!L:L)=1,MIN(MROUND(_xlfn.XLOOKUP(B93,'Animals CE'!B:B,'Animals CE'!AA:AA)/2+0.05,0.05),200%),"No")</f>
        <v>No</v>
      </c>
      <c r="P93" s="2" t="str">
        <f>_xlfn.XLOOKUP(B93,'Base stats'!B:B,'Base stats'!R:R)</f>
        <v>Standard</v>
      </c>
      <c r="Q93" s="13">
        <f>MROUND((LOG10(_xlfn.XLOOKUP(B93,'Base stats'!B:B,'Base stats'!AP:AP))*(AO93^0.5)+(_xlfn.XLOOKUP(B93,'Base stats'!B:B,'Base stats'!AP:AP)/1000)^(2/3)+_xlfn.XLOOKUP(B93,'Base stats'!B:B,'Base stats'!AY:AY)/2)+0.5,0.5)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stats'!AQ:AQ))*(AO93^0.5)+(_xlfn.XLOOKUP(B93,'Base stats'!B:B,'Base stats'!AQ:AQ)/1000)^(2/3)+_xlfn.XLOOKUP(B93,'Base stats'!B:B,'Base stats'!AY:AY))+_xlfn.XLOOKUP(B93,'Base stats'!B:B,'Base stats'!AW:AW)+0.5,0.5))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stats'!AS:AS))*(AO93^0.5)+(_xlfn.XLOOKUP(B93,'Base stats'!B:B,'Base stats'!AS:AS)/1000)^(2/3)+_xlfn.XLOOKUP(B93,'Base stats'!B:B,'Base stats'!AX:AX))+0.5+IF(_xlfn.XLOOKUP(_xlfn.XLOOKUP(B93,'Base stats'!B:B,'Base stats'!E:E),Groups!A:A,Groups!U:U)&lt;&gt;3,_xlfn.XLOOKUP(B93,'Base stats'!B:B,'Base stats'!AY:AY),0),0.5))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stats'!AR:AR)="No","No",MROUND((LOG10(_xlfn.XLOOKUP(B93,'Base stats'!B:B,'Base stats'!AR:AR))*(AO93^0.75)+(_xlfn.XLOOKUP(B93,'Base stats'!B:B,'Base stats'!AR:AR)/1000)^(2/3)+_xlfn.XLOOKUP(B93,'Base stats'!B:B,'Base stats'!AV:AV)+_xlfn.XLOOKUP(B93,'Base stats'!B:B,'Base stats'!AY:AY))+0.5,0.5))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stats'!AQ:AQ))*(AO93^0.75)+(_xlfn.XLOOKUP(B93,'Base stats'!B:B,'Base stats'!AQ:AQ)/1000)^(2/3)+_xlfn.XLOOKUP(B93,'Base stats'!B:B,'Base stats'!AW:AW)+_xlfn.XLOOKUP(B93,'Base stats'!B:B,'Base stats'!AY:AY))+0.5,0.5))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8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IFERROR(IF(_xlfn.XLOOKUP(B93,'Base stats'!B:B,'Base stats'!F:F)="Lay eggs","Lay eggs",MIN(20,MAX(5.5,ROUND(((_xlfn.XLOOKUP(B93,'Base stats'!B:B,'Base stats'!F:F)-25)*(14.5/615) + 5.5)*2,0)/2))),"Cannot breed")</f>
        <v>5.5</v>
      </c>
      <c r="AT93" s="8">
        <f>IF(OR(A93="Queen",A93="Larva",A93="Megachicken",A93="Megatardi",A93="Toxscorpion"),"No",IFERROR(MAX(IF(_xlfn.XLOOKUP(B93,'Base stats'!B:B,'Base stats'!G:G)&lt;0.5,0.2,0.3),MROUND(_xlfn.XLOOKUP(B93,'Base stats'!B:B,'Base stats'!G:G)/(365/60),0.2)),"Unknown"))</f>
        <v>0.4</v>
      </c>
      <c r="AU93" s="8">
        <f t="shared" si="7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_xlfn.XLOOKUP(B93,'Base stats'!B:B,'Base stats'!AF:AF)</f>
        <v>&lt;li&gt;Rat&lt;/li&gt;</v>
      </c>
      <c r="BB93" s="2" t="str">
        <f>_xlfn.XLOOKUP(B93,'Base stats'!B:B,'Base stats'!AE:AE)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stats'!Z:Z)=0),0,IF(OR(_xlfn.XLOOKUP(Animals!B93,'Base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stats'!AA:AA),0.005))</f>
        <v>0</v>
      </c>
      <c r="BE93" s="23">
        <f>MIN(1,MROUND(IF(AND(AO93&lt;0.5,_xlfn.XLOOKUP(B93,'Base stats'!B:B,'Base stats'!Z:Z)=0),0,IF(_xlfn.XLOOKUP(_xlfn.XLOOKUP(B93,'Base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stats'!AB:AB),0.005))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stats'!AL:AL)="Standard","No",MROUND((_xlfn.XLOOKUP(B93,'Base stats'!B:B,'Base stats'!AL:AL)/3.6)/I93,0.1))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stats'!AC:AC)&lt;&gt;"No",_xlfn.XLOOKUP(B93,'Base stats'!B:B,'Base stats'!AC:AC),"")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stats'!AC:AC)&lt;&gt;"No",_xlfn.XLOOKUP(B93,'Base stats'!B:B,'Base stats'!AC:AC),"")
  )
)</f>
        <v>Comfort</v>
      </c>
      <c r="BQ93" s="25" t="str">
        <f>IF(
   AND(
      'Base stats'!AL93="Standard",_xlfn.XLOOKUP(_xlfn.XLOOKUP(B93,'Base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stats'!AT:AT) * 1.8) * 2) * 2.5 + 10 + I93 * 2,5)+IF(_xlfn.XLOOKUP(B93,'Base stats'!B:B,'Base stats'!AI:AI)=1,50,0)</f>
        <v>25</v>
      </c>
      <c r="BS93" s="8">
        <f t="shared" si="12"/>
        <v>0.25</v>
      </c>
      <c r="BT93" s="8" t="str">
        <f>_xlfn.XLOOKUP(B93,'Base stats'!B:B,'Base stats'!AD:AD)</f>
        <v>5~15</v>
      </c>
      <c r="BU93" s="2" t="str">
        <f>IF(AND(J93&lt;=0.95,OR(_xlfn.XLOOKUP(B93,'Base stats'!B:B,'Base stats'!AI:AI)=1,_xlfn.XLOOKUP(B93,'Base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stats'!AG:AG)=1,"true","false")</f>
        <v>false</v>
      </c>
      <c r="BW93" s="25" t="str">
        <f>IF(E93="BaseInsect","AnimalInsect",
IF(J93&gt;0.95,"AnimalExotic",
_xlfn.TEXTJOIN(", ",TRUE,
IF(OR(_xlfn.XLOOKUP(B93,'Base stats'!B:B,'Base stats'!AK:AK)=1,AND(_xlfn.XLOOKUP(B93,'Base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stats'!AI:AI)=1,AND(BI93&lt;&gt;"None",BR93&gt;=60),ISNUMBER(SEARCH("Attack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stats'!AH:AH)=1,"true","false")</f>
        <v>false</v>
      </c>
      <c r="BZ93" s="25">
        <f>IF(_xlfn.XLOOKUP(B93,'Base stats'!B:B,'Base stats'!N:N)=1,"No",MAX(0.01,MIN(MROUND(IF(OR(_xlfn.XLOOKUP(B93,'Base stats'!B:B,'Base stats'!AK:AK)=1,AND(BJ93="True",CC93="False")),POWER(10,3.47*LOG10(_xlfn.XLOOKUP(B93,'Base stats'!B:B,'Base stats'!C:C)*1000)^-0.96),POWER(10,4.15*LOG10(_xlfn.XLOOKUP(B93,'Base stats'!B:B,'Base stats'!C:C)*1000)^-0.73))*IF(OR(_xlfn.XLOOKUP(B93,'Base stats'!B:B,'Base stats'!AK:AK)=1,_xlfn.XLOOKUP(B93,'Base stats'!B:B,'Base stats'!AI:AI)=1),0.5,1)/100,0.025),1)))</f>
        <v>0.70000000000000007</v>
      </c>
      <c r="CA93" s="25" t="str">
        <f>IF(P93="Standard","No",MAX(0.01,IF(_xlfn.XLOOKUP(B93,'Base stats'!B:B,'Base stats'!N:N)=0,MROUND(BZ93*P93,0.05),MIN(1,MAX(0.025,MROUND(IF(OR(CC93="true",AND(BJ93="false",BO93="false")),POWER(10,4.15*LOG10(_xlfn.XLOOKUP(B93,'Base stats'!B:B,'Base stats'!C:C)*1000)^-0.73),POWER(10,3.47*LOG10(_xlfn.XLOOKUP(B93,'Base stats'!B:B,'Base stats'!C:C)*1000)^-0.96))*IF(_xlfn.XLOOKUP(B93,'Base stats'!B:B,'Base stats'!AI:AI)=1,0.5,1)/100,0.025))))))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269</v>
      </c>
      <c r="C94" s="28" t="s">
        <v>786</v>
      </c>
      <c r="D94" s="28" t="s">
        <v>882</v>
      </c>
      <c r="E94" s="28" t="s">
        <v>685</v>
      </c>
      <c r="F94" s="28" t="s">
        <v>685</v>
      </c>
      <c r="G94" s="28" t="s">
        <v>685</v>
      </c>
      <c r="H94" s="2">
        <f>MROUND((
  (IF(AND(_xlfn.XLOOKUP(B94,'Base stats'!B:B,'Base stats'!AJ:AJ)=0,BI94="None",_xlfn.XLOOKUP(_xlfn.XLOOKUP(B94,'Base stats'!B:B,'Base stats'!E:E),Groups!A:A,Groups!B:B)=0), (18 + BR94 * 2.7) * 0.5,
    IF(AND(_xlfn.XLOOKUP(B94,'Base stats'!B:B,'Base stats'!AJ:AJ)=0,OR(AO94&lt;0.55,AND(BI94="Intermediate",_xlfn.XLOOKUP(_xlfn.XLOOKUP(B94,'Base stats'!B:B,'Base stats'!E:E),Groups!A:A,Groups!B:B)&lt;2))), (18 + BR94 * 2.7),
      IF(OR(BI94="Advanced",_xlfn.XLOOKUP(B94,'Base stats'!B:B,'Base stats'!AJ:AJ)=1,_xlfn.XLOOKUP(_xlfn.XLOOKUP(B94,'Base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IF(_xlfn.XLOOKUP(_xlfn.XLOOKUP(B94,'Base stats'!B:B,'Base stats'!E:E),Groups!A:A,Groups!C:C)="Untamable",1,IF(_xlfn.XLOOKUP(B94,'Base stats'!B:B,'Base stats'!AJ:AJ)=1,0.99,MIN(MROUND((1-0.6282*EXP(-0.459*AO94))*_xlfn.XLOOKUP(_xlfn.XLOOKUP(B94,'Base stats'!B:B,'Base stats'!E:E),Groups!A:A,Groups!C:C)*IF(_xlfn.XLOOKUP(B94,'Base stats'!B:B,'Base stats'!O:O)=1,0.5,IF(_xlfn.XLOOKUP(B94,'Base stats'!B:B,'Base stats'!O:O)=2,0,1)),0.05),0.985)))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IF(_xlfn.XLOOKUP(_xlfn.XLOOKUP(B94,'Base stats'!B:B,'Base stats'!E:E),Groups!A:A,Groups!L:L)=1,MIN(MROUND(_xlfn.XLOOKUP(B94,'Animals CE'!B:B,'Animals CE'!Z:Z)/2+0.05,0.05),200%),"No")</f>
        <v>No</v>
      </c>
      <c r="O94" s="8" t="str">
        <f>IF(_xlfn.XLOOKUP(_xlfn.XLOOKUP(B94,'Base stats'!B:B,'Base stats'!E:E),Groups!A:A,Groups!L:L)=1,MIN(MROUND(_xlfn.XLOOKUP(B94,'Animals CE'!B:B,'Animals CE'!AA:AA)/2+0.05,0.05),200%),"No")</f>
        <v>No</v>
      </c>
      <c r="P94" s="2" t="str">
        <f>_xlfn.XLOOKUP(B94,'Base stats'!B:B,'Base stats'!R:R)</f>
        <v>Standard</v>
      </c>
      <c r="Q94" s="13">
        <f>MROUND((LOG10(_xlfn.XLOOKUP(B94,'Base stats'!B:B,'Base stats'!AP:AP))*(AO94^0.5)+(_xlfn.XLOOKUP(B94,'Base stats'!B:B,'Base stats'!AP:AP)/1000)^(2/3)+_xlfn.XLOOKUP(B94,'Base stats'!B:B,'Base stats'!AY:AY)/2)+0.5,0.5)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stats'!AQ:AQ))*(AO94^0.5)+(_xlfn.XLOOKUP(B94,'Base stats'!B:B,'Base stats'!AQ:AQ)/1000)^(2/3)+_xlfn.XLOOKUP(B94,'Base stats'!B:B,'Base stats'!AY:AY))+_xlfn.XLOOKUP(B94,'Base stats'!B:B,'Base stats'!AW:AW)+0.5,0.5))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stats'!AS:AS))*(AO94^0.5)+(_xlfn.XLOOKUP(B94,'Base stats'!B:B,'Base stats'!AS:AS)/1000)^(2/3)+_xlfn.XLOOKUP(B94,'Base stats'!B:B,'Base stats'!AX:AX))+0.5+IF(_xlfn.XLOOKUP(_xlfn.XLOOKUP(B94,'Base stats'!B:B,'Base stats'!E:E),Groups!A:A,Groups!U:U)&lt;&gt;3,_xlfn.XLOOKUP(B94,'Base stats'!B:B,'Base stats'!AY:AY),0),0.5))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stats'!AR:AR)="No","No",MROUND((LOG10(_xlfn.XLOOKUP(B94,'Base stats'!B:B,'Base stats'!AR:AR))*(AO94^0.75)+(_xlfn.XLOOKUP(B94,'Base stats'!B:B,'Base stats'!AR:AR)/1000)^(2/3)+_xlfn.XLOOKUP(B94,'Base stats'!B:B,'Base stats'!AV:AV)+_xlfn.XLOOKUP(B94,'Base stats'!B:B,'Base stats'!AY:AY))+0.5,0.5))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stats'!AQ:AQ))*(AO94^0.75)+(_xlfn.XLOOKUP(B94,'Base stats'!B:B,'Base stats'!AQ:AQ)/1000)^(2/3)+_xlfn.XLOOKUP(B94,'Base stats'!B:B,'Base stats'!AW:AW)+_xlfn.XLOOKUP(B94,'Base stats'!B:B,'Base stats'!AY:AY))+0.5,0.5))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8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IFERROR(IF(_xlfn.XLOOKUP(B94,'Base stats'!B:B,'Base stats'!F:F)="Lay eggs","Lay eggs",MIN(20,MAX(5.5,ROUND(((_xlfn.XLOOKUP(B94,'Base stats'!B:B,'Base stats'!F:F)-25)*(14.5/615) + 5.5)*2,0)/2))),"Cannot breed")</f>
        <v>10</v>
      </c>
      <c r="AT94" s="8">
        <f>IF(OR(A94="Queen",A94="Larva",A94="Megachicken",A94="Megatardi",A94="Toxscorpion"),"No",IFERROR(MAX(IF(_xlfn.XLOOKUP(B94,'Base stats'!B:B,'Base stats'!G:G)&lt;0.5,0.2,0.3),MROUND(_xlfn.XLOOKUP(B94,'Base stats'!B:B,'Base stats'!G:G)/(365/60),0.2)),"Unknown"))</f>
        <v>0.4</v>
      </c>
      <c r="AU94" s="8">
        <f t="shared" si="7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_xlfn.XLOOKUP(B94,'Base stats'!B:B,'Base stats'!AF:AF)</f>
        <v>No</v>
      </c>
      <c r="BB94" s="2" t="str">
        <f>_xlfn.XLOOKUP(B94,'Base stats'!B:B,'Base stats'!AE:AE)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stats'!Z:Z)=0),0,IF(OR(_xlfn.XLOOKUP(Animals!B94,'Base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stats'!AA:AA),0.005))</f>
        <v>0.1</v>
      </c>
      <c r="BE94" s="23">
        <f>MIN(1,MROUND(IF(AND(AO94&lt;0.5,_xlfn.XLOOKUP(B94,'Base stats'!B:B,'Base stats'!Z:Z)=0),0,IF(_xlfn.XLOOKUP(_xlfn.XLOOKUP(B94,'Base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stats'!AB:AB),0.005))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stats'!AL:AL)="Standard","No",MROUND((_xlfn.XLOOKUP(B94,'Base stats'!B:B,'Base stats'!AL:AL)/3.6)/I94,0.1))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stats'!AC:AC)&lt;&gt;"No",_xlfn.XLOOKUP(B94,'Base stats'!B:B,'Base stats'!AC:AC),"")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stats'!AC:AC)&lt;&gt;"No",_xlfn.XLOOKUP(B94,'Base stats'!B:B,'Base stats'!AC:AC),"")
  )
)</f>
        <v>No</v>
      </c>
      <c r="BQ94" s="25" t="str">
        <f>IF(
   AND(
      'Base stats'!AL94="Standard",_xlfn.XLOOKUP(_xlfn.XLOOKUP(B94,'Base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stats'!AT:AT) * 1.8) * 2) * 2.5 + 10 + I94 * 2,5)+IF(_xlfn.XLOOKUP(B94,'Base stats'!B:B,'Base stats'!AI:AI)=1,50,0)</f>
        <v>50</v>
      </c>
      <c r="BS94" s="8">
        <f t="shared" si="12"/>
        <v>0.4</v>
      </c>
      <c r="BT94" s="8" t="str">
        <f>_xlfn.XLOOKUP(B94,'Base stats'!B:B,'Base stats'!AD:AD)</f>
        <v>No</v>
      </c>
      <c r="BU94" s="2" t="str">
        <f>IF(AND(J94&lt;=0.95,OR(_xlfn.XLOOKUP(B94,'Base stats'!B:B,'Base stats'!AI:AI)=1,_xlfn.XLOOKUP(B94,'Base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stats'!AG:AG)=1,"true","false")</f>
        <v>false</v>
      </c>
      <c r="BW94" s="25" t="str">
        <f>IF(E94="BaseInsect","AnimalInsect",
IF(J94&gt;0.95,"AnimalExotic",
_xlfn.TEXTJOIN(", ",TRUE,
IF(OR(_xlfn.XLOOKUP(B94,'Base stats'!B:B,'Base stats'!AK:AK)=1,AND(_xlfn.XLOOKUP(B94,'Base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stats'!AI:AI)=1,AND(BI94&lt;&gt;"None",BR94&gt;=60),ISNUMBER(SEARCH("Attack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stats'!AH:AH)=1,"true","false")</f>
        <v>false</v>
      </c>
      <c r="BZ94" s="25">
        <f>IF(_xlfn.XLOOKUP(B94,'Base stats'!B:B,'Base stats'!N:N)=1,"No",MAX(0.01,MIN(MROUND(IF(OR(_xlfn.XLOOKUP(B94,'Base stats'!B:B,'Base stats'!AK:AK)=1,AND(BJ94="True",CC94="False")),POWER(10,3.47*LOG10(_xlfn.XLOOKUP(B94,'Base stats'!B:B,'Base stats'!C:C)*1000)^-0.96),POWER(10,4.15*LOG10(_xlfn.XLOOKUP(B94,'Base stats'!B:B,'Base stats'!C:C)*1000)^-0.73))*IF(OR(_xlfn.XLOOKUP(B94,'Base stats'!B:B,'Base stats'!AK:AK)=1,_xlfn.XLOOKUP(B94,'Base stats'!B:B,'Base stats'!AI:AI)=1),0.5,1)/100,0.025),1)))</f>
        <v>0.30000000000000004</v>
      </c>
      <c r="CA94" s="25" t="str">
        <f>IF(P94="Standard","No",MAX(0.01,IF(_xlfn.XLOOKUP(B94,'Base stats'!B:B,'Base stats'!N:N)=0,MROUND(BZ94*P94,0.05),MIN(1,MAX(0.025,MROUND(IF(OR(CC94="true",AND(BJ94="false",BO94="false")),POWER(10,4.15*LOG10(_xlfn.XLOOKUP(B94,'Base stats'!B:B,'Base stats'!C:C)*1000)^-0.73),POWER(10,3.47*LOG10(_xlfn.XLOOKUP(B94,'Base stats'!B:B,'Base stats'!C:C)*1000)^-0.96))*IF(_xlfn.XLOOKUP(B94,'Base stats'!B:B,'Base stats'!AI:AI)=1,0.5,1)/100,0.025))))))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283</v>
      </c>
      <c r="C95" s="28" t="s">
        <v>787</v>
      </c>
      <c r="D95" s="28" t="s">
        <v>882</v>
      </c>
      <c r="E95" s="28" t="s">
        <v>685</v>
      </c>
      <c r="F95" s="28" t="s">
        <v>685</v>
      </c>
      <c r="G95" s="28" t="s">
        <v>685</v>
      </c>
      <c r="H95" s="2">
        <f>MROUND((
  (IF(AND(_xlfn.XLOOKUP(B95,'Base stats'!B:B,'Base stats'!AJ:AJ)=0,BI95="None",_xlfn.XLOOKUP(_xlfn.XLOOKUP(B95,'Base stats'!B:B,'Base stats'!E:E),Groups!A:A,Groups!B:B)=0), (18 + BR95 * 2.7) * 0.5,
    IF(AND(_xlfn.XLOOKUP(B95,'Base stats'!B:B,'Base stats'!AJ:AJ)=0,OR(AO95&lt;0.55,AND(BI95="Intermediate",_xlfn.XLOOKUP(_xlfn.XLOOKUP(B95,'Base stats'!B:B,'Base stats'!E:E),Groups!A:A,Groups!B:B)&lt;2))), (18 + BR95 * 2.7),
      IF(OR(BI95="Advanced",_xlfn.XLOOKUP(B95,'Base stats'!B:B,'Base stats'!AJ:AJ)=1,_xlfn.XLOOKUP(_xlfn.XLOOKUP(B95,'Base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IF(_xlfn.XLOOKUP(_xlfn.XLOOKUP(B95,'Base stats'!B:B,'Base stats'!E:E),Groups!A:A,Groups!C:C)="Untamable",1,IF(_xlfn.XLOOKUP(B95,'Base stats'!B:B,'Base stats'!AJ:AJ)=1,0.99,MIN(MROUND((1-0.6282*EXP(-0.459*AO95))*_xlfn.XLOOKUP(_xlfn.XLOOKUP(B95,'Base stats'!B:B,'Base stats'!E:E),Groups!A:A,Groups!C:C)*IF(_xlfn.XLOOKUP(B95,'Base stats'!B:B,'Base stats'!O:O)=1,0.5,IF(_xlfn.XLOOKUP(B95,'Base stats'!B:B,'Base stats'!O:O)=2,0,1)),0.05),0.985)))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IF(_xlfn.XLOOKUP(_xlfn.XLOOKUP(B95,'Base stats'!B:B,'Base stats'!E:E),Groups!A:A,Groups!L:L)=1,MIN(MROUND(_xlfn.XLOOKUP(B95,'Animals CE'!B:B,'Animals CE'!Z:Z)/2+0.05,0.05),200%),"No")</f>
        <v>No</v>
      </c>
      <c r="O95" s="8" t="str">
        <f>IF(_xlfn.XLOOKUP(_xlfn.XLOOKUP(B95,'Base stats'!B:B,'Base stats'!E:E),Groups!A:A,Groups!L:L)=1,MIN(MROUND(_xlfn.XLOOKUP(B95,'Animals CE'!B:B,'Animals CE'!AA:AA)/2+0.05,0.05),200%),"No")</f>
        <v>No</v>
      </c>
      <c r="P95" s="2" t="str">
        <f>_xlfn.XLOOKUP(B95,'Base stats'!B:B,'Base stats'!R:R)</f>
        <v>Standard</v>
      </c>
      <c r="Q95" s="13">
        <f>MROUND((LOG10(_xlfn.XLOOKUP(B95,'Base stats'!B:B,'Base stats'!AP:AP))*(AO95^0.5)+(_xlfn.XLOOKUP(B95,'Base stats'!B:B,'Base stats'!AP:AP)/1000)^(2/3)+_xlfn.XLOOKUP(B95,'Base stats'!B:B,'Base stats'!AY:AY)/2)+0.5,0.5)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stats'!AQ:AQ))*(AO95^0.5)+(_xlfn.XLOOKUP(B95,'Base stats'!B:B,'Base stats'!AQ:AQ)/1000)^(2/3)+_xlfn.XLOOKUP(B95,'Base stats'!B:B,'Base stats'!AY:AY))+_xlfn.XLOOKUP(B95,'Base stats'!B:B,'Base stats'!AW:AW)+0.5,0.5))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stats'!AS:AS))*(AO95^0.5)+(_xlfn.XLOOKUP(B95,'Base stats'!B:B,'Base stats'!AS:AS)/1000)^(2/3)+_xlfn.XLOOKUP(B95,'Base stats'!B:B,'Base stats'!AX:AX))+0.5+IF(_xlfn.XLOOKUP(_xlfn.XLOOKUP(B95,'Base stats'!B:B,'Base stats'!E:E),Groups!A:A,Groups!U:U)&lt;&gt;3,_xlfn.XLOOKUP(B95,'Base stats'!B:B,'Base stats'!AY:AY),0),0.5))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stats'!AR:AR)="No","No",MROUND((LOG10(_xlfn.XLOOKUP(B95,'Base stats'!B:B,'Base stats'!AR:AR))*(AO95^0.75)+(_xlfn.XLOOKUP(B95,'Base stats'!B:B,'Base stats'!AR:AR)/1000)^(2/3)+_xlfn.XLOOKUP(B95,'Base stats'!B:B,'Base stats'!AV:AV)+_xlfn.XLOOKUP(B95,'Base stats'!B:B,'Base stats'!AY:AY))+0.5,0.5))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stats'!AQ:AQ))*(AO95^0.75)+(_xlfn.XLOOKUP(B95,'Base stats'!B:B,'Base stats'!AQ:AQ)/1000)^(2/3)+_xlfn.XLOOKUP(B95,'Base stats'!B:B,'Base stats'!AW:AW)+_xlfn.XLOOKUP(B95,'Base stats'!B:B,'Base stats'!AY:AY))+0.5,0.5))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8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IFERROR(IF(_xlfn.XLOOKUP(B95,'Base stats'!B:B,'Base stats'!F:F)="Lay eggs","Lay eggs",MIN(20,MAX(5.5,ROUND(((_xlfn.XLOOKUP(B95,'Base stats'!B:B,'Base stats'!F:F)-25)*(14.5/615) + 5.5)*2,0)/2))),"Cannot breed")</f>
        <v>8.5</v>
      </c>
      <c r="AT95" s="8">
        <f>IF(OR(A95="Queen",A95="Larva",A95="Megachicken",A95="Megatardi",A95="Toxscorpion"),"No",IFERROR(MAX(IF(_xlfn.XLOOKUP(B95,'Base stats'!B:B,'Base stats'!G:G)&lt;0.5,0.2,0.3),MROUND(_xlfn.XLOOKUP(B95,'Base stats'!B:B,'Base stats'!G:G)/(365/60),0.2)),"Unknown"))</f>
        <v>0.4</v>
      </c>
      <c r="AU95" s="8">
        <f t="shared" si="7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_xlfn.XLOOKUP(B95,'Base stats'!B:B,'Base stats'!AF:AF)</f>
        <v>No</v>
      </c>
      <c r="BB95" s="2" t="str">
        <f>_xlfn.XLOOKUP(B95,'Base stats'!B:B,'Base stats'!AE:AE)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stats'!Z:Z)=0),0,IF(OR(_xlfn.XLOOKUP(Animals!B95,'Base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stats'!AA:AA),0.005))</f>
        <v>0</v>
      </c>
      <c r="BE95" s="23">
        <f>MIN(1,MROUND(IF(AND(AO95&lt;0.5,_xlfn.XLOOKUP(B95,'Base stats'!B:B,'Base stats'!Z:Z)=0),0,IF(_xlfn.XLOOKUP(_xlfn.XLOOKUP(B95,'Base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stats'!AB:AB),0.005))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stats'!AL:AL)="Standard","No",MROUND((_xlfn.XLOOKUP(B95,'Base stats'!B:B,'Base stats'!AL:AL)/3.6)/I95,0.1))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stats'!AC:AC)&lt;&gt;"No",_xlfn.XLOOKUP(B95,'Base stats'!B:B,'Base stats'!AC:AC),"")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stats'!AC:AC)&lt;&gt;"No",_xlfn.XLOOKUP(B95,'Base stats'!B:B,'Base stats'!AC:AC),"")
  )
)</f>
        <v>Dig</v>
      </c>
      <c r="BQ95" s="25" t="str">
        <f>IF(
   AND(
      'Base stats'!AL95="Standard",_xlfn.XLOOKUP(_xlfn.XLOOKUP(B95,'Base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stats'!AT:AT) * 1.8) * 2) * 2.5 + 10 + I95 * 2,5)+IF(_xlfn.XLOOKUP(B95,'Base stats'!B:B,'Base stats'!AI:AI)=1,50,0)</f>
        <v>85</v>
      </c>
      <c r="BS95" s="8">
        <f t="shared" si="12"/>
        <v>0.65</v>
      </c>
      <c r="BT95" s="8" t="str">
        <f>_xlfn.XLOOKUP(B95,'Base stats'!B:B,'Base stats'!AD:AD)</f>
        <v>No</v>
      </c>
      <c r="BU95" s="2" t="str">
        <f>IF(AND(J95&lt;=0.95,OR(_xlfn.XLOOKUP(B95,'Base stats'!B:B,'Base stats'!AI:AI)=1,_xlfn.XLOOKUP(B95,'Base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stats'!AG:AG)=1,"true","false")</f>
        <v>false</v>
      </c>
      <c r="BW95" s="25" t="str">
        <f>IF(E95="BaseInsect","AnimalInsect",
IF(J95&gt;0.95,"AnimalExotic",
_xlfn.TEXTJOIN(", ",TRUE,
IF(OR(_xlfn.XLOOKUP(B95,'Base stats'!B:B,'Base stats'!AK:AK)=1,AND(_xlfn.XLOOKUP(B95,'Base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stats'!AI:AI)=1,AND(BI95&lt;&gt;"None",BR95&gt;=60),ISNUMBER(SEARCH("Attack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stats'!AH:AH)=1,"true","false")</f>
        <v>false</v>
      </c>
      <c r="BZ95" s="25">
        <f>IF(_xlfn.XLOOKUP(B95,'Base stats'!B:B,'Base stats'!N:N)=1,"No",MAX(0.01,MIN(MROUND(IF(OR(_xlfn.XLOOKUP(B95,'Base stats'!B:B,'Base stats'!AK:AK)=1,AND(BJ95="True",CC95="False")),POWER(10,3.47*LOG10(_xlfn.XLOOKUP(B95,'Base stats'!B:B,'Base stats'!C:C)*1000)^-0.96),POWER(10,4.15*LOG10(_xlfn.XLOOKUP(B95,'Base stats'!B:B,'Base stats'!C:C)*1000)^-0.73))*IF(OR(_xlfn.XLOOKUP(B95,'Base stats'!B:B,'Base stats'!AK:AK)=1,_xlfn.XLOOKUP(B95,'Base stats'!B:B,'Base stats'!AI:AI)=1),0.5,1)/100,0.025),1)))</f>
        <v>0.2</v>
      </c>
      <c r="CA95" s="25" t="str">
        <f>IF(P95="Standard","No",MAX(0.01,IF(_xlfn.XLOOKUP(B95,'Base stats'!B:B,'Base stats'!N:N)=0,MROUND(BZ95*P95,0.05),MIN(1,MAX(0.025,MROUND(IF(OR(CC95="true",AND(BJ95="false",BO95="false")),POWER(10,4.15*LOG10(_xlfn.XLOOKUP(B95,'Base stats'!B:B,'Base stats'!C:C)*1000)^-0.73),POWER(10,3.47*LOG10(_xlfn.XLOOKUP(B95,'Base stats'!B:B,'Base stats'!C:C)*1000)^-0.96))*IF(_xlfn.XLOOKUP(B95,'Base stats'!B:B,'Base stats'!AI:AI)=1,0.5,1)/100,0.025))))))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147</v>
      </c>
      <c r="C96" s="28" t="s">
        <v>788</v>
      </c>
      <c r="D96" s="28" t="s">
        <v>882</v>
      </c>
      <c r="E96" s="28" t="s">
        <v>685</v>
      </c>
      <c r="F96" s="28" t="s">
        <v>685</v>
      </c>
      <c r="G96" s="28" t="s">
        <v>685</v>
      </c>
      <c r="H96" s="2">
        <f>MROUND((
  (IF(AND(_xlfn.XLOOKUP(B96,'Base stats'!B:B,'Base stats'!AJ:AJ)=0,BI96="None",_xlfn.XLOOKUP(_xlfn.XLOOKUP(B96,'Base stats'!B:B,'Base stats'!E:E),Groups!A:A,Groups!B:B)=0), (18 + BR96 * 2.7) * 0.5,
    IF(AND(_xlfn.XLOOKUP(B96,'Base stats'!B:B,'Base stats'!AJ:AJ)=0,OR(AO96&lt;0.55,AND(BI96="Intermediate",_xlfn.XLOOKUP(_xlfn.XLOOKUP(B96,'Base stats'!B:B,'Base stats'!E:E),Groups!A:A,Groups!B:B)&lt;2))), (18 + BR96 * 2.7),
      IF(OR(BI96="Advanced",_xlfn.XLOOKUP(B96,'Base stats'!B:B,'Base stats'!AJ:AJ)=1,_xlfn.XLOOKUP(_xlfn.XLOOKUP(B96,'Base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IF(_xlfn.XLOOKUP(_xlfn.XLOOKUP(B96,'Base stats'!B:B,'Base stats'!E:E),Groups!A:A,Groups!C:C)="Untamable",1,IF(_xlfn.XLOOKUP(B96,'Base stats'!B:B,'Base stats'!AJ:AJ)=1,0.99,MIN(MROUND((1-0.6282*EXP(-0.459*AO96))*_xlfn.XLOOKUP(_xlfn.XLOOKUP(B96,'Base stats'!B:B,'Base stats'!E:E),Groups!A:A,Groups!C:C)*IF(_xlfn.XLOOKUP(B96,'Base stats'!B:B,'Base stats'!O:O)=1,0.5,IF(_xlfn.XLOOKUP(B96,'Base stats'!B:B,'Base stats'!O:O)=2,0,1)),0.05),0.985)))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IF(_xlfn.XLOOKUP(_xlfn.XLOOKUP(B96,'Base stats'!B:B,'Base stats'!E:E),Groups!A:A,Groups!L:L)=1,MIN(MROUND(_xlfn.XLOOKUP(B96,'Animals CE'!B:B,'Animals CE'!Z:Z)/2+0.05,0.05),200%),"No")</f>
        <v>No</v>
      </c>
      <c r="O96" s="8" t="str">
        <f>IF(_xlfn.XLOOKUP(_xlfn.XLOOKUP(B96,'Base stats'!B:B,'Base stats'!E:E),Groups!A:A,Groups!L:L)=1,MIN(MROUND(_xlfn.XLOOKUP(B96,'Animals CE'!B:B,'Animals CE'!AA:AA)/2+0.05,0.05),200%),"No")</f>
        <v>No</v>
      </c>
      <c r="P96" s="2" t="str">
        <f>_xlfn.XLOOKUP(B96,'Base stats'!B:B,'Base stats'!R:R)</f>
        <v>Standard</v>
      </c>
      <c r="Q96" s="13">
        <f>MROUND((LOG10(_xlfn.XLOOKUP(B96,'Base stats'!B:B,'Base stats'!AP:AP))*(AO96^0.5)+(_xlfn.XLOOKUP(B96,'Base stats'!B:B,'Base stats'!AP:AP)/1000)^(2/3)+_xlfn.XLOOKUP(B96,'Base stats'!B:B,'Base stats'!AY:AY)/2)+0.5,0.5)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stats'!AQ:AQ))*(AO96^0.5)+(_xlfn.XLOOKUP(B96,'Base stats'!B:B,'Base stats'!AQ:AQ)/1000)^(2/3)+_xlfn.XLOOKUP(B96,'Base stats'!B:B,'Base stats'!AY:AY))+_xlfn.XLOOKUP(B96,'Base stats'!B:B,'Base stats'!AW:AW)+0.5,0.5))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stats'!AS:AS))*(AO96^0.5)+(_xlfn.XLOOKUP(B96,'Base stats'!B:B,'Base stats'!AS:AS)/1000)^(2/3)+_xlfn.XLOOKUP(B96,'Base stats'!B:B,'Base stats'!AX:AX))+0.5+IF(_xlfn.XLOOKUP(_xlfn.XLOOKUP(B96,'Base stats'!B:B,'Base stats'!E:E),Groups!A:A,Groups!U:U)&lt;&gt;3,_xlfn.XLOOKUP(B96,'Base stats'!B:B,'Base stats'!AY:AY),0),0.5))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stats'!AR:AR)="No","No",MROUND((LOG10(_xlfn.XLOOKUP(B96,'Base stats'!B:B,'Base stats'!AR:AR))*(AO96^0.75)+(_xlfn.XLOOKUP(B96,'Base stats'!B:B,'Base stats'!AR:AR)/1000)^(2/3)+_xlfn.XLOOKUP(B96,'Base stats'!B:B,'Base stats'!AV:AV)+_xlfn.XLOOKUP(B96,'Base stats'!B:B,'Base stats'!AY:AY))+0.5,0.5))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stats'!AQ:AQ))*(AO96^0.75)+(_xlfn.XLOOKUP(B96,'Base stats'!B:B,'Base stats'!AQ:AQ)/1000)^(2/3)+_xlfn.XLOOKUP(B96,'Base stats'!B:B,'Base stats'!AW:AW)+_xlfn.XLOOKUP(B96,'Base stats'!B:B,'Base stats'!AY:AY))+0.5,0.5))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8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IFERROR(IF(_xlfn.XLOOKUP(B96,'Base stats'!B:B,'Base stats'!F:F)="Lay eggs","Lay eggs",MIN(20,MAX(5.5,ROUND(((_xlfn.XLOOKUP(B96,'Base stats'!B:B,'Base stats'!F:F)-25)*(14.5/615) + 5.5)*2,0)/2))),"Cannot breed")</f>
        <v>10.5</v>
      </c>
      <c r="AT96" s="8">
        <f>IF(OR(A96="Queen",A96="Larva",A96="Megachicken",A96="Megatardi",A96="Toxscorpion"),"No",IFERROR(MAX(IF(_xlfn.XLOOKUP(B96,'Base stats'!B:B,'Base stats'!G:G)&lt;0.5,0.2,0.3),MROUND(_xlfn.XLOOKUP(B96,'Base stats'!B:B,'Base stats'!G:G)/(365/60),0.2)),"Unknown"))</f>
        <v>0.4</v>
      </c>
      <c r="AU96" s="8">
        <f t="shared" si="7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_xlfn.XLOOKUP(B96,'Base stats'!B:B,'Base stats'!AF:AF)</f>
        <v>&lt;li&gt;Deer&lt;/li&gt;</v>
      </c>
      <c r="BB96" s="2" t="str">
        <f>_xlfn.XLOOKUP(B96,'Base stats'!B:B,'Base stats'!AE:AE)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stats'!Z:Z)=0),0,IF(OR(_xlfn.XLOOKUP(Animals!B96,'Base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stats'!AA:AA),0.005))</f>
        <v>2.5000000000000001E-2</v>
      </c>
      <c r="BE96" s="23">
        <f>MIN(1,MROUND(IF(AND(AO96&lt;0.5,_xlfn.XLOOKUP(B96,'Base stats'!B:B,'Base stats'!Z:Z)=0),0,IF(_xlfn.XLOOKUP(_xlfn.XLOOKUP(B96,'Base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stats'!AB:AB),0.005))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stats'!AL:AL)="Standard","No",MROUND((_xlfn.XLOOKUP(B96,'Base stats'!B:B,'Base stats'!AL:AL)/3.6)/I96,0.1))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stats'!AC:AC)&lt;&gt;"No",_xlfn.XLOOKUP(B96,'Base stats'!B:B,'Base stats'!AC:AC),"")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stats'!AC:AC)&lt;&gt;"No",_xlfn.XLOOKUP(B96,'Base stats'!B:B,'Base stats'!AC:AC),"")
  )
)</f>
        <v>No</v>
      </c>
      <c r="BQ96" s="25" t="str">
        <f>IF(
   AND(
      'Base stats'!AL96="Standard",_xlfn.XLOOKUP(_xlfn.XLOOKUP(B96,'Base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stats'!AT:AT) * 1.8) * 2) * 2.5 + 10 + I96 * 2,5)+IF(_xlfn.XLOOKUP(B96,'Base stats'!B:B,'Base stats'!AI:AI)=1,50,0)</f>
        <v>190</v>
      </c>
      <c r="BS96" s="8">
        <f t="shared" si="12"/>
        <v>1.4500000000000002</v>
      </c>
      <c r="BT96" s="8" t="str">
        <f>_xlfn.XLOOKUP(B96,'Base stats'!B:B,'Base stats'!AD:AD)</f>
        <v>No</v>
      </c>
      <c r="BU96" s="2" t="str">
        <f>IF(AND(J96&lt;=0.95,OR(_xlfn.XLOOKUP(B96,'Base stats'!B:B,'Base stats'!AI:AI)=1,_xlfn.XLOOKUP(B96,'Base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stats'!AG:AG)=1,"true","false")</f>
        <v>false</v>
      </c>
      <c r="BW96" s="25" t="str">
        <f>IF(E96="BaseInsect","AnimalInsect",
IF(J96&gt;0.95,"AnimalExotic",
_xlfn.TEXTJOIN(", ",TRUE,
IF(OR(_xlfn.XLOOKUP(B96,'Base stats'!B:B,'Base stats'!AK:AK)=1,AND(_xlfn.XLOOKUP(B96,'Base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stats'!AI:AI)=1,AND(BI96&lt;&gt;"None",BR96&gt;=60),ISNUMBER(SEARCH("Attack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stats'!AH:AH)=1,"true","false")</f>
        <v>false</v>
      </c>
      <c r="BZ96" s="25">
        <f>IF(_xlfn.XLOOKUP(B96,'Base stats'!B:B,'Base stats'!N:N)=1,"No",MAX(0.01,MIN(MROUND(IF(OR(_xlfn.XLOOKUP(B96,'Base stats'!B:B,'Base stats'!AK:AK)=1,AND(BJ96="True",CC96="False")),POWER(10,3.47*LOG10(_xlfn.XLOOKUP(B96,'Base stats'!B:B,'Base stats'!C:C)*1000)^-0.96),POWER(10,4.15*LOG10(_xlfn.XLOOKUP(B96,'Base stats'!B:B,'Base stats'!C:C)*1000)^-0.73))*IF(OR(_xlfn.XLOOKUP(B96,'Base stats'!B:B,'Base stats'!AK:AK)=1,_xlfn.XLOOKUP(B96,'Base stats'!B:B,'Base stats'!AI:AI)=1),0.5,1)/100,0.025),1)))</f>
        <v>0.15000000000000002</v>
      </c>
      <c r="CA96" s="25" t="str">
        <f>IF(P96="Standard","No",MAX(0.01,IF(_xlfn.XLOOKUP(B96,'Base stats'!B:B,'Base stats'!N:N)=0,MROUND(BZ96*P96,0.05),MIN(1,MAX(0.025,MROUND(IF(OR(CC96="true",AND(BJ96="false",BO96="false")),POWER(10,4.15*LOG10(_xlfn.XLOOKUP(B96,'Base stats'!B:B,'Base stats'!C:C)*1000)^-0.73),POWER(10,3.47*LOG10(_xlfn.XLOOKUP(B96,'Base stats'!B:B,'Base stats'!C:C)*1000)^-0.96))*IF(_xlfn.XLOOKUP(B96,'Base stats'!B:B,'Base stats'!AI:AI)=1,0.5,1)/100,0.025))))))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230</v>
      </c>
      <c r="C97" s="28" t="s">
        <v>789</v>
      </c>
      <c r="D97" s="28" t="s">
        <v>882</v>
      </c>
      <c r="E97" s="28" t="s">
        <v>685</v>
      </c>
      <c r="F97" s="28" t="s">
        <v>685</v>
      </c>
      <c r="G97" s="28" t="s">
        <v>685</v>
      </c>
      <c r="H97" s="2">
        <f>MROUND((
  (IF(AND(_xlfn.XLOOKUP(B97,'Base stats'!B:B,'Base stats'!AJ:AJ)=0,BI97="None",_xlfn.XLOOKUP(_xlfn.XLOOKUP(B97,'Base stats'!B:B,'Base stats'!E:E),Groups!A:A,Groups!B:B)=0), (18 + BR97 * 2.7) * 0.5,
    IF(AND(_xlfn.XLOOKUP(B97,'Base stats'!B:B,'Base stats'!AJ:AJ)=0,OR(AO97&lt;0.55,AND(BI97="Intermediate",_xlfn.XLOOKUP(_xlfn.XLOOKUP(B97,'Base stats'!B:B,'Base stats'!E:E),Groups!A:A,Groups!B:B)&lt;2))), (18 + BR97 * 2.7),
      IF(OR(BI97="Advanced",_xlfn.XLOOKUP(B97,'Base stats'!B:B,'Base stats'!AJ:AJ)=1,_xlfn.XLOOKUP(_xlfn.XLOOKUP(B97,'Base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IF(_xlfn.XLOOKUP(_xlfn.XLOOKUP(B97,'Base stats'!B:B,'Base stats'!E:E),Groups!A:A,Groups!C:C)="Untamable",1,IF(_xlfn.XLOOKUP(B97,'Base stats'!B:B,'Base stats'!AJ:AJ)=1,0.99,MIN(MROUND((1-0.6282*EXP(-0.459*AO97))*_xlfn.XLOOKUP(_xlfn.XLOOKUP(B97,'Base stats'!B:B,'Base stats'!E:E),Groups!A:A,Groups!C:C)*IF(_xlfn.XLOOKUP(B97,'Base stats'!B:B,'Base stats'!O:O)=1,0.5,IF(_xlfn.XLOOKUP(B97,'Base stats'!B:B,'Base stats'!O:O)=2,0,1)),0.05),0.985)))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IF(_xlfn.XLOOKUP(_xlfn.XLOOKUP(B97,'Base stats'!B:B,'Base stats'!E:E),Groups!A:A,Groups!L:L)=1,MIN(MROUND(_xlfn.XLOOKUP(B97,'Animals CE'!B:B,'Animals CE'!Z:Z)/2+0.05,0.05),200%),"No")</f>
        <v>No</v>
      </c>
      <c r="O97" s="8" t="str">
        <f>IF(_xlfn.XLOOKUP(_xlfn.XLOOKUP(B97,'Base stats'!B:B,'Base stats'!E:E),Groups!A:A,Groups!L:L)=1,MIN(MROUND(_xlfn.XLOOKUP(B97,'Animals CE'!B:B,'Animals CE'!AA:AA)/2+0.05,0.05),200%),"No")</f>
        <v>No</v>
      </c>
      <c r="P97" s="2" t="str">
        <f>_xlfn.XLOOKUP(B97,'Base stats'!B:B,'Base stats'!R:R)</f>
        <v>Standard</v>
      </c>
      <c r="Q97" s="13">
        <f>MROUND((LOG10(_xlfn.XLOOKUP(B97,'Base stats'!B:B,'Base stats'!AP:AP))*(AO97^0.5)+(_xlfn.XLOOKUP(B97,'Base stats'!B:B,'Base stats'!AP:AP)/1000)^(2/3)+_xlfn.XLOOKUP(B97,'Base stats'!B:B,'Base stats'!AY:AY)/2)+0.5,0.5)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stats'!AQ:AQ))*(AO97^0.5)+(_xlfn.XLOOKUP(B97,'Base stats'!B:B,'Base stats'!AQ:AQ)/1000)^(2/3)+_xlfn.XLOOKUP(B97,'Base stats'!B:B,'Base stats'!AY:AY))+_xlfn.XLOOKUP(B97,'Base stats'!B:B,'Base stats'!AW:AW)+0.5,0.5))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stats'!AS:AS))*(AO97^0.5)+(_xlfn.XLOOKUP(B97,'Base stats'!B:B,'Base stats'!AS:AS)/1000)^(2/3)+_xlfn.XLOOKUP(B97,'Base stats'!B:B,'Base stats'!AX:AX))+0.5+IF(_xlfn.XLOOKUP(_xlfn.XLOOKUP(B97,'Base stats'!B:B,'Base stats'!E:E),Groups!A:A,Groups!U:U)&lt;&gt;3,_xlfn.XLOOKUP(B97,'Base stats'!B:B,'Base stats'!AY:AY),0),0.5))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stats'!AR:AR)="No","No",MROUND((LOG10(_xlfn.XLOOKUP(B97,'Base stats'!B:B,'Base stats'!AR:AR))*(AO97^0.75)+(_xlfn.XLOOKUP(B97,'Base stats'!B:B,'Base stats'!AR:AR)/1000)^(2/3)+_xlfn.XLOOKUP(B97,'Base stats'!B:B,'Base stats'!AV:AV)+_xlfn.XLOOKUP(B97,'Base stats'!B:B,'Base stats'!AY:AY))+0.5,0.5))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stats'!AQ:AQ))*(AO97^0.75)+(_xlfn.XLOOKUP(B97,'Base stats'!B:B,'Base stats'!AQ:AQ)/1000)^(2/3)+_xlfn.XLOOKUP(B97,'Base stats'!B:B,'Base stats'!AW:AW)+_xlfn.XLOOKUP(B97,'Base stats'!B:B,'Base stats'!AY:AY))+0.5,0.5))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8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IFERROR(IF(_xlfn.XLOOKUP(B97,'Base stats'!B:B,'Base stats'!F:F)="Lay eggs","Lay eggs",MIN(20,MAX(5.5,ROUND(((_xlfn.XLOOKUP(B97,'Base stats'!B:B,'Base stats'!F:F)-25)*(14.5/615) + 5.5)*2,0)/2))),"Cannot breed")</f>
        <v>11</v>
      </c>
      <c r="AT97" s="8">
        <f>IF(OR(A97="Queen",A97="Larva",A97="Megachicken",A97="Megatardi",A97="Toxscorpion"),"No",IFERROR(MAX(IF(_xlfn.XLOOKUP(B97,'Base stats'!B:B,'Base stats'!G:G)&lt;0.5,0.2,0.3),MROUND(_xlfn.XLOOKUP(B97,'Base stats'!B:B,'Base stats'!G:G)/(365/60),0.2)),"Unknown"))</f>
        <v>0.4</v>
      </c>
      <c r="AU97" s="8">
        <f t="shared" si="7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_xlfn.XLOOKUP(B97,'Base stats'!B:B,'Base stats'!AF:AF)</f>
        <v>&lt;li&gt;Sheep&lt;/li&gt;</v>
      </c>
      <c r="BB97" s="2" t="str">
        <f>_xlfn.XLOOKUP(B97,'Base stats'!B:B,'Base stats'!AE:AE)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stats'!Z:Z)=0),0,IF(OR(_xlfn.XLOOKUP(Animals!B97,'Base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stats'!AA:AA),0.005))</f>
        <v>2.5000000000000001E-2</v>
      </c>
      <c r="BE97" s="23">
        <f>MIN(1,MROUND(IF(AND(AO97&lt;0.5,_xlfn.XLOOKUP(B97,'Base stats'!B:B,'Base stats'!Z:Z)=0),0,IF(_xlfn.XLOOKUP(_xlfn.XLOOKUP(B97,'Base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stats'!AB:AB),0.005))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stats'!AL:AL)="Standard","No",MROUND((_xlfn.XLOOKUP(B97,'Base stats'!B:B,'Base stats'!AL:AL)/3.6)/I97,0.1))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stats'!AC:AC)&lt;&gt;"No",_xlfn.XLOOKUP(B97,'Base stats'!B:B,'Base stats'!AC:AC),"")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stats'!AC:AC)&lt;&gt;"No",_xlfn.XLOOKUP(B97,'Base stats'!B:B,'Base stats'!AC:AC),"")
  )
)</f>
        <v>No</v>
      </c>
      <c r="BQ97" s="25" t="str">
        <f>IF(
   AND(
      'Base stats'!AL97="Standard",_xlfn.XLOOKUP(_xlfn.XLOOKUP(B97,'Base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stats'!AT:AT) * 1.8) * 2) * 2.5 + 10 + I97 * 2,5)+IF(_xlfn.XLOOKUP(B97,'Base stats'!B:B,'Base stats'!AI:AI)=1,50,0)</f>
        <v>150</v>
      </c>
      <c r="BS97" s="8">
        <f t="shared" si="12"/>
        <v>1.2000000000000002</v>
      </c>
      <c r="BT97" s="8" t="str">
        <f>_xlfn.XLOOKUP(B97,'Base stats'!B:B,'Base stats'!AD:AD)</f>
        <v>3~10</v>
      </c>
      <c r="BU97" s="2" t="str">
        <f>IF(AND(J97&lt;=0.95,OR(_xlfn.XLOOKUP(B97,'Base stats'!B:B,'Base stats'!AI:AI)=1,_xlfn.XLOOKUP(B97,'Base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stats'!AG:AG)=1,"true","false")</f>
        <v>false</v>
      </c>
      <c r="BW97" s="25" t="str">
        <f>IF(E97="BaseInsect","AnimalInsect",
IF(J97&gt;0.95,"AnimalExotic",
_xlfn.TEXTJOIN(", ",TRUE,
IF(OR(_xlfn.XLOOKUP(B97,'Base stats'!B:B,'Base stats'!AK:AK)=1,AND(_xlfn.XLOOKUP(B97,'Base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stats'!AI:AI)=1,AND(BI97&lt;&gt;"None",BR97&gt;=60),ISNUMBER(SEARCH("Attack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stats'!AH:AH)=1,"true","false")</f>
        <v>false</v>
      </c>
      <c r="BZ97" s="25">
        <f>IF(_xlfn.XLOOKUP(B97,'Base stats'!B:B,'Base stats'!N:N)=1,"No",MAX(0.01,MIN(MROUND(IF(OR(_xlfn.XLOOKUP(B97,'Base stats'!B:B,'Base stats'!AK:AK)=1,AND(BJ97="True",CC97="False")),POWER(10,3.47*LOG10(_xlfn.XLOOKUP(B97,'Base stats'!B:B,'Base stats'!C:C)*1000)^-0.96),POWER(10,4.15*LOG10(_xlfn.XLOOKUP(B97,'Base stats'!B:B,'Base stats'!C:C)*1000)^-0.73))*IF(OR(_xlfn.XLOOKUP(B97,'Base stats'!B:B,'Base stats'!AK:AK)=1,_xlfn.XLOOKUP(B97,'Base stats'!B:B,'Base stats'!AI:AI)=1),0.5,1)/100,0.025),1)))</f>
        <v>0.15000000000000002</v>
      </c>
      <c r="CA97" s="25" t="str">
        <f>IF(P97="Standard","No",MAX(0.01,IF(_xlfn.XLOOKUP(B97,'Base stats'!B:B,'Base stats'!N:N)=0,MROUND(BZ97*P97,0.05),MIN(1,MAX(0.025,MROUND(IF(OR(CC97="true",AND(BJ97="false",BO97="false")),POWER(10,4.15*LOG10(_xlfn.XLOOKUP(B97,'Base stats'!B:B,'Base stats'!C:C)*1000)^-0.73),POWER(10,3.47*LOG10(_xlfn.XLOOKUP(B97,'Base stats'!B:B,'Base stats'!C:C)*1000)^-0.96))*IF(_xlfn.XLOOKUP(B97,'Base stats'!B:B,'Base stats'!AI:AI)=1,0.5,1)/100,0.025))))))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293</v>
      </c>
      <c r="C98" s="28" t="s">
        <v>790</v>
      </c>
      <c r="D98" s="28" t="s">
        <v>882</v>
      </c>
      <c r="E98" s="28" t="s">
        <v>685</v>
      </c>
      <c r="F98" s="28" t="s">
        <v>685</v>
      </c>
      <c r="G98" s="28" t="s">
        <v>685</v>
      </c>
      <c r="H98" s="2">
        <f>MROUND((
  (IF(AND(_xlfn.XLOOKUP(B98,'Base stats'!B:B,'Base stats'!AJ:AJ)=0,BI98="None",_xlfn.XLOOKUP(_xlfn.XLOOKUP(B98,'Base stats'!B:B,'Base stats'!E:E),Groups!A:A,Groups!B:B)=0), (18 + BR98 * 2.7) * 0.5,
    IF(AND(_xlfn.XLOOKUP(B98,'Base stats'!B:B,'Base stats'!AJ:AJ)=0,OR(AO98&lt;0.55,AND(BI98="Intermediate",_xlfn.XLOOKUP(_xlfn.XLOOKUP(B98,'Base stats'!B:B,'Base stats'!E:E),Groups!A:A,Groups!B:B)&lt;2))), (18 + BR98 * 2.7),
      IF(OR(BI98="Advanced",_xlfn.XLOOKUP(B98,'Base stats'!B:B,'Base stats'!AJ:AJ)=1,_xlfn.XLOOKUP(_xlfn.XLOOKUP(B98,'Base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IF(_xlfn.XLOOKUP(_xlfn.XLOOKUP(B98,'Base stats'!B:B,'Base stats'!E:E),Groups!A:A,Groups!C:C)="Untamable",1,IF(_xlfn.XLOOKUP(B98,'Base stats'!B:B,'Base stats'!AJ:AJ)=1,0.99,MIN(MROUND((1-0.6282*EXP(-0.459*AO98))*_xlfn.XLOOKUP(_xlfn.XLOOKUP(B98,'Base stats'!B:B,'Base stats'!E:E),Groups!A:A,Groups!C:C)*IF(_xlfn.XLOOKUP(B98,'Base stats'!B:B,'Base stats'!O:O)=1,0.5,IF(_xlfn.XLOOKUP(B98,'Base stats'!B:B,'Base stats'!O:O)=2,0,1)),0.05),0.985)))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IF(_xlfn.XLOOKUP(_xlfn.XLOOKUP(B98,'Base stats'!B:B,'Base stats'!E:E),Groups!A:A,Groups!L:L)=1,MIN(MROUND(_xlfn.XLOOKUP(B98,'Animals CE'!B:B,'Animals CE'!Z:Z)/2+0.05,0.05),200%),"No")</f>
        <v>0.60000000000000009</v>
      </c>
      <c r="O98" s="8">
        <f>IF(_xlfn.XLOOKUP(_xlfn.XLOOKUP(B98,'Base stats'!B:B,'Base stats'!E:E),Groups!A:A,Groups!L:L)=1,MIN(MROUND(_xlfn.XLOOKUP(B98,'Animals CE'!B:B,'Animals CE'!AA:AA)/2+0.05,0.05),200%),"No")</f>
        <v>0.05</v>
      </c>
      <c r="P98" s="2" t="str">
        <f>_xlfn.XLOOKUP(B98,'Base stats'!B:B,'Base stats'!R:R)</f>
        <v>Standard</v>
      </c>
      <c r="Q98" s="13">
        <f>MROUND((LOG10(_xlfn.XLOOKUP(B98,'Base stats'!B:B,'Base stats'!AP:AP))*(AO98^0.5)+(_xlfn.XLOOKUP(B98,'Base stats'!B:B,'Base stats'!AP:AP)/1000)^(2/3)+_xlfn.XLOOKUP(B98,'Base stats'!B:B,'Base stats'!AY:AY)/2)+0.5,0.5)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stats'!AQ:AQ))*(AO98^0.5)+(_xlfn.XLOOKUP(B98,'Base stats'!B:B,'Base stats'!AQ:AQ)/1000)^(2/3)+_xlfn.XLOOKUP(B98,'Base stats'!B:B,'Base stats'!AY:AY))+_xlfn.XLOOKUP(B98,'Base stats'!B:B,'Base stats'!AW:AW)+0.5,0.5))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stats'!AS:AS))*(AO98^0.5)+(_xlfn.XLOOKUP(B98,'Base stats'!B:B,'Base stats'!AS:AS)/1000)^(2/3)+_xlfn.XLOOKUP(B98,'Base stats'!B:B,'Base stats'!AX:AX))+0.5+IF(_xlfn.XLOOKUP(_xlfn.XLOOKUP(B98,'Base stats'!B:B,'Base stats'!E:E),Groups!A:A,Groups!U:U)&lt;&gt;3,_xlfn.XLOOKUP(B98,'Base stats'!B:B,'Base stats'!AY:AY),0),0.5))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stats'!AR:AR)="No","No",MROUND((LOG10(_xlfn.XLOOKUP(B98,'Base stats'!B:B,'Base stats'!AR:AR))*(AO98^0.75)+(_xlfn.XLOOKUP(B98,'Base stats'!B:B,'Base stats'!AR:AR)/1000)^(2/3)+_xlfn.XLOOKUP(B98,'Base stats'!B:B,'Base stats'!AV:AV)+_xlfn.XLOOKUP(B98,'Base stats'!B:B,'Base stats'!AY:AY))+0.5,0.5))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stats'!AQ:AQ))*(AO98^0.75)+(_xlfn.XLOOKUP(B98,'Base stats'!B:B,'Base stats'!AQ:AQ)/1000)^(2/3)+_xlfn.XLOOKUP(B98,'Base stats'!B:B,'Base stats'!AW:AW)+_xlfn.XLOOKUP(B98,'Base stats'!B:B,'Base stats'!AY:AY))+0.5,0.5))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8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IFERROR(IF(_xlfn.XLOOKUP(B98,'Base stats'!B:B,'Base stats'!F:F)="Lay eggs","Lay eggs",MIN(20,MAX(5.5,ROUND(((_xlfn.XLOOKUP(B98,'Base stats'!B:B,'Base stats'!F:F)-25)*(14.5/615) + 5.5)*2,0)/2))),"Cannot breed")</f>
        <v>7.5</v>
      </c>
      <c r="AT98" s="8">
        <f>IF(OR(A98="Queen",A98="Larva",A98="Megachicken",A98="Megatardi",A98="Toxscorpion"),"No",IFERROR(MAX(IF(_xlfn.XLOOKUP(B98,'Base stats'!B:B,'Base stats'!G:G)&lt;0.5,0.2,0.3),MROUND(_xlfn.XLOOKUP(B98,'Base stats'!B:B,'Base stats'!G:G)/(365/60),0.2)),"Unknown"))</f>
        <v>0.8</v>
      </c>
      <c r="AU98" s="8">
        <f t="shared" si="7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_xlfn.XLOOKUP(B98,'Base stats'!B:B,'Base stats'!AF:AF)</f>
        <v>No</v>
      </c>
      <c r="BB98" s="2" t="str">
        <f>_xlfn.XLOOKUP(B98,'Base stats'!B:B,'Base stats'!AE:AE)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stats'!Z:Z)=0),0,IF(OR(_xlfn.XLOOKUP(Animals!B98,'Base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stats'!AA:AA),0.005))</f>
        <v>0</v>
      </c>
      <c r="BE98" s="23">
        <f>MIN(1,MROUND(IF(AND(AO98&lt;0.5,_xlfn.XLOOKUP(B98,'Base stats'!B:B,'Base stats'!Z:Z)=0),0,IF(_xlfn.XLOOKUP(_xlfn.XLOOKUP(B98,'Base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stats'!AB:AB),0.005))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stats'!AL:AL)="Standard","No",MROUND((_xlfn.XLOOKUP(B98,'Base stats'!B:B,'Base stats'!AL:AL)/3.6)/I98,0.1))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stats'!AC:AC)&lt;&gt;"No",_xlfn.XLOOKUP(B98,'Base stats'!B:B,'Base stats'!AC:AC),"")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stats'!AC:AC)&lt;&gt;"No",_xlfn.XLOOKUP(B98,'Base stats'!B:B,'Base stats'!AC:AC),"")
  )
)</f>
        <v>No</v>
      </c>
      <c r="BQ98" s="25" t="str">
        <f>IF(
   AND(
      'Base stats'!AL98="Standard",_xlfn.XLOOKUP(_xlfn.XLOOKUP(B98,'Base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stats'!AT:AT) * 1.8) * 2) * 2.5 + 10 + I98 * 2,5)+IF(_xlfn.XLOOKUP(B98,'Base stats'!B:B,'Base stats'!AI:AI)=1,50,0)</f>
        <v>65</v>
      </c>
      <c r="BS98" s="8">
        <f t="shared" si="12"/>
        <v>0.25</v>
      </c>
      <c r="BT98" s="8" t="str">
        <f>_xlfn.XLOOKUP(B98,'Base stats'!B:B,'Base stats'!AD:AD)</f>
        <v>No</v>
      </c>
      <c r="BU98" s="2" t="str">
        <f>IF(AND(J98&lt;=0.95,OR(_xlfn.XLOOKUP(B98,'Base stats'!B:B,'Base stats'!AI:AI)=1,_xlfn.XLOOKUP(B98,'Base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stats'!AG:AG)=1,"true","false")</f>
        <v>false</v>
      </c>
      <c r="BW98" s="25" t="str">
        <f>IF(E98="BaseInsect","AnimalInsect",
IF(J98&gt;0.95,"AnimalExotic",
_xlfn.TEXTJOIN(", ",TRUE,
IF(OR(_xlfn.XLOOKUP(B98,'Base stats'!B:B,'Base stats'!AK:AK)=1,AND(_xlfn.XLOOKUP(B98,'Base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stats'!AI:AI)=1,AND(BI98&lt;&gt;"None",BR98&gt;=60),ISNUMBER(SEARCH("Attack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stats'!AH:AH)=1,"true","false")</f>
        <v>false</v>
      </c>
      <c r="BZ98" s="25">
        <f>IF(_xlfn.XLOOKUP(B98,'Base stats'!B:B,'Base stats'!N:N)=1,"No",MAX(0.01,MIN(MROUND(IF(OR(_xlfn.XLOOKUP(B98,'Base stats'!B:B,'Base stats'!AK:AK)=1,AND(BJ98="True",CC98="False")),POWER(10,3.47*LOG10(_xlfn.XLOOKUP(B98,'Base stats'!B:B,'Base stats'!C:C)*1000)^-0.96),POWER(10,4.15*LOG10(_xlfn.XLOOKUP(B98,'Base stats'!B:B,'Base stats'!C:C)*1000)^-0.73))*IF(OR(_xlfn.XLOOKUP(B98,'Base stats'!B:B,'Base stats'!AK:AK)=1,_xlfn.XLOOKUP(B98,'Base stats'!B:B,'Base stats'!AI:AI)=1),0.5,1)/100,0.025),1)))</f>
        <v>0.22500000000000001</v>
      </c>
      <c r="CA98" s="25" t="str">
        <f>IF(P98="Standard","No",MAX(0.01,IF(_xlfn.XLOOKUP(B98,'Base stats'!B:B,'Base stats'!N:N)=0,MROUND(BZ98*P98,0.05),MIN(1,MAX(0.025,MROUND(IF(OR(CC98="true",AND(BJ98="false",BO98="false")),POWER(10,4.15*LOG10(_xlfn.XLOOKUP(B98,'Base stats'!B:B,'Base stats'!C:C)*1000)^-0.73),POWER(10,3.47*LOG10(_xlfn.XLOOKUP(B98,'Base stats'!B:B,'Base stats'!C:C)*1000)^-0.96))*IF(_xlfn.XLOOKUP(B98,'Base stats'!B:B,'Base stats'!AI:AI)=1,0.5,1)/100,0.025))))))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285</v>
      </c>
      <c r="C99" s="28" t="s">
        <v>791</v>
      </c>
      <c r="D99" s="28" t="s">
        <v>882</v>
      </c>
      <c r="E99" s="28" t="s">
        <v>685</v>
      </c>
      <c r="F99" s="28" t="s">
        <v>685</v>
      </c>
      <c r="G99" s="28" t="s">
        <v>685</v>
      </c>
      <c r="H99" s="2">
        <f>MROUND((
  (IF(AND(_xlfn.XLOOKUP(B99,'Base stats'!B:B,'Base stats'!AJ:AJ)=0,BI99="None",_xlfn.XLOOKUP(_xlfn.XLOOKUP(B99,'Base stats'!B:B,'Base stats'!E:E),Groups!A:A,Groups!B:B)=0), (18 + BR99 * 2.7) * 0.5,
    IF(AND(_xlfn.XLOOKUP(B99,'Base stats'!B:B,'Base stats'!AJ:AJ)=0,OR(AO99&lt;0.55,AND(BI99="Intermediate",_xlfn.XLOOKUP(_xlfn.XLOOKUP(B99,'Base stats'!B:B,'Base stats'!E:E),Groups!A:A,Groups!B:B)&lt;2))), (18 + BR99 * 2.7),
      IF(OR(BI99="Advanced",_xlfn.XLOOKUP(B99,'Base stats'!B:B,'Base stats'!AJ:AJ)=1,_xlfn.XLOOKUP(_xlfn.XLOOKUP(B99,'Base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IF(_xlfn.XLOOKUP(_xlfn.XLOOKUP(B99,'Base stats'!B:B,'Base stats'!E:E),Groups!A:A,Groups!C:C)="Untamable",1,IF(_xlfn.XLOOKUP(B99,'Base stats'!B:B,'Base stats'!AJ:AJ)=1,0.99,MIN(MROUND((1-0.6282*EXP(-0.459*AO99))*_xlfn.XLOOKUP(_xlfn.XLOOKUP(B99,'Base stats'!B:B,'Base stats'!E:E),Groups!A:A,Groups!C:C)*IF(_xlfn.XLOOKUP(B99,'Base stats'!B:B,'Base stats'!O:O)=1,0.5,IF(_xlfn.XLOOKUP(B99,'Base stats'!B:B,'Base stats'!O:O)=2,0,1)),0.05),0.985)))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IF(_xlfn.XLOOKUP(_xlfn.XLOOKUP(B99,'Base stats'!B:B,'Base stats'!E:E),Groups!A:A,Groups!L:L)=1,MIN(MROUND(_xlfn.XLOOKUP(B99,'Animals CE'!B:B,'Animals CE'!Z:Z)/2+0.05,0.05),200%),"No")</f>
        <v>No</v>
      </c>
      <c r="O99" s="8" t="str">
        <f>IF(_xlfn.XLOOKUP(_xlfn.XLOOKUP(B99,'Base stats'!B:B,'Base stats'!E:E),Groups!A:A,Groups!L:L)=1,MIN(MROUND(_xlfn.XLOOKUP(B99,'Animals CE'!B:B,'Animals CE'!AA:AA)/2+0.05,0.05),200%),"No")</f>
        <v>No</v>
      </c>
      <c r="P99" s="2">
        <f>_xlfn.XLOOKUP(B99,'Base stats'!B:B,'Base stats'!R:R)</f>
        <v>1</v>
      </c>
      <c r="Q99" s="13">
        <f>MROUND((LOG10(_xlfn.XLOOKUP(B99,'Base stats'!B:B,'Base stats'!AP:AP))*(AO99^0.5)+(_xlfn.XLOOKUP(B99,'Base stats'!B:B,'Base stats'!AP:AP)/1000)^(2/3)+_xlfn.XLOOKUP(B99,'Base stats'!B:B,'Base stats'!AY:AY)/2)+0.5,0.5)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stats'!AQ:AQ))*(AO99^0.5)+(_xlfn.XLOOKUP(B99,'Base stats'!B:B,'Base stats'!AQ:AQ)/1000)^(2/3)+_xlfn.XLOOKUP(B99,'Base stats'!B:B,'Base stats'!AY:AY))+_xlfn.XLOOKUP(B99,'Base stats'!B:B,'Base stats'!AW:AW)+0.5,0.5))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stats'!AS:AS))*(AO99^0.5)+(_xlfn.XLOOKUP(B99,'Base stats'!B:B,'Base stats'!AS:AS)/1000)^(2/3)+_xlfn.XLOOKUP(B99,'Base stats'!B:B,'Base stats'!AX:AX))+0.5+IF(_xlfn.XLOOKUP(_xlfn.XLOOKUP(B99,'Base stats'!B:B,'Base stats'!E:E),Groups!A:A,Groups!U:U)&lt;&gt;3,_xlfn.XLOOKUP(B99,'Base stats'!B:B,'Base stats'!AY:AY),0),0.5))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stats'!AR:AR)="No","No",MROUND((LOG10(_xlfn.XLOOKUP(B99,'Base stats'!B:B,'Base stats'!AR:AR))*(AO99^0.75)+(_xlfn.XLOOKUP(B99,'Base stats'!B:B,'Base stats'!AR:AR)/1000)^(2/3)+_xlfn.XLOOKUP(B99,'Base stats'!B:B,'Base stats'!AV:AV)+_xlfn.XLOOKUP(B99,'Base stats'!B:B,'Base stats'!AY:AY))+0.5,0.5))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stats'!AQ:AQ))*(AO99^0.75)+(_xlfn.XLOOKUP(B99,'Base stats'!B:B,'Base stats'!AQ:AQ)/1000)^(2/3)+_xlfn.XLOOKUP(B99,'Base stats'!B:B,'Base stats'!AW:AW)+_xlfn.XLOOKUP(B99,'Base stats'!B:B,'Base stats'!AY:AY))+0.5,0.5))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8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IFERROR(IF(_xlfn.XLOOKUP(B99,'Base stats'!B:B,'Base stats'!F:F)="Lay eggs","Lay eggs",MIN(20,MAX(5.5,ROUND(((_xlfn.XLOOKUP(B99,'Base stats'!B:B,'Base stats'!F:F)-25)*(14.5/615) + 5.5)*2,0)/2))),"Cannot breed")</f>
        <v>6.5</v>
      </c>
      <c r="AT99" s="8">
        <f>IF(OR(A99="Queen",A99="Larva",A99="Megachicken",A99="Megatardi",A99="Toxscorpion"),"No",IFERROR(MAX(IF(_xlfn.XLOOKUP(B99,'Base stats'!B:B,'Base stats'!G:G)&lt;0.5,0.2,0.3),MROUND(_xlfn.XLOOKUP(B99,'Base stats'!B:B,'Base stats'!G:G)/(365/60),0.2)),"Unknown"))</f>
        <v>0.3</v>
      </c>
      <c r="AU99" s="8">
        <f t="shared" si="7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_xlfn.XLOOKUP(B99,'Base stats'!B:B,'Base stats'!AF:AF)</f>
        <v>&lt;li&gt;YorkshireTerrier&lt;/li&gt;</v>
      </c>
      <c r="BB99" s="2" t="str">
        <f>_xlfn.XLOOKUP(B99,'Base stats'!B:B,'Base stats'!AE:AE)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stats'!Z:Z)=0),0,IF(OR(_xlfn.XLOOKUP(Animals!B99,'Base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stats'!AA:AA),0.005))</f>
        <v>0.1</v>
      </c>
      <c r="BE99" s="23">
        <f>MIN(1,MROUND(IF(AND(AO99&lt;0.5,_xlfn.XLOOKUP(B99,'Base stats'!B:B,'Base stats'!Z:Z)=0),0,IF(_xlfn.XLOOKUP(_xlfn.XLOOKUP(B99,'Base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stats'!AB:AB),0.005))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stats'!AL:AL)="Standard","No",MROUND((_xlfn.XLOOKUP(B99,'Base stats'!B:B,'Base stats'!AL:AL)/3.6)/I99,0.1))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stats'!AC:AC)&lt;&gt;"No",_xlfn.XLOOKUP(B99,'Base stats'!B:B,'Base stats'!AC:AC),"")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stats'!AC:AC)&lt;&gt;"No",_xlfn.XLOOKUP(B99,'Base stats'!B:B,'Base stats'!AC:AC),"")
  )
)</f>
        <v>AttackTarget, Forage</v>
      </c>
      <c r="BQ99" s="25" t="str">
        <f>IF(
   AND(
      'Base stats'!AL99="Standard",_xlfn.XLOOKUP(_xlfn.XLOOKUP(B99,'Base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stats'!AT:AT) * 1.8) * 2) * 2.5 + 10 + I99 * 2,5)+IF(_xlfn.XLOOKUP(B99,'Base stats'!B:B,'Base stats'!AI:AI)=1,50,0)</f>
        <v>95</v>
      </c>
      <c r="BS99" s="8">
        <f t="shared" si="12"/>
        <v>0.55000000000000004</v>
      </c>
      <c r="BT99" s="8" t="str">
        <f>_xlfn.XLOOKUP(B99,'Base stats'!B:B,'Base stats'!AD:AD)</f>
        <v>3~8</v>
      </c>
      <c r="BU99" s="2" t="str">
        <f>IF(AND(J99&lt;=0.95,OR(_xlfn.XLOOKUP(B99,'Base stats'!B:B,'Base stats'!AI:AI)=1,_xlfn.XLOOKUP(B99,'Base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stats'!AG:AG)=1,"true","false")</f>
        <v>false</v>
      </c>
      <c r="BW99" s="25" t="str">
        <f>IF(E99="BaseInsect","AnimalInsect",
IF(J99&gt;0.95,"AnimalExotic",
_xlfn.TEXTJOIN(", ",TRUE,
IF(OR(_xlfn.XLOOKUP(B99,'Base stats'!B:B,'Base stats'!AK:AK)=1,AND(_xlfn.XLOOKUP(B99,'Base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stats'!AI:AI)=1,AND(BI99&lt;&gt;"None",BR99&gt;=60),ISNUMBER(SEARCH("Attack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stats'!AH:AH)=1,"true","false")</f>
        <v>false</v>
      </c>
      <c r="BZ99" s="25">
        <f>IF(_xlfn.XLOOKUP(B99,'Base stats'!B:B,'Base stats'!N:N)=1,"No",MAX(0.01,MIN(MROUND(IF(OR(_xlfn.XLOOKUP(B99,'Base stats'!B:B,'Base stats'!AK:AK)=1,AND(BJ99="True",CC99="False")),POWER(10,3.47*LOG10(_xlfn.XLOOKUP(B99,'Base stats'!B:B,'Base stats'!C:C)*1000)^-0.96),POWER(10,4.15*LOG10(_xlfn.XLOOKUP(B99,'Base stats'!B:B,'Base stats'!C:C)*1000)^-0.73))*IF(OR(_xlfn.XLOOKUP(B99,'Base stats'!B:B,'Base stats'!AK:AK)=1,_xlfn.XLOOKUP(B99,'Base stats'!B:B,'Base stats'!AI:AI)=1),0.5,1)/100,0.025),1)))</f>
        <v>0.05</v>
      </c>
      <c r="CA99" s="25">
        <f>IF(P99="Standard","No",MAX(0.01,IF(_xlfn.XLOOKUP(B99,'Base stats'!B:B,'Base stats'!N:N)=0,MROUND(BZ99*P99,0.05),MIN(1,MAX(0.025,MROUND(IF(OR(CC99="true",AND(BJ99="false",BO99="false")),POWER(10,4.15*LOG10(_xlfn.XLOOKUP(B99,'Base stats'!B:B,'Base stats'!C:C)*1000)^-0.73),POWER(10,3.47*LOG10(_xlfn.XLOOKUP(B99,'Base stats'!B:B,'Base stats'!C:C)*1000)^-0.96))*IF(_xlfn.XLOOKUP(B99,'Base stats'!B:B,'Base stats'!AI:AI)=1,0.5,1)/100,0.025))))))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288</v>
      </c>
      <c r="C100" s="28" t="s">
        <v>792</v>
      </c>
      <c r="D100" s="28" t="s">
        <v>882</v>
      </c>
      <c r="E100" s="28" t="s">
        <v>744</v>
      </c>
      <c r="F100" s="28" t="s">
        <v>745</v>
      </c>
      <c r="G100" s="28" t="s">
        <v>685</v>
      </c>
      <c r="H100" s="2">
        <f>MROUND((
  (IF(AND(_xlfn.XLOOKUP(B100,'Base stats'!B:B,'Base stats'!AJ:AJ)=0,BI100="None",_xlfn.XLOOKUP(_xlfn.XLOOKUP(B100,'Base stats'!B:B,'Base stats'!E:E),Groups!A:A,Groups!B:B)=0), (18 + BR100 * 2.7) * 0.5,
    IF(AND(_xlfn.XLOOKUP(B100,'Base stats'!B:B,'Base stats'!AJ:AJ)=0,OR(AO100&lt;0.55,AND(BI100="Intermediate",_xlfn.XLOOKUP(_xlfn.XLOOKUP(B100,'Base stats'!B:B,'Base stats'!E:E),Groups!A:A,Groups!B:B)&lt;2))), (18 + BR100 * 2.7),
      IF(OR(BI100="Advanced",_xlfn.XLOOKUP(B100,'Base stats'!B:B,'Base stats'!AJ:AJ)=1,_xlfn.XLOOKUP(_xlfn.XLOOKUP(B100,'Base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IF(_xlfn.XLOOKUP(_xlfn.XLOOKUP(B100,'Base stats'!B:B,'Base stats'!E:E),Groups!A:A,Groups!C:C)="Untamable",1,IF(_xlfn.XLOOKUP(B100,'Base stats'!B:B,'Base stats'!AJ:AJ)=1,0.99,MIN(MROUND((1-0.6282*EXP(-0.459*AO100))*_xlfn.XLOOKUP(_xlfn.XLOOKUP(B100,'Base stats'!B:B,'Base stats'!E:E),Groups!A:A,Groups!C:C)*IF(_xlfn.XLOOKUP(B100,'Base stats'!B:B,'Base stats'!O:O)=1,0.5,IF(_xlfn.XLOOKUP(B100,'Base stats'!B:B,'Base stats'!O:O)=2,0,1)),0.05),0.985)))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IF(_xlfn.XLOOKUP(_xlfn.XLOOKUP(B100,'Base stats'!B:B,'Base stats'!E:E),Groups!A:A,Groups!L:L)=1,MIN(MROUND(_xlfn.XLOOKUP(B100,'Animals CE'!B:B,'Animals CE'!Z:Z)/2+0.05,0.05),200%),"No")</f>
        <v>No</v>
      </c>
      <c r="O100" s="8" t="str">
        <f>IF(_xlfn.XLOOKUP(_xlfn.XLOOKUP(B100,'Base stats'!B:B,'Base stats'!E:E),Groups!A:A,Groups!L:L)=1,MIN(MROUND(_xlfn.XLOOKUP(B100,'Animals CE'!B:B,'Animals CE'!AA:AA)/2+0.05,0.05),200%),"No")</f>
        <v>No</v>
      </c>
      <c r="P100" s="2" t="str">
        <f>_xlfn.XLOOKUP(B100,'Base stats'!B:B,'Base stats'!R:R)</f>
        <v>Standard</v>
      </c>
      <c r="Q100" s="13">
        <f>MROUND((LOG10(_xlfn.XLOOKUP(B100,'Base stats'!B:B,'Base stats'!AP:AP))*(AO100^0.5)+(_xlfn.XLOOKUP(B100,'Base stats'!B:B,'Base stats'!AP:AP)/1000)^(2/3)+_xlfn.XLOOKUP(B100,'Base stats'!B:B,'Base stats'!AY:AY)/2)+0.5,0.5)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stats'!AQ:AQ))*(AO100^0.5)+(_xlfn.XLOOKUP(B100,'Base stats'!B:B,'Base stats'!AQ:AQ)/1000)^(2/3)+_xlfn.XLOOKUP(B100,'Base stats'!B:B,'Base stats'!AY:AY))+_xlfn.XLOOKUP(B100,'Base stats'!B:B,'Base stats'!AW:AW)+0.5,0.5))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stats'!AS:AS))*(AO100^0.5)+(_xlfn.XLOOKUP(B100,'Base stats'!B:B,'Base stats'!AS:AS)/1000)^(2/3)+_xlfn.XLOOKUP(B100,'Base stats'!B:B,'Base stats'!AX:AX))+0.5+IF(_xlfn.XLOOKUP(_xlfn.XLOOKUP(B100,'Base stats'!B:B,'Base stats'!E:E),Groups!A:A,Groups!U:U)&lt;&gt;3,_xlfn.XLOOKUP(B100,'Base stats'!B:B,'Base stats'!AY:AY),0),0.5))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stats'!AR:AR)="No","No",MROUND((LOG10(_xlfn.XLOOKUP(B100,'Base stats'!B:B,'Base stats'!AR:AR))*(AO100^0.75)+(_xlfn.XLOOKUP(B100,'Base stats'!B:B,'Base stats'!AR:AR)/1000)^(2/3)+_xlfn.XLOOKUP(B100,'Base stats'!B:B,'Base stats'!AV:AV)+_xlfn.XLOOKUP(B100,'Base stats'!B:B,'Base stats'!AY:AY))+0.5,0.5))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stats'!AQ:AQ))*(AO100^0.75)+(_xlfn.XLOOKUP(B100,'Base stats'!B:B,'Base stats'!AQ:AQ)/1000)^(2/3)+_xlfn.XLOOKUP(B100,'Base stats'!B:B,'Base stats'!AW:AW)+_xlfn.XLOOKUP(B100,'Base stats'!B:B,'Base stats'!AY:AY))+0.5,0.5))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8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IFERROR(IF(_xlfn.XLOOKUP(B100,'Base stats'!B:B,'Base stats'!F:F)="Lay eggs","Lay eggs",MIN(20,MAX(5.5,ROUND(((_xlfn.XLOOKUP(B100,'Base stats'!B:B,'Base stats'!F:F)-25)*(14.5/615) + 5.5)*2,0)/2))),"Cannot breed")</f>
        <v>6.5</v>
      </c>
      <c r="AT100" s="8">
        <f>IF(OR(A100="Queen",A100="Larva",A100="Megachicken",A100="Megatardi",A100="Toxscorpion"),"No",IFERROR(MAX(IF(_xlfn.XLOOKUP(B100,'Base stats'!B:B,'Base stats'!G:G)&lt;0.5,0.2,0.3),MROUND(_xlfn.XLOOKUP(B100,'Base stats'!B:B,'Base stats'!G:G)/(365/60),0.2)),"Unknown"))</f>
        <v>0.4</v>
      </c>
      <c r="AU100" s="8">
        <f t="shared" si="7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_xlfn.XLOOKUP(B100,'Base stats'!B:B,'Base stats'!AF:AF)</f>
        <v>&lt;li&gt;Wolf_Timber&lt;/li&gt;</v>
      </c>
      <c r="BB100" s="2" t="str">
        <f>_xlfn.XLOOKUP(B100,'Base stats'!B:B,'Base stats'!AE:AE)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stats'!Z:Z)=0),0,IF(OR(_xlfn.XLOOKUP(Animals!B100,'Base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stats'!AA:AA),0.005))</f>
        <v>0.1</v>
      </c>
      <c r="BE100" s="23">
        <f>MIN(1,MROUND(IF(AND(AO100&lt;0.5,_xlfn.XLOOKUP(B100,'Base stats'!B:B,'Base stats'!Z:Z)=0),0,IF(_xlfn.XLOOKUP(_xlfn.XLOOKUP(B100,'Base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stats'!AB:AB),0.005))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stats'!AL:AL)="Standard","No",MROUND((_xlfn.XLOOKUP(B100,'Base stats'!B:B,'Base stats'!AL:AL)/3.6)/I100,0.1))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stats'!AC:AC)&lt;&gt;"No",_xlfn.XLOOKUP(B100,'Base stats'!B:B,'Base stats'!AC:AC),"")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stats'!AC:AC)&lt;&gt;"No",_xlfn.XLOOKUP(B100,'Base stats'!B:B,'Base stats'!AC:AC),"")
  )
)</f>
        <v>AttackTarget</v>
      </c>
      <c r="BQ100" s="25" t="str">
        <f>IF(
   AND(
      'Base stats'!AL100="Standard",_xlfn.XLOOKUP(_xlfn.XLOOKUP(B100,'Base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stats'!AT:AT) * 1.8) * 2) * 2.5 + 10 + I100 * 2,5)+IF(_xlfn.XLOOKUP(B100,'Base stats'!B:B,'Base stats'!AI:AI)=1,50,0)</f>
        <v>115</v>
      </c>
      <c r="BS100" s="8">
        <f t="shared" si="12"/>
        <v>0.65</v>
      </c>
      <c r="BT100" s="8" t="str">
        <f>_xlfn.XLOOKUP(B100,'Base stats'!B:B,'Base stats'!AD:AD)</f>
        <v>2~6</v>
      </c>
      <c r="BU100" s="2" t="str">
        <f>IF(AND(J100&lt;=0.95,OR(_xlfn.XLOOKUP(B100,'Base stats'!B:B,'Base stats'!AI:AI)=1,_xlfn.XLOOKUP(B100,'Base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stats'!AG:AG)=1,"true","false")</f>
        <v>false</v>
      </c>
      <c r="BW100" s="25" t="str">
        <f>IF(E100="BaseInsect","AnimalInsect",
IF(J100&gt;0.95,"AnimalExotic",
_xlfn.TEXTJOIN(", ",TRUE,
IF(OR(_xlfn.XLOOKUP(B100,'Base stats'!B:B,'Base stats'!AK:AK)=1,AND(_xlfn.XLOOKUP(B100,'Base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stats'!AI:AI)=1,AND(BI100&lt;&gt;"None",BR100&gt;=60),ISNUMBER(SEARCH("Attack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stats'!AH:AH)=1,"true","false")</f>
        <v>false</v>
      </c>
      <c r="BZ100" s="25">
        <f>IF(_xlfn.XLOOKUP(B100,'Base stats'!B:B,'Base stats'!N:N)=1,"No",MAX(0.01,MIN(MROUND(IF(OR(_xlfn.XLOOKUP(B100,'Base stats'!B:B,'Base stats'!AK:AK)=1,AND(BJ100="True",CC100="False")),POWER(10,3.47*LOG10(_xlfn.XLOOKUP(B100,'Base stats'!B:B,'Base stats'!C:C)*1000)^-0.96),POWER(10,4.15*LOG10(_xlfn.XLOOKUP(B100,'Base stats'!B:B,'Base stats'!C:C)*1000)^-0.73))*IF(OR(_xlfn.XLOOKUP(B100,'Base stats'!B:B,'Base stats'!AK:AK)=1,_xlfn.XLOOKUP(B100,'Base stats'!B:B,'Base stats'!AI:AI)=1),0.5,1)/100,0.025),1)))</f>
        <v>0.05</v>
      </c>
      <c r="CA100" s="25" t="str">
        <f>IF(P100="Standard","No",MAX(0.01,IF(_xlfn.XLOOKUP(B100,'Base stats'!B:B,'Base stats'!N:N)=0,MROUND(BZ100*P100,0.05),MIN(1,MAX(0.025,MROUND(IF(OR(CC100="true",AND(BJ100="false",BO100="false")),POWER(10,4.15*LOG10(_xlfn.XLOOKUP(B100,'Base stats'!B:B,'Base stats'!C:C)*1000)^-0.73),POWER(10,3.47*LOG10(_xlfn.XLOOKUP(B100,'Base stats'!B:B,'Base stats'!C:C)*1000)^-0.96))*IF(_xlfn.XLOOKUP(B100,'Base stats'!B:B,'Base stats'!AI:AI)=1,0.5,1)/100,0.025))))))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226</v>
      </c>
      <c r="C101" s="28" t="s">
        <v>793</v>
      </c>
      <c r="D101" s="28" t="s">
        <v>882</v>
      </c>
      <c r="E101" s="28" t="s">
        <v>685</v>
      </c>
      <c r="F101" s="28" t="s">
        <v>685</v>
      </c>
      <c r="G101" s="28" t="s">
        <v>685</v>
      </c>
      <c r="H101" s="2">
        <f>MROUND((
  (IF(AND(_xlfn.XLOOKUP(B101,'Base stats'!B:B,'Base stats'!AJ:AJ)=0,BI101="None",_xlfn.XLOOKUP(_xlfn.XLOOKUP(B101,'Base stats'!B:B,'Base stats'!E:E),Groups!A:A,Groups!B:B)=0), (18 + BR101 * 2.7) * 0.5,
    IF(AND(_xlfn.XLOOKUP(B101,'Base stats'!B:B,'Base stats'!AJ:AJ)=0,OR(AO101&lt;0.55,AND(BI101="Intermediate",_xlfn.XLOOKUP(_xlfn.XLOOKUP(B101,'Base stats'!B:B,'Base stats'!E:E),Groups!A:A,Groups!B:B)&lt;2))), (18 + BR101 * 2.7),
      IF(OR(BI101="Advanced",_xlfn.XLOOKUP(B101,'Base stats'!B:B,'Base stats'!AJ:AJ)=1,_xlfn.XLOOKUP(_xlfn.XLOOKUP(B101,'Base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IF(_xlfn.XLOOKUP(_xlfn.XLOOKUP(B101,'Base stats'!B:B,'Base stats'!E:E),Groups!A:A,Groups!C:C)="Untamable",1,IF(_xlfn.XLOOKUP(B101,'Base stats'!B:B,'Base stats'!AJ:AJ)=1,0.99,MIN(MROUND((1-0.6282*EXP(-0.459*AO101))*_xlfn.XLOOKUP(_xlfn.XLOOKUP(B101,'Base stats'!B:B,'Base stats'!E:E),Groups!A:A,Groups!C:C)*IF(_xlfn.XLOOKUP(B101,'Base stats'!B:B,'Base stats'!O:O)=1,0.5,IF(_xlfn.XLOOKUP(B101,'Base stats'!B:B,'Base stats'!O:O)=2,0,1)),0.05),0.985)))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IF(_xlfn.XLOOKUP(_xlfn.XLOOKUP(B101,'Base stats'!B:B,'Base stats'!E:E),Groups!A:A,Groups!L:L)=1,MIN(MROUND(_xlfn.XLOOKUP(B101,'Animals CE'!B:B,'Animals CE'!Z:Z)/2+0.05,0.05),200%),"No")</f>
        <v>0.05</v>
      </c>
      <c r="O101" s="8">
        <f>IF(_xlfn.XLOOKUP(_xlfn.XLOOKUP(B101,'Base stats'!B:B,'Base stats'!E:E),Groups!A:A,Groups!L:L)=1,MIN(MROUND(_xlfn.XLOOKUP(B101,'Animals CE'!B:B,'Animals CE'!AA:AA)/2+0.05,0.05),200%),"No")</f>
        <v>0.05</v>
      </c>
      <c r="P101" s="2" t="str">
        <f>_xlfn.XLOOKUP(B101,'Base stats'!B:B,'Base stats'!R:R)</f>
        <v>Standard</v>
      </c>
      <c r="Q101" s="13">
        <f>MROUND((LOG10(_xlfn.XLOOKUP(B101,'Base stats'!B:B,'Base stats'!AP:AP))*(AO101^0.5)+(_xlfn.XLOOKUP(B101,'Base stats'!B:B,'Base stats'!AP:AP)/1000)^(2/3)+_xlfn.XLOOKUP(B101,'Base stats'!B:B,'Base stats'!AY:AY)/2)+0.5,0.5)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stats'!AQ:AQ))*(AO101^0.5)+(_xlfn.XLOOKUP(B101,'Base stats'!B:B,'Base stats'!AQ:AQ)/1000)^(2/3)+_xlfn.XLOOKUP(B101,'Base stats'!B:B,'Base stats'!AY:AY))+_xlfn.XLOOKUP(B101,'Base stats'!B:B,'Base stats'!AW:AW)+0.5,0.5))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stats'!AS:AS))*(AO101^0.5)+(_xlfn.XLOOKUP(B101,'Base stats'!B:B,'Base stats'!AS:AS)/1000)^(2/3)+_xlfn.XLOOKUP(B101,'Base stats'!B:B,'Base stats'!AX:AX))+0.5+IF(_xlfn.XLOOKUP(_xlfn.XLOOKUP(B101,'Base stats'!B:B,'Base stats'!E:E),Groups!A:A,Groups!U:U)&lt;&gt;3,_xlfn.XLOOKUP(B101,'Base stats'!B:B,'Base stats'!AY:AY),0),0.5))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stats'!AR:AR)="No","No",MROUND((LOG10(_xlfn.XLOOKUP(B101,'Base stats'!B:B,'Base stats'!AR:AR))*(AO101^0.75)+(_xlfn.XLOOKUP(B101,'Base stats'!B:B,'Base stats'!AR:AR)/1000)^(2/3)+_xlfn.XLOOKUP(B101,'Base stats'!B:B,'Base stats'!AV:AV)+_xlfn.XLOOKUP(B101,'Base stats'!B:B,'Base stats'!AY:AY))+0.5,0.5))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stats'!AQ:AQ))*(AO101^0.75)+(_xlfn.XLOOKUP(B101,'Base stats'!B:B,'Base stats'!AQ:AQ)/1000)^(2/3)+_xlfn.XLOOKUP(B101,'Base stats'!B:B,'Base stats'!AW:AW)+_xlfn.XLOOKUP(B101,'Base stats'!B:B,'Base stats'!AY:AY))+0.5,0.5))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1.1000000000000001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8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IFERROR(IF(_xlfn.XLOOKUP(B101,'Base stats'!B:B,'Base stats'!F:F)="Lay eggs","Lay eggs",MIN(20,MAX(5.5,ROUND(((_xlfn.XLOOKUP(B101,'Base stats'!B:B,'Base stats'!F:F)-25)*(14.5/615) + 5.5)*2,0)/2))),"Cannot breed")</f>
        <v>6</v>
      </c>
      <c r="AT101" s="8">
        <f>IF(OR(A101="Queen",A101="Larva",A101="Megachicken",A101="Megatardi",A101="Toxscorpion"),"No",IFERROR(MAX(IF(_xlfn.XLOOKUP(B101,'Base stats'!B:B,'Base stats'!G:G)&lt;0.5,0.2,0.3),MROUND(_xlfn.XLOOKUP(B101,'Base stats'!B:B,'Base stats'!G:G)/(365/60),0.2)),"Unknown"))</f>
        <v>0.4</v>
      </c>
      <c r="AU101" s="8">
        <f t="shared" si="7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_xlfn.XLOOKUP(B101,'Base stats'!B:B,'Base stats'!AF:AF)</f>
        <v>No</v>
      </c>
      <c r="BB101" s="2" t="str">
        <f>_xlfn.XLOOKUP(B101,'Base stats'!B:B,'Base stats'!AE:AE)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stats'!Z:Z)=0),0,IF(OR(_xlfn.XLOOKUP(Animals!B101,'Base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stats'!AA:AA),0.005))</f>
        <v>0</v>
      </c>
      <c r="BE101" s="23">
        <f>MIN(1,MROUND(IF(AND(AO101&lt;0.5,_xlfn.XLOOKUP(B101,'Base stats'!B:B,'Base stats'!Z:Z)=0),0,IF(_xlfn.XLOOKUP(_xlfn.XLOOKUP(B101,'Base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stats'!AB:AB),0.005))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stats'!AL:AL)="Standard","No",MROUND((_xlfn.XLOOKUP(B101,'Base stats'!B:B,'Base stats'!AL:AL)/3.6)/I101,0.1))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stats'!AC:AC)&lt;&gt;"No",_xlfn.XLOOKUP(B101,'Base stats'!B:B,'Base stats'!AC:AC),"")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stats'!AC:AC)&lt;&gt;"No",_xlfn.XLOOKUP(B101,'Base stats'!B:B,'Base stats'!AC:AC),"")
  )
)</f>
        <v>No</v>
      </c>
      <c r="BQ101" s="25">
        <f>IF(
   AND(
      'Base stats'!AL101="Standard",_xlfn.XLOOKUP(_xlfn.XLOOKUP(B101,'Base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stats'!AT:AT) * 1.8) * 2) * 2.5 + 10 + I101 * 2,5)+IF(_xlfn.XLOOKUP(B101,'Base stats'!B:B,'Base stats'!AI:AI)=1,50,0)</f>
        <v>25</v>
      </c>
      <c r="BS101" s="8">
        <f t="shared" si="12"/>
        <v>0.05</v>
      </c>
      <c r="BT101" s="8" t="str">
        <f>_xlfn.XLOOKUP(B101,'Base stats'!B:B,'Base stats'!AD:AD)</f>
        <v>No</v>
      </c>
      <c r="BU101" s="2" t="str">
        <f>IF(AND(J101&lt;=0.95,OR(_xlfn.XLOOKUP(B101,'Base stats'!B:B,'Base stats'!AI:AI)=1,_xlfn.XLOOKUP(B101,'Base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stats'!AG:AG)=1,"true","false")</f>
        <v>false</v>
      </c>
      <c r="BW101" s="25" t="str">
        <f>IF(E101="BaseInsect","AnimalInsect",
IF(J101&gt;0.95,"AnimalExotic",
_xlfn.TEXTJOIN(", ",TRUE,
IF(OR(_xlfn.XLOOKUP(B101,'Base stats'!B:B,'Base stats'!AK:AK)=1,AND(_xlfn.XLOOKUP(B101,'Base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stats'!AI:AI)=1,AND(BI101&lt;&gt;"None",BR101&gt;=60),ISNUMBER(SEARCH("Attack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stats'!AH:AH)=1,"true","false")</f>
        <v>true</v>
      </c>
      <c r="BZ101" s="25">
        <f>IF(_xlfn.XLOOKUP(B101,'Base stats'!B:B,'Base stats'!N:N)=1,"No",MAX(0.01,MIN(MROUND(IF(OR(_xlfn.XLOOKUP(B101,'Base stats'!B:B,'Base stats'!AK:AK)=1,AND(BJ101="True",CC101="False")),POWER(10,3.47*LOG10(_xlfn.XLOOKUP(B101,'Base stats'!B:B,'Base stats'!C:C)*1000)^-0.96),POWER(10,4.15*LOG10(_xlfn.XLOOKUP(B101,'Base stats'!B:B,'Base stats'!C:C)*1000)^-0.73))*IF(OR(_xlfn.XLOOKUP(B101,'Base stats'!B:B,'Base stats'!AK:AK)=1,_xlfn.XLOOKUP(B101,'Base stats'!B:B,'Base stats'!AI:AI)=1),0.5,1)/100,0.025),1)))</f>
        <v>1</v>
      </c>
      <c r="CA101" s="25" t="str">
        <f>IF(P101="Standard","No",MAX(0.01,IF(_xlfn.XLOOKUP(B101,'Base stats'!B:B,'Base stats'!N:N)=0,MROUND(BZ101*P101,0.05),MIN(1,MAX(0.025,MROUND(IF(OR(CC101="true",AND(BJ101="false",BO101="false")),POWER(10,4.15*LOG10(_xlfn.XLOOKUP(B101,'Base stats'!B:B,'Base stats'!C:C)*1000)^-0.73),POWER(10,3.47*LOG10(_xlfn.XLOOKUP(B101,'Base stats'!B:B,'Base stats'!C:C)*1000)^-0.96))*IF(_xlfn.XLOOKUP(B101,'Base stats'!B:B,'Base stats'!AI:AI)=1,0.5,1)/100,0.025))))))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295</v>
      </c>
      <c r="C102" s="28" t="s">
        <v>794</v>
      </c>
      <c r="D102" s="28" t="s">
        <v>882</v>
      </c>
      <c r="E102" s="28" t="s">
        <v>685</v>
      </c>
      <c r="F102" s="28" t="s">
        <v>685</v>
      </c>
      <c r="G102" s="28" t="s">
        <v>685</v>
      </c>
      <c r="H102" s="2">
        <f>MROUND((
  (IF(AND(_xlfn.XLOOKUP(B102,'Base stats'!B:B,'Base stats'!AJ:AJ)=0,BI102="None",_xlfn.XLOOKUP(_xlfn.XLOOKUP(B102,'Base stats'!B:B,'Base stats'!E:E),Groups!A:A,Groups!B:B)=0), (18 + BR102 * 2.7) * 0.5,
    IF(AND(_xlfn.XLOOKUP(B102,'Base stats'!B:B,'Base stats'!AJ:AJ)=0,OR(AO102&lt;0.55,AND(BI102="Intermediate",_xlfn.XLOOKUP(_xlfn.XLOOKUP(B102,'Base stats'!B:B,'Base stats'!E:E),Groups!A:A,Groups!B:B)&lt;2))), (18 + BR102 * 2.7),
      IF(OR(BI102="Advanced",_xlfn.XLOOKUP(B102,'Base stats'!B:B,'Base stats'!AJ:AJ)=1,_xlfn.XLOOKUP(_xlfn.XLOOKUP(B102,'Base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IF(_xlfn.XLOOKUP(_xlfn.XLOOKUP(B102,'Base stats'!B:B,'Base stats'!E:E),Groups!A:A,Groups!C:C)="Untamable",1,IF(_xlfn.XLOOKUP(B102,'Base stats'!B:B,'Base stats'!AJ:AJ)=1,0.99,MIN(MROUND((1-0.6282*EXP(-0.459*AO102))*_xlfn.XLOOKUP(_xlfn.XLOOKUP(B102,'Base stats'!B:B,'Base stats'!E:E),Groups!A:A,Groups!C:C)*IF(_xlfn.XLOOKUP(B102,'Base stats'!B:B,'Base stats'!O:O)=1,0.5,IF(_xlfn.XLOOKUP(B102,'Base stats'!B:B,'Base stats'!O:O)=2,0,1)),0.05),0.985)))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IF(_xlfn.XLOOKUP(_xlfn.XLOOKUP(B102,'Base stats'!B:B,'Base stats'!E:E),Groups!A:A,Groups!L:L)=1,MIN(MROUND(_xlfn.XLOOKUP(B102,'Animals CE'!B:B,'Animals CE'!Z:Z)/2+0.05,0.05),200%),"No")</f>
        <v>0.05</v>
      </c>
      <c r="O102" s="8">
        <f>IF(_xlfn.XLOOKUP(_xlfn.XLOOKUP(B102,'Base stats'!B:B,'Base stats'!E:E),Groups!A:A,Groups!L:L)=1,MIN(MROUND(_xlfn.XLOOKUP(B102,'Animals CE'!B:B,'Animals CE'!AA:AA)/2+0.05,0.05),200%),"No")</f>
        <v>0.05</v>
      </c>
      <c r="P102" s="2" t="str">
        <f>_xlfn.XLOOKUP(B102,'Base stats'!B:B,'Base stats'!R:R)</f>
        <v>Standard</v>
      </c>
      <c r="Q102" s="13">
        <f>MROUND((LOG10(_xlfn.XLOOKUP(B102,'Base stats'!B:B,'Base stats'!AP:AP))*(AO102^0.5)+(_xlfn.XLOOKUP(B102,'Base stats'!B:B,'Base stats'!AP:AP)/1000)^(2/3)+_xlfn.XLOOKUP(B102,'Base stats'!B:B,'Base stats'!AY:AY)/2)+0.5,0.5)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stats'!AQ:AQ))*(AO102^0.5)+(_xlfn.XLOOKUP(B102,'Base stats'!B:B,'Base stats'!AQ:AQ)/1000)^(2/3)+_xlfn.XLOOKUP(B102,'Base stats'!B:B,'Base stats'!AY:AY))+_xlfn.XLOOKUP(B102,'Base stats'!B:B,'Base stats'!AW:AW)+0.5,0.5))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stats'!AS:AS))*(AO102^0.5)+(_xlfn.XLOOKUP(B102,'Base stats'!B:B,'Base stats'!AS:AS)/1000)^(2/3)+_xlfn.XLOOKUP(B102,'Base stats'!B:B,'Base stats'!AX:AX))+0.5+IF(_xlfn.XLOOKUP(_xlfn.XLOOKUP(B102,'Base stats'!B:B,'Base stats'!E:E),Groups!A:A,Groups!U:U)&lt;&gt;3,_xlfn.XLOOKUP(B102,'Base stats'!B:B,'Base stats'!AY:AY),0),0.5))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stats'!AR:AR)="No","No",MROUND((LOG10(_xlfn.XLOOKUP(B102,'Base stats'!B:B,'Base stats'!AR:AR))*(AO102^0.75)+(_xlfn.XLOOKUP(B102,'Base stats'!B:B,'Base stats'!AR:AR)/1000)^(2/3)+_xlfn.XLOOKUP(B102,'Base stats'!B:B,'Base stats'!AV:AV)+_xlfn.XLOOKUP(B102,'Base stats'!B:B,'Base stats'!AY:AY))+0.5,0.5))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stats'!AQ:AQ))*(AO102^0.75)+(_xlfn.XLOOKUP(B102,'Base stats'!B:B,'Base stats'!AQ:AQ)/1000)^(2/3)+_xlfn.XLOOKUP(B102,'Base stats'!B:B,'Base stats'!AW:AW)+_xlfn.XLOOKUP(B102,'Base stats'!B:B,'Base stats'!AY:AY))+0.5,0.5))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1.1000000000000001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8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IFERROR(IF(_xlfn.XLOOKUP(B102,'Base stats'!B:B,'Base stats'!F:F)="Lay eggs","Lay eggs",MIN(20,MAX(5.5,ROUND(((_xlfn.XLOOKUP(B102,'Base stats'!B:B,'Base stats'!F:F)-25)*(14.5/615) + 5.5)*2,0)/2))),"Cannot breed")</f>
        <v>6</v>
      </c>
      <c r="AT102" s="8">
        <f>IF(OR(A102="Queen",A102="Larva",A102="Megachicken",A102="Megatardi",A102="Toxscorpion"),"No",IFERROR(MAX(IF(_xlfn.XLOOKUP(B102,'Base stats'!B:B,'Base stats'!G:G)&lt;0.5,0.2,0.3),MROUND(_xlfn.XLOOKUP(B102,'Base stats'!B:B,'Base stats'!G:G)/(365/60),0.2)),"Unknown"))</f>
        <v>0.4</v>
      </c>
      <c r="AU102" s="8">
        <f t="shared" si="7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_xlfn.XLOOKUP(B102,'Base stats'!B:B,'Base stats'!AF:AF)</f>
        <v>&lt;li&gt;StoneCrab&lt;/li&gt;</v>
      </c>
      <c r="BB102" s="2" t="str">
        <f>_xlfn.XLOOKUP(B102,'Base stats'!B:B,'Base stats'!AE:AE)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stats'!Z:Z)=0),0,IF(OR(_xlfn.XLOOKUP(Animals!B102,'Base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stats'!AA:AA),0.005))</f>
        <v>0</v>
      </c>
      <c r="BE102" s="23">
        <f>MIN(1,MROUND(IF(AND(AO102&lt;0.5,_xlfn.XLOOKUP(B102,'Base stats'!B:B,'Base stats'!Z:Z)=0),0,IF(_xlfn.XLOOKUP(_xlfn.XLOOKUP(B102,'Base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stats'!AB:AB),0.005))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stats'!AL:AL)="Standard","No",MROUND((_xlfn.XLOOKUP(B102,'Base stats'!B:B,'Base stats'!AL:AL)/3.6)/I102,0.1))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stats'!AC:AC)&lt;&gt;"No",_xlfn.XLOOKUP(B102,'Base stats'!B:B,'Base stats'!AC:AC),"")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stats'!AC:AC)&lt;&gt;"No",_xlfn.XLOOKUP(B102,'Base stats'!B:B,'Base stats'!AC:AC),"")
  )
)</f>
        <v>No</v>
      </c>
      <c r="BQ102" s="25">
        <f>IF(
   AND(
      'Base stats'!AL102="Standard",_xlfn.XLOOKUP(_xlfn.XLOOKUP(B102,'Base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stats'!AT:AT) * 1.8) * 2) * 2.5 + 10 + I102 * 2,5)+IF(_xlfn.XLOOKUP(B102,'Base stats'!B:B,'Base stats'!AI:AI)=1,50,0)</f>
        <v>25</v>
      </c>
      <c r="BS102" s="8">
        <f t="shared" si="12"/>
        <v>0.05</v>
      </c>
      <c r="BT102" s="8" t="str">
        <f>_xlfn.XLOOKUP(B102,'Base stats'!B:B,'Base stats'!AD:AD)</f>
        <v>No</v>
      </c>
      <c r="BU102" s="2" t="str">
        <f>IF(AND(J102&lt;=0.95,OR(_xlfn.XLOOKUP(B102,'Base stats'!B:B,'Base stats'!AI:AI)=1,_xlfn.XLOOKUP(B102,'Base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stats'!AG:AG)=1,"true","false")</f>
        <v>false</v>
      </c>
      <c r="BW102" s="25" t="str">
        <f>IF(E102="BaseInsect","AnimalInsect",
IF(J102&gt;0.95,"AnimalExotic",
_xlfn.TEXTJOIN(", ",TRUE,
IF(OR(_xlfn.XLOOKUP(B102,'Base stats'!B:B,'Base stats'!AK:AK)=1,AND(_xlfn.XLOOKUP(B102,'Base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stats'!AI:AI)=1,AND(BI102&lt;&gt;"None",BR102&gt;=60),ISNUMBER(SEARCH("Attack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stats'!AH:AH)=1,"true","false")</f>
        <v>true</v>
      </c>
      <c r="BZ102" s="25">
        <f>IF(_xlfn.XLOOKUP(B102,'Base stats'!B:B,'Base stats'!N:N)=1,"No",MAX(0.01,MIN(MROUND(IF(OR(_xlfn.XLOOKUP(B102,'Base stats'!B:B,'Base stats'!AK:AK)=1,AND(BJ102="True",CC102="False")),POWER(10,3.47*LOG10(_xlfn.XLOOKUP(B102,'Base stats'!B:B,'Base stats'!C:C)*1000)^-0.96),POWER(10,4.15*LOG10(_xlfn.XLOOKUP(B102,'Base stats'!B:B,'Base stats'!C:C)*1000)^-0.73))*IF(OR(_xlfn.XLOOKUP(B102,'Base stats'!B:B,'Base stats'!AK:AK)=1,_xlfn.XLOOKUP(B102,'Base stats'!B:B,'Base stats'!AI:AI)=1),0.5,1)/100,0.025),1)))</f>
        <v>1</v>
      </c>
      <c r="CA102" s="25" t="str">
        <f>IF(P102="Standard","No",MAX(0.01,IF(_xlfn.XLOOKUP(B102,'Base stats'!B:B,'Base stats'!N:N)=0,MROUND(BZ102*P102,0.05),MIN(1,MAX(0.025,MROUND(IF(OR(CC102="true",AND(BJ102="false",BO102="false")),POWER(10,4.15*LOG10(_xlfn.XLOOKUP(B102,'Base stats'!B:B,'Base stats'!C:C)*1000)^-0.73),POWER(10,3.47*LOG10(_xlfn.XLOOKUP(B102,'Base stats'!B:B,'Base stats'!C:C)*1000)^-0.96))*IF(_xlfn.XLOOKUP(B102,'Base stats'!B:B,'Base stats'!AI:AI)=1,0.5,1)/100,0.025))))))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432</v>
      </c>
      <c r="C103" s="28" t="s">
        <v>795</v>
      </c>
      <c r="D103" s="28" t="s">
        <v>45</v>
      </c>
      <c r="E103" s="28" t="s">
        <v>796</v>
      </c>
      <c r="F103" s="28" t="s">
        <v>797</v>
      </c>
      <c r="G103" s="28" t="s">
        <v>685</v>
      </c>
      <c r="H103" s="2">
        <f>MROUND((
  (IF(AND(_xlfn.XLOOKUP(B103,'Base stats'!B:B,'Base stats'!AJ:AJ)=0,BI103="None",_xlfn.XLOOKUP(_xlfn.XLOOKUP(B103,'Base stats'!B:B,'Base stats'!E:E),Groups!A:A,Groups!B:B)=0), (18 + BR103 * 2.7) * 0.5,
    IF(AND(_xlfn.XLOOKUP(B103,'Base stats'!B:B,'Base stats'!AJ:AJ)=0,OR(AO103&lt;0.55,AND(BI103="Intermediate",_xlfn.XLOOKUP(_xlfn.XLOOKUP(B103,'Base stats'!B:B,'Base stats'!E:E),Groups!A:A,Groups!B:B)&lt;2))), (18 + BR103 * 2.7),
      IF(OR(BI103="Advanced",_xlfn.XLOOKUP(B103,'Base stats'!B:B,'Base stats'!AJ:AJ)=1,_xlfn.XLOOKUP(_xlfn.XLOOKUP(B103,'Base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450</v>
      </c>
      <c r="I103" s="2">
        <f>MROUND(ROUNDDOWN(_xlfn.XLOOKUP(B103,'Base stats'!B:B,'Base stats'!L:L)/3.6/(23.3/11),1),0.5)</f>
        <v>3</v>
      </c>
      <c r="J103" s="2">
        <f>IF(_xlfn.XLOOKUP(_xlfn.XLOOKUP(B103,'Base stats'!B:B,'Base stats'!E:E),Groups!A:A,Groups!C:C)="Untamable",1,IF(_xlfn.XLOOKUP(B103,'Base stats'!B:B,'Base stats'!AJ:AJ)=1,0.99,MIN(MROUND((1-0.6282*EXP(-0.459*AO103))*_xlfn.XLOOKUP(_xlfn.XLOOKUP(B103,'Base stats'!B:B,'Base stats'!E:E),Groups!A:A,Groups!C:C)*IF(_xlfn.XLOOKUP(B103,'Base stats'!B:B,'Base stats'!O:O)=1,0.5,IF(_xlfn.XLOOKUP(B103,'Base stats'!B:B,'Base stats'!O:O)=2,0,1)),0.05),0.985)))</f>
        <v>0.60000000000000009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IF(_xlfn.XLOOKUP(_xlfn.XLOOKUP(B103,'Base stats'!B:B,'Base stats'!E:E),Groups!A:A,Groups!L:L)=1,MIN(MROUND(_xlfn.XLOOKUP(B103,'Animals CE'!B:B,'Animals CE'!Z:Z)/2+0.05,0.05),200%),"No")</f>
        <v>0.4</v>
      </c>
      <c r="O103" s="8">
        <f>IF(_xlfn.XLOOKUP(_xlfn.XLOOKUP(B103,'Base stats'!B:B,'Base stats'!E:E),Groups!A:A,Groups!L:L)=1,MIN(MROUND(_xlfn.XLOOKUP(B103,'Animals CE'!B:B,'Animals CE'!AA:AA)/2+0.05,0.05),200%),"No")</f>
        <v>0.1</v>
      </c>
      <c r="P103" s="2">
        <f>_xlfn.XLOOKUP(B103,'Base stats'!B:B,'Base stats'!R:R)</f>
        <v>1</v>
      </c>
      <c r="Q103" s="13">
        <f>MROUND((LOG10(_xlfn.XLOOKUP(B103,'Base stats'!B:B,'Base stats'!AP:AP))*(AO103^0.5)+(_xlfn.XLOOKUP(B103,'Base stats'!B:B,'Base stats'!AP:AP)/1000)^(2/3)+_xlfn.XLOOKUP(B103,'Base stats'!B:B,'Base stats'!AY:AY)/2)+0.5,0.5)</f>
        <v>5</v>
      </c>
      <c r="R103" s="7">
        <f>IF(Q103="No","No",MAX(1,MROUND(_xlfn.XLOOKUP(B103,'Base stats'!B:B,'Base stats'!C:C)^0.165,0.05)))</f>
        <v>1.7000000000000002</v>
      </c>
      <c r="S103" s="13" t="str">
        <f>IF(_xlfn.XLOOKUP(_xlfn.XLOOKUP(B103,'Base stats'!B:B,'Base stats'!E:E),Groups!A:A,Groups!P:P)=0,"No",MROUND((LOG10(_xlfn.XLOOKUP(B103,'Base stats'!B:B,'Base stats'!AQ:AQ))*(AO103^0.5)+(_xlfn.XLOOKUP(B103,'Base stats'!B:B,'Base stats'!AQ:AQ)/1000)^(2/3)+_xlfn.XLOOKUP(B103,'Base stats'!B:B,'Base stats'!AY:AY))+_xlfn.XLOOKUP(B103,'Base stats'!B:B,'Base stats'!AW:AW)+0.5,0.5))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stats'!AS:AS))*(AO103^0.5)+(_xlfn.XLOOKUP(B103,'Base stats'!B:B,'Base stats'!AS:AS)/1000)^(2/3)+_xlfn.XLOOKUP(B103,'Base stats'!B:B,'Base stats'!AX:AX))+0.5+IF(_xlfn.XLOOKUP(_xlfn.XLOOKUP(B103,'Base stats'!B:B,'Base stats'!E:E),Groups!A:A,Groups!U:U)&lt;&gt;3,_xlfn.XLOOKUP(B103,'Base stats'!B:B,'Base stats'!AY:AY),0),0.5))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stats'!AR:AR)="No","No",MROUND((LOG10(_xlfn.XLOOKUP(B103,'Base stats'!B:B,'Base stats'!AR:AR))*(AO103^0.75)+(_xlfn.XLOOKUP(B103,'Base stats'!B:B,'Base stats'!AR:AR)/1000)^(2/3)+_xlfn.XLOOKUP(B103,'Base stats'!B:B,'Base stats'!AV:AV)+_xlfn.XLOOKUP(B103,'Base stats'!B:B,'Base stats'!AY:AY))+0.5,0.5))</f>
        <v>15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2.0500000000000003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stats'!AQ:AQ))*(AO103^0.75)+(_xlfn.XLOOKUP(B103,'Base stats'!B:B,'Base stats'!AQ:AQ)/1000)^(2/3)+_xlfn.XLOOKUP(B103,'Base stats'!B:B,'Base stats'!AW:AW)+_xlfn.XLOOKUP(B103,'Base stats'!B:B,'Base stats'!AY:AY))+0.5,0.5))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8"/>
        <v>20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0.65</v>
      </c>
      <c r="AP103" s="8">
        <f>MROUND(AO103*_xlfn.XLOOKUP(_xlfn.XLOOKUP(B103,'Base stats'!B:B,'Base stats'!E:E),Groups!A:A,Groups!AI:AI),0.05)</f>
        <v>0.65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0.1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IFERROR(IF(_xlfn.XLOOKUP(B103,'Base stats'!B:B,'Base stats'!F:F)="Lay eggs","Lay eggs",MIN(20,MAX(5.5,ROUND(((_xlfn.XLOOKUP(B103,'Base stats'!B:B,'Base stats'!F:F)-25)*(14.5/615) + 5.5)*2,0)/2))),"Cannot breed")</f>
        <v>Lay eggs</v>
      </c>
      <c r="AT103" s="8">
        <f>IF(OR(A103="Queen",A103="Larva",A103="Megachicken",A103="Megatardi",A103="Toxscorpion"),"No",IFERROR(MAX(IF(_xlfn.XLOOKUP(B103,'Base stats'!B:B,'Base stats'!G:G)&lt;0.5,0.2,0.3),MROUND(_xlfn.XLOOKUP(B103,'Base stats'!B:B,'Base stats'!G:G)/(365/60),0.2)),"Unknown"))</f>
        <v>0.3</v>
      </c>
      <c r="AU103" s="8">
        <f t="shared" si="7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_xlfn.XLOOKUP(B103,'Base stats'!B:B,'Base stats'!AF:AF)</f>
        <v>&lt;li&gt;Megaspider&lt;/li&gt;</v>
      </c>
      <c r="BB103" s="2" t="str">
        <f>_xlfn.XLOOKUP(B103,'Base stats'!B:B,'Base stats'!AE:AE)</f>
        <v>No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stats'!Z:Z)=0),0,IF(OR(_xlfn.XLOOKUP(Animals!B103,'Base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stats'!AA:AA),0.005))</f>
        <v>1</v>
      </c>
      <c r="BE103" s="23">
        <f>MIN(1,MROUND(IF(AND(AO103&lt;0.5,_xlfn.XLOOKUP(B103,'Base stats'!B:B,'Base stats'!Z:Z)=0),0,IF(_xlfn.XLOOKUP(_xlfn.XLOOKUP(B103,'Base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stats'!AB:AB),0.005))</f>
        <v>1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0.75</v>
      </c>
      <c r="BL103" s="2">
        <f t="shared" si="10"/>
        <v>1</v>
      </c>
      <c r="BM103" s="25" t="str">
        <f>IF(_xlfn.XLOOKUP(B103,'Base stats'!B:B,'Base stats'!AL:AL)="Standard","No",MROUND((_xlfn.XLOOKUP(B103,'Base stats'!B:B,'Base stats'!AL:AL)/3.6)/I103,0.1))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stats'!AC:AC)&lt;&gt;"No",_xlfn.XLOOKUP(B103,'Base stats'!B:B,'Base stats'!AC:AC),"")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stats'!AC:AC)&lt;&gt;"No",_xlfn.XLOOKUP(B103,'Base stats'!B:B,'Base stats'!AC:AC),"")
  )
)</f>
        <v>AttackTarget, Forage</v>
      </c>
      <c r="BQ103" s="25" t="str">
        <f>IF(
   AND(
      'Base stats'!AL103="Standard",_xlfn.XLOOKUP(_xlfn.XLOOKUP(B103,'Base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stats'!AT:AT) * 1.8) * 2) * 2.5 + 10 + I103 * 2,5)+IF(_xlfn.XLOOKUP(B103,'Base stats'!B:B,'Base stats'!AI:AI)=1,50,0)</f>
        <v>90</v>
      </c>
      <c r="BS103" s="8">
        <f t="shared" si="12"/>
        <v>0.2</v>
      </c>
      <c r="BT103" s="8" t="str">
        <f>_xlfn.XLOOKUP(B103,'Base stats'!B:B,'Base stats'!AD:AD)</f>
        <v>No</v>
      </c>
      <c r="BU103" s="2" t="str">
        <f>IF(AND(J103&lt;=0.95,OR(_xlfn.XLOOKUP(B103,'Base stats'!B:B,'Base stats'!AI:AI)=1,_xlfn.XLOOKUP(B103,'Base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stats'!AG:AG)=1,"true","false")</f>
        <v>false</v>
      </c>
      <c r="BW103" s="25" t="str">
        <f>IF(E103="BaseInsect","AnimalInsect",
IF(J103&gt;0.95,"AnimalExotic",
_xlfn.TEXTJOIN(", ",TRUE,
IF(OR(_xlfn.XLOOKUP(B103,'Base stats'!B:B,'Base stats'!AK:AK)=1,AND(_xlfn.XLOOKUP(B103,'Base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stats'!AI:AI)=1,AND(BI103&lt;&gt;"None",BR103&gt;=60),ISNUMBER(SEARCH("Attack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stats'!AH:AH)=1,"true","false")</f>
        <v>false</v>
      </c>
      <c r="BZ103" s="25">
        <f>IF(_xlfn.XLOOKUP(B103,'Base stats'!B:B,'Base stats'!N:N)=1,"No",MAX(0.01,MIN(MROUND(IF(OR(_xlfn.XLOOKUP(B103,'Base stats'!B:B,'Base stats'!AK:AK)=1,AND(BJ103="True",CC103="False")),POWER(10,3.47*LOG10(_xlfn.XLOOKUP(B103,'Base stats'!B:B,'Base stats'!C:C)*1000)^-0.96),POWER(10,4.15*LOG10(_xlfn.XLOOKUP(B103,'Base stats'!B:B,'Base stats'!C:C)*1000)^-0.73))*IF(OR(_xlfn.XLOOKUP(B103,'Base stats'!B:B,'Base stats'!AK:AK)=1,_xlfn.XLOOKUP(B103,'Base stats'!B:B,'Base stats'!AI:AI)=1),0.5,1)/100,0.025),1)))</f>
        <v>0.25</v>
      </c>
      <c r="CA103" s="25">
        <f>IF(P103="Standard","No",MAX(0.01,IF(_xlfn.XLOOKUP(B103,'Base stats'!B:B,'Base stats'!N:N)=0,MROUND(BZ103*P103,0.05),MIN(1,MAX(0.025,MROUND(IF(OR(CC103="true",AND(BJ103="false",BO103="false")),POWER(10,4.15*LOG10(_xlfn.XLOOKUP(B103,'Base stats'!B:B,'Base stats'!C:C)*1000)^-0.73),POWER(10,3.47*LOG10(_xlfn.XLOOKUP(B103,'Base stats'!B:B,'Base stats'!C:C)*1000)^-0.96))*IF(_xlfn.XLOOKUP(B103,'Base stats'!B:B,'Base stats'!AI:AI)=1,0.5,1)/100,0.025))))))</f>
        <v>0.25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433</v>
      </c>
      <c r="C104" s="28" t="s">
        <v>855</v>
      </c>
      <c r="D104" s="28" t="s">
        <v>45</v>
      </c>
      <c r="E104" s="28" t="s">
        <v>796</v>
      </c>
      <c r="F104" s="28" t="s">
        <v>797</v>
      </c>
      <c r="G104" s="28" t="s">
        <v>685</v>
      </c>
      <c r="H104" s="2">
        <f>MROUND((
  (IF(AND(_xlfn.XLOOKUP(B104,'Base stats'!B:B,'Base stats'!AJ:AJ)=0,BI104="None",_xlfn.XLOOKUP(_xlfn.XLOOKUP(B104,'Base stats'!B:B,'Base stats'!E:E),Groups!A:A,Groups!B:B)=0), (18 + BR104 * 2.7) * 0.5,
    IF(AND(_xlfn.XLOOKUP(B104,'Base stats'!B:B,'Base stats'!AJ:AJ)=0,OR(AO104&lt;0.55,AND(BI104="Intermediate",_xlfn.XLOOKUP(_xlfn.XLOOKUP(B104,'Base stats'!B:B,'Base stats'!E:E),Groups!A:A,Groups!B:B)&lt;2))), (18 + BR104 * 2.7),
      IF(OR(BI104="Advanced",_xlfn.XLOOKUP(B104,'Base stats'!B:B,'Base stats'!AJ:AJ)=1,_xlfn.XLOOKUP(_xlfn.XLOOKUP(B104,'Base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725</v>
      </c>
      <c r="I104" s="2">
        <f>MROUND(ROUNDDOWN(_xlfn.XLOOKUP(B104,'Base stats'!B:B,'Base stats'!L:L)/3.6/(23.3/11),1),0.5)</f>
        <v>3.5</v>
      </c>
      <c r="J104" s="2">
        <f>IF(_xlfn.XLOOKUP(_xlfn.XLOOKUP(B104,'Base stats'!B:B,'Base stats'!E:E),Groups!A:A,Groups!C:C)="Untamable",1,IF(_xlfn.XLOOKUP(B104,'Base stats'!B:B,'Base stats'!AJ:AJ)=1,0.99,MIN(MROUND((1-0.6282*EXP(-0.459*AO104))*_xlfn.XLOOKUP(_xlfn.XLOOKUP(B104,'Base stats'!B:B,'Base stats'!E:E),Groups!A:A,Groups!C:C)*IF(_xlfn.XLOOKUP(B104,'Base stats'!B:B,'Base stats'!O:O)=1,0.5,IF(_xlfn.XLOOKUP(B104,'Base stats'!B:B,'Base stats'!O:O)=2,0,1)),0.05),0.985)))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IF(_xlfn.XLOOKUP(_xlfn.XLOOKUP(B104,'Base stats'!B:B,'Base stats'!E:E),Groups!A:A,Groups!L:L)=1,MIN(MROUND(_xlfn.XLOOKUP(B104,'Animals CE'!B:B,'Animals CE'!Z:Z)/2+0.05,0.05),200%),"No")</f>
        <v>0.70000000000000007</v>
      </c>
      <c r="O104" s="8">
        <f>IF(_xlfn.XLOOKUP(_xlfn.XLOOKUP(B104,'Base stats'!B:B,'Base stats'!E:E),Groups!A:A,Groups!L:L)=1,MIN(MROUND(_xlfn.XLOOKUP(B104,'Animals CE'!B:B,'Animals CE'!AA:AA)/2+0.05,0.05),200%),"No")</f>
        <v>0.1</v>
      </c>
      <c r="P104" s="2">
        <f>_xlfn.XLOOKUP(B104,'Base stats'!B:B,'Base stats'!R:R)</f>
        <v>1</v>
      </c>
      <c r="Q104" s="13">
        <f>MROUND((LOG10(_xlfn.XLOOKUP(B104,'Base stats'!B:B,'Base stats'!AP:AP))*(AO104^0.5)+(_xlfn.XLOOKUP(B104,'Base stats'!B:B,'Base stats'!AP:AP)/1000)^(2/3)+_xlfn.XLOOKUP(B104,'Base stats'!B:B,'Base stats'!AY:AY)/2)+0.5,0.5)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stats'!AQ:AQ))*(AO104^0.5)+(_xlfn.XLOOKUP(B104,'Base stats'!B:B,'Base stats'!AQ:AQ)/1000)^(2/3)+_xlfn.XLOOKUP(B104,'Base stats'!B:B,'Base stats'!AY:AY))+_xlfn.XLOOKUP(B104,'Base stats'!B:B,'Base stats'!AW:AW)+0.5,0.5))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stats'!AS:AS))*(AO104^0.5)+(_xlfn.XLOOKUP(B104,'Base stats'!B:B,'Base stats'!AS:AS)/1000)^(2/3)+_xlfn.XLOOKUP(B104,'Base stats'!B:B,'Base stats'!AX:AX))+0.5+IF(_xlfn.XLOOKUP(_xlfn.XLOOKUP(B104,'Base stats'!B:B,'Base stats'!E:E),Groups!A:A,Groups!U:U)&lt;&gt;3,_xlfn.XLOOKUP(B104,'Base stats'!B:B,'Base stats'!AY:AY),0),0.5))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stats'!AR:AR)="No","No",MROUND((LOG10(_xlfn.XLOOKUP(B104,'Base stats'!B:B,'Base stats'!AR:AR))*(AO104^0.75)+(_xlfn.XLOOKUP(B104,'Base stats'!B:B,'Base stats'!AR:AR)/1000)^(2/3)+_xlfn.XLOOKUP(B104,'Base stats'!B:B,'Base stats'!AV:AV)+_xlfn.XLOOKUP(B104,'Base stats'!B:B,'Base stats'!AY:AY))+0.5,0.5))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stats'!AQ:AQ))*(AO104^0.75)+(_xlfn.XLOOKUP(B104,'Base stats'!B:B,'Base stats'!AQ:AQ)/1000)^(2/3)+_xlfn.XLOOKUP(B104,'Base stats'!B:B,'Base stats'!AW:AW)+_xlfn.XLOOKUP(B104,'Base stats'!B:B,'Base stats'!AY:AY))+0.5,0.5))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8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IFERROR(IF(_xlfn.XLOOKUP(B104,'Base stats'!B:B,'Base stats'!F:F)="Lay eggs","Lay eggs",MIN(20,MAX(5.5,ROUND(((_xlfn.XLOOKUP(B104,'Base stats'!B:B,'Base stats'!F:F)-25)*(14.5/615) + 5.5)*2,0)/2))),"Cannot breed")</f>
        <v>Lay eggs</v>
      </c>
      <c r="AT104" s="8">
        <f>IF(OR(A104="Queen",A104="Larva",A104="Megachicken",A104="Megatardi",A104="Toxscorpion"),"No",IFERROR(MAX(IF(_xlfn.XLOOKUP(B104,'Base stats'!B:B,'Base stats'!G:G)&lt;0.5,0.2,0.3),MROUND(_xlfn.XLOOKUP(B104,'Base stats'!B:B,'Base stats'!G:G)/(365/60),0.2)),"Unknown"))</f>
        <v>0.3</v>
      </c>
      <c r="AU104" s="8">
        <f t="shared" si="7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_xlfn.XLOOKUP(B104,'Base stats'!B:B,'Base stats'!AF:AF)</f>
        <v>&lt;li&gt;Megaspider&lt;/li&gt;</v>
      </c>
      <c r="BB104" s="2" t="str">
        <f>_xlfn.XLOOKUP(B104,'Base stats'!B:B,'Base stats'!AE:AE)</f>
        <v>No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stats'!Z:Z)=0),0,IF(OR(_xlfn.XLOOKUP(Animals!B104,'Base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stats'!AA:AA),0.005))</f>
        <v>1</v>
      </c>
      <c r="BE104" s="23">
        <f>MIN(1,MROUND(IF(AND(AO104&lt;0.5,_xlfn.XLOOKUP(B104,'Base stats'!B:B,'Base stats'!Z:Z)=0),0,IF(_xlfn.XLOOKUP(_xlfn.XLOOKUP(B104,'Base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stats'!AB:AB),0.005))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stats'!AL:AL)="Standard","No",MROUND((_xlfn.XLOOKUP(B104,'Base stats'!B:B,'Base stats'!AL:AL)/3.6)/I104,0.1))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stats'!AC:AC)&lt;&gt;"No",_xlfn.XLOOKUP(B104,'Base stats'!B:B,'Base stats'!AC:AC),"")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stats'!AC:AC)&lt;&gt;"No",_xlfn.XLOOKUP(B104,'Base stats'!B:B,'Base stats'!AC:AC),"")
  )
)</f>
        <v>AttackTarget, Dig</v>
      </c>
      <c r="BQ104" s="25" t="str">
        <f>IF(
   AND(
      'Base stats'!AL104="Standard",_xlfn.XLOOKUP(_xlfn.XLOOKUP(B104,'Base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stats'!AT:AT) * 1.8) * 2) * 2.5 + 10 + I104 * 2,5)+IF(_xlfn.XLOOKUP(B104,'Base stats'!B:B,'Base stats'!AI:AI)=1,50,0)</f>
        <v>185</v>
      </c>
      <c r="BS104" s="8">
        <f t="shared" si="12"/>
        <v>0.45</v>
      </c>
      <c r="BT104" s="8" t="str">
        <f>_xlfn.XLOOKUP(B104,'Base stats'!B:B,'Base stats'!AD:AD)</f>
        <v>No</v>
      </c>
      <c r="BU104" s="2" t="str">
        <f>IF(AND(J104&lt;=0.95,OR(_xlfn.XLOOKUP(B104,'Base stats'!B:B,'Base stats'!AI:AI)=1,_xlfn.XLOOKUP(B104,'Base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stats'!AG:AG)=1,"true","false")</f>
        <v>false</v>
      </c>
      <c r="BW104" s="25" t="str">
        <f>IF(E104="BaseInsect","AnimalInsect",
IF(J104&gt;0.95,"AnimalExotic",
_xlfn.TEXTJOIN(", ",TRUE,
IF(OR(_xlfn.XLOOKUP(B104,'Base stats'!B:B,'Base stats'!AK:AK)=1,AND(_xlfn.XLOOKUP(B104,'Base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stats'!AI:AI)=1,AND(BI104&lt;&gt;"None",BR104&gt;=60),ISNUMBER(SEARCH("Attack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stats'!AH:AH)=1,"true","false")</f>
        <v>false</v>
      </c>
      <c r="BZ104" s="25">
        <f>IF(_xlfn.XLOOKUP(B104,'Base stats'!B:B,'Base stats'!N:N)=1,"No",MAX(0.01,MIN(MROUND(IF(OR(_xlfn.XLOOKUP(B104,'Base stats'!B:B,'Base stats'!AK:AK)=1,AND(BJ104="True",CC104="False")),POWER(10,3.47*LOG10(_xlfn.XLOOKUP(B104,'Base stats'!B:B,'Base stats'!C:C)*1000)^-0.96),POWER(10,4.15*LOG10(_xlfn.XLOOKUP(B104,'Base stats'!B:B,'Base stats'!C:C)*1000)^-0.73))*IF(OR(_xlfn.XLOOKUP(B104,'Base stats'!B:B,'Base stats'!AK:AK)=1,_xlfn.XLOOKUP(B104,'Base stats'!B:B,'Base stats'!AI:AI)=1),0.5,1)/100,0.025),1)))</f>
        <v>0.17500000000000002</v>
      </c>
      <c r="CA104" s="25">
        <f>IF(P104="Standard","No",MAX(0.01,IF(_xlfn.XLOOKUP(B104,'Base stats'!B:B,'Base stats'!N:N)=0,MROUND(BZ104*P104,0.05),MIN(1,MAX(0.025,MROUND(IF(OR(CC104="true",AND(BJ104="false",BO104="false")),POWER(10,4.15*LOG10(_xlfn.XLOOKUP(B104,'Base stats'!B:B,'Base stats'!C:C)*1000)^-0.73),POWER(10,3.47*LOG10(_xlfn.XLOOKUP(B104,'Base stats'!B:B,'Base stats'!C:C)*1000)^-0.96))*IF(_xlfn.XLOOKUP(B104,'Base stats'!B:B,'Base stats'!AI:AI)=1,0.5,1)/100,0.025))))))</f>
        <v>0.2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434</v>
      </c>
      <c r="C105" s="28" t="s">
        <v>798</v>
      </c>
      <c r="D105" s="28" t="s">
        <v>45</v>
      </c>
      <c r="E105" s="28" t="s">
        <v>796</v>
      </c>
      <c r="F105" s="28" t="s">
        <v>797</v>
      </c>
      <c r="G105" s="28" t="s">
        <v>685</v>
      </c>
      <c r="H105" s="2">
        <f>MROUND((
  (IF(AND(_xlfn.XLOOKUP(B105,'Base stats'!B:B,'Base stats'!AJ:AJ)=0,BI105="None",_xlfn.XLOOKUP(_xlfn.XLOOKUP(B105,'Base stats'!B:B,'Base stats'!E:E),Groups!A:A,Groups!B:B)=0), (18 + BR105 * 2.7) * 0.5,
    IF(AND(_xlfn.XLOOKUP(B105,'Base stats'!B:B,'Base stats'!AJ:AJ)=0,OR(AO105&lt;0.55,AND(BI105="Intermediate",_xlfn.XLOOKUP(_xlfn.XLOOKUP(B105,'Base stats'!B:B,'Base stats'!E:E),Groups!A:A,Groups!B:B)&lt;2))), (18 + BR105 * 2.7),
      IF(OR(BI105="Advanced",_xlfn.XLOOKUP(B105,'Base stats'!B:B,'Base stats'!AJ:AJ)=1,_xlfn.XLOOKUP(_xlfn.XLOOKUP(B105,'Base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1050</v>
      </c>
      <c r="I105" s="2">
        <f>MROUND(ROUNDDOWN(_xlfn.XLOOKUP(B105,'Base stats'!B:B,'Base stats'!L:L)/3.6/(23.3/11),1),0.5)</f>
        <v>2.5</v>
      </c>
      <c r="J105" s="2">
        <f>IF(_xlfn.XLOOKUP(_xlfn.XLOOKUP(B105,'Base stats'!B:B,'Base stats'!E:E),Groups!A:A,Groups!C:C)="Untamable",1,IF(_xlfn.XLOOKUP(B105,'Base stats'!B:B,'Base stats'!AJ:AJ)=1,0.99,MIN(MROUND((1-0.6282*EXP(-0.459*AO105))*_xlfn.XLOOKUP(_xlfn.XLOOKUP(B105,'Base stats'!B:B,'Base stats'!E:E),Groups!A:A,Groups!C:C)*IF(_xlfn.XLOOKUP(B105,'Base stats'!B:B,'Base stats'!O:O)=1,0.5,IF(_xlfn.XLOOKUP(B105,'Base stats'!B:B,'Base stats'!O:O)=2,0,1)),0.05),0.985)))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IF(_xlfn.XLOOKUP(_xlfn.XLOOKUP(B105,'Base stats'!B:B,'Base stats'!E:E),Groups!A:A,Groups!L:L)=1,MIN(MROUND(_xlfn.XLOOKUP(B105,'Animals CE'!B:B,'Animals CE'!Z:Z)/2+0.05,0.05),200%),"No")</f>
        <v>0.9</v>
      </c>
      <c r="O105" s="8">
        <f>IF(_xlfn.XLOOKUP(_xlfn.XLOOKUP(B105,'Base stats'!B:B,'Base stats'!E:E),Groups!A:A,Groups!L:L)=1,MIN(MROUND(_xlfn.XLOOKUP(B105,'Animals CE'!B:B,'Animals CE'!AA:AA)/2+0.05,0.05),200%),"No")</f>
        <v>0.1</v>
      </c>
      <c r="P105" s="2">
        <f>_xlfn.XLOOKUP(B105,'Base stats'!B:B,'Base stats'!R:R)</f>
        <v>1</v>
      </c>
      <c r="Q105" s="13">
        <f>MROUND((LOG10(_xlfn.XLOOKUP(B105,'Base stats'!B:B,'Base stats'!AP:AP))*(AO105^0.5)+(_xlfn.XLOOKUP(B105,'Base stats'!B:B,'Base stats'!AP:AP)/1000)^(2/3)+_xlfn.XLOOKUP(B105,'Base stats'!B:B,'Base stats'!AY:AY)/2)+0.5,0.5)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stats'!AQ:AQ))*(AO105^0.5)+(_xlfn.XLOOKUP(B105,'Base stats'!B:B,'Base stats'!AQ:AQ)/1000)^(2/3)+_xlfn.XLOOKUP(B105,'Base stats'!B:B,'Base stats'!AY:AY))+_xlfn.XLOOKUP(B105,'Base stats'!B:B,'Base stats'!AW:AW)+0.5,0.5))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stats'!AS:AS))*(AO105^0.5)+(_xlfn.XLOOKUP(B105,'Base stats'!B:B,'Base stats'!AS:AS)/1000)^(2/3)+_xlfn.XLOOKUP(B105,'Base stats'!B:B,'Base stats'!AX:AX))+0.5+IF(_xlfn.XLOOKUP(_xlfn.XLOOKUP(B105,'Base stats'!B:B,'Base stats'!E:E),Groups!A:A,Groups!U:U)&lt;&gt;3,_xlfn.XLOOKUP(B105,'Base stats'!B:B,'Base stats'!AY:AY),0),0.5))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stats'!AR:AR)="No","No",MROUND((LOG10(_xlfn.XLOOKUP(B105,'Base stats'!B:B,'Base stats'!AR:AR))*(AO105^0.75)+(_xlfn.XLOOKUP(B105,'Base stats'!B:B,'Base stats'!AR:AR)/1000)^(2/3)+_xlfn.XLOOKUP(B105,'Base stats'!B:B,'Base stats'!AV:AV)+_xlfn.XLOOKUP(B105,'Base stats'!B:B,'Base stats'!AY:AY))+0.5,0.5))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stats'!AQ:AQ))*(AO105^0.75)+(_xlfn.XLOOKUP(B105,'Base stats'!B:B,'Base stats'!AQ:AQ)/1000)^(2/3)+_xlfn.XLOOKUP(B105,'Base stats'!B:B,'Base stats'!AW:AW)+_xlfn.XLOOKUP(B105,'Base stats'!B:B,'Base stats'!AY:AY))+0.5,0.5))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LeftPincer, RightPincer</v>
      </c>
      <c r="AL105" s="7" t="str">
        <f>IF(AI105="No","No",_xlfn.XLOOKUP(_xlfn.XLOOKUP(B105,'Base stats'!B:B,'Base stats'!E:E),Groups!A:A,Groups!AG:AG))</f>
        <v>left pincer, right pincer</v>
      </c>
      <c r="AM105" s="7" t="str">
        <f>IF(AI105="No","No",_xlfn.XLOOKUP(_xlfn.XLOOKUP(B105,'Base stats'!B:B,'Base stats'!E:E),Groups!A:A,Groups!AH:AH))</f>
        <v>Scratch</v>
      </c>
      <c r="AN105" s="2">
        <f t="shared" si="8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IFERROR(IF(_xlfn.XLOOKUP(B105,'Base stats'!B:B,'Base stats'!F:F)="Lay eggs","Lay eggs",MIN(20,MAX(5.5,ROUND(((_xlfn.XLOOKUP(B105,'Base stats'!B:B,'Base stats'!F:F)-25)*(14.5/615) + 5.5)*2,0)/2))),"Cannot breed")</f>
        <v>Lay eggs</v>
      </c>
      <c r="AT105" s="8">
        <f>IF(OR(A105="Queen",A105="Larva",A105="Megachicken",A105="Megatardi",A105="Toxscorpion"),"No",IFERROR(MAX(IF(_xlfn.XLOOKUP(B105,'Base stats'!B:B,'Base stats'!G:G)&lt;0.5,0.2,0.3),MROUND(_xlfn.XLOOKUP(B105,'Base stats'!B:B,'Base stats'!G:G)/(365/60),0.2)),"Unknown"))</f>
        <v>0.4</v>
      </c>
      <c r="AU105" s="8">
        <f t="shared" si="7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_xlfn.XLOOKUP(B105,'Base stats'!B:B,'Base stats'!AF:AF)</f>
        <v>No</v>
      </c>
      <c r="BB105" s="2" t="str">
        <f>_xlfn.XLOOKUP(B105,'Base stats'!B:B,'Base stats'!AE:AE)</f>
        <v>No</v>
      </c>
      <c r="BC105" s="23" t="str">
        <f>_xlfn.XLOOKUP(_xlfn.XLOOKUP(B105,'Base stats'!B:B,'Base stats'!E:E),Groups!A:A,Groups!AL:AL)</f>
        <v>ScorpionLike</v>
      </c>
      <c r="BD105" s="23">
        <f>MIN(1,MROUND(IF(AND(AO105&lt;0.5,_xlfn.XLOOKUP(B105,'Base stats'!B:B,'Base stats'!Z:Z)=0),0,IF(OR(_xlfn.XLOOKUP(Animals!B105,'Base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stats'!AA:AA),0.005))</f>
        <v>1</v>
      </c>
      <c r="BE105" s="23">
        <f>MIN(1,MROUND(IF(AND(AO105&lt;0.5,_xlfn.XLOOKUP(B105,'Base stats'!B:B,'Base stats'!Z:Z)=0),0,IF(_xlfn.XLOOKUP(_xlfn.XLOOKUP(B105,'Base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stats'!AB:AB),0.005))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stats'!AL:AL)="Standard","No",MROUND((_xlfn.XLOOKUP(B105,'Base stats'!B:B,'Base stats'!AL:AL)/3.6)/I105,0.1))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stats'!AC:AC)&lt;&gt;"No",_xlfn.XLOOKUP(B105,'Base stats'!B:B,'Base stats'!AC:AC),"")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stats'!AC:AC)&lt;&gt;"No",_xlfn.XLOOKUP(B105,'Base stats'!B:B,'Base stats'!AC:AC),"")
  )
)</f>
        <v>AttackTarget, AttackTarget</v>
      </c>
      <c r="BQ105" s="25" t="str">
        <f>IF(
   AND(
      'Base stats'!AL105="Standard",_xlfn.XLOOKUP(_xlfn.XLOOKUP(B105,'Base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stats'!AT:AT) * 1.8) * 2) * 2.5 + 10 + I105 * 2,5)+IF(_xlfn.XLOOKUP(B105,'Base stats'!B:B,'Base stats'!AI:AI)=1,50,0)</f>
        <v>285</v>
      </c>
      <c r="BS105" s="8">
        <f t="shared" si="12"/>
        <v>0.65</v>
      </c>
      <c r="BT105" s="8" t="str">
        <f>_xlfn.XLOOKUP(B105,'Base stats'!B:B,'Base stats'!AD:AD)</f>
        <v>No</v>
      </c>
      <c r="BU105" s="2" t="str">
        <f>IF(AND(J105&lt;=0.95,OR(_xlfn.XLOOKUP(B105,'Base stats'!B:B,'Base stats'!AI:AI)=1,_xlfn.XLOOKUP(B105,'Base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stats'!AG:AG)=1,"true","false")</f>
        <v>false</v>
      </c>
      <c r="BW105" s="25" t="str">
        <f>IF(E105="BaseInsect","AnimalInsect",
IF(J105&gt;0.95,"AnimalExotic",
_xlfn.TEXTJOIN(", ",TRUE,
IF(OR(_xlfn.XLOOKUP(B105,'Base stats'!B:B,'Base stats'!AK:AK)=1,AND(_xlfn.XLOOKUP(B105,'Base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stats'!AI:AI)=1,AND(BI105&lt;&gt;"None",BR105&gt;=60),ISNUMBER(SEARCH("Attack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stats'!AH:AH)=1,"true","false")</f>
        <v>false</v>
      </c>
      <c r="BZ105" s="25">
        <f>IF(_xlfn.XLOOKUP(B105,'Base stats'!B:B,'Base stats'!N:N)=1,"No",MAX(0.01,MIN(MROUND(IF(OR(_xlfn.XLOOKUP(B105,'Base stats'!B:B,'Base stats'!AK:AK)=1,AND(BJ105="True",CC105="False")),POWER(10,3.47*LOG10(_xlfn.XLOOKUP(B105,'Base stats'!B:B,'Base stats'!C:C)*1000)^-0.96),POWER(10,4.15*LOG10(_xlfn.XLOOKUP(B105,'Base stats'!B:B,'Base stats'!C:C)*1000)^-0.73))*IF(OR(_xlfn.XLOOKUP(B105,'Base stats'!B:B,'Base stats'!AK:AK)=1,_xlfn.XLOOKUP(B105,'Base stats'!B:B,'Base stats'!AI:AI)=1),0.5,1)/100,0.025),1)))</f>
        <v>0.15000000000000002</v>
      </c>
      <c r="CA105" s="25">
        <f>IF(P105="Standard","No",MAX(0.01,IF(_xlfn.XLOOKUP(B105,'Base stats'!B:B,'Base stats'!N:N)=0,MROUND(BZ105*P105,0.05),MIN(1,MAX(0.025,MROUND(IF(OR(CC105="true",AND(BJ105="false",BO105="false")),POWER(10,4.15*LOG10(_xlfn.XLOOKUP(B105,'Base stats'!B:B,'Base stats'!C:C)*1000)^-0.73),POWER(10,3.47*LOG10(_xlfn.XLOOKUP(B105,'Base stats'!B:B,'Base stats'!C:C)*1000)^-0.96))*IF(_xlfn.XLOOKUP(B105,'Base stats'!B:B,'Base stats'!AI:AI)=1,0.5,1)/100,0.025))))))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435</v>
      </c>
      <c r="C106" s="28" t="s">
        <v>799</v>
      </c>
      <c r="D106" s="28" t="s">
        <v>882</v>
      </c>
      <c r="E106" s="28" t="s">
        <v>796</v>
      </c>
      <c r="F106" s="28" t="s">
        <v>797</v>
      </c>
      <c r="G106" s="28" t="s">
        <v>685</v>
      </c>
      <c r="H106" s="2">
        <f>MROUND((
  (IF(AND(_xlfn.XLOOKUP(B106,'Base stats'!B:B,'Base stats'!AJ:AJ)=0,BI106="None",_xlfn.XLOOKUP(_xlfn.XLOOKUP(B106,'Base stats'!B:B,'Base stats'!E:E),Groups!A:A,Groups!B:B)=0), (18 + BR106 * 2.7) * 0.5,
    IF(AND(_xlfn.XLOOKUP(B106,'Base stats'!B:B,'Base stats'!AJ:AJ)=0,OR(AO106&lt;0.55,AND(BI106="Intermediate",_xlfn.XLOOKUP(_xlfn.XLOOKUP(B106,'Base stats'!B:B,'Base stats'!E:E),Groups!A:A,Groups!B:B)&lt;2))), (18 + BR106 * 2.7),
      IF(OR(BI106="Advanced",_xlfn.XLOOKUP(B106,'Base stats'!B:B,'Base stats'!AJ:AJ)=1,_xlfn.XLOOKUP(_xlfn.XLOOKUP(B106,'Base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3150</v>
      </c>
      <c r="I106" s="2">
        <f>MROUND(ROUNDDOWN(_xlfn.XLOOKUP(B106,'Base stats'!B:B,'Base stats'!L:L)/3.6/(23.3/11),1),0.5)</f>
        <v>2</v>
      </c>
      <c r="J106" s="2">
        <f>IF(_xlfn.XLOOKUP(_xlfn.XLOOKUP(B106,'Base stats'!B:B,'Base stats'!E:E),Groups!A:A,Groups!C:C)="Untamable",1,IF(_xlfn.XLOOKUP(B106,'Base stats'!B:B,'Base stats'!AJ:AJ)=1,0.99,MIN(MROUND((1-0.6282*EXP(-0.459*AO106))*_xlfn.XLOOKUP(_xlfn.XLOOKUP(B106,'Base stats'!B:B,'Base stats'!E:E),Groups!A:A,Groups!C:C)*IF(_xlfn.XLOOKUP(B106,'Base stats'!B:B,'Base stats'!O:O)=1,0.5,IF(_xlfn.XLOOKUP(B106,'Base stats'!B:B,'Base stats'!O:O)=2,0,1)),0.05),0.985)))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IF(_xlfn.XLOOKUP(_xlfn.XLOOKUP(B106,'Base stats'!B:B,'Base stats'!E:E),Groups!A:A,Groups!L:L)=1,MIN(MROUND(_xlfn.XLOOKUP(B106,'Animals CE'!B:B,'Animals CE'!Z:Z)/2+0.05,0.05),200%),"No")</f>
        <v>2</v>
      </c>
      <c r="O106" s="8">
        <f>IF(_xlfn.XLOOKUP(_xlfn.XLOOKUP(B106,'Base stats'!B:B,'Base stats'!E:E),Groups!A:A,Groups!L:L)=1,MIN(MROUND(_xlfn.XLOOKUP(B106,'Animals CE'!B:B,'Animals CE'!AA:AA)/2+0.05,0.05),200%),"No")</f>
        <v>0.2</v>
      </c>
      <c r="P106" s="2">
        <f>_xlfn.XLOOKUP(B106,'Base stats'!B:B,'Base stats'!R:R)</f>
        <v>1</v>
      </c>
      <c r="Q106" s="13">
        <f>MROUND((LOG10(_xlfn.XLOOKUP(B106,'Base stats'!B:B,'Base stats'!AP:AP))*(AO106^0.5)+(_xlfn.XLOOKUP(B106,'Base stats'!B:B,'Base stats'!AP:AP)/1000)^(2/3)+_xlfn.XLOOKUP(B106,'Base stats'!B:B,'Base stats'!AY:AY)/2)+0.5,0.5)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stats'!AQ:AQ))*(AO106^0.5)+(_xlfn.XLOOKUP(B106,'Base stats'!B:B,'Base stats'!AQ:AQ)/1000)^(2/3)+_xlfn.XLOOKUP(B106,'Base stats'!B:B,'Base stats'!AY:AY))+_xlfn.XLOOKUP(B106,'Base stats'!B:B,'Base stats'!AW:AW)+0.5,0.5))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stats'!AS:AS))*(AO106^0.5)+(_xlfn.XLOOKUP(B106,'Base stats'!B:B,'Base stats'!AS:AS)/1000)^(2/3)+_xlfn.XLOOKUP(B106,'Base stats'!B:B,'Base stats'!AX:AX))+0.5+IF(_xlfn.XLOOKUP(_xlfn.XLOOKUP(B106,'Base stats'!B:B,'Base stats'!E:E),Groups!A:A,Groups!U:U)&lt;&gt;3,_xlfn.XLOOKUP(B106,'Base stats'!B:B,'Base stats'!AY:AY),0),0.5))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stats'!AR:AR)="No","No",MROUND((LOG10(_xlfn.XLOOKUP(B106,'Base stats'!B:B,'Base stats'!AR:AR))*(AO106^0.75)+(_xlfn.XLOOKUP(B106,'Base stats'!B:B,'Base stats'!AR:AR)/1000)^(2/3)+_xlfn.XLOOKUP(B106,'Base stats'!B:B,'Base stats'!AV:AV)+_xlfn.XLOOKUP(B106,'Base stats'!B:B,'Base stats'!AY:AY))+0.5,0.5))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stats'!AQ:AQ))*(AO106^0.75)+(_xlfn.XLOOKUP(B106,'Base stats'!B:B,'Base stats'!AQ:AQ)/1000)^(2/3)+_xlfn.XLOOKUP(B106,'Base stats'!B:B,'Base stats'!AW:AW)+_xlfn.XLOOKUP(B106,'Base stats'!B:B,'Base stats'!AY:AY))+0.5,0.5))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8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stats'!E:E),Groups!A:A,Groups!AI:AI),0.05)</f>
        <v>5.5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IFERROR(IF(_xlfn.XLOOKUP(B106,'Base stats'!B:B,'Base stats'!F:F)="Lay eggs","Lay eggs",MIN(20,MAX(5.5,ROUND(((_xlfn.XLOOKUP(B106,'Base stats'!B:B,'Base stats'!F:F)-25)*(14.5/615) + 5.5)*2,0)/2))),"Cannot breed")</f>
        <v>Lay eggs</v>
      </c>
      <c r="AT106" s="8" t="str">
        <f>IF(OR(A106="Queen",A106="Larva",A106="Megachicken",A106="Megatardi",A106="Toxscorpion"),"No",IFERROR(MAX(IF(_xlfn.XLOOKUP(B106,'Base stats'!B:B,'Base stats'!G:G)&lt;0.5,0.2,0.3),MROUND(_xlfn.XLOOKUP(B106,'Base stats'!B:B,'Base stats'!G:G)/(365/60),0.2)),"Unknown"))</f>
        <v>No</v>
      </c>
      <c r="AU106" s="8" t="str">
        <f t="shared" si="7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_xlfn.XLOOKUP(B106,'Base stats'!B:B,'Base stats'!AF:AF)</f>
        <v>&lt;li&gt;Megaspider&lt;/li&gt;</v>
      </c>
      <c r="BB106" s="2" t="str">
        <f>_xlfn.XLOOKUP(B106,'Base stats'!B:B,'Base stats'!AE:AE)</f>
        <v>No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stats'!Z:Z)=0),0,IF(OR(_xlfn.XLOOKUP(Animals!B106,'Base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stats'!AA:AA),0.005))</f>
        <v>1</v>
      </c>
      <c r="BE106" s="23">
        <f>MIN(1,MROUND(IF(AND(AO106&lt;0.5,_xlfn.XLOOKUP(B106,'Base stats'!B:B,'Base stats'!Z:Z)=0),0,IF(_xlfn.XLOOKUP(_xlfn.XLOOKUP(B106,'Base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stats'!AB:AB),0.005))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stats'!AL:AL)="Standard","No",MROUND((_xlfn.XLOOKUP(B106,'Base stats'!B:B,'Base stats'!AL:AL)/3.6)/I106,0.1))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stats'!AC:AC)&lt;&gt;"No",_xlfn.XLOOKUP(B106,'Base stats'!B:B,'Base stats'!AC:AC),"")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stats'!AC:AC)&lt;&gt;"No",_xlfn.XLOOKUP(B106,'Base stats'!B:B,'Base stats'!AC:AC),"")
  )
)</f>
        <v>AttackTarget, EggSpew</v>
      </c>
      <c r="BQ106" s="25" t="str">
        <f>IF(
   AND(
      'Base stats'!AL106="Standard",_xlfn.XLOOKUP(_xlfn.XLOOKUP(B106,'Base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stats'!AT:AT) * 1.8) * 2) * 2.5 + 10 + I106 * 2,5)+IF(_xlfn.XLOOKUP(B106,'Base stats'!B:B,'Base stats'!AI:AI)=1,50,0)</f>
        <v>1040</v>
      </c>
      <c r="BS106" s="8">
        <f t="shared" si="12"/>
        <v>1.8</v>
      </c>
      <c r="BT106" s="8" t="str">
        <f>_xlfn.XLOOKUP(B106,'Base stats'!B:B,'Base stats'!AD:AD)</f>
        <v>No</v>
      </c>
      <c r="BU106" s="2" t="str">
        <f>IF(AND(J106&lt;=0.95,OR(_xlfn.XLOOKUP(B106,'Base stats'!B:B,'Base stats'!AI:AI)=1,_xlfn.XLOOKUP(B106,'Base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stats'!AG:AG)=1,"true","false")</f>
        <v>false</v>
      </c>
      <c r="BW106" s="25" t="str">
        <f>IF(E106="BaseInsect","AnimalInsect",
IF(J106&gt;0.95,"AnimalExotic",
_xlfn.TEXTJOIN(", ",TRUE,
IF(OR(_xlfn.XLOOKUP(B106,'Base stats'!B:B,'Base stats'!AK:AK)=1,AND(_xlfn.XLOOKUP(B106,'Base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stats'!AI:AI)=1,AND(BI106&lt;&gt;"None",BR106&gt;=60),ISNUMBER(SEARCH("Attack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stats'!AH:AH)=1,"true","false")</f>
        <v>false</v>
      </c>
      <c r="BZ106" s="25">
        <f>IF(_xlfn.XLOOKUP(B106,'Base stats'!B:B,'Base stats'!N:N)=1,"No",MAX(0.01,MIN(MROUND(IF(OR(_xlfn.XLOOKUP(B106,'Base stats'!B:B,'Base stats'!AK:AK)=1,AND(BJ106="True",CC106="False")),POWER(10,3.47*LOG10(_xlfn.XLOOKUP(B106,'Base stats'!B:B,'Base stats'!C:C)*1000)^-0.96),POWER(10,4.15*LOG10(_xlfn.XLOOKUP(B106,'Base stats'!B:B,'Base stats'!C:C)*1000)^-0.73))*IF(OR(_xlfn.XLOOKUP(B106,'Base stats'!B:B,'Base stats'!AK:AK)=1,_xlfn.XLOOKUP(B106,'Base stats'!B:B,'Base stats'!AI:AI)=1),0.5,1)/100,0.025),1)))</f>
        <v>2.5000000000000001E-2</v>
      </c>
      <c r="CA106" s="25">
        <f>IF(P106="Standard","No",MAX(0.01,IF(_xlfn.XLOOKUP(B106,'Base stats'!B:B,'Base stats'!N:N)=0,MROUND(BZ106*P106,0.05),MIN(1,MAX(0.025,MROUND(IF(OR(CC106="true",AND(BJ106="false",BO106="false")),POWER(10,4.15*LOG10(_xlfn.XLOOKUP(B106,'Base stats'!B:B,'Base stats'!C:C)*1000)^-0.73),POWER(10,3.47*LOG10(_xlfn.XLOOKUP(B106,'Base stats'!B:B,'Base stats'!C:C)*1000)^-0.96))*IF(_xlfn.XLOOKUP(B106,'Base stats'!B:B,'Base stats'!AI:AI)=1,0.5,1)/100,0.025))))))</f>
        <v>0.05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436</v>
      </c>
      <c r="C107" s="28" t="s">
        <v>800</v>
      </c>
      <c r="D107" s="28" t="s">
        <v>882</v>
      </c>
      <c r="E107" s="28" t="s">
        <v>796</v>
      </c>
      <c r="F107" s="28" t="s">
        <v>797</v>
      </c>
      <c r="G107" s="28" t="s">
        <v>685</v>
      </c>
      <c r="H107" s="2">
        <f>MROUND((
  (IF(AND(_xlfn.XLOOKUP(B107,'Base stats'!B:B,'Base stats'!AJ:AJ)=0,BI107="None",_xlfn.XLOOKUP(_xlfn.XLOOKUP(B107,'Base stats'!B:B,'Base stats'!E:E),Groups!A:A,Groups!B:B)=0), (18 + BR107 * 2.7) * 0.5,
    IF(AND(_xlfn.XLOOKUP(B107,'Base stats'!B:B,'Base stats'!AJ:AJ)=0,OR(AO107&lt;0.55,AND(BI107="Intermediate",_xlfn.XLOOKUP(_xlfn.XLOOKUP(B107,'Base stats'!B:B,'Base stats'!E:E),Groups!A:A,Groups!B:B)&lt;2))), (18 + BR107 * 2.7),
      IF(OR(BI107="Advanced",_xlfn.XLOOKUP(B107,'Base stats'!B:B,'Base stats'!AJ:AJ)=1,_xlfn.XLOOKUP(_xlfn.XLOOKUP(B107,'Base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200</v>
      </c>
      <c r="I107" s="2">
        <f>MROUND(ROUNDDOWN(_xlfn.XLOOKUP(B107,'Base stats'!B:B,'Base stats'!L:L)/3.6/(23.3/11),1),0.5)</f>
        <v>2</v>
      </c>
      <c r="J107" s="2">
        <f>IF(_xlfn.XLOOKUP(_xlfn.XLOOKUP(B107,'Base stats'!B:B,'Base stats'!E:E),Groups!A:A,Groups!C:C)="Untamable",1,IF(_xlfn.XLOOKUP(B107,'Base stats'!B:B,'Base stats'!AJ:AJ)=1,0.99,MIN(MROUND((1-0.6282*EXP(-0.459*AO107))*_xlfn.XLOOKUP(_xlfn.XLOOKUP(B107,'Base stats'!B:B,'Base stats'!E:E),Groups!A:A,Groups!C:C)*IF(_xlfn.XLOOKUP(B107,'Base stats'!B:B,'Base stats'!O:O)=1,0.5,IF(_xlfn.XLOOKUP(B107,'Base stats'!B:B,'Base stats'!O:O)=2,0,1)),0.05),0.985)))</f>
        <v>0.55000000000000004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IF(_xlfn.XLOOKUP(_xlfn.XLOOKUP(B107,'Base stats'!B:B,'Base stats'!E:E),Groups!A:A,Groups!L:L)=1,MIN(MROUND(_xlfn.XLOOKUP(B107,'Animals CE'!B:B,'Animals CE'!Z:Z)/2+0.05,0.05),200%),"No")</f>
        <v>0.35000000000000003</v>
      </c>
      <c r="O107" s="8">
        <f>IF(_xlfn.XLOOKUP(_xlfn.XLOOKUP(B107,'Base stats'!B:B,'Base stats'!E:E),Groups!A:A,Groups!L:L)=1,MIN(MROUND(_xlfn.XLOOKUP(B107,'Animals CE'!B:B,'Animals CE'!AA:AA)/2+0.05,0.05),200%),"No")</f>
        <v>0.05</v>
      </c>
      <c r="P107" s="2">
        <f>_xlfn.XLOOKUP(B107,'Base stats'!B:B,'Base stats'!R:R)</f>
        <v>1</v>
      </c>
      <c r="Q107" s="13">
        <f>MROUND((LOG10(_xlfn.XLOOKUP(B107,'Base stats'!B:B,'Base stats'!AP:AP))*(AO107^0.5)+(_xlfn.XLOOKUP(B107,'Base stats'!B:B,'Base stats'!AP:AP)/1000)^(2/3)+_xlfn.XLOOKUP(B107,'Base stats'!B:B,'Base stats'!AY:AY)/2)+0.5,0.5)</f>
        <v>4</v>
      </c>
      <c r="R107" s="7">
        <f>IF(Q107="No","No",MAX(1,MROUND(_xlfn.XLOOKUP(B107,'Base stats'!B:B,'Base stats'!C:C)^0.165,0.05)))</f>
        <v>1.55</v>
      </c>
      <c r="S107" s="13" t="str">
        <f>IF(_xlfn.XLOOKUP(_xlfn.XLOOKUP(B107,'Base stats'!B:B,'Base stats'!E:E),Groups!A:A,Groups!P:P)=0,"No",MROUND((LOG10(_xlfn.XLOOKUP(B107,'Base stats'!B:B,'Base stats'!AQ:AQ))*(AO107^0.5)+(_xlfn.XLOOKUP(B107,'Base stats'!B:B,'Base stats'!AQ:AQ)/1000)^(2/3)+_xlfn.XLOOKUP(B107,'Base stats'!B:B,'Base stats'!AY:AY))+_xlfn.XLOOKUP(B107,'Base stats'!B:B,'Base stats'!AW:AW)+0.5,0.5))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stats'!AS:AS))*(AO107^0.5)+(_xlfn.XLOOKUP(B107,'Base stats'!B:B,'Base stats'!AS:AS)/1000)^(2/3)+_xlfn.XLOOKUP(B107,'Base stats'!B:B,'Base stats'!AX:AX))+0.5+IF(_xlfn.XLOOKUP(_xlfn.XLOOKUP(B107,'Base stats'!B:B,'Base stats'!E:E),Groups!A:A,Groups!U:U)&lt;&gt;3,_xlfn.XLOOKUP(B107,'Base stats'!B:B,'Base stats'!AY:AY),0),0.5))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stats'!AR:AR)="No","No",MROUND((LOG10(_xlfn.XLOOKUP(B107,'Base stats'!B:B,'Base stats'!AR:AR))*(AO107^0.75)+(_xlfn.XLOOKUP(B107,'Base stats'!B:B,'Base stats'!AR:AR)/1000)^(2/3)+_xlfn.XLOOKUP(B107,'Base stats'!B:B,'Base stats'!AV:AV)+_xlfn.XLOOKUP(B107,'Base stats'!B:B,'Base stats'!AY:AY))+0.5,0.5))</f>
        <v>12.5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1.9000000000000001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stats'!AQ:AQ))*(AO107^0.75)+(_xlfn.XLOOKUP(B107,'Base stats'!B:B,'Base stats'!AQ:AQ)/1000)^(2/3)+_xlfn.XLOOKUP(B107,'Base stats'!B:B,'Base stats'!AW:AW)+_xlfn.XLOOKUP(B107,'Base stats'!B:B,'Base stats'!AY:AY))+0.5,0.5))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8"/>
        <v>20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0.5</v>
      </c>
      <c r="AP107" s="8">
        <f>MROUND(AO107*_xlfn.XLOOKUP(_xlfn.XLOOKUP(B107,'Base stats'!B:B,'Base stats'!E:E),Groups!A:A,Groups!AI:AI),0.05)</f>
        <v>0.5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0.1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IFERROR(IF(_xlfn.XLOOKUP(B107,'Base stats'!B:B,'Base stats'!F:F)="Lay eggs","Lay eggs",MIN(20,MAX(5.5,ROUND(((_xlfn.XLOOKUP(B107,'Base stats'!B:B,'Base stats'!F:F)-25)*(14.5/615) + 5.5)*2,0)/2))),"Cannot breed")</f>
        <v>Lay eggs</v>
      </c>
      <c r="AT107" s="8" t="str">
        <f>IF(OR(A107="Queen",A107="Larva",A107="Megachicken",A107="Megatardi",A107="Toxscorpion"),"No",IFERROR(MAX(IF(_xlfn.XLOOKUP(B107,'Base stats'!B:B,'Base stats'!G:G)&lt;0.5,0.2,0.3),MROUND(_xlfn.XLOOKUP(B107,'Base stats'!B:B,'Base stats'!G:G)/(365/60),0.2)),"Unknown"))</f>
        <v>No</v>
      </c>
      <c r="AU107" s="8" t="str">
        <f t="shared" si="7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_xlfn.XLOOKUP(B107,'Base stats'!B:B,'Base stats'!AF:AF)</f>
        <v>&lt;li&gt;Megaspider&lt;/li&gt;</v>
      </c>
      <c r="BB107" s="2" t="str">
        <f>_xlfn.XLOOKUP(B107,'Base stats'!B:B,'Base stats'!AE:AE)</f>
        <v>No</v>
      </c>
      <c r="BC107" s="23" t="str">
        <f>_xlfn.XLOOKUP(_xlfn.XLOOKUP(B107,'Base stats'!B:B,'Base stats'!E:E),Groups!A:A,Groups!AL:AL)</f>
        <v>BeetleLike</v>
      </c>
      <c r="BD107" s="23">
        <f>MIN(1,MROUND(IF(AND(AO107&lt;0.5,_xlfn.XLOOKUP(B107,'Base stats'!B:B,'Base stats'!Z:Z)=0),0,IF(OR(_xlfn.XLOOKUP(Animals!B107,'Base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stats'!AA:AA),0.005))</f>
        <v>1</v>
      </c>
      <c r="BE107" s="23">
        <f>MIN(1,MROUND(IF(AND(AO107&lt;0.5,_xlfn.XLOOKUP(B107,'Base stats'!B:B,'Base stats'!Z:Z)=0),0,IF(_xlfn.XLOOKUP(_xlfn.XLOOKUP(B107,'Base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stats'!AB:AB),0.005))</f>
        <v>1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Advanced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0.5</v>
      </c>
      <c r="BL107" s="2">
        <f t="shared" si="10"/>
        <v>1</v>
      </c>
      <c r="BM107" s="25" t="str">
        <f>IF(_xlfn.XLOOKUP(B107,'Base stats'!B:B,'Base stats'!AL:AL)="Standard","No",MROUND((_xlfn.XLOOKUP(B107,'Base stats'!B:B,'Base stats'!AL:AL)/3.6)/I107,0.1))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stats'!AC:AC)&lt;&gt;"No",_xlfn.XLOOKUP(B107,'Base stats'!B:B,'Base stats'!AC:AC),"")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stats'!AC:AC)&lt;&gt;"No",_xlfn.XLOOKUP(B107,'Base stats'!B:B,'Base stats'!AC:AC),"")
  )
)</f>
        <v>SludgeSpew</v>
      </c>
      <c r="BQ107" s="25" t="str">
        <f>IF(
   AND(
      'Base stats'!AL107="Standard",_xlfn.XLOOKUP(_xlfn.XLOOKUP(B107,'Base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stats'!AT:AT) * 1.8) * 2) * 2.5 + 10 + I107 * 2,5)+IF(_xlfn.XLOOKUP(B107,'Base stats'!B:B,'Base stats'!AI:AI)=1,50,0)</f>
        <v>70</v>
      </c>
      <c r="BS107" s="8">
        <f t="shared" si="12"/>
        <v>0.2</v>
      </c>
      <c r="BT107" s="8" t="str">
        <f>_xlfn.XLOOKUP(B107,'Base stats'!B:B,'Base stats'!AD:AD)</f>
        <v>No</v>
      </c>
      <c r="BU107" s="2" t="str">
        <f>IF(AND(J107&lt;=0.95,OR(_xlfn.XLOOKUP(B107,'Base stats'!B:B,'Base stats'!AI:AI)=1,_xlfn.XLOOKUP(B107,'Base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stats'!AG:AG)=1,"true","false")</f>
        <v>false</v>
      </c>
      <c r="BW107" s="25" t="str">
        <f>IF(E107="BaseInsect","AnimalInsect",
IF(J107&gt;0.95,"AnimalExotic",
_xlfn.TEXTJOIN(", ",TRUE,
IF(OR(_xlfn.XLOOKUP(B107,'Base stats'!B:B,'Base stats'!AK:AK)=1,AND(_xlfn.XLOOKUP(B107,'Base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stats'!AI:AI)=1,AND(BI107&lt;&gt;"None",BR107&gt;=60),ISNUMBER(SEARCH("Attack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stats'!AH:AH)=1,"true","false")</f>
        <v>false</v>
      </c>
      <c r="BZ107" s="25">
        <f>IF(_xlfn.XLOOKUP(B107,'Base stats'!B:B,'Base stats'!N:N)=1,"No",MAX(0.01,MIN(MROUND(IF(OR(_xlfn.XLOOKUP(B107,'Base stats'!B:B,'Base stats'!AK:AK)=1,AND(BJ107="True",CC107="False")),POWER(10,3.47*LOG10(_xlfn.XLOOKUP(B107,'Base stats'!B:B,'Base stats'!C:C)*1000)^-0.96),POWER(10,4.15*LOG10(_xlfn.XLOOKUP(B107,'Base stats'!B:B,'Base stats'!C:C)*1000)^-0.73))*IF(OR(_xlfn.XLOOKUP(B107,'Base stats'!B:B,'Base stats'!AK:AK)=1,_xlfn.XLOOKUP(B107,'Base stats'!B:B,'Base stats'!AI:AI)=1),0.5,1)/100,0.025),1)))</f>
        <v>0.30000000000000004</v>
      </c>
      <c r="CA107" s="25">
        <f>IF(P107="Standard","No",MAX(0.01,IF(_xlfn.XLOOKUP(B107,'Base stats'!B:B,'Base stats'!N:N)=0,MROUND(BZ107*P107,0.05),MIN(1,MAX(0.025,MROUND(IF(OR(CC107="true",AND(BJ107="false",BO107="false")),POWER(10,4.15*LOG10(_xlfn.XLOOKUP(B107,'Base stats'!B:B,'Base stats'!C:C)*1000)^-0.73),POWER(10,3.47*LOG10(_xlfn.XLOOKUP(B107,'Base stats'!B:B,'Base stats'!C:C)*1000)^-0.96))*IF(_xlfn.XLOOKUP(B107,'Base stats'!B:B,'Base stats'!AI:AI)=1,0.5,1)/100,0.025))))))</f>
        <v>0.30000000000000004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437</v>
      </c>
      <c r="C108" s="28" t="s">
        <v>801</v>
      </c>
      <c r="D108" s="28" t="s">
        <v>882</v>
      </c>
      <c r="E108" s="28" t="s">
        <v>796</v>
      </c>
      <c r="F108" s="28" t="s">
        <v>797</v>
      </c>
      <c r="G108" s="28" t="s">
        <v>685</v>
      </c>
      <c r="H108" s="2">
        <f>MROUND((
  (IF(AND(_xlfn.XLOOKUP(B108,'Base stats'!B:B,'Base stats'!AJ:AJ)=0,BI108="None",_xlfn.XLOOKUP(_xlfn.XLOOKUP(B108,'Base stats'!B:B,'Base stats'!E:E),Groups!A:A,Groups!B:B)=0), (18 + BR108 * 2.7) * 0.5,
    IF(AND(_xlfn.XLOOKUP(B108,'Base stats'!B:B,'Base stats'!AJ:AJ)=0,OR(AO108&lt;0.55,AND(BI108="Intermediate",_xlfn.XLOOKUP(_xlfn.XLOOKUP(B108,'Base stats'!B:B,'Base stats'!E:E),Groups!A:A,Groups!B:B)&lt;2))), (18 + BR108 * 2.7),
      IF(OR(BI108="Advanced",_xlfn.XLOOKUP(B108,'Base stats'!B:B,'Base stats'!AJ:AJ)=1,_xlfn.XLOOKUP(_xlfn.XLOOKUP(B108,'Base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475</v>
      </c>
      <c r="I108" s="2">
        <f>MROUND(ROUNDDOWN(_xlfn.XLOOKUP(B108,'Base stats'!B:B,'Base stats'!L:L)/3.6/(23.3/11),1),0.5)</f>
        <v>4</v>
      </c>
      <c r="J108" s="2">
        <f>IF(_xlfn.XLOOKUP(_xlfn.XLOOKUP(B108,'Base stats'!B:B,'Base stats'!E:E),Groups!A:A,Groups!C:C)="Untamable",1,IF(_xlfn.XLOOKUP(B108,'Base stats'!B:B,'Base stats'!AJ:AJ)=1,0.99,MIN(MROUND((1-0.6282*EXP(-0.459*AO108))*_xlfn.XLOOKUP(_xlfn.XLOOKUP(B108,'Base stats'!B:B,'Base stats'!E:E),Groups!A:A,Groups!C:C)*IF(_xlfn.XLOOKUP(B108,'Base stats'!B:B,'Base stats'!O:O)=1,0.5,IF(_xlfn.XLOOKUP(B108,'Base stats'!B:B,'Base stats'!O:O)=2,0,1)),0.05),0.985)))</f>
        <v>0.60000000000000009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IF(_xlfn.XLOOKUP(_xlfn.XLOOKUP(B108,'Base stats'!B:B,'Base stats'!E:E),Groups!A:A,Groups!L:L)=1,MIN(MROUND(_xlfn.XLOOKUP(B108,'Animals CE'!B:B,'Animals CE'!Z:Z)/2+0.05,0.05),200%),"No")</f>
        <v>0.45</v>
      </c>
      <c r="O108" s="8">
        <f>IF(_xlfn.XLOOKUP(_xlfn.XLOOKUP(B108,'Base stats'!B:B,'Base stats'!E:E),Groups!A:A,Groups!L:L)=1,MIN(MROUND(_xlfn.XLOOKUP(B108,'Animals CE'!B:B,'Animals CE'!AA:AA)/2+0.05,0.05),200%),"No")</f>
        <v>0.1</v>
      </c>
      <c r="P108" s="2">
        <f>_xlfn.XLOOKUP(B108,'Base stats'!B:B,'Base stats'!R:R)</f>
        <v>1</v>
      </c>
      <c r="Q108" s="13">
        <f>MROUND((LOG10(_xlfn.XLOOKUP(B108,'Base stats'!B:B,'Base stats'!AP:AP))*(AO108^0.5)+(_xlfn.XLOOKUP(B108,'Base stats'!B:B,'Base stats'!AP:AP)/1000)^(2/3)+_xlfn.XLOOKUP(B108,'Base stats'!B:B,'Base stats'!AY:AY)/2)+0.5,0.5)</f>
        <v>5.5</v>
      </c>
      <c r="R108" s="7">
        <f>IF(Q108="No","No",MAX(1,MROUND(_xlfn.XLOOKUP(B108,'Base stats'!B:B,'Base stats'!C:C)^0.165,0.05)))</f>
        <v>1.75</v>
      </c>
      <c r="S108" s="13" t="str">
        <f>IF(_xlfn.XLOOKUP(_xlfn.XLOOKUP(B108,'Base stats'!B:B,'Base stats'!E:E),Groups!A:A,Groups!P:P)=0,"No",MROUND((LOG10(_xlfn.XLOOKUP(B108,'Base stats'!B:B,'Base stats'!AQ:AQ))*(AO108^0.5)+(_xlfn.XLOOKUP(B108,'Base stats'!B:B,'Base stats'!AQ:AQ)/1000)^(2/3)+_xlfn.XLOOKUP(B108,'Base stats'!B:B,'Base stats'!AY:AY))+_xlfn.XLOOKUP(B108,'Base stats'!B:B,'Base stats'!AW:AW)+0.5,0.5))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stats'!AS:AS))*(AO108^0.5)+(_xlfn.XLOOKUP(B108,'Base stats'!B:B,'Base stats'!AS:AS)/1000)^(2/3)+_xlfn.XLOOKUP(B108,'Base stats'!B:B,'Base stats'!AX:AX))+0.5+IF(_xlfn.XLOOKUP(_xlfn.XLOOKUP(B108,'Base stats'!B:B,'Base stats'!E:E),Groups!A:A,Groups!U:U)&lt;&gt;3,_xlfn.XLOOKUP(B108,'Base stats'!B:B,'Base stats'!AY:AY),0),0.5))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stats'!AR:AR)="No","No",MROUND((LOG10(_xlfn.XLOOKUP(B108,'Base stats'!B:B,'Base stats'!AR:AR))*(AO108^0.75)+(_xlfn.XLOOKUP(B108,'Base stats'!B:B,'Base stats'!AR:AR)/1000)^(2/3)+_xlfn.XLOOKUP(B108,'Base stats'!B:B,'Base stats'!AV:AV)+_xlfn.XLOOKUP(B108,'Base stats'!B:B,'Base stats'!AY:AY))+0.5,0.5))</f>
        <v>16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2.1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stats'!AQ:AQ))*(AO108^0.75)+(_xlfn.XLOOKUP(B108,'Base stats'!B:B,'Base stats'!AQ:AQ)/1000)^(2/3)+_xlfn.XLOOKUP(B108,'Base stats'!B:B,'Base stats'!AW:AW)+_xlfn.XLOOKUP(B108,'Base stats'!B:B,'Base stats'!AY:AY))+0.5,0.5))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8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0.70000000000000007</v>
      </c>
      <c r="AP108" s="8">
        <f>MROUND(AO108*_xlfn.XLOOKUP(_xlfn.XLOOKUP(B108,'Base stats'!B:B,'Base stats'!E:E),Groups!A:A,Groups!AI:AI),0.05)</f>
        <v>0.70000000000000007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IFERROR(IF(_xlfn.XLOOKUP(B108,'Base stats'!B:B,'Base stats'!F:F)="Lay eggs","Lay eggs",MIN(20,MAX(5.5,ROUND(((_xlfn.XLOOKUP(B108,'Base stats'!B:B,'Base stats'!F:F)-25)*(14.5/615) + 5.5)*2,0)/2))),"Cannot breed")</f>
        <v>Lay eggs</v>
      </c>
      <c r="AT108" s="8">
        <f>IF(OR(A108="Queen",A108="Larva",A108="Megachicken",A108="Megatardi",A108="Toxscorpion"),"No",IFERROR(MAX(IF(_xlfn.XLOOKUP(B108,'Base stats'!B:B,'Base stats'!G:G)&lt;0.5,0.2,0.3),MROUND(_xlfn.XLOOKUP(B108,'Base stats'!B:B,'Base stats'!G:G)/(365/60),0.2)),"Unknown"))</f>
        <v>0.3</v>
      </c>
      <c r="AU108" s="8">
        <f t="shared" si="7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_xlfn.XLOOKUP(B108,'Base stats'!B:B,'Base stats'!AF:AF)</f>
        <v>&lt;li&gt;Megaspider&lt;/li&gt;</v>
      </c>
      <c r="BB108" s="2" t="str">
        <f>_xlfn.XLOOKUP(B108,'Base stats'!B:B,'Base stats'!AE:AE)</f>
        <v>No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stats'!Z:Z)=0),0,IF(OR(_xlfn.XLOOKUP(Animals!B108,'Base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stats'!AA:AA),0.005))</f>
        <v>1</v>
      </c>
      <c r="BE108" s="23">
        <f>MIN(1,MROUND(IF(AND(AO108&lt;0.5,_xlfn.XLOOKUP(B108,'Base stats'!B:B,'Base stats'!Z:Z)=0),0,IF(_xlfn.XLOOKUP(_xlfn.XLOOKUP(B108,'Base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stats'!AB:AB),0.005))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0.75</v>
      </c>
      <c r="BL108" s="2">
        <f t="shared" si="10"/>
        <v>1</v>
      </c>
      <c r="BM108" s="25" t="str">
        <f>IF(_xlfn.XLOOKUP(B108,'Base stats'!B:B,'Base stats'!AL:AL)="Standard","No",MROUND((_xlfn.XLOOKUP(B108,'Base stats'!B:B,'Base stats'!AL:AL)/3.6)/I108,0.1))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stats'!AC:AC)&lt;&gt;"No",_xlfn.XLOOKUP(B108,'Base stats'!B:B,'Base stats'!AC:AC),"")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stats'!AC:AC)&lt;&gt;"No",_xlfn.XLOOKUP(B108,'Base stats'!B:B,'Base stats'!AC:AC),"")
  )
)</f>
        <v>AttackTarget, Forage</v>
      </c>
      <c r="BQ108" s="25" t="str">
        <f>IF(
   AND(
      'Base stats'!AL108="Standard",_xlfn.XLOOKUP(_xlfn.XLOOKUP(B108,'Base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stats'!AT:AT) * 1.8) * 2) * 2.5 + 10 + I108 * 2,5)+IF(_xlfn.XLOOKUP(B108,'Base stats'!B:B,'Base stats'!AI:AI)=1,50,0)</f>
        <v>100</v>
      </c>
      <c r="BS108" s="8">
        <f t="shared" si="12"/>
        <v>0.2</v>
      </c>
      <c r="BT108" s="8" t="str">
        <f>_xlfn.XLOOKUP(B108,'Base stats'!B:B,'Base stats'!AD:AD)</f>
        <v>No</v>
      </c>
      <c r="BU108" s="2" t="str">
        <f>IF(AND(J108&lt;=0.95,OR(_xlfn.XLOOKUP(B108,'Base stats'!B:B,'Base stats'!AI:AI)=1,_xlfn.XLOOKUP(B108,'Base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stats'!AG:AG)=1,"true","false")</f>
        <v>false</v>
      </c>
      <c r="BW108" s="25" t="str">
        <f>IF(E108="BaseInsect","AnimalInsect",
IF(J108&gt;0.95,"AnimalExotic",
_xlfn.TEXTJOIN(", ",TRUE,
IF(OR(_xlfn.XLOOKUP(B108,'Base stats'!B:B,'Base stats'!AK:AK)=1,AND(_xlfn.XLOOKUP(B108,'Base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stats'!AI:AI)=1,AND(BI108&lt;&gt;"None",BR108&gt;=60),ISNUMBER(SEARCH("Attack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stats'!AH:AH)=1,"true","false")</f>
        <v>false</v>
      </c>
      <c r="BZ108" s="25">
        <f>IF(_xlfn.XLOOKUP(B108,'Base stats'!B:B,'Base stats'!N:N)=1,"No",MAX(0.01,MIN(MROUND(IF(OR(_xlfn.XLOOKUP(B108,'Base stats'!B:B,'Base stats'!AK:AK)=1,AND(BJ108="True",CC108="False")),POWER(10,3.47*LOG10(_xlfn.XLOOKUP(B108,'Base stats'!B:B,'Base stats'!C:C)*1000)^-0.96),POWER(10,4.15*LOG10(_xlfn.XLOOKUP(B108,'Base stats'!B:B,'Base stats'!C:C)*1000)^-0.73))*IF(OR(_xlfn.XLOOKUP(B108,'Base stats'!B:B,'Base stats'!AK:AK)=1,_xlfn.XLOOKUP(B108,'Base stats'!B:B,'Base stats'!AI:AI)=1),0.5,1)/100,0.025),1)))</f>
        <v>0.25</v>
      </c>
      <c r="CA108" s="25">
        <f>IF(P108="Standard","No",MAX(0.01,IF(_xlfn.XLOOKUP(B108,'Base stats'!B:B,'Base stats'!N:N)=0,MROUND(BZ108*P108,0.05),MIN(1,MAX(0.025,MROUND(IF(OR(CC108="true",AND(BJ108="false",BO108="false")),POWER(10,4.15*LOG10(_xlfn.XLOOKUP(B108,'Base stats'!B:B,'Base stats'!C:C)*1000)^-0.73),POWER(10,3.47*LOG10(_xlfn.XLOOKUP(B108,'Base stats'!B:B,'Base stats'!C:C)*1000)^-0.96))*IF(_xlfn.XLOOKUP(B108,'Base stats'!B:B,'Base stats'!AI:AI)=1,0.5,1)/100,0.025))))))</f>
        <v>0.25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926</v>
      </c>
      <c r="C109" s="28" t="s">
        <v>802</v>
      </c>
      <c r="D109" s="28" t="s">
        <v>884</v>
      </c>
      <c r="E109" s="28" t="s">
        <v>685</v>
      </c>
      <c r="F109" s="28" t="s">
        <v>685</v>
      </c>
      <c r="G109" s="28" t="s">
        <v>685</v>
      </c>
      <c r="H109" s="2">
        <f>MROUND((
  (IF(AND(_xlfn.XLOOKUP(B109,'Base stats'!B:B,'Base stats'!AJ:AJ)=0,BI109="None",_xlfn.XLOOKUP(_xlfn.XLOOKUP(B109,'Base stats'!B:B,'Base stats'!E:E),Groups!A:A,Groups!B:B)=0), (18 + BR109 * 2.7) * 0.5,
    IF(AND(_xlfn.XLOOKUP(B109,'Base stats'!B:B,'Base stats'!AJ:AJ)=0,OR(AO109&lt;0.55,AND(BI109="Intermediate",_xlfn.XLOOKUP(_xlfn.XLOOKUP(B109,'Base stats'!B:B,'Base stats'!E:E),Groups!A:A,Groups!B:B)&lt;2))), (18 + BR109 * 2.7),
      IF(OR(BI109="Advanced",_xlfn.XLOOKUP(B109,'Base stats'!B:B,'Base stats'!AJ:AJ)=1,_xlfn.XLOOKUP(_xlfn.XLOOKUP(B109,'Base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IF(_xlfn.XLOOKUP(_xlfn.XLOOKUP(B109,'Base stats'!B:B,'Base stats'!E:E),Groups!A:A,Groups!C:C)="Untamable",1,IF(_xlfn.XLOOKUP(B109,'Base stats'!B:B,'Base stats'!AJ:AJ)=1,0.99,MIN(MROUND((1-0.6282*EXP(-0.459*AO109))*_xlfn.XLOOKUP(_xlfn.XLOOKUP(B109,'Base stats'!B:B,'Base stats'!E:E),Groups!A:A,Groups!C:C)*IF(_xlfn.XLOOKUP(B109,'Base stats'!B:B,'Base stats'!O:O)=1,0.5,IF(_xlfn.XLOOKUP(B109,'Base stats'!B:B,'Base stats'!O:O)=2,0,1)),0.05),0.985)))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IF(_xlfn.XLOOKUP(_xlfn.XLOOKUP(B109,'Base stats'!B:B,'Base stats'!E:E),Groups!A:A,Groups!L:L)=1,MIN(MROUND(_xlfn.XLOOKUP(B109,'Animals CE'!B:B,'Animals CE'!Z:Z)/2+0.05,0.05),200%),"No")</f>
        <v>No</v>
      </c>
      <c r="O109" s="8" t="str">
        <f>IF(_xlfn.XLOOKUP(_xlfn.XLOOKUP(B109,'Base stats'!B:B,'Base stats'!E:E),Groups!A:A,Groups!L:L)=1,MIN(MROUND(_xlfn.XLOOKUP(B109,'Animals CE'!B:B,'Animals CE'!AA:AA)/2+0.05,0.05),200%),"No")</f>
        <v>No</v>
      </c>
      <c r="P109" s="2" t="str">
        <f>_xlfn.XLOOKUP(B109,'Base stats'!B:B,'Base stats'!R:R)</f>
        <v>Standard</v>
      </c>
      <c r="Q109" s="13">
        <f>MROUND((LOG10(_xlfn.XLOOKUP(B109,'Base stats'!B:B,'Base stats'!AP:AP))*(AO109^0.5)+(_xlfn.XLOOKUP(B109,'Base stats'!B:B,'Base stats'!AP:AP)/1000)^(2/3)+_xlfn.XLOOKUP(B109,'Base stats'!B:B,'Base stats'!AY:AY)/2)+0.5,0.5)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stats'!AQ:AQ))*(AO109^0.5)+(_xlfn.XLOOKUP(B109,'Base stats'!B:B,'Base stats'!AQ:AQ)/1000)^(2/3)+_xlfn.XLOOKUP(B109,'Base stats'!B:B,'Base stats'!AY:AY))+_xlfn.XLOOKUP(B109,'Base stats'!B:B,'Base stats'!AW:AW)+0.5,0.5))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stats'!AS:AS))*(AO109^0.5)+(_xlfn.XLOOKUP(B109,'Base stats'!B:B,'Base stats'!AS:AS)/1000)^(2/3)+_xlfn.XLOOKUP(B109,'Base stats'!B:B,'Base stats'!AX:AX))+0.5+IF(_xlfn.XLOOKUP(_xlfn.XLOOKUP(B109,'Base stats'!B:B,'Base stats'!E:E),Groups!A:A,Groups!U:U)&lt;&gt;3,_xlfn.XLOOKUP(B109,'Base stats'!B:B,'Base stats'!AY:AY),0),0.5))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stats'!AR:AR)="No","No",MROUND((LOG10(_xlfn.XLOOKUP(B109,'Base stats'!B:B,'Base stats'!AR:AR))*(AO109^0.75)+(_xlfn.XLOOKUP(B109,'Base stats'!B:B,'Base stats'!AR:AR)/1000)^(2/3)+_xlfn.XLOOKUP(B109,'Base stats'!B:B,'Base stats'!AV:AV)+_xlfn.XLOOKUP(B109,'Base stats'!B:B,'Base stats'!AY:AY))+0.5,0.5))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stats'!AQ:AQ))*(AO109^0.75)+(_xlfn.XLOOKUP(B109,'Base stats'!B:B,'Base stats'!AQ:AQ)/1000)^(2/3)+_xlfn.XLOOKUP(B109,'Base stats'!B:B,'Base stats'!AW:AW)+_xlfn.XLOOKUP(B109,'Base stats'!B:B,'Base stats'!AY:AY))+0.5,0.5))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8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IFERROR(IF(_xlfn.XLOOKUP(B109,'Base stats'!B:B,'Base stats'!F:F)="Lay eggs","Lay eggs",MIN(20,MAX(5.5,ROUND(((_xlfn.XLOOKUP(B109,'Base stats'!B:B,'Base stats'!F:F)-25)*(14.5/615) + 5.5)*2,0)/2))),"Cannot breed")</f>
        <v>6.5</v>
      </c>
      <c r="AT109" s="8">
        <f>IF(OR(A109="Queen",A109="Larva",A109="Megachicken",A109="Megatardi",A109="Toxscorpion"),"No",IFERROR(MAX(IF(_xlfn.XLOOKUP(B109,'Base stats'!B:B,'Base stats'!G:G)&lt;0.5,0.2,0.3),MROUND(_xlfn.XLOOKUP(B109,'Base stats'!B:B,'Base stats'!G:G)/(365/60),0.2)),"Unknown"))</f>
        <v>0.3</v>
      </c>
      <c r="AU109" s="8">
        <f t="shared" si="7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_xlfn.XLOOKUP(B109,'Base stats'!B:B,'Base stats'!AF:AF)</f>
        <v>&lt;li&gt;Wolf_Timber&lt;/li&gt;</v>
      </c>
      <c r="BB109" s="2" t="str">
        <f>_xlfn.XLOOKUP(B109,'Base stats'!B:B,'Base stats'!AE:AE)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stats'!Z:Z)=0),0,IF(OR(_xlfn.XLOOKUP(Animals!B109,'Base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stats'!AA:AA),0.005))</f>
        <v>0.1</v>
      </c>
      <c r="BE109" s="23">
        <f>MIN(1,MROUND(IF(AND(AO109&lt;0.5,_xlfn.XLOOKUP(B109,'Base stats'!B:B,'Base stats'!Z:Z)=0),0,IF(_xlfn.XLOOKUP(_xlfn.XLOOKUP(B109,'Base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stats'!AB:AB),0.005))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stats'!AL:AL)="Standard","No",MROUND((_xlfn.XLOOKUP(B109,'Base stats'!B:B,'Base stats'!AL:AL)/3.6)/I109,0.1))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stats'!AC:AC)&lt;&gt;"No",_xlfn.XLOOKUP(B109,'Base stats'!B:B,'Base stats'!AC:AC),"")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stats'!AC:AC)&lt;&gt;"No",_xlfn.XLOOKUP(B109,'Base stats'!B:B,'Base stats'!AC:AC),"")
  )
)</f>
        <v>No</v>
      </c>
      <c r="BQ109" s="25" t="str">
        <f>IF(
   AND(
      'Base stats'!AL109="Standard",_xlfn.XLOOKUP(_xlfn.XLOOKUP(B109,'Base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stats'!AT:AT) * 1.8) * 2) * 2.5 + 10 + I109 * 2,5)+IF(_xlfn.XLOOKUP(B109,'Base stats'!B:B,'Base stats'!AI:AI)=1,50,0)</f>
        <v>70</v>
      </c>
      <c r="BS109" s="8">
        <f t="shared" si="12"/>
        <v>0.4</v>
      </c>
      <c r="BT109" s="8" t="str">
        <f>_xlfn.XLOOKUP(B109,'Base stats'!B:B,'Base stats'!AD:AD)</f>
        <v>2~6</v>
      </c>
      <c r="BU109" s="2" t="str">
        <f>IF(AND(J109&lt;=0.95,OR(_xlfn.XLOOKUP(B109,'Base stats'!B:B,'Base stats'!AI:AI)=1,_xlfn.XLOOKUP(B109,'Base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stats'!AG:AG)=1,"true","false")</f>
        <v>false</v>
      </c>
      <c r="BW109" s="25" t="str">
        <f>IF(E109="BaseInsect","AnimalInsect",
IF(J109&gt;0.95,"AnimalExotic",
_xlfn.TEXTJOIN(", ",TRUE,
IF(OR(_xlfn.XLOOKUP(B109,'Base stats'!B:B,'Base stats'!AK:AK)=1,AND(_xlfn.XLOOKUP(B109,'Base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stats'!AI:AI)=1,AND(BI109&lt;&gt;"None",BR109&gt;=60),ISNUMBER(SEARCH("Attack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stats'!AH:AH)=1,"true","false")</f>
        <v>false</v>
      </c>
      <c r="BZ109" s="25">
        <f>IF(_xlfn.XLOOKUP(B109,'Base stats'!B:B,'Base stats'!N:N)=1,"No",MAX(0.01,MIN(MROUND(IF(OR(_xlfn.XLOOKUP(B109,'Base stats'!B:B,'Base stats'!AK:AK)=1,AND(BJ109="True",CC109="False")),POWER(10,3.47*LOG10(_xlfn.XLOOKUP(B109,'Base stats'!B:B,'Base stats'!C:C)*1000)^-0.96),POWER(10,4.15*LOG10(_xlfn.XLOOKUP(B109,'Base stats'!B:B,'Base stats'!C:C)*1000)^-0.73))*IF(OR(_xlfn.XLOOKUP(B109,'Base stats'!B:B,'Base stats'!AK:AK)=1,_xlfn.XLOOKUP(B109,'Base stats'!B:B,'Base stats'!AI:AI)=1),0.5,1)/100,0.025),1)))</f>
        <v>7.5000000000000011E-2</v>
      </c>
      <c r="CA109" s="25" t="str">
        <f>IF(P109="Standard","No",MAX(0.01,IF(_xlfn.XLOOKUP(B109,'Base stats'!B:B,'Base stats'!N:N)=0,MROUND(BZ109*P109,0.05),MIN(1,MAX(0.025,MROUND(IF(OR(CC109="true",AND(BJ109="false",BO109="false")),POWER(10,4.15*LOG10(_xlfn.XLOOKUP(B109,'Base stats'!B:B,'Base stats'!C:C)*1000)^-0.73),POWER(10,3.47*LOG10(_xlfn.XLOOKUP(B109,'Base stats'!B:B,'Base stats'!C:C)*1000)^-0.96))*IF(_xlfn.XLOOKUP(B109,'Base stats'!B:B,'Base stats'!AI:AI)=1,0.5,1)/100,0.025))))))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141</v>
      </c>
      <c r="C110" s="28" t="s">
        <v>803</v>
      </c>
      <c r="D110" s="28" t="s">
        <v>884</v>
      </c>
      <c r="E110" s="28" t="s">
        <v>685</v>
      </c>
      <c r="F110" s="28" t="s">
        <v>685</v>
      </c>
      <c r="G110" s="28" t="s">
        <v>685</v>
      </c>
      <c r="H110" s="2">
        <f>MROUND((
  (IF(AND(_xlfn.XLOOKUP(B110,'Base stats'!B:B,'Base stats'!AJ:AJ)=0,BI110="None",_xlfn.XLOOKUP(_xlfn.XLOOKUP(B110,'Base stats'!B:B,'Base stats'!E:E),Groups!A:A,Groups!B:B)=0), (18 + BR110 * 2.7) * 0.5,
    IF(AND(_xlfn.XLOOKUP(B110,'Base stats'!B:B,'Base stats'!AJ:AJ)=0,OR(AO110&lt;0.55,AND(BI110="Intermediate",_xlfn.XLOOKUP(_xlfn.XLOOKUP(B110,'Base stats'!B:B,'Base stats'!E:E),Groups!A:A,Groups!B:B)&lt;2))), (18 + BR110 * 2.7),
      IF(OR(BI110="Advanced",_xlfn.XLOOKUP(B110,'Base stats'!B:B,'Base stats'!AJ:AJ)=1,_xlfn.XLOOKUP(_xlfn.XLOOKUP(B110,'Base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IF(_xlfn.XLOOKUP(_xlfn.XLOOKUP(B110,'Base stats'!B:B,'Base stats'!E:E),Groups!A:A,Groups!C:C)="Untamable",1,IF(_xlfn.XLOOKUP(B110,'Base stats'!B:B,'Base stats'!AJ:AJ)=1,0.99,MIN(MROUND((1-0.6282*EXP(-0.459*AO110))*_xlfn.XLOOKUP(_xlfn.XLOOKUP(B110,'Base stats'!B:B,'Base stats'!E:E),Groups!A:A,Groups!C:C)*IF(_xlfn.XLOOKUP(B110,'Base stats'!B:B,'Base stats'!O:O)=1,0.5,IF(_xlfn.XLOOKUP(B110,'Base stats'!B:B,'Base stats'!O:O)=2,0,1)),0.05),0.985)))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IF(_xlfn.XLOOKUP(_xlfn.XLOOKUP(B110,'Base stats'!B:B,'Base stats'!E:E),Groups!A:A,Groups!L:L)=1,MIN(MROUND(_xlfn.XLOOKUP(B110,'Animals CE'!B:B,'Animals CE'!Z:Z)/2+0.05,0.05),200%),"No")</f>
        <v>No</v>
      </c>
      <c r="O110" s="8" t="str">
        <f>IF(_xlfn.XLOOKUP(_xlfn.XLOOKUP(B110,'Base stats'!B:B,'Base stats'!E:E),Groups!A:A,Groups!L:L)=1,MIN(MROUND(_xlfn.XLOOKUP(B110,'Animals CE'!B:B,'Animals CE'!AA:AA)/2+0.05,0.05),200%),"No")</f>
        <v>No</v>
      </c>
      <c r="P110" s="2" t="str">
        <f>_xlfn.XLOOKUP(B110,'Base stats'!B:B,'Base stats'!R:R)</f>
        <v>Standard</v>
      </c>
      <c r="Q110" s="13">
        <f>MROUND((LOG10(_xlfn.XLOOKUP(B110,'Base stats'!B:B,'Base stats'!AP:AP))*(AO110^0.5)+(_xlfn.XLOOKUP(B110,'Base stats'!B:B,'Base stats'!AP:AP)/1000)^(2/3)+_xlfn.XLOOKUP(B110,'Base stats'!B:B,'Base stats'!AY:AY)/2)+0.5,0.5)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stats'!AQ:AQ))*(AO110^0.5)+(_xlfn.XLOOKUP(B110,'Base stats'!B:B,'Base stats'!AQ:AQ)/1000)^(2/3)+_xlfn.XLOOKUP(B110,'Base stats'!B:B,'Base stats'!AY:AY))+_xlfn.XLOOKUP(B110,'Base stats'!B:B,'Base stats'!AW:AW)+0.5,0.5))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stats'!AS:AS))*(AO110^0.5)+(_xlfn.XLOOKUP(B110,'Base stats'!B:B,'Base stats'!AS:AS)/1000)^(2/3)+_xlfn.XLOOKUP(B110,'Base stats'!B:B,'Base stats'!AX:AX))+0.5+IF(_xlfn.XLOOKUP(_xlfn.XLOOKUP(B110,'Base stats'!B:B,'Base stats'!E:E),Groups!A:A,Groups!U:U)&lt;&gt;3,_xlfn.XLOOKUP(B110,'Base stats'!B:B,'Base stats'!AY:AY),0),0.5))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stats'!AR:AR)="No","No",MROUND((LOG10(_xlfn.XLOOKUP(B110,'Base stats'!B:B,'Base stats'!AR:AR))*(AO110^0.75)+(_xlfn.XLOOKUP(B110,'Base stats'!B:B,'Base stats'!AR:AR)/1000)^(2/3)+_xlfn.XLOOKUP(B110,'Base stats'!B:B,'Base stats'!AV:AV)+_xlfn.XLOOKUP(B110,'Base stats'!B:B,'Base stats'!AY:AY))+0.5,0.5))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stats'!AQ:AQ))*(AO110^0.75)+(_xlfn.XLOOKUP(B110,'Base stats'!B:B,'Base stats'!AQ:AQ)/1000)^(2/3)+_xlfn.XLOOKUP(B110,'Base stats'!B:B,'Base stats'!AW:AW)+_xlfn.XLOOKUP(B110,'Base stats'!B:B,'Base stats'!AY:AY))+0.5,0.5))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8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IFERROR(IF(_xlfn.XLOOKUP(B110,'Base stats'!B:B,'Base stats'!F:F)="Lay eggs","Lay eggs",MIN(20,MAX(5.5,ROUND(((_xlfn.XLOOKUP(B110,'Base stats'!B:B,'Base stats'!F:F)-25)*(14.5/615) + 5.5)*2,0)/2))),"Cannot breed")</f>
        <v>15.5</v>
      </c>
      <c r="AT110" s="8">
        <f>IF(OR(A110="Queen",A110="Larva",A110="Megachicken",A110="Megatardi",A110="Toxscorpion"),"No",IFERROR(MAX(IF(_xlfn.XLOOKUP(B110,'Base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7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_xlfn.XLOOKUP(B110,'Base stats'!B:B,'Base stats'!AF:AF)</f>
        <v>No</v>
      </c>
      <c r="BB110" s="2" t="str">
        <f>_xlfn.XLOOKUP(B110,'Base stats'!B:B,'Base stats'!AE:AE)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stats'!Z:Z)=0),0,IF(OR(_xlfn.XLOOKUP(Animals!B110,'Base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stats'!AA:AA),0.005))</f>
        <v>0</v>
      </c>
      <c r="BE110" s="23">
        <f>MIN(1,MROUND(IF(AND(AO110&lt;0.5,_xlfn.XLOOKUP(B110,'Base stats'!B:B,'Base stats'!Z:Z)=0),0,IF(_xlfn.XLOOKUP(_xlfn.XLOOKUP(B110,'Base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stats'!AB:AB),0.005))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stats'!AL:AL)="Standard","No",MROUND((_xlfn.XLOOKUP(B110,'Base stats'!B:B,'Base stats'!AL:AL)/3.6)/I110,0.1))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stats'!AC:AC)&lt;&gt;"No",_xlfn.XLOOKUP(B110,'Base stats'!B:B,'Base stats'!AC:AC),"")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stats'!AC:AC)&lt;&gt;"No",_xlfn.XLOOKUP(B110,'Base stats'!B:B,'Base stats'!AC:AC),"")
  )
)</f>
        <v>No</v>
      </c>
      <c r="BQ110" s="25" t="str">
        <f>IF(
   AND(
      'Base stats'!AL110="Standard",_xlfn.XLOOKUP(_xlfn.XLOOKUP(B110,'Base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stats'!AT:AT) * 1.8) * 2) * 2.5 + 10 + I110 * 2,5)+IF(_xlfn.XLOOKUP(B110,'Base stats'!B:B,'Base stats'!AI:AI)=1,50,0)</f>
        <v>235</v>
      </c>
      <c r="BS110" s="8">
        <f t="shared" si="12"/>
        <v>2.1</v>
      </c>
      <c r="BT110" s="8" t="str">
        <f>_xlfn.XLOOKUP(B110,'Base stats'!B:B,'Base stats'!AD:AD)</f>
        <v>3~10</v>
      </c>
      <c r="BU110" s="2" t="str">
        <f>IF(AND(J110&lt;=0.95,OR(_xlfn.XLOOKUP(B110,'Base stats'!B:B,'Base stats'!AI:AI)=1,_xlfn.XLOOKUP(B110,'Base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stats'!AG:AG)=1,"true","false")</f>
        <v>false</v>
      </c>
      <c r="BW110" s="25" t="str">
        <f>IF(E110="BaseInsect","AnimalInsect",
IF(J110&gt;0.95,"AnimalExotic",
_xlfn.TEXTJOIN(", ",TRUE,
IF(OR(_xlfn.XLOOKUP(B110,'Base stats'!B:B,'Base stats'!AK:AK)=1,AND(_xlfn.XLOOKUP(B110,'Base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stats'!AI:AI)=1,AND(BI110&lt;&gt;"None",BR110&gt;=60),ISNUMBER(SEARCH("Attack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stats'!AH:AH)=1,"true","false")</f>
        <v>false</v>
      </c>
      <c r="BZ110" s="25">
        <f>IF(_xlfn.XLOOKUP(B110,'Base stats'!B:B,'Base stats'!N:N)=1,"No",MAX(0.01,MIN(MROUND(IF(OR(_xlfn.XLOOKUP(B110,'Base stats'!B:B,'Base stats'!AK:AK)=1,AND(BJ110="True",CC110="False")),POWER(10,3.47*LOG10(_xlfn.XLOOKUP(B110,'Base stats'!B:B,'Base stats'!C:C)*1000)^-0.96),POWER(10,4.15*LOG10(_xlfn.XLOOKUP(B110,'Base stats'!B:B,'Base stats'!C:C)*1000)^-0.73))*IF(OR(_xlfn.XLOOKUP(B110,'Base stats'!B:B,'Base stats'!AK:AK)=1,_xlfn.XLOOKUP(B110,'Base stats'!B:B,'Base stats'!AI:AI)=1),0.5,1)/100,0.025),1)))</f>
        <v>0.125</v>
      </c>
      <c r="CA110" s="25" t="str">
        <f>IF(P110="Standard","No",MAX(0.01,IF(_xlfn.XLOOKUP(B110,'Base stats'!B:B,'Base stats'!N:N)=0,MROUND(BZ110*P110,0.05),MIN(1,MAX(0.025,MROUND(IF(OR(CC110="true",AND(BJ110="false",BO110="false")),POWER(10,4.15*LOG10(_xlfn.XLOOKUP(B110,'Base stats'!B:B,'Base stats'!C:C)*1000)^-0.73),POWER(10,3.47*LOG10(_xlfn.XLOOKUP(B110,'Base stats'!B:B,'Base stats'!C:C)*1000)^-0.96))*IF(_xlfn.XLOOKUP(B110,'Base stats'!B:B,'Base stats'!AI:AI)=1,0.5,1)/100,0.025))))))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95</v>
      </c>
      <c r="C111" s="28" t="s">
        <v>804</v>
      </c>
      <c r="D111" s="28" t="s">
        <v>884</v>
      </c>
      <c r="E111" s="28" t="s">
        <v>685</v>
      </c>
      <c r="F111" s="28" t="s">
        <v>685</v>
      </c>
      <c r="G111" s="28" t="s">
        <v>685</v>
      </c>
      <c r="H111" s="2">
        <f>MROUND((
  (IF(AND(_xlfn.XLOOKUP(B111,'Base stats'!B:B,'Base stats'!AJ:AJ)=0,BI111="None",_xlfn.XLOOKUP(_xlfn.XLOOKUP(B111,'Base stats'!B:B,'Base stats'!E:E),Groups!A:A,Groups!B:B)=0), (18 + BR111 * 2.7) * 0.5,
    IF(AND(_xlfn.XLOOKUP(B111,'Base stats'!B:B,'Base stats'!AJ:AJ)=0,OR(AO111&lt;0.55,AND(BI111="Intermediate",_xlfn.XLOOKUP(_xlfn.XLOOKUP(B111,'Base stats'!B:B,'Base stats'!E:E),Groups!A:A,Groups!B:B)&lt;2))), (18 + BR111 * 2.7),
      IF(OR(BI111="Advanced",_xlfn.XLOOKUP(B111,'Base stats'!B:B,'Base stats'!AJ:AJ)=1,_xlfn.XLOOKUP(_xlfn.XLOOKUP(B111,'Base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IF(_xlfn.XLOOKUP(_xlfn.XLOOKUP(B111,'Base stats'!B:B,'Base stats'!E:E),Groups!A:A,Groups!C:C)="Untamable",1,IF(_xlfn.XLOOKUP(B111,'Base stats'!B:B,'Base stats'!AJ:AJ)=1,0.99,MIN(MROUND((1-0.6282*EXP(-0.459*AO111))*_xlfn.XLOOKUP(_xlfn.XLOOKUP(B111,'Base stats'!B:B,'Base stats'!E:E),Groups!A:A,Groups!C:C)*IF(_xlfn.XLOOKUP(B111,'Base stats'!B:B,'Base stats'!O:O)=1,0.5,IF(_xlfn.XLOOKUP(B111,'Base stats'!B:B,'Base stats'!O:O)=2,0,1)),0.05),0.985)))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IF(_xlfn.XLOOKUP(_xlfn.XLOOKUP(B111,'Base stats'!B:B,'Base stats'!E:E),Groups!A:A,Groups!L:L)=1,MIN(MROUND(_xlfn.XLOOKUP(B111,'Animals CE'!B:B,'Animals CE'!Z:Z)/2+0.05,0.05),200%),"No")</f>
        <v>No</v>
      </c>
      <c r="O111" s="8" t="str">
        <f>IF(_xlfn.XLOOKUP(_xlfn.XLOOKUP(B111,'Base stats'!B:B,'Base stats'!E:E),Groups!A:A,Groups!L:L)=1,MIN(MROUND(_xlfn.XLOOKUP(B111,'Animals CE'!B:B,'Animals CE'!AA:AA)/2+0.05,0.05),200%),"No")</f>
        <v>No</v>
      </c>
      <c r="P111" s="2" t="str">
        <f>_xlfn.XLOOKUP(B111,'Base stats'!B:B,'Base stats'!R:R)</f>
        <v>Standard</v>
      </c>
      <c r="Q111" s="13">
        <f>MROUND((LOG10(_xlfn.XLOOKUP(B111,'Base stats'!B:B,'Base stats'!AP:AP))*(AO111^0.5)+(_xlfn.XLOOKUP(B111,'Base stats'!B:B,'Base stats'!AP:AP)/1000)^(2/3)+_xlfn.XLOOKUP(B111,'Base stats'!B:B,'Base stats'!AY:AY)/2)+0.5,0.5)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stats'!AQ:AQ))*(AO111^0.5)+(_xlfn.XLOOKUP(B111,'Base stats'!B:B,'Base stats'!AQ:AQ)/1000)^(2/3)+_xlfn.XLOOKUP(B111,'Base stats'!B:B,'Base stats'!AY:AY))+_xlfn.XLOOKUP(B111,'Base stats'!B:B,'Base stats'!AW:AW)+0.5,0.5))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stats'!AS:AS))*(AO111^0.5)+(_xlfn.XLOOKUP(B111,'Base stats'!B:B,'Base stats'!AS:AS)/1000)^(2/3)+_xlfn.XLOOKUP(B111,'Base stats'!B:B,'Base stats'!AX:AX))+0.5+IF(_xlfn.XLOOKUP(_xlfn.XLOOKUP(B111,'Base stats'!B:B,'Base stats'!E:E),Groups!A:A,Groups!U:U)&lt;&gt;3,_xlfn.XLOOKUP(B111,'Base stats'!B:B,'Base stats'!AY:AY),0),0.5))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stats'!AR:AR)="No","No",MROUND((LOG10(_xlfn.XLOOKUP(B111,'Base stats'!B:B,'Base stats'!AR:AR))*(AO111^0.75)+(_xlfn.XLOOKUP(B111,'Base stats'!B:B,'Base stats'!AR:AR)/1000)^(2/3)+_xlfn.XLOOKUP(B111,'Base stats'!B:B,'Base stats'!AV:AV)+_xlfn.XLOOKUP(B111,'Base stats'!B:B,'Base stats'!AY:AY))+0.5,0.5))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stats'!AQ:AQ))*(AO111^0.75)+(_xlfn.XLOOKUP(B111,'Base stats'!B:B,'Base stats'!AQ:AQ)/1000)^(2/3)+_xlfn.XLOOKUP(B111,'Base stats'!B:B,'Base stats'!AW:AW)+_xlfn.XLOOKUP(B111,'Base stats'!B:B,'Base stats'!AY:AY))+0.5,0.5))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8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IFERROR(IF(_xlfn.XLOOKUP(B111,'Base stats'!B:B,'Base stats'!F:F)="Lay eggs","Lay eggs",MIN(20,MAX(5.5,ROUND(((_xlfn.XLOOKUP(B111,'Base stats'!B:B,'Base stats'!F:F)-25)*(14.5/615) + 5.5)*2,0)/2))),"Cannot breed")</f>
        <v>13.5</v>
      </c>
      <c r="AT111" s="8">
        <f>IF(OR(A111="Queen",A111="Larva",A111="Megachicken",A111="Megatardi",A111="Toxscorpion"),"No",IFERROR(MAX(IF(_xlfn.XLOOKUP(B111,'Base stats'!B:B,'Base stats'!G:G)&lt;0.5,0.2,0.3),MROUND(_xlfn.XLOOKUP(B111,'Base stats'!B:B,'Base stats'!G:G)/(365/60),0.2)),"Unknown"))</f>
        <v>0.4</v>
      </c>
      <c r="AU111" s="8">
        <f t="shared" si="7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_xlfn.XLOOKUP(B111,'Base stats'!B:B,'Base stats'!AF:AF)</f>
        <v>&lt;li&gt;Horse&lt;/li&gt;</v>
      </c>
      <c r="BB111" s="2" t="str">
        <f>_xlfn.XLOOKUP(B111,'Base stats'!B:B,'Base stats'!AE:AE)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stats'!Z:Z)=0),0,IF(OR(_xlfn.XLOOKUP(Animals!B111,'Base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stats'!AA:AA),0.005))</f>
        <v>0</v>
      </c>
      <c r="BE111" s="23">
        <f>MIN(1,MROUND(IF(AND(AO111&lt;0.5,_xlfn.XLOOKUP(B111,'Base stats'!B:B,'Base stats'!Z:Z)=0),0,IF(_xlfn.XLOOKUP(_xlfn.XLOOKUP(B111,'Base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stats'!AB:AB),0.005))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stats'!AL:AL)="Standard","No",MROUND((_xlfn.XLOOKUP(B111,'Base stats'!B:B,'Base stats'!AL:AL)/3.6)/I111,0.1))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stats'!AC:AC)&lt;&gt;"No",_xlfn.XLOOKUP(B111,'Base stats'!B:B,'Base stats'!AC:AC),"")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stats'!AC:AC)&lt;&gt;"No",_xlfn.XLOOKUP(B111,'Base stats'!B:B,'Base stats'!AC:AC),"")
  )
)</f>
        <v>No</v>
      </c>
      <c r="BQ111" s="25" t="str">
        <f>IF(
   AND(
      'Base stats'!AL111="Standard",_xlfn.XLOOKUP(_xlfn.XLOOKUP(B111,'Base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stats'!AT:AT) * 1.8) * 2) * 2.5 + 10 + I111 * 2,5)+IF(_xlfn.XLOOKUP(B111,'Base stats'!B:B,'Base stats'!AI:AI)=1,50,0)</f>
        <v>160</v>
      </c>
      <c r="BS111" s="8">
        <f t="shared" si="12"/>
        <v>1.2000000000000002</v>
      </c>
      <c r="BT111" s="8" t="str">
        <f>_xlfn.XLOOKUP(B111,'Base stats'!B:B,'Base stats'!AD:AD)</f>
        <v>5~15</v>
      </c>
      <c r="BU111" s="2" t="str">
        <f>IF(AND(J111&lt;=0.95,OR(_xlfn.XLOOKUP(B111,'Base stats'!B:B,'Base stats'!AI:AI)=1,_xlfn.XLOOKUP(B111,'Base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stats'!AG:AG)=1,"true","false")</f>
        <v>false</v>
      </c>
      <c r="BW111" s="25" t="str">
        <f>IF(E111="BaseInsect","AnimalInsect",
IF(J111&gt;0.95,"AnimalExotic",
_xlfn.TEXTJOIN(", ",TRUE,
IF(OR(_xlfn.XLOOKUP(B111,'Base stats'!B:B,'Base stats'!AK:AK)=1,AND(_xlfn.XLOOKUP(B111,'Base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stats'!AI:AI)=1,AND(BI111&lt;&gt;"None",BR111&gt;=60),ISNUMBER(SEARCH("Attack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stats'!AH:AH)=1,"true","false")</f>
        <v>false</v>
      </c>
      <c r="BZ111" s="25">
        <f>IF(_xlfn.XLOOKUP(B111,'Base stats'!B:B,'Base stats'!N:N)=1,"No",MAX(0.01,MIN(MROUND(IF(OR(_xlfn.XLOOKUP(B111,'Base stats'!B:B,'Base stats'!AK:AK)=1,AND(BJ111="True",CC111="False")),POWER(10,3.47*LOG10(_xlfn.XLOOKUP(B111,'Base stats'!B:B,'Base stats'!C:C)*1000)^-0.96),POWER(10,4.15*LOG10(_xlfn.XLOOKUP(B111,'Base stats'!B:B,'Base stats'!C:C)*1000)^-0.73))*IF(OR(_xlfn.XLOOKUP(B111,'Base stats'!B:B,'Base stats'!AK:AK)=1,_xlfn.XLOOKUP(B111,'Base stats'!B:B,'Base stats'!AI:AI)=1),0.5,1)/100,0.025),1)))</f>
        <v>0.15000000000000002</v>
      </c>
      <c r="CA111" s="25" t="str">
        <f>IF(P111="Standard","No",MAX(0.01,IF(_xlfn.XLOOKUP(B111,'Base stats'!B:B,'Base stats'!N:N)=0,MROUND(BZ111*P111,0.05),MIN(1,MAX(0.025,MROUND(IF(OR(CC111="true",AND(BJ111="false",BO111="false")),POWER(10,4.15*LOG10(_xlfn.XLOOKUP(B111,'Base stats'!B:B,'Base stats'!C:C)*1000)^-0.73),POWER(10,3.47*LOG10(_xlfn.XLOOKUP(B111,'Base stats'!B:B,'Base stats'!C:C)*1000)^-0.96))*IF(_xlfn.XLOOKUP(B111,'Base stats'!B:B,'Base stats'!AI:AI)=1,0.5,1)/100,0.025))))))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153</v>
      </c>
      <c r="C112" s="28" t="s">
        <v>805</v>
      </c>
      <c r="D112" s="28" t="s">
        <v>884</v>
      </c>
      <c r="E112" s="28" t="s">
        <v>685</v>
      </c>
      <c r="F112" s="28" t="s">
        <v>685</v>
      </c>
      <c r="G112" s="28" t="s">
        <v>685</v>
      </c>
      <c r="H112" s="2">
        <f>MROUND((
  (IF(AND(_xlfn.XLOOKUP(B112,'Base stats'!B:B,'Base stats'!AJ:AJ)=0,BI112="None",_xlfn.XLOOKUP(_xlfn.XLOOKUP(B112,'Base stats'!B:B,'Base stats'!E:E),Groups!A:A,Groups!B:B)=0), (18 + BR112 * 2.7) * 0.5,
    IF(AND(_xlfn.XLOOKUP(B112,'Base stats'!B:B,'Base stats'!AJ:AJ)=0,OR(AO112&lt;0.55,AND(BI112="Intermediate",_xlfn.XLOOKUP(_xlfn.XLOOKUP(B112,'Base stats'!B:B,'Base stats'!E:E),Groups!A:A,Groups!B:B)&lt;2))), (18 + BR112 * 2.7),
      IF(OR(BI112="Advanced",_xlfn.XLOOKUP(B112,'Base stats'!B:B,'Base stats'!AJ:AJ)=1,_xlfn.XLOOKUP(_xlfn.XLOOKUP(B112,'Base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IF(_xlfn.XLOOKUP(_xlfn.XLOOKUP(B112,'Base stats'!B:B,'Base stats'!E:E),Groups!A:A,Groups!C:C)="Untamable",1,IF(_xlfn.XLOOKUP(B112,'Base stats'!B:B,'Base stats'!AJ:AJ)=1,0.99,MIN(MROUND((1-0.6282*EXP(-0.459*AO112))*_xlfn.XLOOKUP(_xlfn.XLOOKUP(B112,'Base stats'!B:B,'Base stats'!E:E),Groups!A:A,Groups!C:C)*IF(_xlfn.XLOOKUP(B112,'Base stats'!B:B,'Base stats'!O:O)=1,0.5,IF(_xlfn.XLOOKUP(B112,'Base stats'!B:B,'Base stats'!O:O)=2,0,1)),0.05),0.985)))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IF(_xlfn.XLOOKUP(_xlfn.XLOOKUP(B112,'Base stats'!B:B,'Base stats'!E:E),Groups!A:A,Groups!L:L)=1,MIN(MROUND(_xlfn.XLOOKUP(B112,'Animals CE'!B:B,'Animals CE'!Z:Z)/2+0.05,0.05),200%),"No")</f>
        <v>No</v>
      </c>
      <c r="O112" s="8" t="str">
        <f>IF(_xlfn.XLOOKUP(_xlfn.XLOOKUP(B112,'Base stats'!B:B,'Base stats'!E:E),Groups!A:A,Groups!L:L)=1,MIN(MROUND(_xlfn.XLOOKUP(B112,'Animals CE'!B:B,'Animals CE'!AA:AA)/2+0.05,0.05),200%),"No")</f>
        <v>No</v>
      </c>
      <c r="P112" s="2" t="str">
        <f>_xlfn.XLOOKUP(B112,'Base stats'!B:B,'Base stats'!R:R)</f>
        <v>Standard</v>
      </c>
      <c r="Q112" s="13">
        <f>MROUND((LOG10(_xlfn.XLOOKUP(B112,'Base stats'!B:B,'Base stats'!AP:AP))*(AO112^0.5)+(_xlfn.XLOOKUP(B112,'Base stats'!B:B,'Base stats'!AP:AP)/1000)^(2/3)+_xlfn.XLOOKUP(B112,'Base stats'!B:B,'Base stats'!AY:AY)/2)+0.5,0.5)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stats'!AQ:AQ))*(AO112^0.5)+(_xlfn.XLOOKUP(B112,'Base stats'!B:B,'Base stats'!AQ:AQ)/1000)^(2/3)+_xlfn.XLOOKUP(B112,'Base stats'!B:B,'Base stats'!AY:AY))+_xlfn.XLOOKUP(B112,'Base stats'!B:B,'Base stats'!AW:AW)+0.5,0.5))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stats'!AS:AS))*(AO112^0.5)+(_xlfn.XLOOKUP(B112,'Base stats'!B:B,'Base stats'!AS:AS)/1000)^(2/3)+_xlfn.XLOOKUP(B112,'Base stats'!B:B,'Base stats'!AX:AX))+0.5+IF(_xlfn.XLOOKUP(_xlfn.XLOOKUP(B112,'Base stats'!B:B,'Base stats'!E:E),Groups!A:A,Groups!U:U)&lt;&gt;3,_xlfn.XLOOKUP(B112,'Base stats'!B:B,'Base stats'!AY:AY),0),0.5))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stats'!AR:AR)="No","No",MROUND((LOG10(_xlfn.XLOOKUP(B112,'Base stats'!B:B,'Base stats'!AR:AR))*(AO112^0.75)+(_xlfn.XLOOKUP(B112,'Base stats'!B:B,'Base stats'!AR:AR)/1000)^(2/3)+_xlfn.XLOOKUP(B112,'Base stats'!B:B,'Base stats'!AV:AV)+_xlfn.XLOOKUP(B112,'Base stats'!B:B,'Base stats'!AY:AY))+0.5,0.5))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stats'!AQ:AQ))*(AO112^0.75)+(_xlfn.XLOOKUP(B112,'Base stats'!B:B,'Base stats'!AQ:AQ)/1000)^(2/3)+_xlfn.XLOOKUP(B112,'Base stats'!B:B,'Base stats'!AW:AW)+_xlfn.XLOOKUP(B112,'Base stats'!B:B,'Base stats'!AY:AY))+0.5,0.5))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8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IFERROR(IF(_xlfn.XLOOKUP(B112,'Base stats'!B:B,'Base stats'!F:F)="Lay eggs","Lay eggs",MIN(20,MAX(5.5,ROUND(((_xlfn.XLOOKUP(B112,'Base stats'!B:B,'Base stats'!F:F)-25)*(14.5/615) + 5.5)*2,0)/2))),"Cannot breed")</f>
        <v>11</v>
      </c>
      <c r="AT112" s="8">
        <f>IF(OR(A112="Queen",A112="Larva",A112="Megachicken",A112="Megatardi",A112="Toxscorpion"),"No",IFERROR(MAX(IF(_xlfn.XLOOKUP(B112,'Base stats'!B:B,'Base stats'!G:G)&lt;0.5,0.2,0.3),MROUND(_xlfn.XLOOKUP(B112,'Base stats'!B:B,'Base stats'!G:G)/(365/60),0.2)),"Unknown"))</f>
        <v>0.3</v>
      </c>
      <c r="AU112" s="8">
        <f t="shared" si="7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_xlfn.XLOOKUP(B112,'Base stats'!B:B,'Base stats'!AF:AF)</f>
        <v>&lt;li&gt;Gazelle&lt;/li&gt;</v>
      </c>
      <c r="BB112" s="2" t="str">
        <f>_xlfn.XLOOKUP(B112,'Base stats'!B:B,'Base stats'!AE:AE)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stats'!Z:Z)=0),0,IF(OR(_xlfn.XLOOKUP(Animals!B112,'Base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stats'!AA:AA),0.005))</f>
        <v>0</v>
      </c>
      <c r="BE112" s="23">
        <f>MIN(1,MROUND(IF(AND(AO112&lt;0.5,_xlfn.XLOOKUP(B112,'Base stats'!B:B,'Base stats'!Z:Z)=0),0,IF(_xlfn.XLOOKUP(_xlfn.XLOOKUP(B112,'Base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stats'!AB:AB),0.005))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stats'!AL:AL)="Standard","No",MROUND((_xlfn.XLOOKUP(B112,'Base stats'!B:B,'Base stats'!AL:AL)/3.6)/I112,0.1))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stats'!AC:AC)&lt;&gt;"No",_xlfn.XLOOKUP(B112,'Base stats'!B:B,'Base stats'!AC:AC),"")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stats'!AC:AC)&lt;&gt;"No",_xlfn.XLOOKUP(B112,'Base stats'!B:B,'Base stats'!AC:AC),"")
  )
)</f>
        <v>No</v>
      </c>
      <c r="BQ112" s="25" t="str">
        <f>IF(
   AND(
      'Base stats'!AL112="Standard",_xlfn.XLOOKUP(_xlfn.XLOOKUP(B112,'Base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stats'!AT:AT) * 1.8) * 2) * 2.5 + 10 + I112 * 2,5)+IF(_xlfn.XLOOKUP(B112,'Base stats'!B:B,'Base stats'!AI:AI)=1,50,0)</f>
        <v>140</v>
      </c>
      <c r="BS112" s="8">
        <f t="shared" si="12"/>
        <v>1.1000000000000001</v>
      </c>
      <c r="BT112" s="8" t="str">
        <f>_xlfn.XLOOKUP(B112,'Base stats'!B:B,'Base stats'!AD:AD)</f>
        <v>5~15</v>
      </c>
      <c r="BU112" s="2" t="str">
        <f>IF(AND(J112&lt;=0.95,OR(_xlfn.XLOOKUP(B112,'Base stats'!B:B,'Base stats'!AI:AI)=1,_xlfn.XLOOKUP(B112,'Base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stats'!AG:AG)=1,"true","false")</f>
        <v>false</v>
      </c>
      <c r="BW112" s="25" t="str">
        <f>IF(E112="BaseInsect","AnimalInsect",
IF(J112&gt;0.95,"AnimalExotic",
_xlfn.TEXTJOIN(", ",TRUE,
IF(OR(_xlfn.XLOOKUP(B112,'Base stats'!B:B,'Base stats'!AK:AK)=1,AND(_xlfn.XLOOKUP(B112,'Base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stats'!AI:AI)=1,AND(BI112&lt;&gt;"None",BR112&gt;=60),ISNUMBER(SEARCH("Attack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stats'!AH:AH)=1,"true","false")</f>
        <v>false</v>
      </c>
      <c r="BZ112" s="25">
        <f>IF(_xlfn.XLOOKUP(B112,'Base stats'!B:B,'Base stats'!N:N)=1,"No",MAX(0.01,MIN(MROUND(IF(OR(_xlfn.XLOOKUP(B112,'Base stats'!B:B,'Base stats'!AK:AK)=1,AND(BJ112="True",CC112="False")),POWER(10,3.47*LOG10(_xlfn.XLOOKUP(B112,'Base stats'!B:B,'Base stats'!C:C)*1000)^-0.96),POWER(10,4.15*LOG10(_xlfn.XLOOKUP(B112,'Base stats'!B:B,'Base stats'!C:C)*1000)^-0.73))*IF(OR(_xlfn.XLOOKUP(B112,'Base stats'!B:B,'Base stats'!AK:AK)=1,_xlfn.XLOOKUP(B112,'Base stats'!B:B,'Base stats'!AI:AI)=1),0.5,1)/100,0.025),1)))</f>
        <v>0.17500000000000002</v>
      </c>
      <c r="CA112" s="25" t="str">
        <f>IF(P112="Standard","No",MAX(0.01,IF(_xlfn.XLOOKUP(B112,'Base stats'!B:B,'Base stats'!N:N)=0,MROUND(BZ112*P112,0.05),MIN(1,MAX(0.025,MROUND(IF(OR(CC112="true",AND(BJ112="false",BO112="false")),POWER(10,4.15*LOG10(_xlfn.XLOOKUP(B112,'Base stats'!B:B,'Base stats'!C:C)*1000)^-0.73),POWER(10,3.47*LOG10(_xlfn.XLOOKUP(B112,'Base stats'!B:B,'Base stats'!C:C)*1000)^-0.96))*IF(_xlfn.XLOOKUP(B112,'Base stats'!B:B,'Base stats'!AI:AI)=1,0.5,1)/100,0.025))))))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255</v>
      </c>
      <c r="C113" s="28" t="s">
        <v>806</v>
      </c>
      <c r="D113" s="28" t="s">
        <v>884</v>
      </c>
      <c r="E113" s="28" t="s">
        <v>685</v>
      </c>
      <c r="F113" s="28" t="s">
        <v>685</v>
      </c>
      <c r="G113" s="28" t="s">
        <v>685</v>
      </c>
      <c r="H113" s="2">
        <f>MROUND((
  (IF(AND(_xlfn.XLOOKUP(B113,'Base stats'!B:B,'Base stats'!AJ:AJ)=0,BI113="None",_xlfn.XLOOKUP(_xlfn.XLOOKUP(B113,'Base stats'!B:B,'Base stats'!E:E),Groups!A:A,Groups!B:B)=0), (18 + BR113 * 2.7) * 0.5,
    IF(AND(_xlfn.XLOOKUP(B113,'Base stats'!B:B,'Base stats'!AJ:AJ)=0,OR(AO113&lt;0.55,AND(BI113="Intermediate",_xlfn.XLOOKUP(_xlfn.XLOOKUP(B113,'Base stats'!B:B,'Base stats'!E:E),Groups!A:A,Groups!B:B)&lt;2))), (18 + BR113 * 2.7),
      IF(OR(BI113="Advanced",_xlfn.XLOOKUP(B113,'Base stats'!B:B,'Base stats'!AJ:AJ)=1,_xlfn.XLOOKUP(_xlfn.XLOOKUP(B113,'Base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IF(_xlfn.XLOOKUP(_xlfn.XLOOKUP(B113,'Base stats'!B:B,'Base stats'!E:E),Groups!A:A,Groups!C:C)="Untamable",1,IF(_xlfn.XLOOKUP(B113,'Base stats'!B:B,'Base stats'!AJ:AJ)=1,0.99,MIN(MROUND((1-0.6282*EXP(-0.459*AO113))*_xlfn.XLOOKUP(_xlfn.XLOOKUP(B113,'Base stats'!B:B,'Base stats'!E:E),Groups!A:A,Groups!C:C)*IF(_xlfn.XLOOKUP(B113,'Base stats'!B:B,'Base stats'!O:O)=1,0.5,IF(_xlfn.XLOOKUP(B113,'Base stats'!B:B,'Base stats'!O:O)=2,0,1)),0.05),0.985)))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IF(_xlfn.XLOOKUP(_xlfn.XLOOKUP(B113,'Base stats'!B:B,'Base stats'!E:E),Groups!A:A,Groups!L:L)=1,MIN(MROUND(_xlfn.XLOOKUP(B113,'Animals CE'!B:B,'Animals CE'!Z:Z)/2+0.05,0.05),200%),"No")</f>
        <v>0.30000000000000004</v>
      </c>
      <c r="O113" s="8">
        <f>IF(_xlfn.XLOOKUP(_xlfn.XLOOKUP(B113,'Base stats'!B:B,'Base stats'!E:E),Groups!A:A,Groups!L:L)=1,MIN(MROUND(_xlfn.XLOOKUP(B113,'Animals CE'!B:B,'Animals CE'!AA:AA)/2+0.05,0.05),200%),"No")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stats'!AP:AP))*(AO113^0.5)+(_xlfn.XLOOKUP(B113,'Base stats'!B:B,'Base stats'!AP:AP)/1000)^(2/3)+_xlfn.XLOOKUP(B113,'Base stats'!B:B,'Base stats'!AY:AY)/2)+0.5,0.5)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stats'!AQ:AQ))*(AO113^0.5)+(_xlfn.XLOOKUP(B113,'Base stats'!B:B,'Base stats'!AQ:AQ)/1000)^(2/3)+_xlfn.XLOOKUP(B113,'Base stats'!B:B,'Base stats'!AY:AY))+_xlfn.XLOOKUP(B113,'Base stats'!B:B,'Base stats'!AW:AW)+0.5,0.5))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stats'!AS:AS))*(AO113^0.5)+(_xlfn.XLOOKUP(B113,'Base stats'!B:B,'Base stats'!AS:AS)/1000)^(2/3)+_xlfn.XLOOKUP(B113,'Base stats'!B:B,'Base stats'!AX:AX))+0.5+IF(_xlfn.XLOOKUP(_xlfn.XLOOKUP(B113,'Base stats'!B:B,'Base stats'!E:E),Groups!A:A,Groups!U:U)&lt;&gt;3,_xlfn.XLOOKUP(B113,'Base stats'!B:B,'Base stats'!AY:AY),0),0.5))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stats'!AR:AR)="No","No",MROUND((LOG10(_xlfn.XLOOKUP(B113,'Base stats'!B:B,'Base stats'!AR:AR))*(AO113^0.75)+(_xlfn.XLOOKUP(B113,'Base stats'!B:B,'Base stats'!AR:AR)/1000)^(2/3)+_xlfn.XLOOKUP(B113,'Base stats'!B:B,'Base stats'!AV:AV)+_xlfn.XLOOKUP(B113,'Base stats'!B:B,'Base stats'!AY:AY))+0.5,0.5))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stats'!AQ:AQ))*(AO113^0.75)+(_xlfn.XLOOKUP(B113,'Base stats'!B:B,'Base stats'!AQ:AQ)/1000)^(2/3)+_xlfn.XLOOKUP(B113,'Base stats'!B:B,'Base stats'!AW:AW)+_xlfn.XLOOKUP(B113,'Base stats'!B:B,'Base stats'!AY:AY))+0.5,0.5))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8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IFERROR(IF(_xlfn.XLOOKUP(B113,'Base stats'!B:B,'Base stats'!F:F)="Lay eggs","Lay eggs",MIN(20,MAX(5.5,ROUND(((_xlfn.XLOOKUP(B113,'Base stats'!B:B,'Base stats'!F:F)-25)*(14.5/615) + 5.5)*2,0)/2))),"Cannot breed")</f>
        <v>Lay eggs</v>
      </c>
      <c r="AT113" s="8">
        <f>IF(OR(A113="Queen",A113="Larva",A113="Megachicken",A113="Megatardi",A113="Toxscorpion"),"No",IFERROR(MAX(IF(_xlfn.XLOOKUP(B113,'Base stats'!B:B,'Base stats'!G:G)&lt;0.5,0.2,0.3),MROUND(_xlfn.XLOOKUP(B113,'Base stats'!B:B,'Base stats'!G:G)/(365/60),0.2)),"Unknown"))</f>
        <v>1.6</v>
      </c>
      <c r="AU113" s="8">
        <f t="shared" si="7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_xlfn.XLOOKUP(B113,'Base stats'!B:B,'Base stats'!AF:AF)</f>
        <v>No</v>
      </c>
      <c r="BB113" s="2" t="str">
        <f>_xlfn.XLOOKUP(B113,'Base stats'!B:B,'Base stats'!AE:AE)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stats'!Z:Z)=0),0,IF(OR(_xlfn.XLOOKUP(Animals!B113,'Base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stats'!AA:AA),0.005))</f>
        <v>0.1</v>
      </c>
      <c r="BE113" s="23">
        <f>MIN(1,MROUND(IF(AND(AO113&lt;0.5,_xlfn.XLOOKUP(B113,'Base stats'!B:B,'Base stats'!Z:Z)=0),0,IF(_xlfn.XLOOKUP(_xlfn.XLOOKUP(B113,'Base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stats'!AB:AB),0.005))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stats'!AL:AL)="Standard","No",MROUND((_xlfn.XLOOKUP(B113,'Base stats'!B:B,'Base stats'!AL:AL)/3.6)/I113,0.1))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stats'!AC:AC)&lt;&gt;"No",_xlfn.XLOOKUP(B113,'Base stats'!B:B,'Base stats'!AC:AC),"")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stats'!AC:AC)&lt;&gt;"No",_xlfn.XLOOKUP(B113,'Base stats'!B:B,'Base stats'!AC:AC),"")
  )
)</f>
        <v>No</v>
      </c>
      <c r="BQ113" s="25">
        <f>IF(
   AND(
      'Base stats'!AL113="Standard",_xlfn.XLOOKUP(_xlfn.XLOOKUP(B113,'Base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stats'!AT:AT) * 1.8) * 2) * 2.5 + 10 + I113 * 2,5)+IF(_xlfn.XLOOKUP(B113,'Base stats'!B:B,'Base stats'!AI:AI)=1,50,0)</f>
        <v>270</v>
      </c>
      <c r="BS113" s="8">
        <f t="shared" si="12"/>
        <v>0.8</v>
      </c>
      <c r="BT113" s="8" t="str">
        <f>_xlfn.XLOOKUP(B113,'Base stats'!B:B,'Base stats'!AD:AD)</f>
        <v>No</v>
      </c>
      <c r="BU113" s="2" t="str">
        <f>IF(AND(J113&lt;=0.95,OR(_xlfn.XLOOKUP(B113,'Base stats'!B:B,'Base stats'!AI:AI)=1,_xlfn.XLOOKUP(B113,'Base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stats'!AG:AG)=1,"true","false")</f>
        <v>false</v>
      </c>
      <c r="BW113" s="25" t="str">
        <f>IF(E113="BaseInsect","AnimalInsect",
IF(J113&gt;0.95,"AnimalExotic",
_xlfn.TEXTJOIN(", ",TRUE,
IF(OR(_xlfn.XLOOKUP(B113,'Base stats'!B:B,'Base stats'!AK:AK)=1,AND(_xlfn.XLOOKUP(B113,'Base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stats'!AI:AI)=1,AND(BI113&lt;&gt;"None",BR113&gt;=60),ISNUMBER(SEARCH("Attack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stats'!AH:AH)=1,"true","false")</f>
        <v>true</v>
      </c>
      <c r="BZ113" s="25">
        <f>IF(_xlfn.XLOOKUP(B113,'Base stats'!B:B,'Base stats'!N:N)=1,"No",MAX(0.01,MIN(MROUND(IF(OR(_xlfn.XLOOKUP(B113,'Base stats'!B:B,'Base stats'!AK:AK)=1,AND(BJ113="True",CC113="False")),POWER(10,3.47*LOG10(_xlfn.XLOOKUP(B113,'Base stats'!B:B,'Base stats'!C:C)*1000)^-0.96),POWER(10,4.15*LOG10(_xlfn.XLOOKUP(B113,'Base stats'!B:B,'Base stats'!C:C)*1000)^-0.73))*IF(OR(_xlfn.XLOOKUP(B113,'Base stats'!B:B,'Base stats'!AK:AK)=1,_xlfn.XLOOKUP(B113,'Base stats'!B:B,'Base stats'!AI:AI)=1),0.5,1)/100,0.025),1)))</f>
        <v>0.15000000000000002</v>
      </c>
      <c r="CA113" s="25" t="str">
        <f>IF(P113="Standard","No",MAX(0.01,IF(_xlfn.XLOOKUP(B113,'Base stats'!B:B,'Base stats'!N:N)=0,MROUND(BZ113*P113,0.05),MIN(1,MAX(0.025,MROUND(IF(OR(CC113="true",AND(BJ113="false",BO113="false")),POWER(10,4.15*LOG10(_xlfn.XLOOKUP(B113,'Base stats'!B:B,'Base stats'!C:C)*1000)^-0.73),POWER(10,3.47*LOG10(_xlfn.XLOOKUP(B113,'Base stats'!B:B,'Base stats'!C:C)*1000)^-0.96))*IF(_xlfn.XLOOKUP(B113,'Base stats'!B:B,'Base stats'!AI:AI)=1,0.5,1)/100,0.025))))))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236</v>
      </c>
      <c r="C114" s="28" t="s">
        <v>807</v>
      </c>
      <c r="D114" s="28" t="s">
        <v>884</v>
      </c>
      <c r="E114" s="28" t="s">
        <v>701</v>
      </c>
      <c r="F114" s="28" t="s">
        <v>702</v>
      </c>
      <c r="G114" s="28" t="s">
        <v>685</v>
      </c>
      <c r="H114" s="2">
        <f>MROUND((
  (IF(AND(_xlfn.XLOOKUP(B114,'Base stats'!B:B,'Base stats'!AJ:AJ)=0,BI114="None",_xlfn.XLOOKUP(_xlfn.XLOOKUP(B114,'Base stats'!B:B,'Base stats'!E:E),Groups!A:A,Groups!B:B)=0), (18 + BR114 * 2.7) * 0.5,
    IF(AND(_xlfn.XLOOKUP(B114,'Base stats'!B:B,'Base stats'!AJ:AJ)=0,OR(AO114&lt;0.55,AND(BI114="Intermediate",_xlfn.XLOOKUP(_xlfn.XLOOKUP(B114,'Base stats'!B:B,'Base stats'!E:E),Groups!A:A,Groups!B:B)&lt;2))), (18 + BR114 * 2.7),
      IF(OR(BI114="Advanced",_xlfn.XLOOKUP(B114,'Base stats'!B:B,'Base stats'!AJ:AJ)=1,_xlfn.XLOOKUP(_xlfn.XLOOKUP(B114,'Base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IF(_xlfn.XLOOKUP(_xlfn.XLOOKUP(B114,'Base stats'!B:B,'Base stats'!E:E),Groups!A:A,Groups!C:C)="Untamable",1,IF(_xlfn.XLOOKUP(B114,'Base stats'!B:B,'Base stats'!AJ:AJ)=1,0.99,MIN(MROUND((1-0.6282*EXP(-0.459*AO114))*_xlfn.XLOOKUP(_xlfn.XLOOKUP(B114,'Base stats'!B:B,'Base stats'!E:E),Groups!A:A,Groups!C:C)*IF(_xlfn.XLOOKUP(B114,'Base stats'!B:B,'Base stats'!O:O)=1,0.5,IF(_xlfn.XLOOKUP(B114,'Base stats'!B:B,'Base stats'!O:O)=2,0,1)),0.05),0.985)))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IF(_xlfn.XLOOKUP(_xlfn.XLOOKUP(B114,'Base stats'!B:B,'Base stats'!E:E),Groups!A:A,Groups!L:L)=1,MIN(MROUND(_xlfn.XLOOKUP(B114,'Animals CE'!B:B,'Animals CE'!Z:Z)/2+0.05,0.05),200%),"No")</f>
        <v>No</v>
      </c>
      <c r="O114" s="8" t="str">
        <f>IF(_xlfn.XLOOKUP(_xlfn.XLOOKUP(B114,'Base stats'!B:B,'Base stats'!E:E),Groups!A:A,Groups!L:L)=1,MIN(MROUND(_xlfn.XLOOKUP(B114,'Animals CE'!B:B,'Animals CE'!AA:AA)/2+0.05,0.05),200%),"No")</f>
        <v>No</v>
      </c>
      <c r="P114" s="2" t="str">
        <f>_xlfn.XLOOKUP(B114,'Base stats'!B:B,'Base stats'!R:R)</f>
        <v>Standard</v>
      </c>
      <c r="Q114" s="13">
        <f>MROUND((LOG10(_xlfn.XLOOKUP(B114,'Base stats'!B:B,'Base stats'!AP:AP))*(AO114^0.5)+(_xlfn.XLOOKUP(B114,'Base stats'!B:B,'Base stats'!AP:AP)/1000)^(2/3)+_xlfn.XLOOKUP(B114,'Base stats'!B:B,'Base stats'!AY:AY)/2)+0.5,0.5)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stats'!AQ:AQ))*(AO114^0.5)+(_xlfn.XLOOKUP(B114,'Base stats'!B:B,'Base stats'!AQ:AQ)/1000)^(2/3)+_xlfn.XLOOKUP(B114,'Base stats'!B:B,'Base stats'!AY:AY))+_xlfn.XLOOKUP(B114,'Base stats'!B:B,'Base stats'!AW:AW)+0.5,0.5))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stats'!AS:AS))*(AO114^0.5)+(_xlfn.XLOOKUP(B114,'Base stats'!B:B,'Base stats'!AS:AS)/1000)^(2/3)+_xlfn.XLOOKUP(B114,'Base stats'!B:B,'Base stats'!AX:AX))+0.5+IF(_xlfn.XLOOKUP(_xlfn.XLOOKUP(B114,'Base stats'!B:B,'Base stats'!E:E),Groups!A:A,Groups!U:U)&lt;&gt;3,_xlfn.XLOOKUP(B114,'Base stats'!B:B,'Base stats'!AY:AY),0),0.5))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stats'!AR:AR)="No","No",MROUND((LOG10(_xlfn.XLOOKUP(B114,'Base stats'!B:B,'Base stats'!AR:AR))*(AO114^0.75)+(_xlfn.XLOOKUP(B114,'Base stats'!B:B,'Base stats'!AR:AR)/1000)^(2/3)+_xlfn.XLOOKUP(B114,'Base stats'!B:B,'Base stats'!AV:AV)+_xlfn.XLOOKUP(B114,'Base stats'!B:B,'Base stats'!AY:AY))+0.5,0.5))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stats'!AQ:AQ))*(AO114^0.75)+(_xlfn.XLOOKUP(B114,'Base stats'!B:B,'Base stats'!AQ:AQ)/1000)^(2/3)+_xlfn.XLOOKUP(B114,'Base stats'!B:B,'Base stats'!AW:AW)+_xlfn.XLOOKUP(B114,'Base stats'!B:B,'Base stats'!AY:AY))+0.5,0.5))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FrontRightPaw,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8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IFERROR(IF(_xlfn.XLOOKUP(B114,'Base stats'!B:B,'Base stats'!F:F)="Lay eggs","Lay eggs",MIN(20,MAX(5.5,ROUND(((_xlfn.XLOOKUP(B114,'Base stats'!B:B,'Base stats'!F:F)-25)*(14.5/615) + 5.5)*2,0)/2))),"Cannot breed")</f>
        <v>7</v>
      </c>
      <c r="AT114" s="8">
        <f>IF(OR(A114="Queen",A114="Larva",A114="Megachicken",A114="Megatardi",A114="Toxscorpion"),"No",IFERROR(MAX(IF(_xlfn.XLOOKUP(B114,'Base stats'!B:B,'Base stats'!G:G)&lt;0.5,0.2,0.3),MROUND(_xlfn.XLOOKUP(B114,'Base stats'!B:B,'Base stats'!G:G)/(365/60),0.2)),"Unknown"))</f>
        <v>0.3</v>
      </c>
      <c r="AU114" s="8">
        <f t="shared" si="7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_xlfn.XLOOKUP(B114,'Base stats'!B:B,'Base stats'!AF:AF)</f>
        <v>No</v>
      </c>
      <c r="BB114" s="2" t="str">
        <f>_xlfn.XLOOKUP(B114,'Base stats'!B:B,'Base stats'!AE:AE)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stats'!Z:Z)=0),0,IF(OR(_xlfn.XLOOKUP(Animals!B114,'Base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stats'!AA:AA),0.005))</f>
        <v>0.1</v>
      </c>
      <c r="BE114" s="23">
        <f>MIN(1,MROUND(IF(AND(AO114&lt;0.5,_xlfn.XLOOKUP(B114,'Base stats'!B:B,'Base stats'!Z:Z)=0),0,IF(_xlfn.XLOOKUP(_xlfn.XLOOKUP(B114,'Base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stats'!AB:AB),0.005))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stats'!AL:AL)="Standard","No",MROUND((_xlfn.XLOOKUP(B114,'Base stats'!B:B,'Base stats'!AL:AL)/3.6)/I114,0.1))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stats'!AC:AC)&lt;&gt;"No",_xlfn.XLOOKUP(B114,'Base stats'!B:B,'Base stats'!AC:AC),"")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stats'!AC:AC)&lt;&gt;"No",_xlfn.XLOOKUP(B114,'Base stats'!B:B,'Base stats'!AC:AC),"")
  )
)</f>
        <v>AttackTarget</v>
      </c>
      <c r="BQ114" s="25" t="str">
        <f>IF(
   AND(
      'Base stats'!AL114="Standard",_xlfn.XLOOKUP(_xlfn.XLOOKUP(B114,'Base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stats'!AT:AT) * 1.8) * 2) * 2.5 + 10 + I114 * 2,5)+IF(_xlfn.XLOOKUP(B114,'Base stats'!B:B,'Base stats'!AI:AI)=1,50,0)</f>
        <v>125</v>
      </c>
      <c r="BS114" s="8">
        <f t="shared" si="12"/>
        <v>0.60000000000000009</v>
      </c>
      <c r="BT114" s="8" t="str">
        <f>_xlfn.XLOOKUP(B114,'Base stats'!B:B,'Base stats'!AD:AD)</f>
        <v>No</v>
      </c>
      <c r="BU114" s="2" t="str">
        <f>IF(AND(J114&lt;=0.95,OR(_xlfn.XLOOKUP(B114,'Base stats'!B:B,'Base stats'!AI:AI)=1,_xlfn.XLOOKUP(B114,'Base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stats'!AG:AG)=1,"true","false")</f>
        <v>false</v>
      </c>
      <c r="BW114" s="25" t="str">
        <f>IF(E114="BaseInsect","AnimalInsect",
IF(J114&gt;0.95,"AnimalExotic",
_xlfn.TEXTJOIN(", ",TRUE,
IF(OR(_xlfn.XLOOKUP(B114,'Base stats'!B:B,'Base stats'!AK:AK)=1,AND(_xlfn.XLOOKUP(B114,'Base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stats'!AI:AI)=1,AND(BI114&lt;&gt;"None",BR114&gt;=60),ISNUMBER(SEARCH("Attack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stats'!AH:AH)=1,"true","false")</f>
        <v>false</v>
      </c>
      <c r="BZ114" s="25">
        <f>IF(_xlfn.XLOOKUP(B114,'Base stats'!B:B,'Base stats'!N:N)=1,"No",MAX(0.01,MIN(MROUND(IF(OR(_xlfn.XLOOKUP(B114,'Base stats'!B:B,'Base stats'!AK:AK)=1,AND(BJ114="True",CC114="False")),POWER(10,3.47*LOG10(_xlfn.XLOOKUP(B114,'Base stats'!B:B,'Base stats'!C:C)*1000)^-0.96),POWER(10,4.15*LOG10(_xlfn.XLOOKUP(B114,'Base stats'!B:B,'Base stats'!C:C)*1000)^-0.73))*IF(OR(_xlfn.XLOOKUP(B114,'Base stats'!B:B,'Base stats'!AK:AK)=1,_xlfn.XLOOKUP(B114,'Base stats'!B:B,'Base stats'!AI:AI)=1),0.5,1)/100,0.025),1)))</f>
        <v>0.05</v>
      </c>
      <c r="CA114" s="25" t="str">
        <f>IF(P114="Standard","No",MAX(0.01,IF(_xlfn.XLOOKUP(B114,'Base stats'!B:B,'Base stats'!N:N)=0,MROUND(BZ114*P114,0.05),MIN(1,MAX(0.025,MROUND(IF(OR(CC114="true",AND(BJ114="false",BO114="false")),POWER(10,4.15*LOG10(_xlfn.XLOOKUP(B114,'Base stats'!B:B,'Base stats'!C:C)*1000)^-0.73),POWER(10,3.47*LOG10(_xlfn.XLOOKUP(B114,'Base stats'!B:B,'Base stats'!C:C)*1000)^-0.96))*IF(_xlfn.XLOOKUP(B114,'Base stats'!B:B,'Base stats'!AI:AI)=1,0.5,1)/100,0.025))))))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471</v>
      </c>
      <c r="C115" s="28" t="s">
        <v>808</v>
      </c>
      <c r="D115" s="28" t="s">
        <v>884</v>
      </c>
      <c r="E115" s="28" t="s">
        <v>685</v>
      </c>
      <c r="F115" s="28" t="s">
        <v>685</v>
      </c>
      <c r="G115" s="28" t="s">
        <v>685</v>
      </c>
      <c r="H115" s="2">
        <f>MROUND((
  (IF(AND(_xlfn.XLOOKUP(B115,'Base stats'!B:B,'Base stats'!AJ:AJ)=0,BI115="None",_xlfn.XLOOKUP(_xlfn.XLOOKUP(B115,'Base stats'!B:B,'Base stats'!E:E),Groups!A:A,Groups!B:B)=0), (18 + BR115 * 2.7) * 0.5,
    IF(AND(_xlfn.XLOOKUP(B115,'Base stats'!B:B,'Base stats'!AJ:AJ)=0,OR(AO115&lt;0.55,AND(BI115="Intermediate",_xlfn.XLOOKUP(_xlfn.XLOOKUP(B115,'Base stats'!B:B,'Base stats'!E:E),Groups!A:A,Groups!B:B)&lt;2))), (18 + BR115 * 2.7),
      IF(OR(BI115="Advanced",_xlfn.XLOOKUP(B115,'Base stats'!B:B,'Base stats'!AJ:AJ)=1,_xlfn.XLOOKUP(_xlfn.XLOOKUP(B115,'Base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IF(_xlfn.XLOOKUP(_xlfn.XLOOKUP(B115,'Base stats'!B:B,'Base stats'!E:E),Groups!A:A,Groups!C:C)="Untamable",1,IF(_xlfn.XLOOKUP(B115,'Base stats'!B:B,'Base stats'!AJ:AJ)=1,0.99,MIN(MROUND((1-0.6282*EXP(-0.459*AO115))*_xlfn.XLOOKUP(_xlfn.XLOOKUP(B115,'Base stats'!B:B,'Base stats'!E:E),Groups!A:A,Groups!C:C)*IF(_xlfn.XLOOKUP(B115,'Base stats'!B:B,'Base stats'!O:O)=1,0.5,IF(_xlfn.XLOOKUP(B115,'Base stats'!B:B,'Base stats'!O:O)=2,0,1)),0.05),0.985)))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IF(_xlfn.XLOOKUP(_xlfn.XLOOKUP(B115,'Base stats'!B:B,'Base stats'!E:E),Groups!A:A,Groups!L:L)=1,MIN(MROUND(_xlfn.XLOOKUP(B115,'Animals CE'!B:B,'Animals CE'!Z:Z)/2+0.05,0.05),200%),"No")</f>
        <v>No</v>
      </c>
      <c r="O115" s="8" t="str">
        <f>IF(_xlfn.XLOOKUP(_xlfn.XLOOKUP(B115,'Base stats'!B:B,'Base stats'!E:E),Groups!A:A,Groups!L:L)=1,MIN(MROUND(_xlfn.XLOOKUP(B115,'Animals CE'!B:B,'Animals CE'!AA:AA)/2+0.05,0.05),200%),"No")</f>
        <v>No</v>
      </c>
      <c r="P115" s="2">
        <f>_xlfn.XLOOKUP(B115,'Base stats'!B:B,'Base stats'!R:R)</f>
        <v>0.9</v>
      </c>
      <c r="Q115" s="13">
        <f>MROUND((LOG10(_xlfn.XLOOKUP(B115,'Base stats'!B:B,'Base stats'!AP:AP))*(AO115^0.5)+(_xlfn.XLOOKUP(B115,'Base stats'!B:B,'Base stats'!AP:AP)/1000)^(2/3)+_xlfn.XLOOKUP(B115,'Base stats'!B:B,'Base stats'!AY:AY)/2)+0.5,0.5)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stats'!AQ:AQ))*(AO115^0.5)+(_xlfn.XLOOKUP(B115,'Base stats'!B:B,'Base stats'!AQ:AQ)/1000)^(2/3)+_xlfn.XLOOKUP(B115,'Base stats'!B:B,'Base stats'!AY:AY))+_xlfn.XLOOKUP(B115,'Base stats'!B:B,'Base stats'!AW:AW)+0.5,0.5))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stats'!AS:AS))*(AO115^0.5)+(_xlfn.XLOOKUP(B115,'Base stats'!B:B,'Base stats'!AS:AS)/1000)^(2/3)+_xlfn.XLOOKUP(B115,'Base stats'!B:B,'Base stats'!AX:AX))+0.5+IF(_xlfn.XLOOKUP(_xlfn.XLOOKUP(B115,'Base stats'!B:B,'Base stats'!E:E),Groups!A:A,Groups!U:U)&lt;&gt;3,_xlfn.XLOOKUP(B115,'Base stats'!B:B,'Base stats'!AY:AY),0),0.5))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stats'!AR:AR)="No","No",MROUND((LOG10(_xlfn.XLOOKUP(B115,'Base stats'!B:B,'Base stats'!AR:AR))*(AO115^0.75)+(_xlfn.XLOOKUP(B115,'Base stats'!B:B,'Base stats'!AR:AR)/1000)^(2/3)+_xlfn.XLOOKUP(B115,'Base stats'!B:B,'Base stats'!AV:AV)+_xlfn.XLOOKUP(B115,'Base stats'!B:B,'Base stats'!AY:AY))+0.5,0.5))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stats'!AQ:AQ))*(AO115^0.75)+(_xlfn.XLOOKUP(B115,'Base stats'!B:B,'Base stats'!AQ:AQ)/1000)^(2/3)+_xlfn.XLOOKUP(B115,'Base stats'!B:B,'Base stats'!AW:AW)+_xlfn.XLOOKUP(B115,'Base stats'!B:B,'Base stats'!AY:AY))+0.5,0.5))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FrontRightPaw,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8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IFERROR(IF(_xlfn.XLOOKUP(B115,'Base stats'!B:B,'Base stats'!F:F)="Lay eggs","Lay eggs",MIN(20,MAX(5.5,ROUND(((_xlfn.XLOOKUP(B115,'Base stats'!B:B,'Base stats'!F:F)-25)*(14.5/615) + 5.5)*2,0)/2))),"Cannot breed")</f>
        <v>5.5</v>
      </c>
      <c r="AT115" s="8">
        <f>IF(OR(A115="Queen",A115="Larva",A115="Megachicken",A115="Megatardi",A115="Toxscorpion"),"No",IFERROR(MAX(IF(_xlfn.XLOOKUP(B115,'Base stats'!B:B,'Base stats'!G:G)&lt;0.5,0.2,0.3),MROUND(_xlfn.XLOOKUP(B115,'Base stats'!B:B,'Base stats'!G:G)/(365/60),0.2)),"Unknown"))</f>
        <v>0.4</v>
      </c>
      <c r="AU115" s="8">
        <f t="shared" si="7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_xlfn.XLOOKUP(B115,'Base stats'!B:B,'Base stats'!AF:AF)</f>
        <v>No</v>
      </c>
      <c r="BB115" s="2" t="str">
        <f>_xlfn.XLOOKUP(B115,'Base stats'!B:B,'Base stats'!AE:AE)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stats'!Z:Z)=0),0,IF(OR(_xlfn.XLOOKUP(Animals!B115,'Base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stats'!AA:AA),0.005))</f>
        <v>0</v>
      </c>
      <c r="BE115" s="23">
        <f>MIN(1,MROUND(IF(AND(AO115&lt;0.5,_xlfn.XLOOKUP(B115,'Base stats'!B:B,'Base stats'!Z:Z)=0),0,IF(_xlfn.XLOOKUP(_xlfn.XLOOKUP(B115,'Base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stats'!AB:AB),0.005))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stats'!AL:AL)="Standard","No",MROUND((_xlfn.XLOOKUP(B115,'Base stats'!B:B,'Base stats'!AL:AL)/3.6)/I115,0.1))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stats'!AC:AC)&lt;&gt;"No",_xlfn.XLOOKUP(B115,'Base stats'!B:B,'Base stats'!AC:AC),"")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stats'!AC:AC)&lt;&gt;"No",_xlfn.XLOOKUP(B115,'Base stats'!B:B,'Base stats'!AC:AC),"")
  )
)</f>
        <v>No</v>
      </c>
      <c r="BQ115" s="25" t="str">
        <f>IF(
   AND(
      'Base stats'!AL115="Standard",_xlfn.XLOOKUP(_xlfn.XLOOKUP(B115,'Base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stats'!AT:AT) * 1.8) * 2) * 2.5 + 10 + I115 * 2,5)+IF(_xlfn.XLOOKUP(B115,'Base stats'!B:B,'Base stats'!AI:AI)=1,50,0)</f>
        <v>110</v>
      </c>
      <c r="BS115" s="8">
        <f t="shared" si="12"/>
        <v>0.5</v>
      </c>
      <c r="BT115" s="8" t="str">
        <f>_xlfn.XLOOKUP(B115,'Base stats'!B:B,'Base stats'!AD:AD)</f>
        <v>No</v>
      </c>
      <c r="BU115" s="2" t="str">
        <f>IF(AND(J115&lt;=0.95,OR(_xlfn.XLOOKUP(B115,'Base stats'!B:B,'Base stats'!AI:AI)=1,_xlfn.XLOOKUP(B115,'Base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stats'!AG:AG)=1,"true","false")</f>
        <v>false</v>
      </c>
      <c r="BW115" s="25" t="str">
        <f>IF(E115="BaseInsect","AnimalInsect",
IF(J115&gt;0.95,"AnimalExotic",
_xlfn.TEXTJOIN(", ",TRUE,
IF(OR(_xlfn.XLOOKUP(B115,'Base stats'!B:B,'Base stats'!AK:AK)=1,AND(_xlfn.XLOOKUP(B115,'Base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stats'!AI:AI)=1,AND(BI115&lt;&gt;"None",BR115&gt;=60),ISNUMBER(SEARCH("Attack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stats'!AH:AH)=1,"true","false")</f>
        <v>false</v>
      </c>
      <c r="BZ115" s="25">
        <f>IF(_xlfn.XLOOKUP(B115,'Base stats'!B:B,'Base stats'!N:N)=1,"No",MAX(0.01,MIN(MROUND(IF(OR(_xlfn.XLOOKUP(B115,'Base stats'!B:B,'Base stats'!AK:AK)=1,AND(BJ115="True",CC115="False")),POWER(10,3.47*LOG10(_xlfn.XLOOKUP(B115,'Base stats'!B:B,'Base stats'!C:C)*1000)^-0.96),POWER(10,4.15*LOG10(_xlfn.XLOOKUP(B115,'Base stats'!B:B,'Base stats'!C:C)*1000)^-0.73))*IF(OR(_xlfn.XLOOKUP(B115,'Base stats'!B:B,'Base stats'!AK:AK)=1,_xlfn.XLOOKUP(B115,'Base stats'!B:B,'Base stats'!AI:AI)=1),0.5,1)/100,0.025),1)))</f>
        <v>0.125</v>
      </c>
      <c r="CA115" s="25">
        <f>IF(P115="Standard","No",MAX(0.01,IF(_xlfn.XLOOKUP(B115,'Base stats'!B:B,'Base stats'!N:N)=0,MROUND(BZ115*P115,0.05),MIN(1,MAX(0.025,MROUND(IF(OR(CC115="true",AND(BJ115="false",BO115="false")),POWER(10,4.15*LOG10(_xlfn.XLOOKUP(B115,'Base stats'!B:B,'Base stats'!C:C)*1000)^-0.73),POWER(10,3.47*LOG10(_xlfn.XLOOKUP(B115,'Base stats'!B:B,'Base stats'!C:C)*1000)^-0.96))*IF(_xlfn.XLOOKUP(B115,'Base stats'!B:B,'Base stats'!AI:AI)=1,0.5,1)/100,0.025))))))</f>
        <v>0.1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611</v>
      </c>
      <c r="C116" s="28" t="s">
        <v>809</v>
      </c>
      <c r="D116" s="28" t="s">
        <v>884</v>
      </c>
      <c r="E116" s="28" t="s">
        <v>685</v>
      </c>
      <c r="F116" s="28" t="s">
        <v>685</v>
      </c>
      <c r="G116" s="28" t="s">
        <v>685</v>
      </c>
      <c r="H116" s="2">
        <f>MROUND((
  (IF(AND(_xlfn.XLOOKUP(B116,'Base stats'!B:B,'Base stats'!AJ:AJ)=0,BI116="None",_xlfn.XLOOKUP(_xlfn.XLOOKUP(B116,'Base stats'!B:B,'Base stats'!E:E),Groups!A:A,Groups!B:B)=0), (18 + BR116 * 2.7) * 0.5,
    IF(AND(_xlfn.XLOOKUP(B116,'Base stats'!B:B,'Base stats'!AJ:AJ)=0,OR(AO116&lt;0.55,AND(BI116="Intermediate",_xlfn.XLOOKUP(_xlfn.XLOOKUP(B116,'Base stats'!B:B,'Base stats'!E:E),Groups!A:A,Groups!B:B)&lt;2))), (18 + BR116 * 2.7),
      IF(OR(BI116="Advanced",_xlfn.XLOOKUP(B116,'Base stats'!B:B,'Base stats'!AJ:AJ)=1,_xlfn.XLOOKUP(_xlfn.XLOOKUP(B116,'Base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IF(_xlfn.XLOOKUP(_xlfn.XLOOKUP(B116,'Base stats'!B:B,'Base stats'!E:E),Groups!A:A,Groups!C:C)="Untamable",1,IF(_xlfn.XLOOKUP(B116,'Base stats'!B:B,'Base stats'!AJ:AJ)=1,0.99,MIN(MROUND((1-0.6282*EXP(-0.459*AO116))*_xlfn.XLOOKUP(_xlfn.XLOOKUP(B116,'Base stats'!B:B,'Base stats'!E:E),Groups!A:A,Groups!C:C)*IF(_xlfn.XLOOKUP(B116,'Base stats'!B:B,'Base stats'!O:O)=1,0.5,IF(_xlfn.XLOOKUP(B116,'Base stats'!B:B,'Base stats'!O:O)=2,0,1)),0.05),0.985)))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IF(_xlfn.XLOOKUP(_xlfn.XLOOKUP(B116,'Base stats'!B:B,'Base stats'!E:E),Groups!A:A,Groups!L:L)=1,MIN(MROUND(_xlfn.XLOOKUP(B116,'Animals CE'!B:B,'Animals CE'!Z:Z)/2+0.05,0.05),200%),"No")</f>
        <v>No</v>
      </c>
      <c r="O116" s="8" t="str">
        <f>IF(_xlfn.XLOOKUP(_xlfn.XLOOKUP(B116,'Base stats'!B:B,'Base stats'!E:E),Groups!A:A,Groups!L:L)=1,MIN(MROUND(_xlfn.XLOOKUP(B116,'Animals CE'!B:B,'Animals CE'!AA:AA)/2+0.05,0.05),200%),"No")</f>
        <v>No</v>
      </c>
      <c r="P116" s="2" t="str">
        <f>_xlfn.XLOOKUP(B116,'Base stats'!B:B,'Base stats'!R:R)</f>
        <v>Standard</v>
      </c>
      <c r="Q116" s="13">
        <f>MROUND((LOG10(_xlfn.XLOOKUP(B116,'Base stats'!B:B,'Base stats'!AP:AP))*(AO116^0.5)+(_xlfn.XLOOKUP(B116,'Base stats'!B:B,'Base stats'!AP:AP)/1000)^(2/3)+_xlfn.XLOOKUP(B116,'Base stats'!B:B,'Base stats'!AY:AY)/2)+0.5,0.5)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stats'!AQ:AQ))*(AO116^0.5)+(_xlfn.XLOOKUP(B116,'Base stats'!B:B,'Base stats'!AQ:AQ)/1000)^(2/3)+_xlfn.XLOOKUP(B116,'Base stats'!B:B,'Base stats'!AY:AY))+_xlfn.XLOOKUP(B116,'Base stats'!B:B,'Base stats'!AW:AW)+0.5,0.5))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stats'!AS:AS))*(AO116^0.5)+(_xlfn.XLOOKUP(B116,'Base stats'!B:B,'Base stats'!AS:AS)/1000)^(2/3)+_xlfn.XLOOKUP(B116,'Base stats'!B:B,'Base stats'!AX:AX))+0.5+IF(_xlfn.XLOOKUP(_xlfn.XLOOKUP(B116,'Base stats'!B:B,'Base stats'!E:E),Groups!A:A,Groups!U:U)&lt;&gt;3,_xlfn.XLOOKUP(B116,'Base stats'!B:B,'Base stats'!AY:AY),0),0.5))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stats'!AR:AR)="No","No",MROUND((LOG10(_xlfn.XLOOKUP(B116,'Base stats'!B:B,'Base stats'!AR:AR))*(AO116^0.75)+(_xlfn.XLOOKUP(B116,'Base stats'!B:B,'Base stats'!AR:AR)/1000)^(2/3)+_xlfn.XLOOKUP(B116,'Base stats'!B:B,'Base stats'!AV:AV)+_xlfn.XLOOKUP(B116,'Base stats'!B:B,'Base stats'!AY:AY))+0.5,0.5))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stats'!AQ:AQ))*(AO116^0.75)+(_xlfn.XLOOKUP(B116,'Base stats'!B:B,'Base stats'!AQ:AQ)/1000)^(2/3)+_xlfn.XLOOKUP(B116,'Base stats'!B:B,'Base stats'!AW:AW)+_xlfn.XLOOKUP(B116,'Base stats'!B:B,'Base stats'!AY:AY))+0.5,0.5))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FrontRightPaw,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8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IFERROR(IF(_xlfn.XLOOKUP(B116,'Base stats'!B:B,'Base stats'!F:F)="Lay eggs","Lay eggs",MIN(20,MAX(5.5,ROUND(((_xlfn.XLOOKUP(B116,'Base stats'!B:B,'Base stats'!F:F)-25)*(14.5/615) + 5.5)*2,0)/2))),"Cannot breed")</f>
        <v>5.5</v>
      </c>
      <c r="AT116" s="8">
        <f>IF(OR(A116="Queen",A116="Larva",A116="Megachicken",A116="Megatardi",A116="Toxscorpion"),"No",IFERROR(MAX(IF(_xlfn.XLOOKUP(B116,'Base stats'!B:B,'Base stats'!G:G)&lt;0.5,0.2,0.3),MROUND(_xlfn.XLOOKUP(B116,'Base stats'!B:B,'Base stats'!G:G)/(365/60),0.2)),"Unknown"))</f>
        <v>0.3</v>
      </c>
      <c r="AU116" s="8">
        <f t="shared" si="7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_xlfn.XLOOKUP(B116,'Base stats'!B:B,'Base stats'!AF:AF)</f>
        <v>No</v>
      </c>
      <c r="BB116" s="2" t="str">
        <f>_xlfn.XLOOKUP(B116,'Base stats'!B:B,'Base stats'!AE:AE)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stats'!Z:Z)=0),0,IF(OR(_xlfn.XLOOKUP(Animals!B116,'Base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stats'!AA:AA),0.005))</f>
        <v>0</v>
      </c>
      <c r="BE116" s="23">
        <f>MIN(1,MROUND(IF(AND(AO116&lt;0.5,_xlfn.XLOOKUP(B116,'Base stats'!B:B,'Base stats'!Z:Z)=0),0,IF(_xlfn.XLOOKUP(_xlfn.XLOOKUP(B116,'Base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stats'!AB:AB),0.005))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stats'!AL:AL)="Standard","No",MROUND((_xlfn.XLOOKUP(B116,'Base stats'!B:B,'Base stats'!AL:AL)/3.6)/I116,0.1))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stats'!AC:AC)&lt;&gt;"No",_xlfn.XLOOKUP(B116,'Base stats'!B:B,'Base stats'!AC:AC),"")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stats'!AC:AC)&lt;&gt;"No",_xlfn.XLOOKUP(B116,'Base stats'!B:B,'Base stats'!AC:AC),"")
  )
)</f>
        <v>No</v>
      </c>
      <c r="BQ116" s="25" t="str">
        <f>IF(
   AND(
      'Base stats'!AL116="Standard",_xlfn.XLOOKUP(_xlfn.XLOOKUP(B116,'Base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stats'!AT:AT) * 1.8) * 2) * 2.5 + 10 + I116 * 2,5)+IF(_xlfn.XLOOKUP(B116,'Base stats'!B:B,'Base stats'!AI:AI)=1,50,0)</f>
        <v>90</v>
      </c>
      <c r="BS116" s="8">
        <f t="shared" si="12"/>
        <v>0.60000000000000009</v>
      </c>
      <c r="BT116" s="8" t="str">
        <f>_xlfn.XLOOKUP(B116,'Base stats'!B:B,'Base stats'!AD:AD)</f>
        <v>3~10</v>
      </c>
      <c r="BU116" s="2" t="str">
        <f>IF(AND(J116&lt;=0.95,OR(_xlfn.XLOOKUP(B116,'Base stats'!B:B,'Base stats'!AI:AI)=1,_xlfn.XLOOKUP(B116,'Base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stats'!AG:AG)=1,"true","false")</f>
        <v>false</v>
      </c>
      <c r="BW116" s="25" t="str">
        <f>IF(E116="BaseInsect","AnimalInsect",
IF(J116&gt;0.95,"AnimalExotic",
_xlfn.TEXTJOIN(", ",TRUE,
IF(OR(_xlfn.XLOOKUP(B116,'Base stats'!B:B,'Base stats'!AK:AK)=1,AND(_xlfn.XLOOKUP(B116,'Base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stats'!AI:AI)=1,AND(BI116&lt;&gt;"None",BR116&gt;=60),ISNUMBER(SEARCH("Attack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Grasslands LavaField</v>
      </c>
      <c r="BY116" s="25" t="str">
        <f>IF(_xlfn.XLOOKUP(B116,'Base stats'!B:B,'Base stats'!AH:AH)=1,"true","false")</f>
        <v>false</v>
      </c>
      <c r="BZ116" s="25">
        <f>IF(_xlfn.XLOOKUP(B116,'Base stats'!B:B,'Base stats'!N:N)=1,"No",MAX(0.01,MIN(MROUND(IF(OR(_xlfn.XLOOKUP(B116,'Base stats'!B:B,'Base stats'!AK:AK)=1,AND(BJ116="True",CC116="False")),POWER(10,3.47*LOG10(_xlfn.XLOOKUP(B116,'Base stats'!B:B,'Base stats'!C:C)*1000)^-0.96),POWER(10,4.15*LOG10(_xlfn.XLOOKUP(B116,'Base stats'!B:B,'Base stats'!C:C)*1000)^-0.73))*IF(OR(_xlfn.XLOOKUP(B116,'Base stats'!B:B,'Base stats'!AK:AK)=1,_xlfn.XLOOKUP(B116,'Base stats'!B:B,'Base stats'!AI:AI)=1),0.5,1)/100,0.025),1)))</f>
        <v>0.22500000000000001</v>
      </c>
      <c r="CA116" s="25" t="str">
        <f>IF(P116="Standard","No",MAX(0.01,IF(_xlfn.XLOOKUP(B116,'Base stats'!B:B,'Base stats'!N:N)=0,MROUND(BZ116*P116,0.05),MIN(1,MAX(0.025,MROUND(IF(OR(CC116="true",AND(BJ116="false",BO116="false")),POWER(10,4.15*LOG10(_xlfn.XLOOKUP(B116,'Base stats'!B:B,'Base stats'!C:C)*1000)^-0.73),POWER(10,3.47*LOG10(_xlfn.XLOOKUP(B116,'Base stats'!B:B,'Base stats'!C:C)*1000)^-0.96))*IF(_xlfn.XLOOKUP(B116,'Base stats'!B:B,'Base stats'!AI:AI)=1,0.5,1)/100,0.025))))))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473</v>
      </c>
      <c r="C117" s="28" t="s">
        <v>810</v>
      </c>
      <c r="D117" s="28" t="s">
        <v>884</v>
      </c>
      <c r="E117" s="28" t="s">
        <v>685</v>
      </c>
      <c r="F117" s="28" t="s">
        <v>685</v>
      </c>
      <c r="G117" s="28" t="s">
        <v>685</v>
      </c>
      <c r="H117" s="2">
        <f>MROUND((
  (IF(AND(_xlfn.XLOOKUP(B117,'Base stats'!B:B,'Base stats'!AJ:AJ)=0,BI117="None",_xlfn.XLOOKUP(_xlfn.XLOOKUP(B117,'Base stats'!B:B,'Base stats'!E:E),Groups!A:A,Groups!B:B)=0), (18 + BR117 * 2.7) * 0.5,
    IF(AND(_xlfn.XLOOKUP(B117,'Base stats'!B:B,'Base stats'!AJ:AJ)=0,OR(AO117&lt;0.55,AND(BI117="Intermediate",_xlfn.XLOOKUP(_xlfn.XLOOKUP(B117,'Base stats'!B:B,'Base stats'!E:E),Groups!A:A,Groups!B:B)&lt;2))), (18 + BR117 * 2.7),
      IF(OR(BI117="Advanced",_xlfn.XLOOKUP(B117,'Base stats'!B:B,'Base stats'!AJ:AJ)=1,_xlfn.XLOOKUP(_xlfn.XLOOKUP(B117,'Base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IF(_xlfn.XLOOKUP(_xlfn.XLOOKUP(B117,'Base stats'!B:B,'Base stats'!E:E),Groups!A:A,Groups!C:C)="Untamable",1,IF(_xlfn.XLOOKUP(B117,'Base stats'!B:B,'Base stats'!AJ:AJ)=1,0.99,MIN(MROUND((1-0.6282*EXP(-0.459*AO117))*_xlfn.XLOOKUP(_xlfn.XLOOKUP(B117,'Base stats'!B:B,'Base stats'!E:E),Groups!A:A,Groups!C:C)*IF(_xlfn.XLOOKUP(B117,'Base stats'!B:B,'Base stats'!O:O)=1,0.5,IF(_xlfn.XLOOKUP(B117,'Base stats'!B:B,'Base stats'!O:O)=2,0,1)),0.05),0.985)))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IF(_xlfn.XLOOKUP(_xlfn.XLOOKUP(B117,'Base stats'!B:B,'Base stats'!E:E),Groups!A:A,Groups!L:L)=1,MIN(MROUND(_xlfn.XLOOKUP(B117,'Animals CE'!B:B,'Animals CE'!Z:Z)/2+0.05,0.05),200%),"No")</f>
        <v>No</v>
      </c>
      <c r="O117" s="8" t="str">
        <f>IF(_xlfn.XLOOKUP(_xlfn.XLOOKUP(B117,'Base stats'!B:B,'Base stats'!E:E),Groups!A:A,Groups!L:L)=1,MIN(MROUND(_xlfn.XLOOKUP(B117,'Animals CE'!B:B,'Animals CE'!AA:AA)/2+0.05,0.05),200%),"No")</f>
        <v>No</v>
      </c>
      <c r="P117" s="2" t="str">
        <f>_xlfn.XLOOKUP(B117,'Base stats'!B:B,'Base stats'!R:R)</f>
        <v>Standard</v>
      </c>
      <c r="Q117" s="13">
        <f>MROUND((LOG10(_xlfn.XLOOKUP(B117,'Base stats'!B:B,'Base stats'!AP:AP))*(AO117^0.5)+(_xlfn.XLOOKUP(B117,'Base stats'!B:B,'Base stats'!AP:AP)/1000)^(2/3)+_xlfn.XLOOKUP(B117,'Base stats'!B:B,'Base stats'!AY:AY)/2)+0.5,0.5)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stats'!AQ:AQ))*(AO117^0.5)+(_xlfn.XLOOKUP(B117,'Base stats'!B:B,'Base stats'!AQ:AQ)/1000)^(2/3)+_xlfn.XLOOKUP(B117,'Base stats'!B:B,'Base stats'!AY:AY))+_xlfn.XLOOKUP(B117,'Base stats'!B:B,'Base stats'!AW:AW)+0.5,0.5))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stats'!AS:AS))*(AO117^0.5)+(_xlfn.XLOOKUP(B117,'Base stats'!B:B,'Base stats'!AS:AS)/1000)^(2/3)+_xlfn.XLOOKUP(B117,'Base stats'!B:B,'Base stats'!AX:AX))+0.5+IF(_xlfn.XLOOKUP(_xlfn.XLOOKUP(B117,'Base stats'!B:B,'Base stats'!E:E),Groups!A:A,Groups!U:U)&lt;&gt;3,_xlfn.XLOOKUP(B117,'Base stats'!B:B,'Base stats'!AY:AY),0),0.5))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stats'!AR:AR)="No","No",MROUND((LOG10(_xlfn.XLOOKUP(B117,'Base stats'!B:B,'Base stats'!AR:AR))*(AO117^0.75)+(_xlfn.XLOOKUP(B117,'Base stats'!B:B,'Base stats'!AR:AR)/1000)^(2/3)+_xlfn.XLOOKUP(B117,'Base stats'!B:B,'Base stats'!AV:AV)+_xlfn.XLOOKUP(B117,'Base stats'!B:B,'Base stats'!AY:AY))+0.5,0.5))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stats'!AQ:AQ))*(AO117^0.75)+(_xlfn.XLOOKUP(B117,'Base stats'!B:B,'Base stats'!AQ:AQ)/1000)^(2/3)+_xlfn.XLOOKUP(B117,'Base stats'!B:B,'Base stats'!AW:AW)+_xlfn.XLOOKUP(B117,'Base stats'!B:B,'Base stats'!AY:AY))+0.5,0.5))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FrontRightPaw,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8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IFERROR(IF(_xlfn.XLOOKUP(B117,'Base stats'!B:B,'Base stats'!F:F)="Lay eggs","Lay eggs",MIN(20,MAX(5.5,ROUND(((_xlfn.XLOOKUP(B117,'Base stats'!B:B,'Base stats'!F:F)-25)*(14.5/615) + 5.5)*2,0)/2))),"Cannot breed")</f>
        <v>5.5</v>
      </c>
      <c r="AT117" s="8">
        <f>IF(OR(A117="Queen",A117="Larva",A117="Megachicken",A117="Megatardi",A117="Toxscorpion"),"No",IFERROR(MAX(IF(_xlfn.XLOOKUP(B117,'Base stats'!B:B,'Base stats'!G:G)&lt;0.5,0.2,0.3),MROUND(_xlfn.XLOOKUP(B117,'Base stats'!B:B,'Base stats'!G:G)/(365/60),0.2)),"Unknown"))</f>
        <v>0.3</v>
      </c>
      <c r="AU117" s="8">
        <f t="shared" si="7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_xlfn.XLOOKUP(B117,'Base stats'!B:B,'Base stats'!AF:AF)</f>
        <v>No</v>
      </c>
      <c r="BB117" s="2" t="str">
        <f>_xlfn.XLOOKUP(B117,'Base stats'!B:B,'Base stats'!AE:AE)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stats'!Z:Z)=0),0,IF(OR(_xlfn.XLOOKUP(Animals!B117,'Base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stats'!AA:AA),0.005))</f>
        <v>0</v>
      </c>
      <c r="BE117" s="23">
        <f>MIN(1,MROUND(IF(AND(AO117&lt;0.5,_xlfn.XLOOKUP(B117,'Base stats'!B:B,'Base stats'!Z:Z)=0),0,IF(_xlfn.XLOOKUP(_xlfn.XLOOKUP(B117,'Base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stats'!AB:AB),0.005))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stats'!AL:AL)="Standard","No",MROUND((_xlfn.XLOOKUP(B117,'Base stats'!B:B,'Base stats'!AL:AL)/3.6)/I117,0.1))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stats'!AC:AC)&lt;&gt;"No",_xlfn.XLOOKUP(B117,'Base stats'!B:B,'Base stats'!AC:AC),"")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stats'!AC:AC)&lt;&gt;"No",_xlfn.XLOOKUP(B117,'Base stats'!B:B,'Base stats'!AC:AC),"")
  )
)</f>
        <v>No</v>
      </c>
      <c r="BQ117" s="25" t="str">
        <f>IF(
   AND(
      'Base stats'!AL117="Standard",_xlfn.XLOOKUP(_xlfn.XLOOKUP(B117,'Base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stats'!AT:AT) * 1.8) * 2) * 2.5 + 10 + I117 * 2,5)+IF(_xlfn.XLOOKUP(B117,'Base stats'!B:B,'Base stats'!AI:AI)=1,50,0)</f>
        <v>40</v>
      </c>
      <c r="BS117" s="8">
        <f t="shared" si="12"/>
        <v>0.35000000000000003</v>
      </c>
      <c r="BT117" s="8" t="str">
        <f>_xlfn.XLOOKUP(B117,'Base stats'!B:B,'Base stats'!AD:AD)</f>
        <v>No</v>
      </c>
      <c r="BU117" s="2" t="str">
        <f>IF(AND(J117&lt;=0.95,OR(_xlfn.XLOOKUP(B117,'Base stats'!B:B,'Base stats'!AI:AI)=1,_xlfn.XLOOKUP(B117,'Base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stats'!AG:AG)=1,"true","false")</f>
        <v>false</v>
      </c>
      <c r="BW117" s="25" t="str">
        <f>IF(E117="BaseInsect","AnimalInsect",
IF(J117&gt;0.95,"AnimalExotic",
_xlfn.TEXTJOIN(", ",TRUE,
IF(OR(_xlfn.XLOOKUP(B117,'Base stats'!B:B,'Base stats'!AK:AK)=1,AND(_xlfn.XLOOKUP(B117,'Base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stats'!AI:AI)=1,AND(BI117&lt;&gt;"None",BR117&gt;=60),ISNUMBER(SEARCH("Attack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AridShrubland TropicalRainforest TropicalSwamp Grasslands Glowforest LavaField</v>
      </c>
      <c r="BY117" s="25" t="str">
        <f>IF(_xlfn.XLOOKUP(B117,'Base stats'!B:B,'Base stats'!AH:AH)=1,"true","false")</f>
        <v>false</v>
      </c>
      <c r="BZ117" s="25">
        <f>IF(_xlfn.XLOOKUP(B117,'Base stats'!B:B,'Base stats'!N:N)=1,"No",MAX(0.01,MIN(MROUND(IF(OR(_xlfn.XLOOKUP(B117,'Base stats'!B:B,'Base stats'!AK:AK)=1,AND(BJ117="True",CC117="False")),POWER(10,3.47*LOG10(_xlfn.XLOOKUP(B117,'Base stats'!B:B,'Base stats'!C:C)*1000)^-0.96),POWER(10,4.15*LOG10(_xlfn.XLOOKUP(B117,'Base stats'!B:B,'Base stats'!C:C)*1000)^-0.73))*IF(OR(_xlfn.XLOOKUP(B117,'Base stats'!B:B,'Base stats'!AK:AK)=1,_xlfn.XLOOKUP(B117,'Base stats'!B:B,'Base stats'!AI:AI)=1),0.5,1)/100,0.025),1)))</f>
        <v>0.05</v>
      </c>
      <c r="CA117" s="25" t="str">
        <f>IF(P117="Standard","No",MAX(0.01,IF(_xlfn.XLOOKUP(B117,'Base stats'!B:B,'Base stats'!N:N)=0,MROUND(BZ117*P117,0.05),MIN(1,MAX(0.025,MROUND(IF(OR(CC117="true",AND(BJ117="false",BO117="false")),POWER(10,4.15*LOG10(_xlfn.XLOOKUP(B117,'Base stats'!B:B,'Base stats'!C:C)*1000)^-0.73),POWER(10,3.47*LOG10(_xlfn.XLOOKUP(B117,'Base stats'!B:B,'Base stats'!C:C)*1000)^-0.96))*IF(_xlfn.XLOOKUP(B117,'Base stats'!B:B,'Base stats'!AI:AI)=1,0.5,1)/100,0.025))))))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476</v>
      </c>
      <c r="C118" s="28" t="s">
        <v>811</v>
      </c>
      <c r="D118" s="28" t="s">
        <v>884</v>
      </c>
      <c r="E118" s="28" t="s">
        <v>685</v>
      </c>
      <c r="F118" s="28" t="s">
        <v>685</v>
      </c>
      <c r="G118" s="28" t="s">
        <v>685</v>
      </c>
      <c r="H118" s="2">
        <f>MROUND((
  (IF(AND(_xlfn.XLOOKUP(B118,'Base stats'!B:B,'Base stats'!AJ:AJ)=0,BI118="None",_xlfn.XLOOKUP(_xlfn.XLOOKUP(B118,'Base stats'!B:B,'Base stats'!E:E),Groups!A:A,Groups!B:B)=0), (18 + BR118 * 2.7) * 0.5,
    IF(AND(_xlfn.XLOOKUP(B118,'Base stats'!B:B,'Base stats'!AJ:AJ)=0,OR(AO118&lt;0.55,AND(BI118="Intermediate",_xlfn.XLOOKUP(_xlfn.XLOOKUP(B118,'Base stats'!B:B,'Base stats'!E:E),Groups!A:A,Groups!B:B)&lt;2))), (18 + BR118 * 2.7),
      IF(OR(BI118="Advanced",_xlfn.XLOOKUP(B118,'Base stats'!B:B,'Base stats'!AJ:AJ)=1,_xlfn.XLOOKUP(_xlfn.XLOOKUP(B118,'Base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IF(_xlfn.XLOOKUP(_xlfn.XLOOKUP(B118,'Base stats'!B:B,'Base stats'!E:E),Groups!A:A,Groups!C:C)="Untamable",1,IF(_xlfn.XLOOKUP(B118,'Base stats'!B:B,'Base stats'!AJ:AJ)=1,0.99,MIN(MROUND((1-0.6282*EXP(-0.459*AO118))*_xlfn.XLOOKUP(_xlfn.XLOOKUP(B118,'Base stats'!B:B,'Base stats'!E:E),Groups!A:A,Groups!C:C)*IF(_xlfn.XLOOKUP(B118,'Base stats'!B:B,'Base stats'!O:O)=1,0.5,IF(_xlfn.XLOOKUP(B118,'Base stats'!B:B,'Base stats'!O:O)=2,0,1)),0.05),0.985)))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IF(_xlfn.XLOOKUP(_xlfn.XLOOKUP(B118,'Base stats'!B:B,'Base stats'!E:E),Groups!A:A,Groups!L:L)=1,MIN(MROUND(_xlfn.XLOOKUP(B118,'Animals CE'!B:B,'Animals CE'!Z:Z)/2+0.05,0.05),200%),"No")</f>
        <v>No</v>
      </c>
      <c r="O118" s="8" t="str">
        <f>IF(_xlfn.XLOOKUP(_xlfn.XLOOKUP(B118,'Base stats'!B:B,'Base stats'!E:E),Groups!A:A,Groups!L:L)=1,MIN(MROUND(_xlfn.XLOOKUP(B118,'Animals CE'!B:B,'Animals CE'!AA:AA)/2+0.05,0.05),200%),"No")</f>
        <v>No</v>
      </c>
      <c r="P118" s="2" t="str">
        <f>_xlfn.XLOOKUP(B118,'Base stats'!B:B,'Base stats'!R:R)</f>
        <v>Standard</v>
      </c>
      <c r="Q118" s="13">
        <f>MROUND((LOG10(_xlfn.XLOOKUP(B118,'Base stats'!B:B,'Base stats'!AP:AP))*(AO118^0.5)+(_xlfn.XLOOKUP(B118,'Base stats'!B:B,'Base stats'!AP:AP)/1000)^(2/3)+_xlfn.XLOOKUP(B118,'Base stats'!B:B,'Base stats'!AY:AY)/2)+0.5,0.5)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stats'!AQ:AQ))*(AO118^0.5)+(_xlfn.XLOOKUP(B118,'Base stats'!B:B,'Base stats'!AQ:AQ)/1000)^(2/3)+_xlfn.XLOOKUP(B118,'Base stats'!B:B,'Base stats'!AY:AY))+_xlfn.XLOOKUP(B118,'Base stats'!B:B,'Base stats'!AW:AW)+0.5,0.5))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stats'!AS:AS))*(AO118^0.5)+(_xlfn.XLOOKUP(B118,'Base stats'!B:B,'Base stats'!AS:AS)/1000)^(2/3)+_xlfn.XLOOKUP(B118,'Base stats'!B:B,'Base stats'!AX:AX))+0.5+IF(_xlfn.XLOOKUP(_xlfn.XLOOKUP(B118,'Base stats'!B:B,'Base stats'!E:E),Groups!A:A,Groups!U:U)&lt;&gt;3,_xlfn.XLOOKUP(B118,'Base stats'!B:B,'Base stats'!AY:AY),0),0.5))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stats'!AR:AR)="No","No",MROUND((LOG10(_xlfn.XLOOKUP(B118,'Base stats'!B:B,'Base stats'!AR:AR))*(AO118^0.75)+(_xlfn.XLOOKUP(B118,'Base stats'!B:B,'Base stats'!AR:AR)/1000)^(2/3)+_xlfn.XLOOKUP(B118,'Base stats'!B:B,'Base stats'!AV:AV)+_xlfn.XLOOKUP(B118,'Base stats'!B:B,'Base stats'!AY:AY))+0.5,0.5))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stats'!AQ:AQ))*(AO118^0.75)+(_xlfn.XLOOKUP(B118,'Base stats'!B:B,'Base stats'!AQ:AQ)/1000)^(2/3)+_xlfn.XLOOKUP(B118,'Base stats'!B:B,'Base stats'!AW:AW)+_xlfn.XLOOKUP(B118,'Base stats'!B:B,'Base stats'!AY:AY))+0.5,0.5))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8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IFERROR(IF(_xlfn.XLOOKUP(B118,'Base stats'!B:B,'Base stats'!F:F)="Lay eggs","Lay eggs",MIN(20,MAX(5.5,ROUND(((_xlfn.XLOOKUP(B118,'Base stats'!B:B,'Base stats'!F:F)-25)*(14.5/615) + 5.5)*2,0)/2))),"Cannot breed")</f>
        <v>Lay eggs</v>
      </c>
      <c r="AT118" s="8">
        <f>IF(OR(A118="Queen",A118="Larva",A118="Megachicken",A118="Megatardi",A118="Toxscorpion"),"No",IFERROR(MAX(IF(_xlfn.XLOOKUP(B118,'Base stats'!B:B,'Base stats'!G:G)&lt;0.5,0.2,0.3),MROUND(_xlfn.XLOOKUP(B118,'Base stats'!B:B,'Base stats'!G:G)/(365/60),0.2)),"Unknown"))</f>
        <v>0.3</v>
      </c>
      <c r="AU118" s="8">
        <f t="shared" si="7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_xlfn.XLOOKUP(B118,'Base stats'!B:B,'Base stats'!AF:AF)</f>
        <v>No</v>
      </c>
      <c r="BB118" s="2" t="str">
        <f>_xlfn.XLOOKUP(B118,'Base stats'!B:B,'Base stats'!AE:AE)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stats'!Z:Z)=0),0,IF(OR(_xlfn.XLOOKUP(Animals!B118,'Base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stats'!AA:AA),0.005))</f>
        <v>0</v>
      </c>
      <c r="BE118" s="23">
        <f>MIN(1,MROUND(IF(AND(AO118&lt;0.5,_xlfn.XLOOKUP(B118,'Base stats'!B:B,'Base stats'!Z:Z)=0),0,IF(_xlfn.XLOOKUP(_xlfn.XLOOKUP(B118,'Base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stats'!AB:AB),0.005))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stats'!AL:AL)="Standard","No",MROUND((_xlfn.XLOOKUP(B118,'Base stats'!B:B,'Base stats'!AL:AL)/3.6)/I118,0.1))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stats'!AC:AC)&lt;&gt;"No",_xlfn.XLOOKUP(B118,'Base stats'!B:B,'Base stats'!AC:AC),"")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stats'!AC:AC)&lt;&gt;"No",_xlfn.XLOOKUP(B118,'Base stats'!B:B,'Base stats'!AC:AC),"")
  )
)</f>
        <v>No</v>
      </c>
      <c r="BQ118" s="25">
        <f>IF(
   AND(
      'Base stats'!AL118="Standard",_xlfn.XLOOKUP(_xlfn.XLOOKUP(B118,'Base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stats'!AT:AT) * 1.8) * 2) * 2.5 + 10 + I118 * 2,5)+IF(_xlfn.XLOOKUP(B118,'Base stats'!B:B,'Base stats'!AI:AI)=1,50,0)</f>
        <v>25</v>
      </c>
      <c r="BS118" s="8">
        <f t="shared" si="12"/>
        <v>0.25</v>
      </c>
      <c r="BT118" s="8" t="str">
        <f>_xlfn.XLOOKUP(B118,'Base stats'!B:B,'Base stats'!AD:AD)</f>
        <v>No</v>
      </c>
      <c r="BU118" s="2" t="str">
        <f>IF(AND(J118&lt;=0.95,OR(_xlfn.XLOOKUP(B118,'Base stats'!B:B,'Base stats'!AI:AI)=1,_xlfn.XLOOKUP(B118,'Base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stats'!AG:AG)=1,"true","false")</f>
        <v>false</v>
      </c>
      <c r="BW118" s="25" t="str">
        <f>IF(E118="BaseInsect","AnimalInsect",
IF(J118&gt;0.95,"AnimalExotic",
_xlfn.TEXTJOIN(", ",TRUE,
IF(OR(_xlfn.XLOOKUP(B118,'Base stats'!B:B,'Base stats'!AK:AK)=1,AND(_xlfn.XLOOKUP(B118,'Base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stats'!AI:AI)=1,AND(BI118&lt;&gt;"None",BR118&gt;=60),ISNUMBER(SEARCH("Attack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stats'!AH:AH)=1,"true","false")</f>
        <v>false</v>
      </c>
      <c r="BZ118" s="25">
        <f>IF(_xlfn.XLOOKUP(B118,'Base stats'!B:B,'Base stats'!N:N)=1,"No",MAX(0.01,MIN(MROUND(IF(OR(_xlfn.XLOOKUP(B118,'Base stats'!B:B,'Base stats'!AK:AK)=1,AND(BJ118="True",CC118="False")),POWER(10,3.47*LOG10(_xlfn.XLOOKUP(B118,'Base stats'!B:B,'Base stats'!C:C)*1000)^-0.96),POWER(10,4.15*LOG10(_xlfn.XLOOKUP(B118,'Base stats'!B:B,'Base stats'!C:C)*1000)^-0.73))*IF(OR(_xlfn.XLOOKUP(B118,'Base stats'!B:B,'Base stats'!AK:AK)=1,_xlfn.XLOOKUP(B118,'Base stats'!B:B,'Base stats'!AI:AI)=1),0.5,1)/100,0.025),1)))</f>
        <v>7.5000000000000011E-2</v>
      </c>
      <c r="CA118" s="25" t="str">
        <f>IF(P118="Standard","No",MAX(0.01,IF(_xlfn.XLOOKUP(B118,'Base stats'!B:B,'Base stats'!N:N)=0,MROUND(BZ118*P118,0.05),MIN(1,MAX(0.025,MROUND(IF(OR(CC118="true",AND(BJ118="false",BO118="false")),POWER(10,4.15*LOG10(_xlfn.XLOOKUP(B118,'Base stats'!B:B,'Base stats'!C:C)*1000)^-0.73),POWER(10,3.47*LOG10(_xlfn.XLOOKUP(B118,'Base stats'!B:B,'Base stats'!C:C)*1000)^-0.96))*IF(_xlfn.XLOOKUP(B118,'Base stats'!B:B,'Base stats'!AI:AI)=1,0.5,1)/100,0.025))))))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925</v>
      </c>
      <c r="C119" s="28" t="s">
        <v>812</v>
      </c>
      <c r="D119" s="28" t="s">
        <v>884</v>
      </c>
      <c r="E119" s="28" t="s">
        <v>685</v>
      </c>
      <c r="F119" s="28" t="s">
        <v>685</v>
      </c>
      <c r="G119" s="28" t="s">
        <v>685</v>
      </c>
      <c r="H119" s="2">
        <f>MROUND((
  (IF(AND(_xlfn.XLOOKUP(B119,'Base stats'!B:B,'Base stats'!AJ:AJ)=0,BI119="None",_xlfn.XLOOKUP(_xlfn.XLOOKUP(B119,'Base stats'!B:B,'Base stats'!E:E),Groups!A:A,Groups!B:B)=0), (18 + BR119 * 2.7) * 0.5,
    IF(AND(_xlfn.XLOOKUP(B119,'Base stats'!B:B,'Base stats'!AJ:AJ)=0,OR(AO119&lt;0.55,AND(BI119="Intermediate",_xlfn.XLOOKUP(_xlfn.XLOOKUP(B119,'Base stats'!B:B,'Base stats'!E:E),Groups!A:A,Groups!B:B)&lt;2))), (18 + BR119 * 2.7),
      IF(OR(BI119="Advanced",_xlfn.XLOOKUP(B119,'Base stats'!B:B,'Base stats'!AJ:AJ)=1,_xlfn.XLOOKUP(_xlfn.XLOOKUP(B119,'Base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IF(_xlfn.XLOOKUP(_xlfn.XLOOKUP(B119,'Base stats'!B:B,'Base stats'!E:E),Groups!A:A,Groups!C:C)="Untamable",1,IF(_xlfn.XLOOKUP(B119,'Base stats'!B:B,'Base stats'!AJ:AJ)=1,0.99,MIN(MROUND((1-0.6282*EXP(-0.459*AO119))*_xlfn.XLOOKUP(_xlfn.XLOOKUP(B119,'Base stats'!B:B,'Base stats'!E:E),Groups!A:A,Groups!C:C)*IF(_xlfn.XLOOKUP(B119,'Base stats'!B:B,'Base stats'!O:O)=1,0.5,IF(_xlfn.XLOOKUP(B119,'Base stats'!B:B,'Base stats'!O:O)=2,0,1)),0.05),0.985)))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IF(_xlfn.XLOOKUP(_xlfn.XLOOKUP(B119,'Base stats'!B:B,'Base stats'!E:E),Groups!A:A,Groups!L:L)=1,MIN(MROUND(_xlfn.XLOOKUP(B119,'Animals CE'!B:B,'Animals CE'!Z:Z)/2+0.05,0.05),200%),"No")</f>
        <v>No</v>
      </c>
      <c r="O119" s="8" t="str">
        <f>IF(_xlfn.XLOOKUP(_xlfn.XLOOKUP(B119,'Base stats'!B:B,'Base stats'!E:E),Groups!A:A,Groups!L:L)=1,MIN(MROUND(_xlfn.XLOOKUP(B119,'Animals CE'!B:B,'Animals CE'!AA:AA)/2+0.05,0.05),200%),"No")</f>
        <v>No</v>
      </c>
      <c r="P119" s="2" t="str">
        <f>_xlfn.XLOOKUP(B119,'Base stats'!B:B,'Base stats'!R:R)</f>
        <v>Standard</v>
      </c>
      <c r="Q119" s="13">
        <f>MROUND((LOG10(_xlfn.XLOOKUP(B119,'Base stats'!B:B,'Base stats'!AP:AP))*(AO119^0.5)+(_xlfn.XLOOKUP(B119,'Base stats'!B:B,'Base stats'!AP:AP)/1000)^(2/3)+_xlfn.XLOOKUP(B119,'Base stats'!B:B,'Base stats'!AY:AY)/2)+0.5,0.5)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stats'!AQ:AQ))*(AO119^0.5)+(_xlfn.XLOOKUP(B119,'Base stats'!B:B,'Base stats'!AQ:AQ)/1000)^(2/3)+_xlfn.XLOOKUP(B119,'Base stats'!B:B,'Base stats'!AY:AY))+_xlfn.XLOOKUP(B119,'Base stats'!B:B,'Base stats'!AW:AW)+0.5,0.5))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stats'!AS:AS))*(AO119^0.5)+(_xlfn.XLOOKUP(B119,'Base stats'!B:B,'Base stats'!AS:AS)/1000)^(2/3)+_xlfn.XLOOKUP(B119,'Base stats'!B:B,'Base stats'!AX:AX))+0.5+IF(_xlfn.XLOOKUP(_xlfn.XLOOKUP(B119,'Base stats'!B:B,'Base stats'!E:E),Groups!A:A,Groups!U:U)&lt;&gt;3,_xlfn.XLOOKUP(B119,'Base stats'!B:B,'Base stats'!AY:AY),0),0.5))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stats'!AR:AR)="No","No",MROUND((LOG10(_xlfn.XLOOKUP(B119,'Base stats'!B:B,'Base stats'!AR:AR))*(AO119^0.75)+(_xlfn.XLOOKUP(B119,'Base stats'!B:B,'Base stats'!AR:AR)/1000)^(2/3)+_xlfn.XLOOKUP(B119,'Base stats'!B:B,'Base stats'!AV:AV)+_xlfn.XLOOKUP(B119,'Base stats'!B:B,'Base stats'!AY:AY))+0.5,0.5))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stats'!AQ:AQ))*(AO119^0.75)+(_xlfn.XLOOKUP(B119,'Base stats'!B:B,'Base stats'!AQ:AQ)/1000)^(2/3)+_xlfn.XLOOKUP(B119,'Base stats'!B:B,'Base stats'!AW:AW)+_xlfn.XLOOKUP(B119,'Base stats'!B:B,'Base stats'!AY:AY))+0.5,0.5))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8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IFERROR(IF(_xlfn.XLOOKUP(B119,'Base stats'!B:B,'Base stats'!F:F)="Lay eggs","Lay eggs",MIN(20,MAX(5.5,ROUND(((_xlfn.XLOOKUP(B119,'Base stats'!B:B,'Base stats'!F:F)-25)*(14.5/615) + 5.5)*2,0)/2))),"Cannot breed")</f>
        <v>6.5</v>
      </c>
      <c r="AT119" s="8">
        <f>IF(OR(A119="Queen",A119="Larva",A119="Megachicken",A119="Megatardi",A119="Toxscorpion"),"No",IFERROR(MAX(IF(_xlfn.XLOOKUP(B119,'Base stats'!B:B,'Base stats'!G:G)&lt;0.5,0.2,0.3),MROUND(_xlfn.XLOOKUP(B119,'Base stats'!B:B,'Base stats'!G:G)/(365/60),0.2)),"Unknown"))</f>
        <v>0.3</v>
      </c>
      <c r="AU119" s="8">
        <f t="shared" si="7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_xlfn.XLOOKUP(B119,'Base stats'!B:B,'Base stats'!AF:AF)</f>
        <v>&lt;li&gt;Wolf_Timber&lt;/li&gt;</v>
      </c>
      <c r="BB119" s="2" t="str">
        <f>_xlfn.XLOOKUP(B119,'Base stats'!B:B,'Base stats'!AE:AE)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stats'!Z:Z)=0),0,IF(OR(_xlfn.XLOOKUP(Animals!B119,'Base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stats'!AA:AA),0.005))</f>
        <v>0.1</v>
      </c>
      <c r="BE119" s="23">
        <f>MIN(1,MROUND(IF(AND(AO119&lt;0.5,_xlfn.XLOOKUP(B119,'Base stats'!B:B,'Base stats'!Z:Z)=0),0,IF(_xlfn.XLOOKUP(_xlfn.XLOOKUP(B119,'Base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stats'!AB:AB),0.005))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stats'!AL:AL)="Standard","No",MROUND((_xlfn.XLOOKUP(B119,'Base stats'!B:B,'Base stats'!AL:AL)/3.6)/I119,0.1))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stats'!AC:AC)&lt;&gt;"No",_xlfn.XLOOKUP(B119,'Base stats'!B:B,'Base stats'!AC:AC),"")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stats'!AC:AC)&lt;&gt;"No",_xlfn.XLOOKUP(B119,'Base stats'!B:B,'Base stats'!AC:AC),"")
  )
)</f>
        <v>No</v>
      </c>
      <c r="BQ119" s="25" t="str">
        <f>IF(
   AND(
      'Base stats'!AL119="Standard",_xlfn.XLOOKUP(_xlfn.XLOOKUP(B119,'Base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stats'!AT:AT) * 1.8) * 2) * 2.5 + 10 + I119 * 2,5)+IF(_xlfn.XLOOKUP(B119,'Base stats'!B:B,'Base stats'!AI:AI)=1,50,0)</f>
        <v>70</v>
      </c>
      <c r="BS119" s="8">
        <f t="shared" si="12"/>
        <v>0.4</v>
      </c>
      <c r="BT119" s="8" t="str">
        <f>_xlfn.XLOOKUP(B119,'Base stats'!B:B,'Base stats'!AD:AD)</f>
        <v>2~6</v>
      </c>
      <c r="BU119" s="2" t="str">
        <f>IF(AND(J119&lt;=0.95,OR(_xlfn.XLOOKUP(B119,'Base stats'!B:B,'Base stats'!AI:AI)=1,_xlfn.XLOOKUP(B119,'Base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stats'!AG:AG)=1,"true","false")</f>
        <v>false</v>
      </c>
      <c r="BW119" s="25" t="str">
        <f>IF(E119="BaseInsect","AnimalInsect",
IF(J119&gt;0.95,"AnimalExotic",
_xlfn.TEXTJOIN(", ",TRUE,
IF(OR(_xlfn.XLOOKUP(B119,'Base stats'!B:B,'Base stats'!AK:AK)=1,AND(_xlfn.XLOOKUP(B119,'Base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stats'!AI:AI)=1,AND(BI119&lt;&gt;"None",BR119&gt;=60),ISNUMBER(SEARCH("Attack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stats'!AH:AH)=1,"true","false")</f>
        <v>false</v>
      </c>
      <c r="BZ119" s="25">
        <f>IF(_xlfn.XLOOKUP(B119,'Base stats'!B:B,'Base stats'!N:N)=1,"No",MAX(0.01,MIN(MROUND(IF(OR(_xlfn.XLOOKUP(B119,'Base stats'!B:B,'Base stats'!AK:AK)=1,AND(BJ119="True",CC119="False")),POWER(10,3.47*LOG10(_xlfn.XLOOKUP(B119,'Base stats'!B:B,'Base stats'!C:C)*1000)^-0.96),POWER(10,4.15*LOG10(_xlfn.XLOOKUP(B119,'Base stats'!B:B,'Base stats'!C:C)*1000)^-0.73))*IF(OR(_xlfn.XLOOKUP(B119,'Base stats'!B:B,'Base stats'!AK:AK)=1,_xlfn.XLOOKUP(B119,'Base stats'!B:B,'Base stats'!AI:AI)=1),0.5,1)/100,0.025),1)))</f>
        <v>7.5000000000000011E-2</v>
      </c>
      <c r="CA119" s="25" t="str">
        <f>IF(P119="Standard","No",MAX(0.01,IF(_xlfn.XLOOKUP(B119,'Base stats'!B:B,'Base stats'!N:N)=0,MROUND(BZ119*P119,0.05),MIN(1,MAX(0.025,MROUND(IF(OR(CC119="true",AND(BJ119="false",BO119="false")),POWER(10,4.15*LOG10(_xlfn.XLOOKUP(B119,'Base stats'!B:B,'Base stats'!C:C)*1000)^-0.73),POWER(10,3.47*LOG10(_xlfn.XLOOKUP(B119,'Base stats'!B:B,'Base stats'!C:C)*1000)^-0.96))*IF(_xlfn.XLOOKUP(B119,'Base stats'!B:B,'Base stats'!AI:AI)=1,0.5,1)/100,0.025))))))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237</v>
      </c>
      <c r="C120" s="28" t="s">
        <v>813</v>
      </c>
      <c r="D120" s="28" t="s">
        <v>884</v>
      </c>
      <c r="E120" s="28" t="s">
        <v>427</v>
      </c>
      <c r="F120" s="28" t="s">
        <v>460</v>
      </c>
      <c r="G120" s="28" t="s">
        <v>685</v>
      </c>
      <c r="H120" s="2">
        <f>MROUND((
  (IF(AND(_xlfn.XLOOKUP(B120,'Base stats'!B:B,'Base stats'!AJ:AJ)=0,BI120="None",_xlfn.XLOOKUP(_xlfn.XLOOKUP(B120,'Base stats'!B:B,'Base stats'!E:E),Groups!A:A,Groups!B:B)=0), (18 + BR120 * 2.7) * 0.5,
    IF(AND(_xlfn.XLOOKUP(B120,'Base stats'!B:B,'Base stats'!AJ:AJ)=0,OR(AO120&lt;0.55,AND(BI120="Intermediate",_xlfn.XLOOKUP(_xlfn.XLOOKUP(B120,'Base stats'!B:B,'Base stats'!E:E),Groups!A:A,Groups!B:B)&lt;2))), (18 + BR120 * 2.7),
      IF(OR(BI120="Advanced",_xlfn.XLOOKUP(B120,'Base stats'!B:B,'Base stats'!AJ:AJ)=1,_xlfn.XLOOKUP(_xlfn.XLOOKUP(B120,'Base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IF(_xlfn.XLOOKUP(_xlfn.XLOOKUP(B120,'Base stats'!B:B,'Base stats'!E:E),Groups!A:A,Groups!C:C)="Untamable",1,IF(_xlfn.XLOOKUP(B120,'Base stats'!B:B,'Base stats'!AJ:AJ)=1,0.99,MIN(MROUND((1-0.6282*EXP(-0.459*AO120))*_xlfn.XLOOKUP(_xlfn.XLOOKUP(B120,'Base stats'!B:B,'Base stats'!E:E),Groups!A:A,Groups!C:C)*IF(_xlfn.XLOOKUP(B120,'Base stats'!B:B,'Base stats'!O:O)=1,0.5,IF(_xlfn.XLOOKUP(B120,'Base stats'!B:B,'Base stats'!O:O)=2,0,1)),0.05),0.985)))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IF(_xlfn.XLOOKUP(_xlfn.XLOOKUP(B120,'Base stats'!B:B,'Base stats'!E:E),Groups!A:A,Groups!L:L)=1,MIN(MROUND(_xlfn.XLOOKUP(B120,'Animals CE'!B:B,'Animals CE'!Z:Z)/2+0.05,0.05),200%),"No")</f>
        <v>No</v>
      </c>
      <c r="O120" s="8" t="str">
        <f>IF(_xlfn.XLOOKUP(_xlfn.XLOOKUP(B120,'Base stats'!B:B,'Base stats'!E:E),Groups!A:A,Groups!L:L)=1,MIN(MROUND(_xlfn.XLOOKUP(B120,'Animals CE'!B:B,'Animals CE'!AA:AA)/2+0.05,0.05),200%),"No")</f>
        <v>No</v>
      </c>
      <c r="P120" s="2" t="str">
        <f>_xlfn.XLOOKUP(B120,'Base stats'!B:B,'Base stats'!R:R)</f>
        <v>Standard</v>
      </c>
      <c r="Q120" s="13">
        <f>MROUND((LOG10(_xlfn.XLOOKUP(B120,'Base stats'!B:B,'Base stats'!AP:AP))*(AO120^0.5)+(_xlfn.XLOOKUP(B120,'Base stats'!B:B,'Base stats'!AP:AP)/1000)^(2/3)+_xlfn.XLOOKUP(B120,'Base stats'!B:B,'Base stats'!AY:AY)/2)+0.5,0.5)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stats'!AQ:AQ))*(AO120^0.5)+(_xlfn.XLOOKUP(B120,'Base stats'!B:B,'Base stats'!AQ:AQ)/1000)^(2/3)+_xlfn.XLOOKUP(B120,'Base stats'!B:B,'Base stats'!AY:AY))+_xlfn.XLOOKUP(B120,'Base stats'!B:B,'Base stats'!AW:AW)+0.5,0.5))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stats'!AS:AS))*(AO120^0.5)+(_xlfn.XLOOKUP(B120,'Base stats'!B:B,'Base stats'!AS:AS)/1000)^(2/3)+_xlfn.XLOOKUP(B120,'Base stats'!B:B,'Base stats'!AX:AX))+0.5+IF(_xlfn.XLOOKUP(_xlfn.XLOOKUP(B120,'Base stats'!B:B,'Base stats'!E:E),Groups!A:A,Groups!U:U)&lt;&gt;3,_xlfn.XLOOKUP(B120,'Base stats'!B:B,'Base stats'!AY:AY),0),0.5))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stats'!AR:AR)="No","No",MROUND((LOG10(_xlfn.XLOOKUP(B120,'Base stats'!B:B,'Base stats'!AR:AR))*(AO120^0.75)+(_xlfn.XLOOKUP(B120,'Base stats'!B:B,'Base stats'!AR:AR)/1000)^(2/3)+_xlfn.XLOOKUP(B120,'Base stats'!B:B,'Base stats'!AV:AV)+_xlfn.XLOOKUP(B120,'Base stats'!B:B,'Base stats'!AY:AY))+0.5,0.5))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stats'!AQ:AQ))*(AO120^0.75)+(_xlfn.XLOOKUP(B120,'Base stats'!B:B,'Base stats'!AQ:AQ)/1000)^(2/3)+_xlfn.XLOOKUP(B120,'Base stats'!B:B,'Base stats'!AW:AW)+_xlfn.XLOOKUP(B120,'Base stats'!B:B,'Base stats'!AY:AY))+0.5,0.5))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FrontRightPaw,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8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IFERROR(IF(_xlfn.XLOOKUP(B120,'Base stats'!B:B,'Base stats'!F:F)="Lay eggs","Lay eggs",MIN(20,MAX(5.5,ROUND(((_xlfn.XLOOKUP(B120,'Base stats'!B:B,'Base stats'!F:F)-25)*(14.5/615) + 5.5)*2,0)/2))),"Cannot breed")</f>
        <v>6.5</v>
      </c>
      <c r="AT120" s="8">
        <f>IF(OR(A120="Queen",A120="Larva",A120="Megachicken",A120="Megatardi",A120="Toxscorpion"),"No",IFERROR(MAX(IF(_xlfn.XLOOKUP(B120,'Base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7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_xlfn.XLOOKUP(B120,'Base stats'!B:B,'Base stats'!AF:AF)</f>
        <v>&lt;li&gt;Bear_Grizzly&lt;/li&gt;</v>
      </c>
      <c r="BB120" s="2" t="str">
        <f>_xlfn.XLOOKUP(B120,'Base stats'!B:B,'Base stats'!AE:AE)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stats'!Z:Z)=0),0,IF(OR(_xlfn.XLOOKUP(Animals!B120,'Base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stats'!AA:AA),0.005))</f>
        <v>0.1</v>
      </c>
      <c r="BE120" s="23">
        <f>MIN(1,MROUND(IF(AND(AO120&lt;0.5,_xlfn.XLOOKUP(B120,'Base stats'!B:B,'Base stats'!Z:Z)=0),0,IF(_xlfn.XLOOKUP(_xlfn.XLOOKUP(B120,'Base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stats'!AB:AB),0.005))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stats'!AL:AL)="Standard","No",MROUND((_xlfn.XLOOKUP(B120,'Base stats'!B:B,'Base stats'!AL:AL)/3.6)/I120,0.1))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stats'!AC:AC)&lt;&gt;"No",_xlfn.XLOOKUP(B120,'Base stats'!B:B,'Base stats'!AC:AC),"")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stats'!AC:AC)&lt;&gt;"No",_xlfn.XLOOKUP(B120,'Base stats'!B:B,'Base stats'!AC:AC),"")
  )
)</f>
        <v>AttackTarget, Forage</v>
      </c>
      <c r="BQ120" s="25">
        <f>IF(
   AND(
      'Base stats'!AL120="Standard",_xlfn.XLOOKUP(_xlfn.XLOOKUP(B120,'Base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stats'!AT:AT) * 1.8) * 2) * 2.5 + 10 + I120 * 2,5)+IF(_xlfn.XLOOKUP(B120,'Base stats'!B:B,'Base stats'!AI:AI)=1,50,0)</f>
        <v>170</v>
      </c>
      <c r="BS120" s="8">
        <f t="shared" si="12"/>
        <v>0.9</v>
      </c>
      <c r="BT120" s="8" t="str">
        <f>_xlfn.XLOOKUP(B120,'Base stats'!B:B,'Base stats'!AD:AD)</f>
        <v>No</v>
      </c>
      <c r="BU120" s="2" t="str">
        <f>IF(AND(J120&lt;=0.95,OR(_xlfn.XLOOKUP(B120,'Base stats'!B:B,'Base stats'!AI:AI)=1,_xlfn.XLOOKUP(B120,'Base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stats'!AG:AG)=1,"true","false")</f>
        <v>false</v>
      </c>
      <c r="BW120" s="25" t="str">
        <f>IF(E120="BaseInsect","AnimalInsect",
IF(J120&gt;0.95,"AnimalExotic",
_xlfn.TEXTJOIN(", ",TRUE,
IF(OR(_xlfn.XLOOKUP(B120,'Base stats'!B:B,'Base stats'!AK:AK)=1,AND(_xlfn.XLOOKUP(B120,'Base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stats'!AI:AI)=1,AND(BI120&lt;&gt;"None",BR120&gt;=60),ISNUMBER(SEARCH("Attack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stats'!AH:AH)=1,"true","false")</f>
        <v>false</v>
      </c>
      <c r="BZ120" s="25">
        <f>IF(_xlfn.XLOOKUP(B120,'Base stats'!B:B,'Base stats'!N:N)=1,"No",MAX(0.01,MIN(MROUND(IF(OR(_xlfn.XLOOKUP(B120,'Base stats'!B:B,'Base stats'!AK:AK)=1,AND(BJ120="True",CC120="False")),POWER(10,3.47*LOG10(_xlfn.XLOOKUP(B120,'Base stats'!B:B,'Base stats'!C:C)*1000)^-0.96),POWER(10,4.15*LOG10(_xlfn.XLOOKUP(B120,'Base stats'!B:B,'Base stats'!C:C)*1000)^-0.73))*IF(OR(_xlfn.XLOOKUP(B120,'Base stats'!B:B,'Base stats'!AK:AK)=1,_xlfn.XLOOKUP(B120,'Base stats'!B:B,'Base stats'!AI:AI)=1),0.5,1)/100,0.025),1)))</f>
        <v>0.05</v>
      </c>
      <c r="CA120" s="25" t="str">
        <f>IF(P120="Standard","No",MAX(0.01,IF(_xlfn.XLOOKUP(B120,'Base stats'!B:B,'Base stats'!N:N)=0,MROUND(BZ120*P120,0.05),MIN(1,MAX(0.025,MROUND(IF(OR(CC120="true",AND(BJ120="false",BO120="false")),POWER(10,4.15*LOG10(_xlfn.XLOOKUP(B120,'Base stats'!B:B,'Base stats'!C:C)*1000)^-0.73),POWER(10,3.47*LOG10(_xlfn.XLOOKUP(B120,'Base stats'!B:B,'Base stats'!C:C)*1000)^-0.96))*IF(_xlfn.XLOOKUP(B120,'Base stats'!B:B,'Base stats'!AI:AI)=1,0.5,1)/100,0.025))))))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814</v>
      </c>
      <c r="D121" s="28" t="s">
        <v>884</v>
      </c>
      <c r="E121" s="28" t="s">
        <v>685</v>
      </c>
      <c r="F121" s="28" t="s">
        <v>685</v>
      </c>
      <c r="G121" s="28" t="s">
        <v>685</v>
      </c>
      <c r="H121" s="2">
        <f>MROUND((
  (IF(AND(_xlfn.XLOOKUP(B121,'Base stats'!B:B,'Base stats'!AJ:AJ)=0,BI121="None",_xlfn.XLOOKUP(_xlfn.XLOOKUP(B121,'Base stats'!B:B,'Base stats'!E:E),Groups!A:A,Groups!B:B)=0), (18 + BR121 * 2.7) * 0.5,
    IF(AND(_xlfn.XLOOKUP(B121,'Base stats'!B:B,'Base stats'!AJ:AJ)=0,OR(AO121&lt;0.55,AND(BI121="Intermediate",_xlfn.XLOOKUP(_xlfn.XLOOKUP(B121,'Base stats'!B:B,'Base stats'!E:E),Groups!A:A,Groups!B:B)&lt;2))), (18 + BR121 * 2.7),
      IF(OR(BI121="Advanced",_xlfn.XLOOKUP(B121,'Base stats'!B:B,'Base stats'!AJ:AJ)=1,_xlfn.XLOOKUP(_xlfn.XLOOKUP(B121,'Base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IF(_xlfn.XLOOKUP(_xlfn.XLOOKUP(B121,'Base stats'!B:B,'Base stats'!E:E),Groups!A:A,Groups!C:C)="Untamable",1,IF(_xlfn.XLOOKUP(B121,'Base stats'!B:B,'Base stats'!AJ:AJ)=1,0.99,MIN(MROUND((1-0.6282*EXP(-0.459*AO121))*_xlfn.XLOOKUP(_xlfn.XLOOKUP(B121,'Base stats'!B:B,'Base stats'!E:E),Groups!A:A,Groups!C:C)*IF(_xlfn.XLOOKUP(B121,'Base stats'!B:B,'Base stats'!O:O)=1,0.5,IF(_xlfn.XLOOKUP(B121,'Base stats'!B:B,'Base stats'!O:O)=2,0,1)),0.05),0.985)))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IF(_xlfn.XLOOKUP(_xlfn.XLOOKUP(B121,'Base stats'!B:B,'Base stats'!E:E),Groups!A:A,Groups!L:L)=1,MIN(MROUND(_xlfn.XLOOKUP(B121,'Animals CE'!B:B,'Animals CE'!Z:Z)/2+0.05,0.05),200%),"No")</f>
        <v>No</v>
      </c>
      <c r="O121" s="8" t="str">
        <f>IF(_xlfn.XLOOKUP(_xlfn.XLOOKUP(B121,'Base stats'!B:B,'Base stats'!E:E),Groups!A:A,Groups!L:L)=1,MIN(MROUND(_xlfn.XLOOKUP(B121,'Animals CE'!B:B,'Animals CE'!AA:AA)/2+0.05,0.05),200%),"No")</f>
        <v>No</v>
      </c>
      <c r="P121" s="2" t="str">
        <f>_xlfn.XLOOKUP(B121,'Base stats'!B:B,'Base stats'!R:R)</f>
        <v>Standard</v>
      </c>
      <c r="Q121" s="13">
        <f>MROUND((LOG10(_xlfn.XLOOKUP(B121,'Base stats'!B:B,'Base stats'!AP:AP))*(AO121^0.5)+(_xlfn.XLOOKUP(B121,'Base stats'!B:B,'Base stats'!AP:AP)/1000)^(2/3)+_xlfn.XLOOKUP(B121,'Base stats'!B:B,'Base stats'!AY:AY)/2)+0.5,0.5)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stats'!AQ:AQ))*(AO121^0.5)+(_xlfn.XLOOKUP(B121,'Base stats'!B:B,'Base stats'!AQ:AQ)/1000)^(2/3)+_xlfn.XLOOKUP(B121,'Base stats'!B:B,'Base stats'!AY:AY))+_xlfn.XLOOKUP(B121,'Base stats'!B:B,'Base stats'!AW:AW)+0.5,0.5))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stats'!AS:AS))*(AO121^0.5)+(_xlfn.XLOOKUP(B121,'Base stats'!B:B,'Base stats'!AS:AS)/1000)^(2/3)+_xlfn.XLOOKUP(B121,'Base stats'!B:B,'Base stats'!AX:AX))+0.5+IF(_xlfn.XLOOKUP(_xlfn.XLOOKUP(B121,'Base stats'!B:B,'Base stats'!E:E),Groups!A:A,Groups!U:U)&lt;&gt;3,_xlfn.XLOOKUP(B121,'Base stats'!B:B,'Base stats'!AY:AY),0),0.5))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stats'!AR:AR)="No","No",MROUND((LOG10(_xlfn.XLOOKUP(B121,'Base stats'!B:B,'Base stats'!AR:AR))*(AO121^0.75)+(_xlfn.XLOOKUP(B121,'Base stats'!B:B,'Base stats'!AR:AR)/1000)^(2/3)+_xlfn.XLOOKUP(B121,'Base stats'!B:B,'Base stats'!AV:AV)+_xlfn.XLOOKUP(B121,'Base stats'!B:B,'Base stats'!AY:AY))+0.5,0.5))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stats'!AQ:AQ))*(AO121^0.75)+(_xlfn.XLOOKUP(B121,'Base stats'!B:B,'Base stats'!AQ:AQ)/1000)^(2/3)+_xlfn.XLOOKUP(B121,'Base stats'!B:B,'Base stats'!AW:AW)+_xlfn.XLOOKUP(B121,'Base stats'!B:B,'Base stats'!AY:AY))+0.5,0.5))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8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IFERROR(IF(_xlfn.XLOOKUP(B121,'Base stats'!B:B,'Base stats'!F:F)="Lay eggs","Lay eggs",MIN(20,MAX(5.5,ROUND(((_xlfn.XLOOKUP(B121,'Base stats'!B:B,'Base stats'!F:F)-25)*(14.5/615) + 5.5)*2,0)/2))),"Cannot breed")</f>
        <v>7.5</v>
      </c>
      <c r="AT121" s="8">
        <f>IF(OR(A121="Queen",A121="Larva",A121="Megachicken",A121="Megatardi",A121="Toxscorpion"),"No",IFERROR(MAX(IF(_xlfn.XLOOKUP(B121,'Base stats'!B:B,'Base stats'!G:G)&lt;0.5,0.2,0.3),MROUND(_xlfn.XLOOKUP(B121,'Base stats'!B:B,'Base stats'!G:G)/(365/60),0.2)),"Unknown"))</f>
        <v>0.4</v>
      </c>
      <c r="AU121" s="8">
        <f t="shared" si="7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_xlfn.XLOOKUP(B121,'Base stats'!B:B,'Base stats'!AF:AF)</f>
        <v>No</v>
      </c>
      <c r="BB121" s="2" t="str">
        <f>_xlfn.XLOOKUP(B121,'Base stats'!B:B,'Base stats'!AE:AE)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stats'!Z:Z)=0),0,IF(OR(_xlfn.XLOOKUP(Animals!B121,'Base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stats'!AA:AA),0.005))</f>
        <v>0.1</v>
      </c>
      <c r="BE121" s="23">
        <f>MIN(1,MROUND(IF(AND(AO121&lt;0.5,_xlfn.XLOOKUP(B121,'Base stats'!B:B,'Base stats'!Z:Z)=0),0,IF(_xlfn.XLOOKUP(_xlfn.XLOOKUP(B121,'Base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stats'!AB:AB),0.005))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stats'!AL:AL)="Standard","No",MROUND((_xlfn.XLOOKUP(B121,'Base stats'!B:B,'Base stats'!AL:AL)/3.6)/I121,0.1))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stats'!AC:AC)&lt;&gt;"No",_xlfn.XLOOKUP(B121,'Base stats'!B:B,'Base stats'!AC:AC),"")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stats'!AC:AC)&lt;&gt;"No",_xlfn.XLOOKUP(B121,'Base stats'!B:B,'Base stats'!AC:AC),"")
  )
)</f>
        <v>AttackTarget</v>
      </c>
      <c r="BQ121" s="25" t="str">
        <f>IF(
   AND(
      'Base stats'!AL121="Standard",_xlfn.XLOOKUP(_xlfn.XLOOKUP(B121,'Base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stats'!AT:AT) * 1.8) * 2) * 2.5 + 10 + I121 * 2,5)+IF(_xlfn.XLOOKUP(B121,'Base stats'!B:B,'Base stats'!AI:AI)=1,50,0)</f>
        <v>115</v>
      </c>
      <c r="BS121" s="8">
        <f t="shared" si="12"/>
        <v>0.65</v>
      </c>
      <c r="BT121" s="8" t="str">
        <f>_xlfn.XLOOKUP(B121,'Base stats'!B:B,'Base stats'!AD:AD)</f>
        <v>2~6</v>
      </c>
      <c r="BU121" s="2" t="str">
        <f>IF(AND(J121&lt;=0.95,OR(_xlfn.XLOOKUP(B121,'Base stats'!B:B,'Base stats'!AI:AI)=1,_xlfn.XLOOKUP(B121,'Base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stats'!AG:AG)=1,"true","false")</f>
        <v>false</v>
      </c>
      <c r="BW121" s="25" t="str">
        <f>IF(E121="BaseInsect","AnimalInsect",
IF(J121&gt;0.95,"AnimalExotic",
_xlfn.TEXTJOIN(", ",TRUE,
IF(OR(_xlfn.XLOOKUP(B121,'Base stats'!B:B,'Base stats'!AK:AK)=1,AND(_xlfn.XLOOKUP(B121,'Base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stats'!AI:AI)=1,AND(BI121&lt;&gt;"None",BR121&gt;=60),ISNUMBER(SEARCH("Attack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stats'!AH:AH)=1,"true","false")</f>
        <v>false</v>
      </c>
      <c r="BZ121" s="25">
        <f>IF(_xlfn.XLOOKUP(B121,'Base stats'!B:B,'Base stats'!N:N)=1,"No",MAX(0.01,MIN(MROUND(IF(OR(_xlfn.XLOOKUP(B121,'Base stats'!B:B,'Base stats'!AK:AK)=1,AND(BJ121="True",CC121="False")),POWER(10,3.47*LOG10(_xlfn.XLOOKUP(B121,'Base stats'!B:B,'Base stats'!C:C)*1000)^-0.96),POWER(10,4.15*LOG10(_xlfn.XLOOKUP(B121,'Base stats'!B:B,'Base stats'!C:C)*1000)^-0.73))*IF(OR(_xlfn.XLOOKUP(B121,'Base stats'!B:B,'Base stats'!AK:AK)=1,_xlfn.XLOOKUP(B121,'Base stats'!B:B,'Base stats'!AI:AI)=1),0.5,1)/100,0.025),1)))</f>
        <v>0.05</v>
      </c>
      <c r="CA121" s="25" t="str">
        <f>IF(P121="Standard","No",MAX(0.01,IF(_xlfn.XLOOKUP(B121,'Base stats'!B:B,'Base stats'!N:N)=0,MROUND(BZ121*P121,0.05),MIN(1,MAX(0.025,MROUND(IF(OR(CC121="true",AND(BJ121="false",BO121="false")),POWER(10,4.15*LOG10(_xlfn.XLOOKUP(B121,'Base stats'!B:B,'Base stats'!C:C)*1000)^-0.73),POWER(10,3.47*LOG10(_xlfn.XLOOKUP(B121,'Base stats'!B:B,'Base stats'!C:C)*1000)^-0.96))*IF(_xlfn.XLOOKUP(B121,'Base stats'!B:B,'Base stats'!AI:AI)=1,0.5,1)/100,0.025))))))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478</v>
      </c>
      <c r="C122" s="28" t="s">
        <v>815</v>
      </c>
      <c r="D122" s="28" t="s">
        <v>884</v>
      </c>
      <c r="E122" s="28" t="s">
        <v>685</v>
      </c>
      <c r="F122" s="28" t="s">
        <v>685</v>
      </c>
      <c r="G122" s="28" t="s">
        <v>685</v>
      </c>
      <c r="H122" s="2">
        <f>MROUND((
  (IF(AND(_xlfn.XLOOKUP(B122,'Base stats'!B:B,'Base stats'!AJ:AJ)=0,BI122="None",_xlfn.XLOOKUP(_xlfn.XLOOKUP(B122,'Base stats'!B:B,'Base stats'!E:E),Groups!A:A,Groups!B:B)=0), (18 + BR122 * 2.7) * 0.5,
    IF(AND(_xlfn.XLOOKUP(B122,'Base stats'!B:B,'Base stats'!AJ:AJ)=0,OR(AO122&lt;0.55,AND(BI122="Intermediate",_xlfn.XLOOKUP(_xlfn.XLOOKUP(B122,'Base stats'!B:B,'Base stats'!E:E),Groups!A:A,Groups!B:B)&lt;2))), (18 + BR122 * 2.7),
      IF(OR(BI122="Advanced",_xlfn.XLOOKUP(B122,'Base stats'!B:B,'Base stats'!AJ:AJ)=1,_xlfn.XLOOKUP(_xlfn.XLOOKUP(B122,'Base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350</v>
      </c>
      <c r="I122" s="2">
        <f>MROUND(ROUNDDOWN(_xlfn.XLOOKUP(B122,'Base stats'!B:B,'Base stats'!L:L)/3.6/(23.3/11),1),0.5)</f>
        <v>0.5</v>
      </c>
      <c r="J122" s="2">
        <f>IF(_xlfn.XLOOKUP(_xlfn.XLOOKUP(B122,'Base stats'!B:B,'Base stats'!E:E),Groups!A:A,Groups!C:C)="Untamable",1,IF(_xlfn.XLOOKUP(B122,'Base stats'!B:B,'Base stats'!AJ:AJ)=1,0.99,MIN(MROUND((1-0.6282*EXP(-0.459*AO122))*_xlfn.XLOOKUP(_xlfn.XLOOKUP(B122,'Base stats'!B:B,'Base stats'!E:E),Groups!A:A,Groups!C:C)*IF(_xlfn.XLOOKUP(B122,'Base stats'!B:B,'Base stats'!O:O)=1,0.5,IF(_xlfn.XLOOKUP(B122,'Base stats'!B:B,'Base stats'!O:O)=2,0,1)),0.05),0.985)))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IF(_xlfn.XLOOKUP(_xlfn.XLOOKUP(B122,'Base stats'!B:B,'Base stats'!E:E),Groups!A:A,Groups!L:L)=1,MIN(MROUND(_xlfn.XLOOKUP(B122,'Animals CE'!B:B,'Animals CE'!Z:Z)/2+0.05,0.05),200%),"No")</f>
        <v>0.70000000000000007</v>
      </c>
      <c r="O122" s="8">
        <f>IF(_xlfn.XLOOKUP(_xlfn.XLOOKUP(B122,'Base stats'!B:B,'Base stats'!E:E),Groups!A:A,Groups!L:L)=1,MIN(MROUND(_xlfn.XLOOKUP(B122,'Animals CE'!B:B,'Animals CE'!AA:AA)/2+0.05,0.05),200%),"No")</f>
        <v>1.25</v>
      </c>
      <c r="P122" s="2" t="str">
        <f>_xlfn.XLOOKUP(B122,'Base stats'!B:B,'Base stats'!R:R)</f>
        <v>Standard</v>
      </c>
      <c r="Q122" s="13">
        <f>MROUND((LOG10(_xlfn.XLOOKUP(B122,'Base stats'!B:B,'Base stats'!AP:AP))*(AO122^0.5)+(_xlfn.XLOOKUP(B122,'Base stats'!B:B,'Base stats'!AP:AP)/1000)^(2/3)+_xlfn.XLOOKUP(B122,'Base stats'!B:B,'Base stats'!AY:AY)/2)+0.5,0.5)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stats'!AQ:AQ))*(AO122^0.5)+(_xlfn.XLOOKUP(B122,'Base stats'!B:B,'Base stats'!AQ:AQ)/1000)^(2/3)+_xlfn.XLOOKUP(B122,'Base stats'!B:B,'Base stats'!AY:AY))+_xlfn.XLOOKUP(B122,'Base stats'!B:B,'Base stats'!AW:AW)+0.5,0.5))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stats'!AS:AS))*(AO122^0.5)+(_xlfn.XLOOKUP(B122,'Base stats'!B:B,'Base stats'!AS:AS)/1000)^(2/3)+_xlfn.XLOOKUP(B122,'Base stats'!B:B,'Base stats'!AX:AX))+0.5+IF(_xlfn.XLOOKUP(_xlfn.XLOOKUP(B122,'Base stats'!B:B,'Base stats'!E:E),Groups!A:A,Groups!U:U)&lt;&gt;3,_xlfn.XLOOKUP(B122,'Base stats'!B:B,'Base stats'!AY:AY),0),0.5))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stats'!AR:AR)="No","No",MROUND((LOG10(_xlfn.XLOOKUP(B122,'Base stats'!B:B,'Base stats'!AR:AR))*(AO122^0.75)+(_xlfn.XLOOKUP(B122,'Base stats'!B:B,'Base stats'!AR:AR)/1000)^(2/3)+_xlfn.XLOOKUP(B122,'Base stats'!B:B,'Base stats'!AV:AV)+_xlfn.XLOOKUP(B122,'Base stats'!B:B,'Base stats'!AY:AY))+0.5,0.5))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stats'!AQ:AQ))*(AO122^0.75)+(_xlfn.XLOOKUP(B122,'Base stats'!B:B,'Base stats'!AQ:AQ)/1000)^(2/3)+_xlfn.XLOOKUP(B122,'Base stats'!B:B,'Base stats'!AW:AW)+_xlfn.XLOOKUP(B122,'Base stats'!B:B,'Base stats'!AY:AY))+0.5,0.5))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8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IFERROR(IF(_xlfn.XLOOKUP(B122,'Base stats'!B:B,'Base stats'!F:F)="Lay eggs","Lay eggs",MIN(20,MAX(5.5,ROUND(((_xlfn.XLOOKUP(B122,'Base stats'!B:B,'Base stats'!F:F)-25)*(14.5/615) + 5.5)*2,0)/2))),"Cannot breed")</f>
        <v>Lay eggs</v>
      </c>
      <c r="AT122" s="8">
        <f>IF(OR(A122="Queen",A122="Larva",A122="Megachicken",A122="Megatardi",A122="Toxscorpion"),"No",IFERROR(MAX(IF(_xlfn.XLOOKUP(B122,'Base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7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_xlfn.XLOOKUP(B122,'Base stats'!B:B,'Base stats'!AF:AF)</f>
        <v>&lt;li&gt;Tortoise&lt;/li&gt;</v>
      </c>
      <c r="BB122" s="2" t="str">
        <f>_xlfn.XLOOKUP(B122,'Base stats'!B:B,'Base stats'!AE:AE)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stats'!Z:Z)=0),0,IF(OR(_xlfn.XLOOKUP(Animals!B122,'Base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stats'!AA:AA),0.005))</f>
        <v>0</v>
      </c>
      <c r="BE122" s="23">
        <f>MIN(1,MROUND(IF(AND(AO122&lt;0.5,_xlfn.XLOOKUP(B122,'Base stats'!B:B,'Base stats'!Z:Z)=0),0,IF(_xlfn.XLOOKUP(_xlfn.XLOOKUP(B122,'Base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stats'!AB:AB),0.005))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stats'!AL:AL)="Standard","No",MROUND((_xlfn.XLOOKUP(B122,'Base stats'!B:B,'Base stats'!AL:AL)/3.6)/I122,0.1))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stats'!AC:AC)&lt;&gt;"No",_xlfn.XLOOKUP(B122,'Base stats'!B:B,'Base stats'!AC:AC),"")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stats'!AC:AC)&lt;&gt;"No",_xlfn.XLOOKUP(B122,'Base stats'!B:B,'Base stats'!AC:AC),"")
  )
)</f>
        <v>No</v>
      </c>
      <c r="BQ122" s="25" t="str">
        <f>IF(
   AND(
      'Base stats'!AL122="Standard",_xlfn.XLOOKUP(_xlfn.XLOOKUP(B122,'Base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stats'!AT:AT) * 1.8) * 2) * 2.5 + 10 + I122 * 2,5)+IF(_xlfn.XLOOKUP(B122,'Base stats'!B:B,'Base stats'!AI:AI)=1,50,0)</f>
        <v>95</v>
      </c>
      <c r="BS122" s="8">
        <f t="shared" si="12"/>
        <v>0.25</v>
      </c>
      <c r="BT122" s="8" t="str">
        <f>_xlfn.XLOOKUP(B122,'Base stats'!B:B,'Base stats'!AD:AD)</f>
        <v>No</v>
      </c>
      <c r="BU122" s="2" t="str">
        <f>IF(AND(J122&lt;=0.95,OR(_xlfn.XLOOKUP(B122,'Base stats'!B:B,'Base stats'!AI:AI)=1,_xlfn.XLOOKUP(B122,'Base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stats'!AG:AG)=1,"true","false")</f>
        <v>false</v>
      </c>
      <c r="BW122" s="25" t="str">
        <f>IF(E122="BaseInsect","AnimalInsect",
IF(J122&gt;0.95,"AnimalExotic",
_xlfn.TEXTJOIN(", ",TRUE,
IF(OR(_xlfn.XLOOKUP(B122,'Base stats'!B:B,'Base stats'!AK:AK)=1,AND(_xlfn.XLOOKUP(B122,'Base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stats'!AI:AI)=1,AND(BI122&lt;&gt;"None",BR122&gt;=60),ISNUMBER(SEARCH("Attack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stats'!AH:AH)=1,"true","false")</f>
        <v>false</v>
      </c>
      <c r="BZ122" s="25">
        <f>IF(_xlfn.XLOOKUP(B122,'Base stats'!B:B,'Base stats'!N:N)=1,"No",MAX(0.01,MIN(MROUND(IF(OR(_xlfn.XLOOKUP(B122,'Base stats'!B:B,'Base stats'!AK:AK)=1,AND(BJ122="True",CC122="False")),POWER(10,3.47*LOG10(_xlfn.XLOOKUP(B122,'Base stats'!B:B,'Base stats'!C:C)*1000)^-0.96),POWER(10,4.15*LOG10(_xlfn.XLOOKUP(B122,'Base stats'!B:B,'Base stats'!C:C)*1000)^-0.73))*IF(OR(_xlfn.XLOOKUP(B122,'Base stats'!B:B,'Base stats'!AK:AK)=1,_xlfn.XLOOKUP(B122,'Base stats'!B:B,'Base stats'!AI:AI)=1),0.5,1)/100,0.025),1)))</f>
        <v>0.22500000000000001</v>
      </c>
      <c r="CA122" s="25" t="str">
        <f>IF(P122="Standard","No",MAX(0.01,IF(_xlfn.XLOOKUP(B122,'Base stats'!B:B,'Base stats'!N:N)=0,MROUND(BZ122*P122,0.05),MIN(1,MAX(0.025,MROUND(IF(OR(CC122="true",AND(BJ122="false",BO122="false")),POWER(10,4.15*LOG10(_xlfn.XLOOKUP(B122,'Base stats'!B:B,'Base stats'!C:C)*1000)^-0.73),POWER(10,3.47*LOG10(_xlfn.XLOOKUP(B122,'Base stats'!B:B,'Base stats'!C:C)*1000)^-0.96))*IF(_xlfn.XLOOKUP(B122,'Base stats'!B:B,'Base stats'!AI:AI)=1,0.5,1)/100,0.025))))))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77</v>
      </c>
      <c r="C123" s="28" t="s">
        <v>816</v>
      </c>
      <c r="D123" s="28" t="s">
        <v>884</v>
      </c>
      <c r="E123" s="28" t="s">
        <v>685</v>
      </c>
      <c r="F123" s="28" t="s">
        <v>685</v>
      </c>
      <c r="G123" s="28" t="s">
        <v>685</v>
      </c>
      <c r="H123" s="2">
        <f>MROUND((
  (IF(AND(_xlfn.XLOOKUP(B123,'Base stats'!B:B,'Base stats'!AJ:AJ)=0,BI123="None",_xlfn.XLOOKUP(_xlfn.XLOOKUP(B123,'Base stats'!B:B,'Base stats'!E:E),Groups!A:A,Groups!B:B)=0), (18 + BR123 * 2.7) * 0.5,
    IF(AND(_xlfn.XLOOKUP(B123,'Base stats'!B:B,'Base stats'!AJ:AJ)=0,OR(AO123&lt;0.55,AND(BI123="Intermediate",_xlfn.XLOOKUP(_xlfn.XLOOKUP(B123,'Base stats'!B:B,'Base stats'!E:E),Groups!A:A,Groups!B:B)&lt;2))), (18 + BR123 * 2.7),
      IF(OR(BI123="Advanced",_xlfn.XLOOKUP(B123,'Base stats'!B:B,'Base stats'!AJ:AJ)=1,_xlfn.XLOOKUP(_xlfn.XLOOKUP(B123,'Base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IF(_xlfn.XLOOKUP(_xlfn.XLOOKUP(B123,'Base stats'!B:B,'Base stats'!E:E),Groups!A:A,Groups!C:C)="Untamable",1,IF(_xlfn.XLOOKUP(B123,'Base stats'!B:B,'Base stats'!AJ:AJ)=1,0.99,MIN(MROUND((1-0.6282*EXP(-0.459*AO123))*_xlfn.XLOOKUP(_xlfn.XLOOKUP(B123,'Base stats'!B:B,'Base stats'!E:E),Groups!A:A,Groups!C:C)*IF(_xlfn.XLOOKUP(B123,'Base stats'!B:B,'Base stats'!O:O)=1,0.5,IF(_xlfn.XLOOKUP(B123,'Base stats'!B:B,'Base stats'!O:O)=2,0,1)),0.05),0.985)))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IF(_xlfn.XLOOKUP(_xlfn.XLOOKUP(B123,'Base stats'!B:B,'Base stats'!E:E),Groups!A:A,Groups!L:L)=1,MIN(MROUND(_xlfn.XLOOKUP(B123,'Animals CE'!B:B,'Animals CE'!Z:Z)/2+0.05,0.05),200%),"No")</f>
        <v>No</v>
      </c>
      <c r="O123" s="8" t="str">
        <f>IF(_xlfn.XLOOKUP(_xlfn.XLOOKUP(B123,'Base stats'!B:B,'Base stats'!E:E),Groups!A:A,Groups!L:L)=1,MIN(MROUND(_xlfn.XLOOKUP(B123,'Animals CE'!B:B,'Animals CE'!AA:AA)/2+0.05,0.05),200%),"No")</f>
        <v>No</v>
      </c>
      <c r="P123" s="2" t="str">
        <f>_xlfn.XLOOKUP(B123,'Base stats'!B:B,'Base stats'!R:R)</f>
        <v>Standard</v>
      </c>
      <c r="Q123" s="13">
        <f>MROUND((LOG10(_xlfn.XLOOKUP(B123,'Base stats'!B:B,'Base stats'!AP:AP))*(AO123^0.5)+(_xlfn.XLOOKUP(B123,'Base stats'!B:B,'Base stats'!AP:AP)/1000)^(2/3)+_xlfn.XLOOKUP(B123,'Base stats'!B:B,'Base stats'!AY:AY)/2)+0.5,0.5)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stats'!AQ:AQ))*(AO123^0.5)+(_xlfn.XLOOKUP(B123,'Base stats'!B:B,'Base stats'!AQ:AQ)/1000)^(2/3)+_xlfn.XLOOKUP(B123,'Base stats'!B:B,'Base stats'!AY:AY))+_xlfn.XLOOKUP(B123,'Base stats'!B:B,'Base stats'!AW:AW)+0.5,0.5))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stats'!AS:AS))*(AO123^0.5)+(_xlfn.XLOOKUP(B123,'Base stats'!B:B,'Base stats'!AS:AS)/1000)^(2/3)+_xlfn.XLOOKUP(B123,'Base stats'!B:B,'Base stats'!AX:AX))+0.5+IF(_xlfn.XLOOKUP(_xlfn.XLOOKUP(B123,'Base stats'!B:B,'Base stats'!E:E),Groups!A:A,Groups!U:U)&lt;&gt;3,_xlfn.XLOOKUP(B123,'Base stats'!B:B,'Base stats'!AY:AY),0),0.5))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stats'!AR:AR)="No","No",MROUND((LOG10(_xlfn.XLOOKUP(B123,'Base stats'!B:B,'Base stats'!AR:AR))*(AO123^0.75)+(_xlfn.XLOOKUP(B123,'Base stats'!B:B,'Base stats'!AR:AR)/1000)^(2/3)+_xlfn.XLOOKUP(B123,'Base stats'!B:B,'Base stats'!AV:AV)+_xlfn.XLOOKUP(B123,'Base stats'!B:B,'Base stats'!AY:AY))+0.5,0.5))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stats'!AQ:AQ))*(AO123^0.75)+(_xlfn.XLOOKUP(B123,'Base stats'!B:B,'Base stats'!AQ:AQ)/1000)^(2/3)+_xlfn.XLOOKUP(B123,'Base stats'!B:B,'Base stats'!AW:AW)+_xlfn.XLOOKUP(B123,'Base stats'!B:B,'Base stats'!AY:AY))+0.5,0.5))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FrontRightPaw,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8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IFERROR(IF(_xlfn.XLOOKUP(B123,'Base stats'!B:B,'Base stats'!F:F)="Lay eggs","Lay eggs",MIN(20,MAX(5.5,ROUND(((_xlfn.XLOOKUP(B123,'Base stats'!B:B,'Base stats'!F:F)-25)*(14.5/615) + 5.5)*2,0)/2))),"Cannot breed")</f>
        <v>7.5</v>
      </c>
      <c r="AT123" s="8">
        <f>IF(OR(A123="Queen",A123="Larva",A123="Megachicken",A123="Megatardi",A123="Toxscorpion"),"No",IFERROR(MAX(IF(_xlfn.XLOOKUP(B123,'Base stats'!B:B,'Base stats'!G:G)&lt;0.5,0.2,0.3),MROUND(_xlfn.XLOOKUP(B123,'Base stats'!B:B,'Base stats'!G:G)/(365/60),0.2)),"Unknown"))</f>
        <v>0.4</v>
      </c>
      <c r="AU123" s="8">
        <f t="shared" si="7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_xlfn.XLOOKUP(B123,'Base stats'!B:B,'Base stats'!AF:AF)</f>
        <v>No</v>
      </c>
      <c r="BB123" s="2" t="str">
        <f>_xlfn.XLOOKUP(B123,'Base stats'!B:B,'Base stats'!AE:AE)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stats'!Z:Z)=0),0,IF(OR(_xlfn.XLOOKUP(Animals!B123,'Base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stats'!AA:AA),0.005))</f>
        <v>0.1</v>
      </c>
      <c r="BE123" s="23">
        <f>MIN(1,MROUND(IF(AND(AO123&lt;0.5,_xlfn.XLOOKUP(B123,'Base stats'!B:B,'Base stats'!Z:Z)=0),0,IF(_xlfn.XLOOKUP(_xlfn.XLOOKUP(B123,'Base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stats'!AB:AB),0.005))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stats'!AL:AL)="Standard","No",MROUND((_xlfn.XLOOKUP(B123,'Base stats'!B:B,'Base stats'!AL:AL)/3.6)/I123,0.1))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stats'!AC:AC)&lt;&gt;"No",_xlfn.XLOOKUP(B123,'Base stats'!B:B,'Base stats'!AC:AC),"")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stats'!AC:AC)&lt;&gt;"No",_xlfn.XLOOKUP(B123,'Base stats'!B:B,'Base stats'!AC:AC),"")
  )
)</f>
        <v>AttackTarget</v>
      </c>
      <c r="BQ123" s="25" t="str">
        <f>IF(
   AND(
      'Base stats'!AL123="Standard",_xlfn.XLOOKUP(_xlfn.XLOOKUP(B123,'Base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stats'!AT:AT) * 1.8) * 2) * 2.5 + 10 + I123 * 2,5)+IF(_xlfn.XLOOKUP(B123,'Base stats'!B:B,'Base stats'!AI:AI)=1,50,0)</f>
        <v>205</v>
      </c>
      <c r="BS123" s="8">
        <f t="shared" si="12"/>
        <v>1</v>
      </c>
      <c r="BT123" s="8" t="str">
        <f>_xlfn.XLOOKUP(B123,'Base stats'!B:B,'Base stats'!AD:AD)</f>
        <v>2~6</v>
      </c>
      <c r="BU123" s="2" t="str">
        <f>IF(AND(J123&lt;=0.95,OR(_xlfn.XLOOKUP(B123,'Base stats'!B:B,'Base stats'!AI:AI)=1,_xlfn.XLOOKUP(B123,'Base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stats'!AG:AG)=1,"true","false")</f>
        <v>false</v>
      </c>
      <c r="BW123" s="25" t="str">
        <f>IF(E123="BaseInsect","AnimalInsect",
IF(J123&gt;0.95,"AnimalExotic",
_xlfn.TEXTJOIN(", ",TRUE,
IF(OR(_xlfn.XLOOKUP(B123,'Base stats'!B:B,'Base stats'!AK:AK)=1,AND(_xlfn.XLOOKUP(B123,'Base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stats'!AI:AI)=1,AND(BI123&lt;&gt;"None",BR123&gt;=60),ISNUMBER(SEARCH("Attack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stats'!AH:AH)=1,"true","false")</f>
        <v>false</v>
      </c>
      <c r="BZ123" s="25">
        <f>IF(_xlfn.XLOOKUP(B123,'Base stats'!B:B,'Base stats'!N:N)=1,"No",MAX(0.01,MIN(MROUND(IF(OR(_xlfn.XLOOKUP(B123,'Base stats'!B:B,'Base stats'!AK:AK)=1,AND(BJ123="True",CC123="False")),POWER(10,3.47*LOG10(_xlfn.XLOOKUP(B123,'Base stats'!B:B,'Base stats'!C:C)*1000)^-0.96),POWER(10,4.15*LOG10(_xlfn.XLOOKUP(B123,'Base stats'!B:B,'Base stats'!C:C)*1000)^-0.73))*IF(OR(_xlfn.XLOOKUP(B123,'Base stats'!B:B,'Base stats'!AK:AK)=1,_xlfn.XLOOKUP(B123,'Base stats'!B:B,'Base stats'!AI:AI)=1),0.5,1)/100,0.025),1)))</f>
        <v>0.05</v>
      </c>
      <c r="CA123" s="25" t="str">
        <f>IF(P123="Standard","No",MAX(0.01,IF(_xlfn.XLOOKUP(B123,'Base stats'!B:B,'Base stats'!N:N)=0,MROUND(BZ123*P123,0.05),MIN(1,MAX(0.025,MROUND(IF(OR(CC123="true",AND(BJ123="false",BO123="false")),POWER(10,4.15*LOG10(_xlfn.XLOOKUP(B123,'Base stats'!B:B,'Base stats'!C:C)*1000)^-0.73),POWER(10,3.47*LOG10(_xlfn.XLOOKUP(B123,'Base stats'!B:B,'Base stats'!C:C)*1000)^-0.96))*IF(_xlfn.XLOOKUP(B123,'Base stats'!B:B,'Base stats'!AI:AI)=1,0.5,1)/100,0.025))))))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614</v>
      </c>
      <c r="C124" s="28" t="s">
        <v>817</v>
      </c>
      <c r="D124" s="28" t="s">
        <v>884</v>
      </c>
      <c r="E124" s="28" t="s">
        <v>685</v>
      </c>
      <c r="F124" s="28" t="s">
        <v>685</v>
      </c>
      <c r="G124" s="28" t="s">
        <v>685</v>
      </c>
      <c r="H124" s="2">
        <f>MROUND((
  (IF(AND(_xlfn.XLOOKUP(B124,'Base stats'!B:B,'Base stats'!AJ:AJ)=0,BI124="None",_xlfn.XLOOKUP(_xlfn.XLOOKUP(B124,'Base stats'!B:B,'Base stats'!E:E),Groups!A:A,Groups!B:B)=0), (18 + BR124 * 2.7) * 0.5,
    IF(AND(_xlfn.XLOOKUP(B124,'Base stats'!B:B,'Base stats'!AJ:AJ)=0,OR(AO124&lt;0.55,AND(BI124="Intermediate",_xlfn.XLOOKUP(_xlfn.XLOOKUP(B124,'Base stats'!B:B,'Base stats'!E:E),Groups!A:A,Groups!B:B)&lt;2))), (18 + BR124 * 2.7),
      IF(OR(BI124="Advanced",_xlfn.XLOOKUP(B124,'Base stats'!B:B,'Base stats'!AJ:AJ)=1,_xlfn.XLOOKUP(_xlfn.XLOOKUP(B124,'Base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IF(_xlfn.XLOOKUP(_xlfn.XLOOKUP(B124,'Base stats'!B:B,'Base stats'!E:E),Groups!A:A,Groups!C:C)="Untamable",1,IF(_xlfn.XLOOKUP(B124,'Base stats'!B:B,'Base stats'!AJ:AJ)=1,0.99,MIN(MROUND((1-0.6282*EXP(-0.459*AO124))*_xlfn.XLOOKUP(_xlfn.XLOOKUP(B124,'Base stats'!B:B,'Base stats'!E:E),Groups!A:A,Groups!C:C)*IF(_xlfn.XLOOKUP(B124,'Base stats'!B:B,'Base stats'!O:O)=1,0.5,IF(_xlfn.XLOOKUP(B124,'Base stats'!B:B,'Base stats'!O:O)=2,0,1)),0.05),0.985)))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IF(_xlfn.XLOOKUP(_xlfn.XLOOKUP(B124,'Base stats'!B:B,'Base stats'!E:E),Groups!A:A,Groups!L:L)=1,MIN(MROUND(_xlfn.XLOOKUP(B124,'Animals CE'!B:B,'Animals CE'!Z:Z)/2+0.05,0.05),200%),"No")</f>
        <v>No</v>
      </c>
      <c r="O124" s="8" t="str">
        <f>IF(_xlfn.XLOOKUP(_xlfn.XLOOKUP(B124,'Base stats'!B:B,'Base stats'!E:E),Groups!A:A,Groups!L:L)=1,MIN(MROUND(_xlfn.XLOOKUP(B124,'Animals CE'!B:B,'Animals CE'!AA:AA)/2+0.05,0.05),200%),"No")</f>
        <v>No</v>
      </c>
      <c r="P124" s="2" t="str">
        <f>_xlfn.XLOOKUP(B124,'Base stats'!B:B,'Base stats'!R:R)</f>
        <v>Standard</v>
      </c>
      <c r="Q124" s="13">
        <f>MROUND((LOG10(_xlfn.XLOOKUP(B124,'Base stats'!B:B,'Base stats'!AP:AP))*(AO124^0.5)+(_xlfn.XLOOKUP(B124,'Base stats'!B:B,'Base stats'!AP:AP)/1000)^(2/3)+_xlfn.XLOOKUP(B124,'Base stats'!B:B,'Base stats'!AY:AY)/2)+0.5,0.5)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stats'!AQ:AQ))*(AO124^0.5)+(_xlfn.XLOOKUP(B124,'Base stats'!B:B,'Base stats'!AQ:AQ)/1000)^(2/3)+_xlfn.XLOOKUP(B124,'Base stats'!B:B,'Base stats'!AY:AY))+_xlfn.XLOOKUP(B124,'Base stats'!B:B,'Base stats'!AW:AW)+0.5,0.5))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stats'!AS:AS))*(AO124^0.5)+(_xlfn.XLOOKUP(B124,'Base stats'!B:B,'Base stats'!AS:AS)/1000)^(2/3)+_xlfn.XLOOKUP(B124,'Base stats'!B:B,'Base stats'!AX:AX))+0.5+IF(_xlfn.XLOOKUP(_xlfn.XLOOKUP(B124,'Base stats'!B:B,'Base stats'!E:E),Groups!A:A,Groups!U:U)&lt;&gt;3,_xlfn.XLOOKUP(B124,'Base stats'!B:B,'Base stats'!AY:AY),0),0.5))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stats'!AR:AR)="No","No",MROUND((LOG10(_xlfn.XLOOKUP(B124,'Base stats'!B:B,'Base stats'!AR:AR))*(AO124^0.75)+(_xlfn.XLOOKUP(B124,'Base stats'!B:B,'Base stats'!AR:AR)/1000)^(2/3)+_xlfn.XLOOKUP(B124,'Base stats'!B:B,'Base stats'!AV:AV)+_xlfn.XLOOKUP(B124,'Base stats'!B:B,'Base stats'!AY:AY))+0.5,0.5))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stats'!AQ:AQ))*(AO124^0.75)+(_xlfn.XLOOKUP(B124,'Base stats'!B:B,'Base stats'!AQ:AQ)/1000)^(2/3)+_xlfn.XLOOKUP(B124,'Base stats'!B:B,'Base stats'!AW:AW)+_xlfn.XLOOKUP(B124,'Base stats'!B:B,'Base stats'!AY:AY))+0.5,0.5))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8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IFERROR(IF(_xlfn.XLOOKUP(B124,'Base stats'!B:B,'Base stats'!F:F)="Lay eggs","Lay eggs",MIN(20,MAX(5.5,ROUND(((_xlfn.XLOOKUP(B124,'Base stats'!B:B,'Base stats'!F:F)-25)*(14.5/615) + 5.5)*2,0)/2))),"Cannot breed")</f>
        <v>Lay eggs</v>
      </c>
      <c r="AT124" s="8">
        <f>IF(OR(A124="Queen",A124="Larva",A124="Megachicken",A124="Megatardi",A124="Toxscorpion"),"No",IFERROR(MAX(IF(_xlfn.XLOOKUP(B124,'Base stats'!B:B,'Base stats'!G:G)&lt;0.5,0.2,0.3),MROUND(_xlfn.XLOOKUP(B124,'Base stats'!B:B,'Base stats'!G:G)/(365/60),0.2)),"Unknown"))</f>
        <v>0.4</v>
      </c>
      <c r="AU124" s="8">
        <f t="shared" si="7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_xlfn.XLOOKUP(B124,'Base stats'!B:B,'Base stats'!AF:AF)</f>
        <v>&lt;li&gt;Iguana&lt;/li&gt;</v>
      </c>
      <c r="BB124" s="2" t="str">
        <f>_xlfn.XLOOKUP(B124,'Base stats'!B:B,'Base stats'!AE:AE)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stats'!Z:Z)=0),0,IF(OR(_xlfn.XLOOKUP(Animals!B124,'Base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stats'!AA:AA),0.005))</f>
        <v>0</v>
      </c>
      <c r="BE124" s="23">
        <f>MIN(1,MROUND(IF(AND(AO124&lt;0.5,_xlfn.XLOOKUP(B124,'Base stats'!B:B,'Base stats'!Z:Z)=0),0,IF(_xlfn.XLOOKUP(_xlfn.XLOOKUP(B124,'Base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stats'!AB:AB),0.005))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stats'!AL:AL)="Standard","No",MROUND((_xlfn.XLOOKUP(B124,'Base stats'!B:B,'Base stats'!AL:AL)/3.6)/I124,0.1))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stats'!AC:AC)&lt;&gt;"No",_xlfn.XLOOKUP(B124,'Base stats'!B:B,'Base stats'!AC:AC),"")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stats'!AC:AC)&lt;&gt;"No",_xlfn.XLOOKUP(B124,'Base stats'!B:B,'Base stats'!AC:AC),"")
  )
)</f>
        <v>No</v>
      </c>
      <c r="BQ124" s="25" t="str">
        <f>IF(
   AND(
      'Base stats'!AL124="Standard",_xlfn.XLOOKUP(_xlfn.XLOOKUP(B124,'Base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stats'!AT:AT) * 1.8) * 2) * 2.5 + 10 + I124 * 2,5)+IF(_xlfn.XLOOKUP(B124,'Base stats'!B:B,'Base stats'!AI:AI)=1,50,0)</f>
        <v>25</v>
      </c>
      <c r="BS124" s="8">
        <f t="shared" si="12"/>
        <v>0.05</v>
      </c>
      <c r="BT124" s="8" t="str">
        <f>_xlfn.XLOOKUP(B124,'Base stats'!B:B,'Base stats'!AD:AD)</f>
        <v>No</v>
      </c>
      <c r="BU124" s="2" t="str">
        <f>IF(AND(J124&lt;=0.95,OR(_xlfn.XLOOKUP(B124,'Base stats'!B:B,'Base stats'!AI:AI)=1,_xlfn.XLOOKUP(B124,'Base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stats'!AG:AG)=1,"true","false")</f>
        <v>false</v>
      </c>
      <c r="BW124" s="25" t="str">
        <f>IF(E124="BaseInsect","AnimalInsect",
IF(J124&gt;0.95,"AnimalExotic",
_xlfn.TEXTJOIN(", ",TRUE,
IF(OR(_xlfn.XLOOKUP(B124,'Base stats'!B:B,'Base stats'!AK:AK)=1,AND(_xlfn.XLOOKUP(B124,'Base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stats'!AI:AI)=1,AND(BI124&lt;&gt;"None",BR124&gt;=60),ISNUMBER(SEARCH("Attack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stats'!AH:AH)=1,"true","false")</f>
        <v>false</v>
      </c>
      <c r="BZ124" s="25">
        <f>IF(_xlfn.XLOOKUP(B124,'Base stats'!B:B,'Base stats'!N:N)=1,"No",MAX(0.01,MIN(MROUND(IF(OR(_xlfn.XLOOKUP(B124,'Base stats'!B:B,'Base stats'!AK:AK)=1,AND(BJ124="True",CC124="False")),POWER(10,3.47*LOG10(_xlfn.XLOOKUP(B124,'Base stats'!B:B,'Base stats'!C:C)*1000)^-0.96),POWER(10,4.15*LOG10(_xlfn.XLOOKUP(B124,'Base stats'!B:B,'Base stats'!C:C)*1000)^-0.73))*IF(OR(_xlfn.XLOOKUP(B124,'Base stats'!B:B,'Base stats'!AK:AK)=1,_xlfn.XLOOKUP(B124,'Base stats'!B:B,'Base stats'!AI:AI)=1),0.5,1)/100,0.025),1)))</f>
        <v>0.65</v>
      </c>
      <c r="CA124" s="25" t="str">
        <f>IF(P124="Standard","No",MAX(0.01,IF(_xlfn.XLOOKUP(B124,'Base stats'!B:B,'Base stats'!N:N)=0,MROUND(BZ124*P124,0.05),MIN(1,MAX(0.025,MROUND(IF(OR(CC124="true",AND(BJ124="false",BO124="false")),POWER(10,4.15*LOG10(_xlfn.XLOOKUP(B124,'Base stats'!B:B,'Base stats'!C:C)*1000)^-0.73),POWER(10,3.47*LOG10(_xlfn.XLOOKUP(B124,'Base stats'!B:B,'Base stats'!C:C)*1000)^-0.96))*IF(_xlfn.XLOOKUP(B124,'Base stats'!B:B,'Base stats'!AI:AI)=1,0.5,1)/100,0.025))))))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88</v>
      </c>
      <c r="C125" s="28" t="s">
        <v>818</v>
      </c>
      <c r="D125" s="28" t="s">
        <v>884</v>
      </c>
      <c r="E125" s="28" t="s">
        <v>685</v>
      </c>
      <c r="F125" s="28" t="s">
        <v>685</v>
      </c>
      <c r="G125" s="28" t="s">
        <v>685</v>
      </c>
      <c r="H125" s="2">
        <f>MROUND((
  (IF(AND(_xlfn.XLOOKUP(B125,'Base stats'!B:B,'Base stats'!AJ:AJ)=0,BI125="None",_xlfn.XLOOKUP(_xlfn.XLOOKUP(B125,'Base stats'!B:B,'Base stats'!E:E),Groups!A:A,Groups!B:B)=0), (18 + BR125 * 2.7) * 0.5,
    IF(AND(_xlfn.XLOOKUP(B125,'Base stats'!B:B,'Base stats'!AJ:AJ)=0,OR(AO125&lt;0.55,AND(BI125="Intermediate",_xlfn.XLOOKUP(_xlfn.XLOOKUP(B125,'Base stats'!B:B,'Base stats'!E:E),Groups!A:A,Groups!B:B)&lt;2))), (18 + BR125 * 2.7),
      IF(OR(BI125="Advanced",_xlfn.XLOOKUP(B125,'Base stats'!B:B,'Base stats'!AJ:AJ)=1,_xlfn.XLOOKUP(_xlfn.XLOOKUP(B125,'Base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IF(_xlfn.XLOOKUP(_xlfn.XLOOKUP(B125,'Base stats'!B:B,'Base stats'!E:E),Groups!A:A,Groups!C:C)="Untamable",1,IF(_xlfn.XLOOKUP(B125,'Base stats'!B:B,'Base stats'!AJ:AJ)=1,0.99,MIN(MROUND((1-0.6282*EXP(-0.459*AO125))*_xlfn.XLOOKUP(_xlfn.XLOOKUP(B125,'Base stats'!B:B,'Base stats'!E:E),Groups!A:A,Groups!C:C)*IF(_xlfn.XLOOKUP(B125,'Base stats'!B:B,'Base stats'!O:O)=1,0.5,IF(_xlfn.XLOOKUP(B125,'Base stats'!B:B,'Base stats'!O:O)=2,0,1)),0.05),0.985)))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30</v>
      </c>
      <c r="N125" s="8" t="str">
        <f>IF(_xlfn.XLOOKUP(_xlfn.XLOOKUP(B125,'Base stats'!B:B,'Base stats'!E:E),Groups!A:A,Groups!L:L)=1,MIN(MROUND(_xlfn.XLOOKUP(B125,'Animals CE'!B:B,'Animals CE'!Z:Z)/2+0.05,0.05),200%),"No")</f>
        <v>No</v>
      </c>
      <c r="O125" s="8" t="str">
        <f>IF(_xlfn.XLOOKUP(_xlfn.XLOOKUP(B125,'Base stats'!B:B,'Base stats'!E:E),Groups!A:A,Groups!L:L)=1,MIN(MROUND(_xlfn.XLOOKUP(B125,'Animals CE'!B:B,'Animals CE'!AA:AA)/2+0.05,0.05),200%),"No")</f>
        <v>No</v>
      </c>
      <c r="P125" s="2" t="str">
        <f>_xlfn.XLOOKUP(B125,'Base stats'!B:B,'Base stats'!R:R)</f>
        <v>Standard</v>
      </c>
      <c r="Q125" s="13">
        <f>MROUND((LOG10(_xlfn.XLOOKUP(B125,'Base stats'!B:B,'Base stats'!AP:AP))*(AO125^0.5)+(_xlfn.XLOOKUP(B125,'Base stats'!B:B,'Base stats'!AP:AP)/1000)^(2/3)+_xlfn.XLOOKUP(B125,'Base stats'!B:B,'Base stats'!AY:AY)/2)+0.5,0.5)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stats'!AQ:AQ))*(AO125^0.5)+(_xlfn.XLOOKUP(B125,'Base stats'!B:B,'Base stats'!AQ:AQ)/1000)^(2/3)+_xlfn.XLOOKUP(B125,'Base stats'!B:B,'Base stats'!AY:AY))+_xlfn.XLOOKUP(B125,'Base stats'!B:B,'Base stats'!AW:AW)+0.5,0.5))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stats'!AS:AS))*(AO125^0.5)+(_xlfn.XLOOKUP(B125,'Base stats'!B:B,'Base stats'!AS:AS)/1000)^(2/3)+_xlfn.XLOOKUP(B125,'Base stats'!B:B,'Base stats'!AX:AX))+0.5+IF(_xlfn.XLOOKUP(_xlfn.XLOOKUP(B125,'Base stats'!B:B,'Base stats'!E:E),Groups!A:A,Groups!U:U)&lt;&gt;3,_xlfn.XLOOKUP(B125,'Base stats'!B:B,'Base stats'!AY:AY),0),0.5))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stats'!AR:AR)="No","No",MROUND((LOG10(_xlfn.XLOOKUP(B125,'Base stats'!B:B,'Base stats'!AR:AR))*(AO125^0.75)+(_xlfn.XLOOKUP(B125,'Base stats'!B:B,'Base stats'!AR:AR)/1000)^(2/3)+_xlfn.XLOOKUP(B125,'Base stats'!B:B,'Base stats'!AV:AV)+_xlfn.XLOOKUP(B125,'Base stats'!B:B,'Base stats'!AY:AY))+0.5,0.5))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stats'!AQ:AQ))*(AO125^0.75)+(_xlfn.XLOOKUP(B125,'Base stats'!B:B,'Base stats'!AQ:AQ)/1000)^(2/3)+_xlfn.XLOOKUP(B125,'Base stats'!B:B,'Base stats'!AW:AW)+_xlfn.XLOOKUP(B125,'Base stats'!B:B,'Base stats'!AY:AY))+0.5,0.5))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8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IFERROR(IF(_xlfn.XLOOKUP(B125,'Base stats'!B:B,'Base stats'!F:F)="Lay eggs","Lay eggs",MIN(20,MAX(5.5,ROUND(((_xlfn.XLOOKUP(B125,'Base stats'!B:B,'Base stats'!F:F)-25)*(14.5/615) + 5.5)*2,0)/2))),"Cannot breed")</f>
        <v>14</v>
      </c>
      <c r="AT125" s="8">
        <f>IF(OR(A125="Queen",A125="Larva",A125="Megachicken",A125="Megatardi",A125="Toxscorpion"),"No",IFERROR(MAX(IF(_xlfn.XLOOKUP(B125,'Base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7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_xlfn.XLOOKUP(B125,'Base stats'!B:B,'Base stats'!AF:AF)</f>
        <v>&lt;li&gt;Dromedary&lt;/li&gt;</v>
      </c>
      <c r="BB125" s="2" t="str">
        <f>_xlfn.XLOOKUP(B125,'Base stats'!B:B,'Base stats'!AE:AE)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stats'!Z:Z)=0),0,IF(OR(_xlfn.XLOOKUP(Animals!B125,'Base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stats'!AA:AA),0.005))</f>
        <v>0</v>
      </c>
      <c r="BE125" s="23">
        <f>MIN(1,MROUND(IF(AND(AO125&lt;0.5,_xlfn.XLOOKUP(B125,'Base stats'!B:B,'Base stats'!Z:Z)=0),0,IF(_xlfn.XLOOKUP(_xlfn.XLOOKUP(B125,'Base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stats'!AB:AB),0.005))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stats'!AL:AL)="Standard","No",MROUND((_xlfn.XLOOKUP(B125,'Base stats'!B:B,'Base stats'!AL:AL)/3.6)/I125,0.1))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stats'!AC:AC)&lt;&gt;"No",_xlfn.XLOOKUP(B125,'Base stats'!B:B,'Base stats'!AC:AC),"")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stats'!AC:AC)&lt;&gt;"No",_xlfn.XLOOKUP(B125,'Base stats'!B:B,'Base stats'!AC:AC),"")
  )
)</f>
        <v>No</v>
      </c>
      <c r="BQ125" s="25" t="str">
        <f>IF(
   AND(
      'Base stats'!AL125="Standard",_xlfn.XLOOKUP(_xlfn.XLOOKUP(B125,'Base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stats'!AT:AT) * 1.8) * 2) * 2.5 + 10 + I125 * 2,5)+IF(_xlfn.XLOOKUP(B125,'Base stats'!B:B,'Base stats'!AI:AI)=1,50,0)</f>
        <v>205</v>
      </c>
      <c r="BS125" s="8">
        <f t="shared" si="12"/>
        <v>1.5</v>
      </c>
      <c r="BT125" s="8" t="str">
        <f>_xlfn.XLOOKUP(B125,'Base stats'!B:B,'Base stats'!AD:AD)</f>
        <v>3~10</v>
      </c>
      <c r="BU125" s="2" t="str">
        <f>IF(AND(J125&lt;=0.95,OR(_xlfn.XLOOKUP(B125,'Base stats'!B:B,'Base stats'!AI:AI)=1,_xlfn.XLOOKUP(B125,'Base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stats'!AG:AG)=1,"true","false")</f>
        <v>true</v>
      </c>
      <c r="BW125" s="25" t="str">
        <f>IF(E125="BaseInsect","AnimalInsect",
IF(J125&gt;0.95,"AnimalExotic",
_xlfn.TEXTJOIN(", ",TRUE,
IF(OR(_xlfn.XLOOKUP(B125,'Base stats'!B:B,'Base stats'!AK:AK)=1,AND(_xlfn.XLOOKUP(B125,'Base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stats'!AI:AI)=1,AND(BI125&lt;&gt;"None",BR125&gt;=60),ISNUMBER(SEARCH("Attack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stats'!AH:AH)=1,"true","false")</f>
        <v>false</v>
      </c>
      <c r="BZ125" s="25">
        <f>IF(_xlfn.XLOOKUP(B125,'Base stats'!B:B,'Base stats'!N:N)=1,"No",MAX(0.01,MIN(MROUND(IF(OR(_xlfn.XLOOKUP(B125,'Base stats'!B:B,'Base stats'!AK:AK)=1,AND(BJ125="True",CC125="False")),POWER(10,3.47*LOG10(_xlfn.XLOOKUP(B125,'Base stats'!B:B,'Base stats'!C:C)*1000)^-0.96),POWER(10,4.15*LOG10(_xlfn.XLOOKUP(B125,'Base stats'!B:B,'Base stats'!C:C)*1000)^-0.73))*IF(OR(_xlfn.XLOOKUP(B125,'Base stats'!B:B,'Base stats'!AK:AK)=1,_xlfn.XLOOKUP(B125,'Base stats'!B:B,'Base stats'!AI:AI)=1),0.5,1)/100,0.025),1)))</f>
        <v>0.15000000000000002</v>
      </c>
      <c r="CA125" s="25" t="str">
        <f>IF(P125="Standard","No",MAX(0.01,IF(_xlfn.XLOOKUP(B125,'Base stats'!B:B,'Base stats'!N:N)=0,MROUND(BZ125*P125,0.05),MIN(1,MAX(0.025,MROUND(IF(OR(CC125="true",AND(BJ125="false",BO125="false")),POWER(10,4.15*LOG10(_xlfn.XLOOKUP(B125,'Base stats'!B:B,'Base stats'!C:C)*1000)^-0.73),POWER(10,3.47*LOG10(_xlfn.XLOOKUP(B125,'Base stats'!B:B,'Base stats'!C:C)*1000)^-0.96))*IF(_xlfn.XLOOKUP(B125,'Base stats'!B:B,'Base stats'!AI:AI)=1,0.5,1)/100,0.025))))))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482</v>
      </c>
      <c r="C126" s="28" t="s">
        <v>819</v>
      </c>
      <c r="D126" s="28" t="s">
        <v>884</v>
      </c>
      <c r="E126" s="28" t="s">
        <v>685</v>
      </c>
      <c r="F126" s="28" t="s">
        <v>685</v>
      </c>
      <c r="G126" s="28" t="s">
        <v>685</v>
      </c>
      <c r="H126" s="2">
        <f>MROUND((
  (IF(AND(_xlfn.XLOOKUP(B126,'Base stats'!B:B,'Base stats'!AJ:AJ)=0,BI126="None",_xlfn.XLOOKUP(_xlfn.XLOOKUP(B126,'Base stats'!B:B,'Base stats'!E:E),Groups!A:A,Groups!B:B)=0), (18 + BR126 * 2.7) * 0.5,
    IF(AND(_xlfn.XLOOKUP(B126,'Base stats'!B:B,'Base stats'!AJ:AJ)=0,OR(AO126&lt;0.55,AND(BI126="Intermediate",_xlfn.XLOOKUP(_xlfn.XLOOKUP(B126,'Base stats'!B:B,'Base stats'!E:E),Groups!A:A,Groups!B:B)&lt;2))), (18 + BR126 * 2.7),
      IF(OR(BI126="Advanced",_xlfn.XLOOKUP(B126,'Base stats'!B:B,'Base stats'!AJ:AJ)=1,_xlfn.XLOOKUP(_xlfn.XLOOKUP(B126,'Base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IF(_xlfn.XLOOKUP(_xlfn.XLOOKUP(B126,'Base stats'!B:B,'Base stats'!E:E),Groups!A:A,Groups!C:C)="Untamable",1,IF(_xlfn.XLOOKUP(B126,'Base stats'!B:B,'Base stats'!AJ:AJ)=1,0.99,MIN(MROUND((1-0.6282*EXP(-0.459*AO126))*_xlfn.XLOOKUP(_xlfn.XLOOKUP(B126,'Base stats'!B:B,'Base stats'!E:E),Groups!A:A,Groups!C:C)*IF(_xlfn.XLOOKUP(B126,'Base stats'!B:B,'Base stats'!O:O)=1,0.5,IF(_xlfn.XLOOKUP(B126,'Base stats'!B:B,'Base stats'!O:O)=2,0,1)),0.05),0.985)))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IF(_xlfn.XLOOKUP(_xlfn.XLOOKUP(B126,'Base stats'!B:B,'Base stats'!E:E),Groups!A:A,Groups!L:L)=1,MIN(MROUND(_xlfn.XLOOKUP(B126,'Animals CE'!B:B,'Animals CE'!Z:Z)/2+0.05,0.05),200%),"No")</f>
        <v>No</v>
      </c>
      <c r="O126" s="8" t="str">
        <f>IF(_xlfn.XLOOKUP(_xlfn.XLOOKUP(B126,'Base stats'!B:B,'Base stats'!E:E),Groups!A:A,Groups!L:L)=1,MIN(MROUND(_xlfn.XLOOKUP(B126,'Animals CE'!B:B,'Animals CE'!AA:AA)/2+0.05,0.05),200%),"No")</f>
        <v>No</v>
      </c>
      <c r="P126" s="2" t="str">
        <f>_xlfn.XLOOKUP(B126,'Base stats'!B:B,'Base stats'!R:R)</f>
        <v>Standard</v>
      </c>
      <c r="Q126" s="13">
        <f>MROUND((LOG10(_xlfn.XLOOKUP(B126,'Base stats'!B:B,'Base stats'!AP:AP))*(AO126^0.5)+(_xlfn.XLOOKUP(B126,'Base stats'!B:B,'Base stats'!AP:AP)/1000)^(2/3)+_xlfn.XLOOKUP(B126,'Base stats'!B:B,'Base stats'!AY:AY)/2)+0.5,0.5)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stats'!AQ:AQ))*(AO126^0.5)+(_xlfn.XLOOKUP(B126,'Base stats'!B:B,'Base stats'!AQ:AQ)/1000)^(2/3)+_xlfn.XLOOKUP(B126,'Base stats'!B:B,'Base stats'!AY:AY))+_xlfn.XLOOKUP(B126,'Base stats'!B:B,'Base stats'!AW:AW)+0.5,0.5))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stats'!AS:AS))*(AO126^0.5)+(_xlfn.XLOOKUP(B126,'Base stats'!B:B,'Base stats'!AS:AS)/1000)^(2/3)+_xlfn.XLOOKUP(B126,'Base stats'!B:B,'Base stats'!AX:AX))+0.5+IF(_xlfn.XLOOKUP(_xlfn.XLOOKUP(B126,'Base stats'!B:B,'Base stats'!E:E),Groups!A:A,Groups!U:U)&lt;&gt;3,_xlfn.XLOOKUP(B126,'Base stats'!B:B,'Base stats'!AY:AY),0),0.5))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stats'!AR:AR)="No","No",MROUND((LOG10(_xlfn.XLOOKUP(B126,'Base stats'!B:B,'Base stats'!AR:AR))*(AO126^0.75)+(_xlfn.XLOOKUP(B126,'Base stats'!B:B,'Base stats'!AR:AR)/1000)^(2/3)+_xlfn.XLOOKUP(B126,'Base stats'!B:B,'Base stats'!AV:AV)+_xlfn.XLOOKUP(B126,'Base stats'!B:B,'Base stats'!AY:AY))+0.5,0.5))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stats'!AQ:AQ))*(AO126^0.75)+(_xlfn.XLOOKUP(B126,'Base stats'!B:B,'Base stats'!AQ:AQ)/1000)^(2/3)+_xlfn.XLOOKUP(B126,'Base stats'!B:B,'Base stats'!AW:AW)+_xlfn.XLOOKUP(B126,'Base stats'!B:B,'Base stats'!AY:AY))+0.5,0.5))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8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IFERROR(IF(_xlfn.XLOOKUP(B126,'Base stats'!B:B,'Base stats'!F:F)="Lay eggs","Lay eggs",MIN(20,MAX(5.5,ROUND(((_xlfn.XLOOKUP(B126,'Base stats'!B:B,'Base stats'!F:F)-25)*(14.5/615) + 5.5)*2,0)/2))),"Cannot breed")</f>
        <v>8.5</v>
      </c>
      <c r="AT126" s="8">
        <f>IF(OR(A126="Queen",A126="Larva",A126="Megachicken",A126="Megatardi",A126="Toxscorpion"),"No",IFERROR(MAX(IF(_xlfn.XLOOKUP(B126,'Base stats'!B:B,'Base stats'!G:G)&lt;0.5,0.2,0.3),MROUND(_xlfn.XLOOKUP(B126,'Base stats'!B:B,'Base stats'!G:G)/(365/60),0.2)),"Unknown"))</f>
        <v>0.4</v>
      </c>
      <c r="AU126" s="8">
        <f t="shared" si="7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_xlfn.XLOOKUP(B126,'Base stats'!B:B,'Base stats'!AF:AF)</f>
        <v>&lt;li&gt;Cobra&lt;/li&gt;</v>
      </c>
      <c r="BB126" s="2" t="str">
        <f>_xlfn.XLOOKUP(B126,'Base stats'!B:B,'Base stats'!AE:AE)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stats'!Z:Z)=0),0,IF(OR(_xlfn.XLOOKUP(Animals!B126,'Base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stats'!AA:AA),0.005))</f>
        <v>0</v>
      </c>
      <c r="BE126" s="23">
        <f>MIN(1,MROUND(IF(AND(AO126&lt;0.5,_xlfn.XLOOKUP(B126,'Base stats'!B:B,'Base stats'!Z:Z)=0),0,IF(_xlfn.XLOOKUP(_xlfn.XLOOKUP(B126,'Base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stats'!AB:AB),0.005))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stats'!AL:AL)="Standard","No",MROUND((_xlfn.XLOOKUP(B126,'Base stats'!B:B,'Base stats'!AL:AL)/3.6)/I126,0.1))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stats'!AC:AC)&lt;&gt;"No",_xlfn.XLOOKUP(B126,'Base stats'!B:B,'Base stats'!AC:AC),"")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stats'!AC:AC)&lt;&gt;"No",_xlfn.XLOOKUP(B126,'Base stats'!B:B,'Base stats'!AC:AC),"")
  )
)</f>
        <v>No</v>
      </c>
      <c r="BQ126" s="25" t="str">
        <f>IF(
   AND(
      'Base stats'!AL126="Standard",_xlfn.XLOOKUP(_xlfn.XLOOKUP(B126,'Base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stats'!AT:AT) * 1.8) * 2) * 2.5 + 10 + I126 * 2,5)+IF(_xlfn.XLOOKUP(B126,'Base stats'!B:B,'Base stats'!AI:AI)=1,50,0)</f>
        <v>45</v>
      </c>
      <c r="BS126" s="8">
        <f t="shared" si="12"/>
        <v>0.1</v>
      </c>
      <c r="BT126" s="8" t="str">
        <f>_xlfn.XLOOKUP(B126,'Base stats'!B:B,'Base stats'!AD:AD)</f>
        <v>No</v>
      </c>
      <c r="BU126" s="2" t="str">
        <f>IF(AND(J126&lt;=0.95,OR(_xlfn.XLOOKUP(B126,'Base stats'!B:B,'Base stats'!AI:AI)=1,_xlfn.XLOOKUP(B126,'Base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stats'!AG:AG)=1,"true","false")</f>
        <v>false</v>
      </c>
      <c r="BW126" s="25" t="str">
        <f>IF(E126="BaseInsect","AnimalInsect",
IF(J126&gt;0.95,"AnimalExotic",
_xlfn.TEXTJOIN(", ",TRUE,
IF(OR(_xlfn.XLOOKUP(B126,'Base stats'!B:B,'Base stats'!AK:AK)=1,AND(_xlfn.XLOOKUP(B126,'Base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stats'!AI:AI)=1,AND(BI126&lt;&gt;"None",BR126&gt;=60),ISNUMBER(SEARCH("Attack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stats'!AH:AH)=1,"true","false")</f>
        <v>false</v>
      </c>
      <c r="BZ126" s="25">
        <f>IF(_xlfn.XLOOKUP(B126,'Base stats'!B:B,'Base stats'!N:N)=1,"No",MAX(0.01,MIN(MROUND(IF(OR(_xlfn.XLOOKUP(B126,'Base stats'!B:B,'Base stats'!AK:AK)=1,AND(BJ126="True",CC126="False")),POWER(10,3.47*LOG10(_xlfn.XLOOKUP(B126,'Base stats'!B:B,'Base stats'!C:C)*1000)^-0.96),POWER(10,4.15*LOG10(_xlfn.XLOOKUP(B126,'Base stats'!B:B,'Base stats'!C:C)*1000)^-0.73))*IF(OR(_xlfn.XLOOKUP(B126,'Base stats'!B:B,'Base stats'!AK:AK)=1,_xlfn.XLOOKUP(B126,'Base stats'!B:B,'Base stats'!AI:AI)=1),0.5,1)/100,0.025),1)))</f>
        <v>0.375</v>
      </c>
      <c r="CA126" s="25" t="str">
        <f>IF(P126="Standard","No",MAX(0.01,IF(_xlfn.XLOOKUP(B126,'Base stats'!B:B,'Base stats'!N:N)=0,MROUND(BZ126*P126,0.05),MIN(1,MAX(0.025,MROUND(IF(OR(CC126="true",AND(BJ126="false",BO126="false")),POWER(10,4.15*LOG10(_xlfn.XLOOKUP(B126,'Base stats'!B:B,'Base stats'!C:C)*1000)^-0.73),POWER(10,3.47*LOG10(_xlfn.XLOOKUP(B126,'Base stats'!B:B,'Base stats'!C:C)*1000)^-0.96))*IF(_xlfn.XLOOKUP(B126,'Base stats'!B:B,'Base stats'!AI:AI)=1,0.5,1)/100,0.025))))))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495</v>
      </c>
      <c r="C127" s="28" t="s">
        <v>820</v>
      </c>
      <c r="D127" s="28" t="s">
        <v>884</v>
      </c>
      <c r="E127" s="28" t="s">
        <v>796</v>
      </c>
      <c r="F127" s="28" t="s">
        <v>797</v>
      </c>
      <c r="G127" s="28" t="s">
        <v>685</v>
      </c>
      <c r="H127" s="2">
        <f>MROUND((
  (IF(AND(_xlfn.XLOOKUP(B127,'Base stats'!B:B,'Base stats'!AJ:AJ)=0,BI127="None",_xlfn.XLOOKUP(_xlfn.XLOOKUP(B127,'Base stats'!B:B,'Base stats'!E:E),Groups!A:A,Groups!B:B)=0), (18 + BR127 * 2.7) * 0.5,
    IF(AND(_xlfn.XLOOKUP(B127,'Base stats'!B:B,'Base stats'!AJ:AJ)=0,OR(AO127&lt;0.55,AND(BI127="Intermediate",_xlfn.XLOOKUP(_xlfn.XLOOKUP(B127,'Base stats'!B:B,'Base stats'!E:E),Groups!A:A,Groups!B:B)&lt;2))), (18 + BR127 * 2.7),
      IF(OR(BI127="Advanced",_xlfn.XLOOKUP(B127,'Base stats'!B:B,'Base stats'!AJ:AJ)=1,_xlfn.XLOOKUP(_xlfn.XLOOKUP(B127,'Base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425</v>
      </c>
      <c r="I127" s="2">
        <f>MROUND(ROUNDDOWN(_xlfn.XLOOKUP(B127,'Base stats'!B:B,'Base stats'!L:L)/3.6/(23.3/11),1),0.5)</f>
        <v>3</v>
      </c>
      <c r="J127" s="2">
        <f>IF(_xlfn.XLOOKUP(_xlfn.XLOOKUP(B127,'Base stats'!B:B,'Base stats'!E:E),Groups!A:A,Groups!C:C)="Untamable",1,IF(_xlfn.XLOOKUP(B127,'Base stats'!B:B,'Base stats'!AJ:AJ)=1,0.99,MIN(MROUND((1-0.6282*EXP(-0.459*AO127))*_xlfn.XLOOKUP(_xlfn.XLOOKUP(B127,'Base stats'!B:B,'Base stats'!E:E),Groups!A:A,Groups!C:C)*IF(_xlfn.XLOOKUP(B127,'Base stats'!B:B,'Base stats'!O:O)=1,0.5,IF(_xlfn.XLOOKUP(B127,'Base stats'!B:B,'Base stats'!O:O)=2,0,1)),0.05),0.985)))</f>
        <v>0.60000000000000009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IF(_xlfn.XLOOKUP(_xlfn.XLOOKUP(B127,'Base stats'!B:B,'Base stats'!E:E),Groups!A:A,Groups!L:L)=1,MIN(MROUND(_xlfn.XLOOKUP(B127,'Animals CE'!B:B,'Animals CE'!Z:Z)/2+0.05,0.05),200%),"No")</f>
        <v>0.4</v>
      </c>
      <c r="O127" s="8">
        <f>IF(_xlfn.XLOOKUP(_xlfn.XLOOKUP(B127,'Base stats'!B:B,'Base stats'!E:E),Groups!A:A,Groups!L:L)=1,MIN(MROUND(_xlfn.XLOOKUP(B127,'Animals CE'!B:B,'Animals CE'!AA:AA)/2+0.05,0.05),200%),"No")</f>
        <v>0.1</v>
      </c>
      <c r="P127" s="2">
        <f>_xlfn.XLOOKUP(B127,'Base stats'!B:B,'Base stats'!R:R)</f>
        <v>1</v>
      </c>
      <c r="Q127" s="13">
        <f>MROUND((LOG10(_xlfn.XLOOKUP(B127,'Base stats'!B:B,'Base stats'!AP:AP))*(AO127^0.5)+(_xlfn.XLOOKUP(B127,'Base stats'!B:B,'Base stats'!AP:AP)/1000)^(2/3)+_xlfn.XLOOKUP(B127,'Base stats'!B:B,'Base stats'!AY:AY)/2)+0.5,0.5)</f>
        <v>5</v>
      </c>
      <c r="R127" s="7">
        <f>IF(Q127="No","No",MAX(1,MROUND(_xlfn.XLOOKUP(B127,'Base stats'!B:B,'Base stats'!C:C)^0.165,0.05)))</f>
        <v>1.75</v>
      </c>
      <c r="S127" s="13" t="str">
        <f>IF(_xlfn.XLOOKUP(_xlfn.XLOOKUP(B127,'Base stats'!B:B,'Base stats'!E:E),Groups!A:A,Groups!P:P)=0,"No",MROUND((LOG10(_xlfn.XLOOKUP(B127,'Base stats'!B:B,'Base stats'!AQ:AQ))*(AO127^0.5)+(_xlfn.XLOOKUP(B127,'Base stats'!B:B,'Base stats'!AQ:AQ)/1000)^(2/3)+_xlfn.XLOOKUP(B127,'Base stats'!B:B,'Base stats'!AY:AY))+_xlfn.XLOOKUP(B127,'Base stats'!B:B,'Base stats'!AW:AW)+0.5,0.5))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stats'!AS:AS))*(AO127^0.5)+(_xlfn.XLOOKUP(B127,'Base stats'!B:B,'Base stats'!AS:AS)/1000)^(2/3)+_xlfn.XLOOKUP(B127,'Base stats'!B:B,'Base stats'!AX:AX))+0.5+IF(_xlfn.XLOOKUP(_xlfn.XLOOKUP(B127,'Base stats'!B:B,'Base stats'!E:E),Groups!A:A,Groups!U:U)&lt;&gt;3,_xlfn.XLOOKUP(B127,'Base stats'!B:B,'Base stats'!AY:AY),0),0.5))</f>
        <v>9.5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2.25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stats'!AR:AR)="No","No",MROUND((LOG10(_xlfn.XLOOKUP(B127,'Base stats'!B:B,'Base stats'!AR:AR))*(AO127^0.75)+(_xlfn.XLOOKUP(B127,'Base stats'!B:B,'Base stats'!AR:AR)/1000)^(2/3)+_xlfn.XLOOKUP(B127,'Base stats'!B:B,'Base stats'!AV:AV)+_xlfn.XLOOKUP(B127,'Base stats'!B:B,'Base stats'!AY:AY))+0.5,0.5))</f>
        <v>12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2.0500000000000003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mandibles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stats'!AQ:AQ))*(AO127^0.75)+(_xlfn.XLOOKUP(B127,'Base stats'!B:B,'Base stats'!AQ:AQ)/1000)^(2/3)+_xlfn.XLOOKUP(B127,'Base stats'!B:B,'Base stats'!AW:AW)+_xlfn.XLOOKUP(B127,'Base stats'!B:B,'Base stats'!AY:AY))+0.5,0.5))</f>
        <v>12.5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1.9000000000000001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8"/>
        <v>20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0.65</v>
      </c>
      <c r="AP127" s="8">
        <f>MROUND(AO127*_xlfn.XLOOKUP(_xlfn.XLOOKUP(B127,'Base stats'!B:B,'Base stats'!E:E),Groups!A:A,Groups!AI:AI),0.05)</f>
        <v>0.65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0.1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IFERROR(IF(_xlfn.XLOOKUP(B127,'Base stats'!B:B,'Base stats'!F:F)="Lay eggs","Lay eggs",MIN(20,MAX(5.5,ROUND(((_xlfn.XLOOKUP(B127,'Base stats'!B:B,'Base stats'!F:F)-25)*(14.5/615) + 5.5)*2,0)/2))),"Cannot breed")</f>
        <v>Lay eggs</v>
      </c>
      <c r="AT127" s="8">
        <f>IF(OR(A127="Queen",A127="Larva",A127="Megachicken",A127="Megatardi",A127="Toxscorpion"),"No",IFERROR(MAX(IF(_xlfn.XLOOKUP(B127,'Base stats'!B:B,'Base stats'!G:G)&lt;0.5,0.2,0.3),MROUND(_xlfn.XLOOKUP(B127,'Base stats'!B:B,'Base stats'!G:G)/(365/60),0.2)),"Unknown"))</f>
        <v>0.3</v>
      </c>
      <c r="AU127" s="8">
        <f t="shared" si="7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</f>
        <v>OmnivoreAnimal,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_xlfn.XLOOKUP(B127,'Base stats'!B:B,'Base stats'!AF:AF)</f>
        <v>&lt;li&gt;Megaspider&lt;/li&gt;</v>
      </c>
      <c r="BB127" s="2" t="str">
        <f>_xlfn.XLOOKUP(B127,'Base stats'!B:B,'Base stats'!AE:AE)</f>
        <v>No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stats'!Z:Z)=0),0,IF(OR(_xlfn.XLOOKUP(Animals!B127,'Base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stats'!AA:AA),0.005))</f>
        <v>1</v>
      </c>
      <c r="BE127" s="23">
        <f>MIN(1,MROUND(IF(AND(AO127&lt;0.5,_xlfn.XLOOKUP(B127,'Base stats'!B:B,'Base stats'!Z:Z)=0),0,IF(_xlfn.XLOOKUP(_xlfn.XLOOKUP(B127,'Base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stats'!AB:AB),0.005))</f>
        <v>1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Advanced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0.75</v>
      </c>
      <c r="BL127" s="2">
        <f t="shared" si="10"/>
        <v>1</v>
      </c>
      <c r="BM127" s="25" t="str">
        <f>IF(_xlfn.XLOOKUP(B127,'Base stats'!B:B,'Base stats'!AL:AL)="Standard","No",MROUND((_xlfn.XLOOKUP(B127,'Base stats'!B:B,'Base stats'!AL:AL)/3.6)/I127,0.1))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stats'!AC:AC)&lt;&gt;"No",_xlfn.XLOOKUP(B127,'Base stats'!B:B,'Base stats'!AC:AC),"")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stats'!AC:AC)&lt;&gt;"No",_xlfn.XLOOKUP(B127,'Base stats'!B:B,'Base stats'!AC:AC),"")
  )
)</f>
        <v>AttackTarget, AttackTarget</v>
      </c>
      <c r="BQ127" s="25" t="str">
        <f>IF(
   AND(
      'Base stats'!AL127="Standard",_xlfn.XLOOKUP(_xlfn.XLOOKUP(B127,'Base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stats'!AT:AT) * 1.8) * 2) * 2.5 + 10 + I127 * 2,5)+IF(_xlfn.XLOOKUP(B127,'Base stats'!B:B,'Base stats'!AI:AI)=1,50,0)</f>
        <v>80</v>
      </c>
      <c r="BS127" s="8">
        <f t="shared" si="12"/>
        <v>0.2</v>
      </c>
      <c r="BT127" s="8" t="str">
        <f>_xlfn.XLOOKUP(B127,'Base stats'!B:B,'Base stats'!AD:AD)</f>
        <v>No</v>
      </c>
      <c r="BU127" s="2" t="str">
        <f>IF(AND(J127&lt;=0.95,OR(_xlfn.XLOOKUP(B127,'Base stats'!B:B,'Base stats'!AI:AI)=1,_xlfn.XLOOKUP(B127,'Base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stats'!AG:AG)=1,"true","false")</f>
        <v>false</v>
      </c>
      <c r="BW127" s="25" t="str">
        <f>IF(E127="BaseInsect","AnimalInsect",
IF(J127&gt;0.95,"AnimalExotic",
_xlfn.TEXTJOIN(", ",TRUE,
IF(OR(_xlfn.XLOOKUP(B127,'Base stats'!B:B,'Base stats'!AK:AK)=1,AND(_xlfn.XLOOKUP(B127,'Base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stats'!AI:AI)=1,AND(BI127&lt;&gt;"None",BR127&gt;=60),ISNUMBER(SEARCH("Attack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stats'!AH:AH)=1,"true","false")</f>
        <v>false</v>
      </c>
      <c r="BZ127" s="25">
        <f>IF(_xlfn.XLOOKUP(B127,'Base stats'!B:B,'Base stats'!N:N)=1,"No",MAX(0.01,MIN(MROUND(IF(OR(_xlfn.XLOOKUP(B127,'Base stats'!B:B,'Base stats'!AK:AK)=1,AND(BJ127="True",CC127="False")),POWER(10,3.47*LOG10(_xlfn.XLOOKUP(B127,'Base stats'!B:B,'Base stats'!C:C)*1000)^-0.96),POWER(10,4.15*LOG10(_xlfn.XLOOKUP(B127,'Base stats'!B:B,'Base stats'!C:C)*1000)^-0.73))*IF(OR(_xlfn.XLOOKUP(B127,'Base stats'!B:B,'Base stats'!AK:AK)=1,_xlfn.XLOOKUP(B127,'Base stats'!B:B,'Base stats'!AI:AI)=1),0.5,1)/100,0.025),1)))</f>
        <v>0.25</v>
      </c>
      <c r="CA127" s="25">
        <f>IF(P127="Standard","No",MAX(0.01,IF(_xlfn.XLOOKUP(B127,'Base stats'!B:B,'Base stats'!N:N)=0,MROUND(BZ127*P127,0.05),MIN(1,MAX(0.025,MROUND(IF(OR(CC127="true",AND(BJ127="false",BO127="false")),POWER(10,4.15*LOG10(_xlfn.XLOOKUP(B127,'Base stats'!B:B,'Base stats'!C:C)*1000)^-0.73),POWER(10,3.47*LOG10(_xlfn.XLOOKUP(B127,'Base stats'!B:B,'Base stats'!C:C)*1000)^-0.96))*IF(_xlfn.XLOOKUP(B127,'Base stats'!B:B,'Base stats'!AI:AI)=1,0.5,1)/100,0.025))))))</f>
        <v>0.25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253</v>
      </c>
      <c r="C128" s="28" t="s">
        <v>821</v>
      </c>
      <c r="D128" s="28" t="s">
        <v>884</v>
      </c>
      <c r="E128" s="28" t="s">
        <v>685</v>
      </c>
      <c r="F128" s="28" t="s">
        <v>685</v>
      </c>
      <c r="G128" s="28" t="s">
        <v>685</v>
      </c>
      <c r="H128" s="2">
        <f>MROUND((
  (IF(AND(_xlfn.XLOOKUP(B128,'Base stats'!B:B,'Base stats'!AJ:AJ)=0,BI128="None",_xlfn.XLOOKUP(_xlfn.XLOOKUP(B128,'Base stats'!B:B,'Base stats'!E:E),Groups!A:A,Groups!B:B)=0), (18 + BR128 * 2.7) * 0.5,
    IF(AND(_xlfn.XLOOKUP(B128,'Base stats'!B:B,'Base stats'!AJ:AJ)=0,OR(AO128&lt;0.55,AND(BI128="Intermediate",_xlfn.XLOOKUP(_xlfn.XLOOKUP(B128,'Base stats'!B:B,'Base stats'!E:E),Groups!A:A,Groups!B:B)&lt;2))), (18 + BR128 * 2.7),
      IF(OR(BI128="Advanced",_xlfn.XLOOKUP(B128,'Base stats'!B:B,'Base stats'!AJ:AJ)=1,_xlfn.XLOOKUP(_xlfn.XLOOKUP(B128,'Base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IF(_xlfn.XLOOKUP(_xlfn.XLOOKUP(B128,'Base stats'!B:B,'Base stats'!E:E),Groups!A:A,Groups!C:C)="Untamable",1,IF(_xlfn.XLOOKUP(B128,'Base stats'!B:B,'Base stats'!AJ:AJ)=1,0.99,MIN(MROUND((1-0.6282*EXP(-0.459*AO128))*_xlfn.XLOOKUP(_xlfn.XLOOKUP(B128,'Base stats'!B:B,'Base stats'!E:E),Groups!A:A,Groups!C:C)*IF(_xlfn.XLOOKUP(B128,'Base stats'!B:B,'Base stats'!O:O)=1,0.5,IF(_xlfn.XLOOKUP(B128,'Base stats'!B:B,'Base stats'!O:O)=2,0,1)),0.05),0.985)))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IF(_xlfn.XLOOKUP(_xlfn.XLOOKUP(B128,'Base stats'!B:B,'Base stats'!E:E),Groups!A:A,Groups!L:L)=1,MIN(MROUND(_xlfn.XLOOKUP(B128,'Animals CE'!B:B,'Animals CE'!Z:Z)/2+0.05,0.05),200%),"No")</f>
        <v>No</v>
      </c>
      <c r="O128" s="8" t="str">
        <f>IF(_xlfn.XLOOKUP(_xlfn.XLOOKUP(B128,'Base stats'!B:B,'Base stats'!E:E),Groups!A:A,Groups!L:L)=1,MIN(MROUND(_xlfn.XLOOKUP(B128,'Animals CE'!B:B,'Animals CE'!AA:AA)/2+0.05,0.05),200%),"No")</f>
        <v>No</v>
      </c>
      <c r="P128" s="2" t="str">
        <f>_xlfn.XLOOKUP(B128,'Base stats'!B:B,'Base stats'!R:R)</f>
        <v>Standard</v>
      </c>
      <c r="Q128" s="13">
        <f>MROUND((LOG10(_xlfn.XLOOKUP(B128,'Base stats'!B:B,'Base stats'!AP:AP))*(AO128^0.5)+(_xlfn.XLOOKUP(B128,'Base stats'!B:B,'Base stats'!AP:AP)/1000)^(2/3)+_xlfn.XLOOKUP(B128,'Base stats'!B:B,'Base stats'!AY:AY)/2)+0.5,0.5)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stats'!AQ:AQ))*(AO128^0.5)+(_xlfn.XLOOKUP(B128,'Base stats'!B:B,'Base stats'!AQ:AQ)/1000)^(2/3)+_xlfn.XLOOKUP(B128,'Base stats'!B:B,'Base stats'!AY:AY))+_xlfn.XLOOKUP(B128,'Base stats'!B:B,'Base stats'!AW:AW)+0.5,0.5))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stats'!AS:AS))*(AO128^0.5)+(_xlfn.XLOOKUP(B128,'Base stats'!B:B,'Base stats'!AS:AS)/1000)^(2/3)+_xlfn.XLOOKUP(B128,'Base stats'!B:B,'Base stats'!AX:AX))+0.5+IF(_xlfn.XLOOKUP(_xlfn.XLOOKUP(B128,'Base stats'!B:B,'Base stats'!E:E),Groups!A:A,Groups!U:U)&lt;&gt;3,_xlfn.XLOOKUP(B128,'Base stats'!B:B,'Base stats'!AY:AY),0),0.5))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stats'!AR:AR)="No","No",MROUND((LOG10(_xlfn.XLOOKUP(B128,'Base stats'!B:B,'Base stats'!AR:AR))*(AO128^0.75)+(_xlfn.XLOOKUP(B128,'Base stats'!B:B,'Base stats'!AR:AR)/1000)^(2/3)+_xlfn.XLOOKUP(B128,'Base stats'!B:B,'Base stats'!AV:AV)+_xlfn.XLOOKUP(B128,'Base stats'!B:B,'Base stats'!AY:AY))+0.5,0.5))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stats'!AQ:AQ))*(AO128^0.75)+(_xlfn.XLOOKUP(B128,'Base stats'!B:B,'Base stats'!AQ:AQ)/1000)^(2/3)+_xlfn.XLOOKUP(B128,'Base stats'!B:B,'Base stats'!AW:AW)+_xlfn.XLOOKUP(B128,'Base stats'!B:B,'Base stats'!AY:AY))+0.5,0.5))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FrontRightPaw,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8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IFERROR(IF(_xlfn.XLOOKUP(B128,'Base stats'!B:B,'Base stats'!F:F)="Lay eggs","Lay eggs",MIN(20,MAX(5.5,ROUND(((_xlfn.XLOOKUP(B128,'Base stats'!B:B,'Base stats'!F:F)-25)*(14.5/615) + 5.5)*2,0)/2))),"Cannot breed")</f>
        <v>7.5</v>
      </c>
      <c r="AT128" s="8">
        <f>IF(OR(A128="Queen",A128="Larva",A128="Megachicken",A128="Megatardi",A128="Toxscorpion"),"No",IFERROR(MAX(IF(_xlfn.XLOOKUP(B128,'Base stats'!B:B,'Base stats'!G:G)&lt;0.5,0.2,0.3),MROUND(_xlfn.XLOOKUP(B128,'Base stats'!B:B,'Base stats'!G:G)/(365/60),0.2)),"Unknown"))</f>
        <v>0.3</v>
      </c>
      <c r="AU128" s="8">
        <f t="shared" si="7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_xlfn.XLOOKUP(B128,'Base stats'!B:B,'Base stats'!AF:AF)</f>
        <v>No</v>
      </c>
      <c r="BB128" s="2" t="str">
        <f>_xlfn.XLOOKUP(B128,'Base stats'!B:B,'Base stats'!AE:AE)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stats'!Z:Z)=0),0,IF(OR(_xlfn.XLOOKUP(Animals!B128,'Base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stats'!AA:AA),0.005))</f>
        <v>0</v>
      </c>
      <c r="BE128" s="23">
        <f>MIN(1,MROUND(IF(AND(AO128&lt;0.5,_xlfn.XLOOKUP(B128,'Base stats'!B:B,'Base stats'!Z:Z)=0),0,IF(_xlfn.XLOOKUP(_xlfn.XLOOKUP(B128,'Base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stats'!AB:AB),0.005))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stats'!AL:AL)="Standard","No",MROUND((_xlfn.XLOOKUP(B128,'Base stats'!B:B,'Base stats'!AL:AL)/3.6)/I128,0.1))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stats'!AC:AC)&lt;&gt;"No",_xlfn.XLOOKUP(B128,'Base stats'!B:B,'Base stats'!AC:AC),"")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stats'!AC:AC)&lt;&gt;"No",_xlfn.XLOOKUP(B128,'Base stats'!B:B,'Base stats'!AC:AC),"")
  )
)</f>
        <v>No</v>
      </c>
      <c r="BQ128" s="25" t="str">
        <f>IF(
   AND(
      'Base stats'!AL128="Standard",_xlfn.XLOOKUP(_xlfn.XLOOKUP(B128,'Base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stats'!AT:AT) * 1.8) * 2) * 2.5 + 10 + I128 * 2,5)+IF(_xlfn.XLOOKUP(B128,'Base stats'!B:B,'Base stats'!AI:AI)=1,50,0)</f>
        <v>40</v>
      </c>
      <c r="BS128" s="8">
        <f t="shared" si="12"/>
        <v>0.30000000000000004</v>
      </c>
      <c r="BT128" s="8" t="str">
        <f>_xlfn.XLOOKUP(B128,'Base stats'!B:B,'Base stats'!AD:AD)</f>
        <v>No</v>
      </c>
      <c r="BU128" s="2" t="str">
        <f>IF(AND(J128&lt;=0.95,OR(_xlfn.XLOOKUP(B128,'Base stats'!B:B,'Base stats'!AI:AI)=1,_xlfn.XLOOKUP(B128,'Base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stats'!AG:AG)=1,"true","false")</f>
        <v>false</v>
      </c>
      <c r="BW128" s="25" t="str">
        <f>IF(E128="BaseInsect","AnimalInsect",
IF(J128&gt;0.95,"AnimalExotic",
_xlfn.TEXTJOIN(", ",TRUE,
IF(OR(_xlfn.XLOOKUP(B128,'Base stats'!B:B,'Base stats'!AK:AK)=1,AND(_xlfn.XLOOKUP(B128,'Base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stats'!AI:AI)=1,AND(BI128&lt;&gt;"None",BR128&gt;=60),ISNUMBER(SEARCH("Attack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stats'!AH:AH)=1,"true","false")</f>
        <v>false</v>
      </c>
      <c r="BZ128" s="25">
        <f>IF(_xlfn.XLOOKUP(B128,'Base stats'!B:B,'Base stats'!N:N)=1,"No",MAX(0.01,MIN(MROUND(IF(OR(_xlfn.XLOOKUP(B128,'Base stats'!B:B,'Base stats'!AK:AK)=1,AND(BJ128="True",CC128="False")),POWER(10,3.47*LOG10(_xlfn.XLOOKUP(B128,'Base stats'!B:B,'Base stats'!C:C)*1000)^-0.96),POWER(10,4.15*LOG10(_xlfn.XLOOKUP(B128,'Base stats'!B:B,'Base stats'!C:C)*1000)^-0.73))*IF(OR(_xlfn.XLOOKUP(B128,'Base stats'!B:B,'Base stats'!AK:AK)=1,_xlfn.XLOOKUP(B128,'Base stats'!B:B,'Base stats'!AI:AI)=1),0.5,1)/100,0.025),1)))</f>
        <v>0.05</v>
      </c>
      <c r="CA128" s="25" t="str">
        <f>IF(P128="Standard","No",MAX(0.01,IF(_xlfn.XLOOKUP(B128,'Base stats'!B:B,'Base stats'!N:N)=0,MROUND(BZ128*P128,0.05),MIN(1,MAX(0.025,MROUND(IF(OR(CC128="true",AND(BJ128="false",BO128="false")),POWER(10,4.15*LOG10(_xlfn.XLOOKUP(B128,'Base stats'!B:B,'Base stats'!C:C)*1000)^-0.73),POWER(10,3.47*LOG10(_xlfn.XLOOKUP(B128,'Base stats'!B:B,'Base stats'!C:C)*1000)^-0.96))*IF(_xlfn.XLOOKUP(B128,'Base stats'!B:B,'Base stats'!AI:AI)=1,0.5,1)/100,0.025))))))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490</v>
      </c>
      <c r="C129" s="28" t="s">
        <v>822</v>
      </c>
      <c r="D129" s="28" t="s">
        <v>884</v>
      </c>
      <c r="E129" s="28" t="s">
        <v>685</v>
      </c>
      <c r="F129" s="28" t="s">
        <v>685</v>
      </c>
      <c r="G129" s="28" t="s">
        <v>685</v>
      </c>
      <c r="H129" s="2">
        <f>MROUND((
  (IF(AND(_xlfn.XLOOKUP(B129,'Base stats'!B:B,'Base stats'!AJ:AJ)=0,BI129="None",_xlfn.XLOOKUP(_xlfn.XLOOKUP(B129,'Base stats'!B:B,'Base stats'!E:E),Groups!A:A,Groups!B:B)=0), (18 + BR129 * 2.7) * 0.5,
    IF(AND(_xlfn.XLOOKUP(B129,'Base stats'!B:B,'Base stats'!AJ:AJ)=0,OR(AO129&lt;0.55,AND(BI129="Intermediate",_xlfn.XLOOKUP(_xlfn.XLOOKUP(B129,'Base stats'!B:B,'Base stats'!E:E),Groups!A:A,Groups!B:B)&lt;2))), (18 + BR129 * 2.7),
      IF(OR(BI129="Advanced",_xlfn.XLOOKUP(B129,'Base stats'!B:B,'Base stats'!AJ:AJ)=1,_xlfn.XLOOKUP(_xlfn.XLOOKUP(B129,'Base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IF(_xlfn.XLOOKUP(_xlfn.XLOOKUP(B129,'Base stats'!B:B,'Base stats'!E:E),Groups!A:A,Groups!C:C)="Untamable",1,IF(_xlfn.XLOOKUP(B129,'Base stats'!B:B,'Base stats'!AJ:AJ)=1,0.99,MIN(MROUND((1-0.6282*EXP(-0.459*AO129))*_xlfn.XLOOKUP(_xlfn.XLOOKUP(B129,'Base stats'!B:B,'Base stats'!E:E),Groups!A:A,Groups!C:C)*IF(_xlfn.XLOOKUP(B129,'Base stats'!B:B,'Base stats'!O:O)=1,0.5,IF(_xlfn.XLOOKUP(B129,'Base stats'!B:B,'Base stats'!O:O)=2,0,1)),0.05),0.985)))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IF(_xlfn.XLOOKUP(_xlfn.XLOOKUP(B129,'Base stats'!B:B,'Base stats'!E:E),Groups!A:A,Groups!L:L)=1,MIN(MROUND(_xlfn.XLOOKUP(B129,'Animals CE'!B:B,'Animals CE'!Z:Z)/2+0.05,0.05),200%),"No")</f>
        <v>No</v>
      </c>
      <c r="O129" s="8" t="str">
        <f>IF(_xlfn.XLOOKUP(_xlfn.XLOOKUP(B129,'Base stats'!B:B,'Base stats'!E:E),Groups!A:A,Groups!L:L)=1,MIN(MROUND(_xlfn.XLOOKUP(B129,'Animals CE'!B:B,'Animals CE'!AA:AA)/2+0.05,0.05),200%),"No")</f>
        <v>No</v>
      </c>
      <c r="P129" s="2" t="str">
        <f>_xlfn.XLOOKUP(B129,'Base stats'!B:B,'Base stats'!R:R)</f>
        <v>Standard</v>
      </c>
      <c r="Q129" s="13">
        <f>MROUND((LOG10(_xlfn.XLOOKUP(B129,'Base stats'!B:B,'Base stats'!AP:AP))*(AO129^0.5)+(_xlfn.XLOOKUP(B129,'Base stats'!B:B,'Base stats'!AP:AP)/1000)^(2/3)+_xlfn.XLOOKUP(B129,'Base stats'!B:B,'Base stats'!AY:AY)/2)+0.5,0.5)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stats'!AQ:AQ))*(AO129^0.5)+(_xlfn.XLOOKUP(B129,'Base stats'!B:B,'Base stats'!AQ:AQ)/1000)^(2/3)+_xlfn.XLOOKUP(B129,'Base stats'!B:B,'Base stats'!AY:AY))+_xlfn.XLOOKUP(B129,'Base stats'!B:B,'Base stats'!AW:AW)+0.5,0.5))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stats'!AS:AS))*(AO129^0.5)+(_xlfn.XLOOKUP(B129,'Base stats'!B:B,'Base stats'!AS:AS)/1000)^(2/3)+_xlfn.XLOOKUP(B129,'Base stats'!B:B,'Base stats'!AX:AX))+0.5+IF(_xlfn.XLOOKUP(_xlfn.XLOOKUP(B129,'Base stats'!B:B,'Base stats'!E:E),Groups!A:A,Groups!U:U)&lt;&gt;3,_xlfn.XLOOKUP(B129,'Base stats'!B:B,'Base stats'!AY:AY),0),0.5))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stats'!AR:AR)="No","No",MROUND((LOG10(_xlfn.XLOOKUP(B129,'Base stats'!B:B,'Base stats'!AR:AR))*(AO129^0.75)+(_xlfn.XLOOKUP(B129,'Base stats'!B:B,'Base stats'!AR:AR)/1000)^(2/3)+_xlfn.XLOOKUP(B129,'Base stats'!B:B,'Base stats'!AV:AV)+_xlfn.XLOOKUP(B129,'Base stats'!B:B,'Base stats'!AY:AY))+0.5,0.5))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stats'!AQ:AQ))*(AO129^0.75)+(_xlfn.XLOOKUP(B129,'Base stats'!B:B,'Base stats'!AQ:AQ)/1000)^(2/3)+_xlfn.XLOOKUP(B129,'Base stats'!B:B,'Base stats'!AW:AW)+_xlfn.XLOOKUP(B129,'Base stats'!B:B,'Base stats'!AY:AY))+0.5,0.5))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8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IFERROR(IF(_xlfn.XLOOKUP(B129,'Base stats'!B:B,'Base stats'!F:F)="Lay eggs","Lay eggs",MIN(20,MAX(5.5,ROUND(((_xlfn.XLOOKUP(B129,'Base stats'!B:B,'Base stats'!F:F)-25)*(14.5/615) + 5.5)*2,0)/2))),"Cannot breed")</f>
        <v>Lay eggs</v>
      </c>
      <c r="AT129" s="8">
        <f>IF(OR(A129="Queen",A129="Larva",A129="Megachicken",A129="Megatardi",A129="Toxscorpion"),"No",IFERROR(MAX(IF(_xlfn.XLOOKUP(B129,'Base stats'!B:B,'Base stats'!G:G)&lt;0.5,0.2,0.3),MROUND(_xlfn.XLOOKUP(B129,'Base stats'!B:B,'Base stats'!G:G)/(365/60),0.2)),"Unknown"))</f>
        <v>0.4</v>
      </c>
      <c r="AU129" s="8">
        <f t="shared" si="7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_xlfn.XLOOKUP(B129,'Base stats'!B:B,'Base stats'!AF:AF)</f>
        <v>&lt;li&gt;Goose&lt;/li&gt;</v>
      </c>
      <c r="BB129" s="2" t="str">
        <f>_xlfn.XLOOKUP(B129,'Base stats'!B:B,'Base stats'!AE:AE)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stats'!Z:Z)=0),0,IF(OR(_xlfn.XLOOKUP(Animals!B129,'Base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stats'!AA:AA),0.005))</f>
        <v>0</v>
      </c>
      <c r="BE129" s="23">
        <f>MIN(1,MROUND(IF(AND(AO129&lt;0.5,_xlfn.XLOOKUP(B129,'Base stats'!B:B,'Base stats'!Z:Z)=0),0,IF(_xlfn.XLOOKUP(_xlfn.XLOOKUP(B129,'Base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stats'!AB:AB),0.005))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8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stats'!AL:AL)="Standard","No",MROUND((_xlfn.XLOOKUP(B129,'Base stats'!B:B,'Base stats'!AL:AL)/3.6)/I129,0.1))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stats'!AC:AC)&lt;&gt;"No",_xlfn.XLOOKUP(B129,'Base stats'!B:B,'Base stats'!AC:AC),"")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stats'!AC:AC)&lt;&gt;"No",_xlfn.XLOOKUP(B129,'Base stats'!B:B,'Base stats'!AC:AC),"")
  )
)</f>
        <v>No</v>
      </c>
      <c r="BQ129" s="25">
        <f>IF(
   AND(
      'Base stats'!AL129="Standard",_xlfn.XLOOKUP(_xlfn.XLOOKUP(B129,'Base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stats'!AT:AT) * 1.8) * 2) * 2.5 + 10 + I129 * 2,5)+IF(_xlfn.XLOOKUP(B129,'Base stats'!B:B,'Base stats'!AI:AI)=1,50,0)</f>
        <v>25</v>
      </c>
      <c r="BS129" s="8">
        <f t="shared" si="12"/>
        <v>0.35000000000000003</v>
      </c>
      <c r="BT129" s="8" t="str">
        <f>_xlfn.XLOOKUP(B129,'Base stats'!B:B,'Base stats'!AD:AD)</f>
        <v>3~8</v>
      </c>
      <c r="BU129" s="2" t="str">
        <f>IF(AND(J129&lt;=0.95,OR(_xlfn.XLOOKUP(B129,'Base stats'!B:B,'Base stats'!AI:AI)=1,_xlfn.XLOOKUP(B129,'Base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stats'!AG:AG)=1,"true","false")</f>
        <v>false</v>
      </c>
      <c r="BW129" s="25" t="str">
        <f>IF(E129="BaseInsect","AnimalInsect",
IF(J129&gt;0.95,"AnimalExotic",
_xlfn.TEXTJOIN(", ",TRUE,
IF(OR(_xlfn.XLOOKUP(B129,'Base stats'!B:B,'Base stats'!AK:AK)=1,AND(_xlfn.XLOOKUP(B129,'Base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stats'!AI:AI)=1,AND(BI129&lt;&gt;"None",BR129&gt;=60),ISNUMBER(SEARCH("Attack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stats'!AH:AH)=1,"true","false")</f>
        <v>false</v>
      </c>
      <c r="BZ129" s="25">
        <f>IF(_xlfn.XLOOKUP(B129,'Base stats'!B:B,'Base stats'!N:N)=1,"No",MAX(0.01,MIN(MROUND(IF(OR(_xlfn.XLOOKUP(B129,'Base stats'!B:B,'Base stats'!AK:AK)=1,AND(BJ129="True",CC129="False")),POWER(10,3.47*LOG10(_xlfn.XLOOKUP(B129,'Base stats'!B:B,'Base stats'!C:C)*1000)^-0.96),POWER(10,4.15*LOG10(_xlfn.XLOOKUP(B129,'Base stats'!B:B,'Base stats'!C:C)*1000)^-0.73))*IF(OR(_xlfn.XLOOKUP(B129,'Base stats'!B:B,'Base stats'!AK:AK)=1,_xlfn.XLOOKUP(B129,'Base stats'!B:B,'Base stats'!AI:AI)=1),0.5,1)/100,0.025),1)))</f>
        <v>0.45</v>
      </c>
      <c r="CA129" s="25" t="str">
        <f>IF(P129="Standard","No",MAX(0.01,IF(_xlfn.XLOOKUP(B129,'Base stats'!B:B,'Base stats'!N:N)=0,MROUND(BZ129*P129,0.05),MIN(1,MAX(0.025,MROUND(IF(OR(CC129="true",AND(BJ129="false",BO129="false")),POWER(10,4.15*LOG10(_xlfn.XLOOKUP(B129,'Base stats'!B:B,'Base stats'!C:C)*1000)^-0.73),POWER(10,3.47*LOG10(_xlfn.XLOOKUP(B129,'Base stats'!B:B,'Base stats'!C:C)*1000)^-0.96))*IF(_xlfn.XLOOKUP(B129,'Base stats'!B:B,'Base stats'!AI:AI)=1,0.5,1)/100,0.025))))))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491</v>
      </c>
      <c r="C130" s="28" t="s">
        <v>823</v>
      </c>
      <c r="D130" s="28" t="s">
        <v>884</v>
      </c>
      <c r="E130" s="28" t="s">
        <v>685</v>
      </c>
      <c r="F130" s="28" t="s">
        <v>685</v>
      </c>
      <c r="G130" s="28" t="s">
        <v>685</v>
      </c>
      <c r="H130" s="2">
        <f>MROUND((
  (IF(AND(_xlfn.XLOOKUP(B130,'Base stats'!B:B,'Base stats'!AJ:AJ)=0,BI130="None",_xlfn.XLOOKUP(_xlfn.XLOOKUP(B130,'Base stats'!B:B,'Base stats'!E:E),Groups!A:A,Groups!B:B)=0), (18 + BR130 * 2.7) * 0.5,
    IF(AND(_xlfn.XLOOKUP(B130,'Base stats'!B:B,'Base stats'!AJ:AJ)=0,OR(AO130&lt;0.55,AND(BI130="Intermediate",_xlfn.XLOOKUP(_xlfn.XLOOKUP(B130,'Base stats'!B:B,'Base stats'!E:E),Groups!A:A,Groups!B:B)&lt;2))), (18 + BR130 * 2.7),
      IF(OR(BI130="Advanced",_xlfn.XLOOKUP(B130,'Base stats'!B:B,'Base stats'!AJ:AJ)=1,_xlfn.XLOOKUP(_xlfn.XLOOKUP(B130,'Base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IF(_xlfn.XLOOKUP(_xlfn.XLOOKUP(B130,'Base stats'!B:B,'Base stats'!E:E),Groups!A:A,Groups!C:C)="Untamable",1,IF(_xlfn.XLOOKUP(B130,'Base stats'!B:B,'Base stats'!AJ:AJ)=1,0.99,MIN(MROUND((1-0.6282*EXP(-0.459*AO130))*_xlfn.XLOOKUP(_xlfn.XLOOKUP(B130,'Base stats'!B:B,'Base stats'!E:E),Groups!A:A,Groups!C:C)*IF(_xlfn.XLOOKUP(B130,'Base stats'!B:B,'Base stats'!O:O)=1,0.5,IF(_xlfn.XLOOKUP(B130,'Base stats'!B:B,'Base stats'!O:O)=2,0,1)),0.05),0.985)))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IF(_xlfn.XLOOKUP(_xlfn.XLOOKUP(B130,'Base stats'!B:B,'Base stats'!E:E),Groups!A:A,Groups!L:L)=1,MIN(MROUND(_xlfn.XLOOKUP(B130,'Animals CE'!B:B,'Animals CE'!Z:Z)/2+0.05,0.05),200%),"No")</f>
        <v>No</v>
      </c>
      <c r="O130" s="8" t="str">
        <f>IF(_xlfn.XLOOKUP(_xlfn.XLOOKUP(B130,'Base stats'!B:B,'Base stats'!E:E),Groups!A:A,Groups!L:L)=1,MIN(MROUND(_xlfn.XLOOKUP(B130,'Animals CE'!B:B,'Animals CE'!AA:AA)/2+0.05,0.05),200%),"No")</f>
        <v>No</v>
      </c>
      <c r="P130" s="2" t="str">
        <f>_xlfn.XLOOKUP(B130,'Base stats'!B:B,'Base stats'!R:R)</f>
        <v>Standard</v>
      </c>
      <c r="Q130" s="13">
        <f>MROUND((LOG10(_xlfn.XLOOKUP(B130,'Base stats'!B:B,'Base stats'!AP:AP))*(AO130^0.5)+(_xlfn.XLOOKUP(B130,'Base stats'!B:B,'Base stats'!AP:AP)/1000)^(2/3)+_xlfn.XLOOKUP(B130,'Base stats'!B:B,'Base stats'!AY:AY)/2)+0.5,0.5)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stats'!AQ:AQ))*(AO130^0.5)+(_xlfn.XLOOKUP(B130,'Base stats'!B:B,'Base stats'!AQ:AQ)/1000)^(2/3)+_xlfn.XLOOKUP(B130,'Base stats'!B:B,'Base stats'!AY:AY))+_xlfn.XLOOKUP(B130,'Base stats'!B:B,'Base stats'!AW:AW)+0.5,0.5))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stats'!AS:AS))*(AO130^0.5)+(_xlfn.XLOOKUP(B130,'Base stats'!B:B,'Base stats'!AS:AS)/1000)^(2/3)+_xlfn.XLOOKUP(B130,'Base stats'!B:B,'Base stats'!AX:AX))+0.5+IF(_xlfn.XLOOKUP(_xlfn.XLOOKUP(B130,'Base stats'!B:B,'Base stats'!E:E),Groups!A:A,Groups!U:U)&lt;&gt;3,_xlfn.XLOOKUP(B130,'Base stats'!B:B,'Base stats'!AY:AY),0),0.5))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stats'!AR:AR)="No","No",MROUND((LOG10(_xlfn.XLOOKUP(B130,'Base stats'!B:B,'Base stats'!AR:AR))*(AO130^0.75)+(_xlfn.XLOOKUP(B130,'Base stats'!B:B,'Base stats'!AR:AR)/1000)^(2/3)+_xlfn.XLOOKUP(B130,'Base stats'!B:B,'Base stats'!AV:AV)+_xlfn.XLOOKUP(B130,'Base stats'!B:B,'Base stats'!AY:AY))+0.5,0.5))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stats'!AQ:AQ))*(AO130^0.75)+(_xlfn.XLOOKUP(B130,'Base stats'!B:B,'Base stats'!AQ:AQ)/1000)^(2/3)+_xlfn.XLOOKUP(B130,'Base stats'!B:B,'Base stats'!AW:AW)+_xlfn.XLOOKUP(B130,'Base stats'!B:B,'Base stats'!AY:AY))+0.5,0.5))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8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IFERROR(IF(_xlfn.XLOOKUP(B130,'Base stats'!B:B,'Base stats'!F:F)="Lay eggs","Lay eggs",MIN(20,MAX(5.5,ROUND(((_xlfn.XLOOKUP(B130,'Base stats'!B:B,'Base stats'!F:F)-25)*(14.5/615) + 5.5)*2,0)/2))),"Cannot breed")</f>
        <v>7.5</v>
      </c>
      <c r="AT130" s="8">
        <f>IF(OR(A130="Queen",A130="Larva",A130="Megachicken",A130="Megatardi",A130="Toxscorpion"),"No",IFERROR(MAX(IF(_xlfn.XLOOKUP(B130,'Base stats'!B:B,'Base stats'!G:G)&lt;0.5,0.2,0.3),MROUND(_xlfn.XLOOKUP(B130,'Base stats'!B:B,'Base stats'!G:G)/(365/60),0.2)),"Unknown"))</f>
        <v>0.3</v>
      </c>
      <c r="AU130" s="8">
        <f t="shared" ref="AU130:AU193" si="14">IF(AT130="No","No",IFERROR(MROUND(AT130/2,0.05),"Unknown"))</f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_xlfn.XLOOKUP(B130,'Base stats'!B:B,'Base stats'!AF:AF)</f>
        <v>&lt;li&gt;Alphabeaver&lt;/li&gt;</v>
      </c>
      <c r="BB130" s="2" t="str">
        <f>_xlfn.XLOOKUP(B130,'Base stats'!B:B,'Base stats'!AE:AE)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stats'!Z:Z)=0),0,IF(OR(_xlfn.XLOOKUP(Animals!B130,'Base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stats'!AA:AA),0.005))</f>
        <v>0</v>
      </c>
      <c r="BE130" s="23">
        <f>MIN(1,MROUND(IF(AND(AO130&lt;0.5,_xlfn.XLOOKUP(B130,'Base stats'!B:B,'Base stats'!Z:Z)=0),0,IF(_xlfn.XLOOKUP(_xlfn.XLOOKUP(B130,'Base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stats'!AB:AB),0.005))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stats'!AL:AL)="Standard","No",MROUND((_xlfn.XLOOKUP(B130,'Base stats'!B:B,'Base stats'!AL:AL)/3.6)/I130,0.1))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stats'!AC:AC)&lt;&gt;"No",_xlfn.XLOOKUP(B130,'Base stats'!B:B,'Base stats'!AC:AC),"")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stats'!AC:AC)&lt;&gt;"No",_xlfn.XLOOKUP(B130,'Base stats'!B:B,'Base stats'!AC:AC),"")
  )
)</f>
        <v>No</v>
      </c>
      <c r="BQ130" s="25">
        <f>IF(
   AND(
      'Base stats'!AL130="Standard",_xlfn.XLOOKUP(_xlfn.XLOOKUP(B130,'Base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stats'!AT:AT) * 1.8) * 2) * 2.5 + 10 + I130 * 2,5)+IF(_xlfn.XLOOKUP(B130,'Base stats'!B:B,'Base stats'!AI:AI)=1,50,0)</f>
        <v>55</v>
      </c>
      <c r="BS130" s="8">
        <f t="shared" si="12"/>
        <v>0.5</v>
      </c>
      <c r="BT130" s="8" t="str">
        <f>_xlfn.XLOOKUP(B130,'Base stats'!B:B,'Base stats'!AD:AD)</f>
        <v>3~8</v>
      </c>
      <c r="BU130" s="2" t="str">
        <f>IF(AND(J130&lt;=0.95,OR(_xlfn.XLOOKUP(B130,'Base stats'!B:B,'Base stats'!AI:AI)=1,_xlfn.XLOOKUP(B130,'Base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stats'!AG:AG)=1,"true","false")</f>
        <v>false</v>
      </c>
      <c r="BW130" s="25" t="str">
        <f>IF(E130="BaseInsect","AnimalInsect",
IF(J130&gt;0.95,"AnimalExotic",
_xlfn.TEXTJOIN(", ",TRUE,
IF(OR(_xlfn.XLOOKUP(B130,'Base stats'!B:B,'Base stats'!AK:AK)=1,AND(_xlfn.XLOOKUP(B130,'Base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stats'!AI:AI)=1,AND(BI130&lt;&gt;"None",BR130&gt;=60),ISNUMBER(SEARCH("Attack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stats'!AH:AH)=1,"true","false")</f>
        <v>false</v>
      </c>
      <c r="BZ130" s="25">
        <f>IF(_xlfn.XLOOKUP(B130,'Base stats'!B:B,'Base stats'!N:N)=1,"No",MAX(0.01,MIN(MROUND(IF(OR(_xlfn.XLOOKUP(B130,'Base stats'!B:B,'Base stats'!AK:AK)=1,AND(BJ130="True",CC130="False")),POWER(10,3.47*LOG10(_xlfn.XLOOKUP(B130,'Base stats'!B:B,'Base stats'!C:C)*1000)^-0.96),POWER(10,4.15*LOG10(_xlfn.XLOOKUP(B130,'Base stats'!B:B,'Base stats'!C:C)*1000)^-0.73))*IF(OR(_xlfn.XLOOKUP(B130,'Base stats'!B:B,'Base stats'!AK:AK)=1,_xlfn.XLOOKUP(B130,'Base stats'!B:B,'Base stats'!AI:AI)=1),0.5,1)/100,0.025),1)))</f>
        <v>0.25</v>
      </c>
      <c r="CA130" s="25" t="str">
        <f>IF(P130="Standard","No",MAX(0.01,IF(_xlfn.XLOOKUP(B130,'Base stats'!B:B,'Base stats'!N:N)=0,MROUND(BZ130*P130,0.05),MIN(1,MAX(0.025,MROUND(IF(OR(CC130="true",AND(BJ130="false",BO130="false")),POWER(10,4.15*LOG10(_xlfn.XLOOKUP(B130,'Base stats'!B:B,'Base stats'!C:C)*1000)^-0.73),POWER(10,3.47*LOG10(_xlfn.XLOOKUP(B130,'Base stats'!B:B,'Base stats'!C:C)*1000)^-0.96))*IF(_xlfn.XLOOKUP(B130,'Base stats'!B:B,'Base stats'!AI:AI)=1,0.5,1)/100,0.025))))))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492</v>
      </c>
      <c r="C131" s="28" t="s">
        <v>824</v>
      </c>
      <c r="D131" s="28" t="s">
        <v>884</v>
      </c>
      <c r="E131" s="28" t="s">
        <v>685</v>
      </c>
      <c r="F131" s="28" t="s">
        <v>685</v>
      </c>
      <c r="G131" s="28" t="s">
        <v>685</v>
      </c>
      <c r="H131" s="2">
        <f>MROUND((
  (IF(AND(_xlfn.XLOOKUP(B131,'Base stats'!B:B,'Base stats'!AJ:AJ)=0,BI131="None",_xlfn.XLOOKUP(_xlfn.XLOOKUP(B131,'Base stats'!B:B,'Base stats'!E:E),Groups!A:A,Groups!B:B)=0), (18 + BR131 * 2.7) * 0.5,
    IF(AND(_xlfn.XLOOKUP(B131,'Base stats'!B:B,'Base stats'!AJ:AJ)=0,OR(AO131&lt;0.55,AND(BI131="Intermediate",_xlfn.XLOOKUP(_xlfn.XLOOKUP(B131,'Base stats'!B:B,'Base stats'!E:E),Groups!A:A,Groups!B:B)&lt;2))), (18 + BR131 * 2.7),
      IF(OR(BI131="Advanced",_xlfn.XLOOKUP(B131,'Base stats'!B:B,'Base stats'!AJ:AJ)=1,_xlfn.XLOOKUP(_xlfn.XLOOKUP(B131,'Base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IF(_xlfn.XLOOKUP(_xlfn.XLOOKUP(B131,'Base stats'!B:B,'Base stats'!E:E),Groups!A:A,Groups!C:C)="Untamable",1,IF(_xlfn.XLOOKUP(B131,'Base stats'!B:B,'Base stats'!AJ:AJ)=1,0.99,MIN(MROUND((1-0.6282*EXP(-0.459*AO131))*_xlfn.XLOOKUP(_xlfn.XLOOKUP(B131,'Base stats'!B:B,'Base stats'!E:E),Groups!A:A,Groups!C:C)*IF(_xlfn.XLOOKUP(B131,'Base stats'!B:B,'Base stats'!O:O)=1,0.5,IF(_xlfn.XLOOKUP(B131,'Base stats'!B:B,'Base stats'!O:O)=2,0,1)),0.05),0.985)))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IF(_xlfn.XLOOKUP(_xlfn.XLOOKUP(B131,'Base stats'!B:B,'Base stats'!E:E),Groups!A:A,Groups!L:L)=1,MIN(MROUND(_xlfn.XLOOKUP(B131,'Animals CE'!B:B,'Animals CE'!Z:Z)/2+0.05,0.05),200%),"No")</f>
        <v>No</v>
      </c>
      <c r="O131" s="8" t="str">
        <f>IF(_xlfn.XLOOKUP(_xlfn.XLOOKUP(B131,'Base stats'!B:B,'Base stats'!E:E),Groups!A:A,Groups!L:L)=1,MIN(MROUND(_xlfn.XLOOKUP(B131,'Animals CE'!B:B,'Animals CE'!AA:AA)/2+0.05,0.05),200%),"No")</f>
        <v>No</v>
      </c>
      <c r="P131" s="2" t="str">
        <f>_xlfn.XLOOKUP(B131,'Base stats'!B:B,'Base stats'!R:R)</f>
        <v>Standard</v>
      </c>
      <c r="Q131" s="13">
        <f>MROUND((LOG10(_xlfn.XLOOKUP(B131,'Base stats'!B:B,'Base stats'!AP:AP))*(AO131^0.5)+(_xlfn.XLOOKUP(B131,'Base stats'!B:B,'Base stats'!AP:AP)/1000)^(2/3)+_xlfn.XLOOKUP(B131,'Base stats'!B:B,'Base stats'!AY:AY)/2)+0.5,0.5)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stats'!AQ:AQ))*(AO131^0.5)+(_xlfn.XLOOKUP(B131,'Base stats'!B:B,'Base stats'!AQ:AQ)/1000)^(2/3)+_xlfn.XLOOKUP(B131,'Base stats'!B:B,'Base stats'!AY:AY))+_xlfn.XLOOKUP(B131,'Base stats'!B:B,'Base stats'!AW:AW)+0.5,0.5))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stats'!AS:AS))*(AO131^0.5)+(_xlfn.XLOOKUP(B131,'Base stats'!B:B,'Base stats'!AS:AS)/1000)^(2/3)+_xlfn.XLOOKUP(B131,'Base stats'!B:B,'Base stats'!AX:AX))+0.5+IF(_xlfn.XLOOKUP(_xlfn.XLOOKUP(B131,'Base stats'!B:B,'Base stats'!E:E),Groups!A:A,Groups!U:U)&lt;&gt;3,_xlfn.XLOOKUP(B131,'Base stats'!B:B,'Base stats'!AY:AY),0),0.5))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stats'!AR:AR)="No","No",MROUND((LOG10(_xlfn.XLOOKUP(B131,'Base stats'!B:B,'Base stats'!AR:AR))*(AO131^0.75)+(_xlfn.XLOOKUP(B131,'Base stats'!B:B,'Base stats'!AR:AR)/1000)^(2/3)+_xlfn.XLOOKUP(B131,'Base stats'!B:B,'Base stats'!AV:AV)+_xlfn.XLOOKUP(B131,'Base stats'!B:B,'Base stats'!AY:AY))+0.5,0.5))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stats'!AQ:AQ))*(AO131^0.75)+(_xlfn.XLOOKUP(B131,'Base stats'!B:B,'Base stats'!AQ:AQ)/1000)^(2/3)+_xlfn.XLOOKUP(B131,'Base stats'!B:B,'Base stats'!AW:AW)+_xlfn.XLOOKUP(B131,'Base stats'!B:B,'Base stats'!AY:AY))+0.5,0.5))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62" si="15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IFERROR(IF(_xlfn.XLOOKUP(B131,'Base stats'!B:B,'Base stats'!F:F)="Lay eggs","Lay eggs",MIN(20,MAX(5.5,ROUND(((_xlfn.XLOOKUP(B131,'Base stats'!B:B,'Base stats'!F:F)-25)*(14.5/615) + 5.5)*2,0)/2))),"Cannot breed")</f>
        <v>5.5</v>
      </c>
      <c r="AT131" s="8">
        <f>IF(OR(A131="Queen",A131="Larva",A131="Megachicken",A131="Megatardi",A131="Toxscorpion"),"No",IFERROR(MAX(IF(_xlfn.XLOOKUP(B131,'Base stats'!B:B,'Base stats'!G:G)&lt;0.5,0.2,0.3),MROUND(_xlfn.XLOOKUP(B131,'Base stats'!B:B,'Base stats'!G:G)/(365/60),0.2)),"Unknown"))</f>
        <v>0.3</v>
      </c>
      <c r="AU131" s="8">
        <f t="shared" si="14"/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62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_xlfn.XLOOKUP(B131,'Base stats'!B:B,'Base stats'!AF:AF)</f>
        <v>No</v>
      </c>
      <c r="BB131" s="2" t="str">
        <f>_xlfn.XLOOKUP(B131,'Base stats'!B:B,'Base stats'!AE:AE)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stats'!Z:Z)=0),0,IF(OR(_xlfn.XLOOKUP(Animals!B131,'Base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stats'!AA:AA),0.005))</f>
        <v>0</v>
      </c>
      <c r="BE131" s="23">
        <f>MIN(1,MROUND(IF(AND(AO131&lt;0.5,_xlfn.XLOOKUP(B131,'Base stats'!B:B,'Base stats'!Z:Z)=0),0,IF(_xlfn.XLOOKUP(_xlfn.XLOOKUP(B131,'Base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stats'!AB:AB),0.005))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62" si="17">IF(BI131&lt;&gt;"None",1,0)</f>
        <v>0</v>
      </c>
      <c r="BM131" s="25" t="str">
        <f>IF(_xlfn.XLOOKUP(B131,'Base stats'!B:B,'Base stats'!AL:AL)="Standard","No",MROUND((_xlfn.XLOOKUP(B131,'Base stats'!B:B,'Base stats'!AL:AL)/3.6)/I131,0.1))</f>
        <v>No</v>
      </c>
      <c r="BN131" s="25" t="str">
        <f t="shared" ref="BN131:BN162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stats'!AC:AC)&lt;&gt;"No",_xlfn.XLOOKUP(B131,'Base stats'!B:B,'Base stats'!AC:AC),"")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stats'!AC:AC)&lt;&gt;"No",_xlfn.XLOOKUP(B131,'Base stats'!B:B,'Base stats'!AC:AC),"")
  )
)</f>
        <v>No</v>
      </c>
      <c r="BQ131" s="25" t="str">
        <f>IF(
   AND(
      'Base stats'!AL131="Standard",_xlfn.XLOOKUP(_xlfn.XLOOKUP(B131,'Base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stats'!AT:AT) * 1.8) * 2) * 2.5 + 10 + I131 * 2,5)+IF(_xlfn.XLOOKUP(B131,'Base stats'!B:B,'Base stats'!AI:AI)=1,50,0)</f>
        <v>25</v>
      </c>
      <c r="BS131" s="8">
        <f t="shared" ref="BS131:BS162" si="19">MROUND(AO131 * 0.2 + AQ131 * 0.8,0.05)</f>
        <v>0.25</v>
      </c>
      <c r="BT131" s="8" t="str">
        <f>_xlfn.XLOOKUP(B131,'Base stats'!B:B,'Base stats'!AD:AD)</f>
        <v>No</v>
      </c>
      <c r="BU131" s="2" t="str">
        <f>IF(AND(J131&lt;=0.95,OR(_xlfn.XLOOKUP(B131,'Base stats'!B:B,'Base stats'!AI:AI)=1,_xlfn.XLOOKUP(B131,'Base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stats'!AG:AG)=1,"true","false")</f>
        <v>false</v>
      </c>
      <c r="BW131" s="25" t="str">
        <f>IF(E131="BaseInsect","AnimalInsect",
IF(J131&gt;0.95,"AnimalExotic",
_xlfn.TEXTJOIN(", ",TRUE,
IF(OR(_xlfn.XLOOKUP(B131,'Base stats'!B:B,'Base stats'!AK:AK)=1,AND(_xlfn.XLOOKUP(B131,'Base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stats'!AI:AI)=1,AND(BI131&lt;&gt;"None",BR131&gt;=60),ISNUMBER(SEARCH("Attack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stats'!AH:AH)=1,"true","false")</f>
        <v>false</v>
      </c>
      <c r="BZ131" s="25">
        <f>IF(_xlfn.XLOOKUP(B131,'Base stats'!B:B,'Base stats'!N:N)=1,"No",MAX(0.01,MIN(MROUND(IF(OR(_xlfn.XLOOKUP(B131,'Base stats'!B:B,'Base stats'!AK:AK)=1,AND(BJ131="True",CC131="False")),POWER(10,3.47*LOG10(_xlfn.XLOOKUP(B131,'Base stats'!B:B,'Base stats'!C:C)*1000)^-0.96),POWER(10,4.15*LOG10(_xlfn.XLOOKUP(B131,'Base stats'!B:B,'Base stats'!C:C)*1000)^-0.73))*IF(OR(_xlfn.XLOOKUP(B131,'Base stats'!B:B,'Base stats'!AK:AK)=1,_xlfn.XLOOKUP(B131,'Base stats'!B:B,'Base stats'!AI:AI)=1),0.5,1)/100,0.025),1)))</f>
        <v>0.67500000000000004</v>
      </c>
      <c r="CA131" s="25" t="str">
        <f>IF(P131="Standard","No",MAX(0.01,IF(_xlfn.XLOOKUP(B131,'Base stats'!B:B,'Base stats'!N:N)=0,MROUND(BZ131*P131,0.05),MIN(1,MAX(0.025,MROUND(IF(OR(CC131="true",AND(BJ131="false",BO131="false")),POWER(10,4.15*LOG10(_xlfn.XLOOKUP(B131,'Base stats'!B:B,'Base stats'!C:C)*1000)^-0.73),POWER(10,3.47*LOG10(_xlfn.XLOOKUP(B131,'Base stats'!B:B,'Base stats'!C:C)*1000)^-0.96))*IF(_xlfn.XLOOKUP(B131,'Base stats'!B:B,'Base stats'!AI:AI)=1,0.5,1)/100,0.025))))))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62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79</v>
      </c>
      <c r="C132" s="28" t="s">
        <v>825</v>
      </c>
      <c r="D132" s="28" t="s">
        <v>884</v>
      </c>
      <c r="E132" s="28" t="s">
        <v>701</v>
      </c>
      <c r="F132" s="28" t="s">
        <v>702</v>
      </c>
      <c r="G132" s="28" t="s">
        <v>685</v>
      </c>
      <c r="H132" s="2">
        <f>MROUND((
  (IF(AND(_xlfn.XLOOKUP(B132,'Base stats'!B:B,'Base stats'!AJ:AJ)=0,BI132="None",_xlfn.XLOOKUP(_xlfn.XLOOKUP(B132,'Base stats'!B:B,'Base stats'!E:E),Groups!A:A,Groups!B:B)=0), (18 + BR132 * 2.7) * 0.5,
    IF(AND(_xlfn.XLOOKUP(B132,'Base stats'!B:B,'Base stats'!AJ:AJ)=0,OR(AO132&lt;0.55,AND(BI132="Intermediate",_xlfn.XLOOKUP(_xlfn.XLOOKUP(B132,'Base stats'!B:B,'Base stats'!E:E),Groups!A:A,Groups!B:B)&lt;2))), (18 + BR132 * 2.7),
      IF(OR(BI132="Advanced",_xlfn.XLOOKUP(B132,'Base stats'!B:B,'Base stats'!AJ:AJ)=1,_xlfn.XLOOKUP(_xlfn.XLOOKUP(B132,'Base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IF(_xlfn.XLOOKUP(_xlfn.XLOOKUP(B132,'Base stats'!B:B,'Base stats'!E:E),Groups!A:A,Groups!C:C)="Untamable",1,IF(_xlfn.XLOOKUP(B132,'Base stats'!B:B,'Base stats'!AJ:AJ)=1,0.99,MIN(MROUND((1-0.6282*EXP(-0.459*AO132))*_xlfn.XLOOKUP(_xlfn.XLOOKUP(B132,'Base stats'!B:B,'Base stats'!E:E),Groups!A:A,Groups!C:C)*IF(_xlfn.XLOOKUP(B132,'Base stats'!B:B,'Base stats'!O:O)=1,0.5,IF(_xlfn.XLOOKUP(B132,'Base stats'!B:B,'Base stats'!O:O)=2,0,1)),0.05),0.985)))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IF(_xlfn.XLOOKUP(_xlfn.XLOOKUP(B132,'Base stats'!B:B,'Base stats'!E:E),Groups!A:A,Groups!L:L)=1,MIN(MROUND(_xlfn.XLOOKUP(B132,'Animals CE'!B:B,'Animals CE'!Z:Z)/2+0.05,0.05),200%),"No")</f>
        <v>No</v>
      </c>
      <c r="O132" s="8" t="str">
        <f>IF(_xlfn.XLOOKUP(_xlfn.XLOOKUP(B132,'Base stats'!B:B,'Base stats'!E:E),Groups!A:A,Groups!L:L)=1,MIN(MROUND(_xlfn.XLOOKUP(B132,'Animals CE'!B:B,'Animals CE'!AA:AA)/2+0.05,0.05),200%),"No")</f>
        <v>No</v>
      </c>
      <c r="P132" s="2" t="str">
        <f>_xlfn.XLOOKUP(B132,'Base stats'!B:B,'Base stats'!R:R)</f>
        <v>Standard</v>
      </c>
      <c r="Q132" s="13">
        <f>MROUND((LOG10(_xlfn.XLOOKUP(B132,'Base stats'!B:B,'Base stats'!AP:AP))*(AO132^0.5)+(_xlfn.XLOOKUP(B132,'Base stats'!B:B,'Base stats'!AP:AP)/1000)^(2/3)+_xlfn.XLOOKUP(B132,'Base stats'!B:B,'Base stats'!AY:AY)/2)+0.5,0.5)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stats'!AQ:AQ))*(AO132^0.5)+(_xlfn.XLOOKUP(B132,'Base stats'!B:B,'Base stats'!AQ:AQ)/1000)^(2/3)+_xlfn.XLOOKUP(B132,'Base stats'!B:B,'Base stats'!AY:AY))+_xlfn.XLOOKUP(B132,'Base stats'!B:B,'Base stats'!AW:AW)+0.5,0.5))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stats'!AS:AS))*(AO132^0.5)+(_xlfn.XLOOKUP(B132,'Base stats'!B:B,'Base stats'!AS:AS)/1000)^(2/3)+_xlfn.XLOOKUP(B132,'Base stats'!B:B,'Base stats'!AX:AX))+0.5+IF(_xlfn.XLOOKUP(_xlfn.XLOOKUP(B132,'Base stats'!B:B,'Base stats'!E:E),Groups!A:A,Groups!U:U)&lt;&gt;3,_xlfn.XLOOKUP(B132,'Base stats'!B:B,'Base stats'!AY:AY),0),0.5))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stats'!AR:AR)="No","No",MROUND((LOG10(_xlfn.XLOOKUP(B132,'Base stats'!B:B,'Base stats'!AR:AR))*(AO132^0.75)+(_xlfn.XLOOKUP(B132,'Base stats'!B:B,'Base stats'!AR:AR)/1000)^(2/3)+_xlfn.XLOOKUP(B132,'Base stats'!B:B,'Base stats'!AV:AV)+_xlfn.XLOOKUP(B132,'Base stats'!B:B,'Base stats'!AY:AY))+0.5,0.5))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stats'!AQ:AQ))*(AO132^0.75)+(_xlfn.XLOOKUP(B132,'Base stats'!B:B,'Base stats'!AQ:AQ)/1000)^(2/3)+_xlfn.XLOOKUP(B132,'Base stats'!B:B,'Base stats'!AW:AW)+_xlfn.XLOOKUP(B132,'Base stats'!B:B,'Base stats'!AY:AY))+0.5,0.5))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FrontRightPaw,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5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IFERROR(IF(_xlfn.XLOOKUP(B132,'Base stats'!B:B,'Base stats'!F:F)="Lay eggs","Lay eggs",MIN(20,MAX(5.5,ROUND(((_xlfn.XLOOKUP(B132,'Base stats'!B:B,'Base stats'!F:F)-25)*(14.5/615) + 5.5)*2,0)/2))),"Cannot breed")</f>
        <v>7</v>
      </c>
      <c r="AT132" s="8">
        <f>IF(OR(A132="Queen",A132="Larva",A132="Megachicken",A132="Megatardi",A132="Toxscorpion"),"No",IFERROR(MAX(IF(_xlfn.XLOOKUP(B132,'Base stats'!B:B,'Base stats'!G:G)&lt;0.5,0.2,0.3),MROUND(_xlfn.XLOOKUP(B132,'Base stats'!B:B,'Base stats'!G:G)/(365/60),0.2)),"Unknown"))</f>
        <v>0.4</v>
      </c>
      <c r="AU132" s="8">
        <f t="shared" si="14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_xlfn.XLOOKUP(B132,'Base stats'!B:B,'Base stats'!AF:AF)</f>
        <v>No</v>
      </c>
      <c r="BB132" s="2" t="str">
        <f>_xlfn.XLOOKUP(B132,'Base stats'!B:B,'Base stats'!AE:AE)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stats'!Z:Z)=0),0,IF(OR(_xlfn.XLOOKUP(Animals!B132,'Base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stats'!AA:AA),0.005))</f>
        <v>0.1</v>
      </c>
      <c r="BE132" s="23">
        <f>MIN(1,MROUND(IF(AND(AO132&lt;0.5,_xlfn.XLOOKUP(B132,'Base stats'!B:B,'Base stats'!Z:Z)=0),0,IF(_xlfn.XLOOKUP(_xlfn.XLOOKUP(B132,'Base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stats'!AB:AB),0.005))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stats'!AL:AL)="Standard","No",MROUND((_xlfn.XLOOKUP(B132,'Base stats'!B:B,'Base stats'!AL:AL)/3.6)/I132,0.1))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stats'!AC:AC)&lt;&gt;"No",_xlfn.XLOOKUP(B132,'Base stats'!B:B,'Base stats'!AC:AC),"")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stats'!AC:AC)&lt;&gt;"No",_xlfn.XLOOKUP(B132,'Base stats'!B:B,'Base stats'!AC:AC),"")
  )
)</f>
        <v>AttackTarget</v>
      </c>
      <c r="BQ132" s="25">
        <f>IF(
   AND(
      'Base stats'!AL132="Standard",_xlfn.XLOOKUP(_xlfn.XLOOKUP(B132,'Base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stats'!AT:AT) * 1.8) * 2) * 2.5 + 10 + I132 * 2,5)+IF(_xlfn.XLOOKUP(B132,'Base stats'!B:B,'Base stats'!AI:AI)=1,50,0)</f>
        <v>145</v>
      </c>
      <c r="BS132" s="8">
        <f t="shared" si="19"/>
        <v>0.70000000000000007</v>
      </c>
      <c r="BT132" s="8" t="str">
        <f>_xlfn.XLOOKUP(B132,'Base stats'!B:B,'Base stats'!AD:AD)</f>
        <v>No</v>
      </c>
      <c r="BU132" s="2" t="str">
        <f>IF(AND(J132&lt;=0.95,OR(_xlfn.XLOOKUP(B132,'Base stats'!B:B,'Base stats'!AI:AI)=1,_xlfn.XLOOKUP(B132,'Base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stats'!AG:AG)=1,"true","false")</f>
        <v>false</v>
      </c>
      <c r="BW132" s="25" t="str">
        <f>IF(E132="BaseInsect","AnimalInsect",
IF(J132&gt;0.95,"AnimalExotic",
_xlfn.TEXTJOIN(", ",TRUE,
IF(OR(_xlfn.XLOOKUP(B132,'Base stats'!B:B,'Base stats'!AK:AK)=1,AND(_xlfn.XLOOKUP(B132,'Base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stats'!AI:AI)=1,AND(BI132&lt;&gt;"None",BR132&gt;=60),ISNUMBER(SEARCH("Attack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stats'!AH:AH)=1,"true","false")</f>
        <v>false</v>
      </c>
      <c r="BZ132" s="25">
        <f>IF(_xlfn.XLOOKUP(B132,'Base stats'!B:B,'Base stats'!N:N)=1,"No",MAX(0.01,MIN(MROUND(IF(OR(_xlfn.XLOOKUP(B132,'Base stats'!B:B,'Base stats'!AK:AK)=1,AND(BJ132="True",CC132="False")),POWER(10,3.47*LOG10(_xlfn.XLOOKUP(B132,'Base stats'!B:B,'Base stats'!C:C)*1000)^-0.96),POWER(10,4.15*LOG10(_xlfn.XLOOKUP(B132,'Base stats'!B:B,'Base stats'!C:C)*1000)^-0.73))*IF(OR(_xlfn.XLOOKUP(B132,'Base stats'!B:B,'Base stats'!AK:AK)=1,_xlfn.XLOOKUP(B132,'Base stats'!B:B,'Base stats'!AI:AI)=1),0.5,1)/100,0.025),1)))</f>
        <v>0.05</v>
      </c>
      <c r="CA132" s="25" t="str">
        <f>IF(P132="Standard","No",MAX(0.01,IF(_xlfn.XLOOKUP(B132,'Base stats'!B:B,'Base stats'!N:N)=0,MROUND(BZ132*P132,0.05),MIN(1,MAX(0.025,MROUND(IF(OR(CC132="true",AND(BJ132="false",BO132="false")),POWER(10,4.15*LOG10(_xlfn.XLOOKUP(B132,'Base stats'!B:B,'Base stats'!C:C)*1000)^-0.73),POWER(10,3.47*LOG10(_xlfn.XLOOKUP(B132,'Base stats'!B:B,'Base stats'!C:C)*1000)^-0.96))*IF(_xlfn.XLOOKUP(B132,'Base stats'!B:B,'Base stats'!AI:AI)=1,0.5,1)/100,0.025))))))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256</v>
      </c>
      <c r="C133" s="28" t="s">
        <v>826</v>
      </c>
      <c r="D133" s="28" t="s">
        <v>884</v>
      </c>
      <c r="E133" s="28" t="s">
        <v>685</v>
      </c>
      <c r="F133" s="28" t="s">
        <v>685</v>
      </c>
      <c r="G133" s="28" t="s">
        <v>685</v>
      </c>
      <c r="H133" s="2">
        <f>MROUND((
  (IF(AND(_xlfn.XLOOKUP(B133,'Base stats'!B:B,'Base stats'!AJ:AJ)=0,BI133="None",_xlfn.XLOOKUP(_xlfn.XLOOKUP(B133,'Base stats'!B:B,'Base stats'!E:E),Groups!A:A,Groups!B:B)=0), (18 + BR133 * 2.7) * 0.5,
    IF(AND(_xlfn.XLOOKUP(B133,'Base stats'!B:B,'Base stats'!AJ:AJ)=0,OR(AO133&lt;0.55,AND(BI133="Intermediate",_xlfn.XLOOKUP(_xlfn.XLOOKUP(B133,'Base stats'!B:B,'Base stats'!E:E),Groups!A:A,Groups!B:B)&lt;2))), (18 + BR133 * 2.7),
      IF(OR(BI133="Advanced",_xlfn.XLOOKUP(B133,'Base stats'!B:B,'Base stats'!AJ:AJ)=1,_xlfn.XLOOKUP(_xlfn.XLOOKUP(B133,'Base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IF(_xlfn.XLOOKUP(_xlfn.XLOOKUP(B133,'Base stats'!B:B,'Base stats'!E:E),Groups!A:A,Groups!C:C)="Untamable",1,IF(_xlfn.XLOOKUP(B133,'Base stats'!B:B,'Base stats'!AJ:AJ)=1,0.99,MIN(MROUND((1-0.6282*EXP(-0.459*AO133))*_xlfn.XLOOKUP(_xlfn.XLOOKUP(B133,'Base stats'!B:B,'Base stats'!E:E),Groups!A:A,Groups!C:C)*IF(_xlfn.XLOOKUP(B133,'Base stats'!B:B,'Base stats'!O:O)=1,0.5,IF(_xlfn.XLOOKUP(B133,'Base stats'!B:B,'Base stats'!O:O)=2,0,1)),0.05),0.985)))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IF(_xlfn.XLOOKUP(_xlfn.XLOOKUP(B133,'Base stats'!B:B,'Base stats'!E:E),Groups!A:A,Groups!L:L)=1,MIN(MROUND(_xlfn.XLOOKUP(B133,'Animals CE'!B:B,'Animals CE'!Z:Z)/2+0.05,0.05),200%),"No")</f>
        <v>No</v>
      </c>
      <c r="O133" s="8" t="str">
        <f>IF(_xlfn.XLOOKUP(_xlfn.XLOOKUP(B133,'Base stats'!B:B,'Base stats'!E:E),Groups!A:A,Groups!L:L)=1,MIN(MROUND(_xlfn.XLOOKUP(B133,'Animals CE'!B:B,'Animals CE'!AA:AA)/2+0.05,0.05),200%),"No")</f>
        <v>No</v>
      </c>
      <c r="P133" s="2" t="str">
        <f>_xlfn.XLOOKUP(B133,'Base stats'!B:B,'Base stats'!R:R)</f>
        <v>Standard</v>
      </c>
      <c r="Q133" s="13">
        <f>MROUND((LOG10(_xlfn.XLOOKUP(B133,'Base stats'!B:B,'Base stats'!AP:AP))*(AO133^0.5)+(_xlfn.XLOOKUP(B133,'Base stats'!B:B,'Base stats'!AP:AP)/1000)^(2/3)+_xlfn.XLOOKUP(B133,'Base stats'!B:B,'Base stats'!AY:AY)/2)+0.5,0.5)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stats'!AQ:AQ))*(AO133^0.5)+(_xlfn.XLOOKUP(B133,'Base stats'!B:B,'Base stats'!AQ:AQ)/1000)^(2/3)+_xlfn.XLOOKUP(B133,'Base stats'!B:B,'Base stats'!AY:AY))+_xlfn.XLOOKUP(B133,'Base stats'!B:B,'Base stats'!AW:AW)+0.5,0.5))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stats'!AS:AS))*(AO133^0.5)+(_xlfn.XLOOKUP(B133,'Base stats'!B:B,'Base stats'!AS:AS)/1000)^(2/3)+_xlfn.XLOOKUP(B133,'Base stats'!B:B,'Base stats'!AX:AX))+0.5+IF(_xlfn.XLOOKUP(_xlfn.XLOOKUP(B133,'Base stats'!B:B,'Base stats'!E:E),Groups!A:A,Groups!U:U)&lt;&gt;3,_xlfn.XLOOKUP(B133,'Base stats'!B:B,'Base stats'!AY:AY),0),0.5))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stats'!AR:AR)="No","No",MROUND((LOG10(_xlfn.XLOOKUP(B133,'Base stats'!B:B,'Base stats'!AR:AR))*(AO133^0.75)+(_xlfn.XLOOKUP(B133,'Base stats'!B:B,'Base stats'!AR:AR)/1000)^(2/3)+_xlfn.XLOOKUP(B133,'Base stats'!B:B,'Base stats'!AV:AV)+_xlfn.XLOOKUP(B133,'Base stats'!B:B,'Base stats'!AY:AY))+0.5,0.5))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stats'!AQ:AQ))*(AO133^0.75)+(_xlfn.XLOOKUP(B133,'Base stats'!B:B,'Base stats'!AQ:AQ)/1000)^(2/3)+_xlfn.XLOOKUP(B133,'Base stats'!B:B,'Base stats'!AW:AW)+_xlfn.XLOOKUP(B133,'Base stats'!B:B,'Base stats'!AY:AY))+0.5,0.5))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5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IFERROR(IF(_xlfn.XLOOKUP(B133,'Base stats'!B:B,'Base stats'!F:F)="Lay eggs","Lay eggs",MIN(20,MAX(5.5,ROUND(((_xlfn.XLOOKUP(B133,'Base stats'!B:B,'Base stats'!F:F)-25)*(14.5/615) + 5.5)*2,0)/2))),"Cannot breed")</f>
        <v>8</v>
      </c>
      <c r="AT133" s="8">
        <f>IF(OR(A133="Queen",A133="Larva",A133="Megachicken",A133="Megatardi",A133="Toxscorpion"),"No",IFERROR(MAX(IF(_xlfn.XLOOKUP(B133,'Base stats'!B:B,'Base stats'!G:G)&lt;0.5,0.2,0.3),MROUND(_xlfn.XLOOKUP(B133,'Base stats'!B:B,'Base stats'!G:G)/(365/60),0.2)),"Unknown"))</f>
        <v>0.3</v>
      </c>
      <c r="AU133" s="8">
        <f t="shared" si="14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_xlfn.XLOOKUP(B133,'Base stats'!B:B,'Base stats'!AF:AF)</f>
        <v>&lt;li&gt;Monkey&lt;/li&gt;</v>
      </c>
      <c r="BB133" s="2" t="str">
        <f>_xlfn.XLOOKUP(B133,'Base stats'!B:B,'Base stats'!AE:AE)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stats'!Z:Z)=0),0,IF(OR(_xlfn.XLOOKUP(Animals!B133,'Base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stats'!AA:AA),0.005))</f>
        <v>0</v>
      </c>
      <c r="BE133" s="23">
        <f>MIN(1,MROUND(IF(AND(AO133&lt;0.5,_xlfn.XLOOKUP(B133,'Base stats'!B:B,'Base stats'!Z:Z)=0),0,IF(_xlfn.XLOOKUP(_xlfn.XLOOKUP(B133,'Base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stats'!AB:AB),0.005))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stats'!AL:AL)="Standard","No",MROUND((_xlfn.XLOOKUP(B133,'Base stats'!B:B,'Base stats'!AL:AL)/3.6)/I133,0.1))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stats'!AC:AC)&lt;&gt;"No",_xlfn.XLOOKUP(B133,'Base stats'!B:B,'Base stats'!AC:AC),"")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stats'!AC:AC)&lt;&gt;"No",_xlfn.XLOOKUP(B133,'Base stats'!B:B,'Base stats'!AC:AC),"")
  )
)</f>
        <v>Forage, Comfort</v>
      </c>
      <c r="BQ133" s="25" t="str">
        <f>IF(
   AND(
      'Base stats'!AL133="Standard",_xlfn.XLOOKUP(_xlfn.XLOOKUP(B133,'Base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stats'!AT:AT) * 1.8) * 2) * 2.5 + 10 + I133 * 2,5)+IF(_xlfn.XLOOKUP(B133,'Base stats'!B:B,'Base stats'!AI:AI)=1,50,0)</f>
        <v>35</v>
      </c>
      <c r="BS133" s="8">
        <f t="shared" si="19"/>
        <v>0.25</v>
      </c>
      <c r="BT133" s="8" t="str">
        <f>_xlfn.XLOOKUP(B133,'Base stats'!B:B,'Base stats'!AD:AD)</f>
        <v>3~10</v>
      </c>
      <c r="BU133" s="2" t="str">
        <f>IF(AND(J133&lt;=0.95,OR(_xlfn.XLOOKUP(B133,'Base stats'!B:B,'Base stats'!AI:AI)=1,_xlfn.XLOOKUP(B133,'Base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stats'!AG:AG)=1,"true","false")</f>
        <v>false</v>
      </c>
      <c r="BW133" s="25" t="str">
        <f>IF(E133="BaseInsect","AnimalInsect",
IF(J133&gt;0.95,"AnimalExotic",
_xlfn.TEXTJOIN(", ",TRUE,
IF(OR(_xlfn.XLOOKUP(B133,'Base stats'!B:B,'Base stats'!AK:AK)=1,AND(_xlfn.XLOOKUP(B133,'Base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stats'!AI:AI)=1,AND(BI133&lt;&gt;"None",BR133&gt;=60),ISNUMBER(SEARCH("Attack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stats'!AH:AH)=1,"true","false")</f>
        <v>false</v>
      </c>
      <c r="BZ133" s="25">
        <f>IF(_xlfn.XLOOKUP(B133,'Base stats'!B:B,'Base stats'!N:N)=1,"No",MAX(0.01,MIN(MROUND(IF(OR(_xlfn.XLOOKUP(B133,'Base stats'!B:B,'Base stats'!AK:AK)=1,AND(BJ133="True",CC133="False")),POWER(10,3.47*LOG10(_xlfn.XLOOKUP(B133,'Base stats'!B:B,'Base stats'!C:C)*1000)^-0.96),POWER(10,4.15*LOG10(_xlfn.XLOOKUP(B133,'Base stats'!B:B,'Base stats'!C:C)*1000)^-0.73))*IF(OR(_xlfn.XLOOKUP(B133,'Base stats'!B:B,'Base stats'!AK:AK)=1,_xlfn.XLOOKUP(B133,'Base stats'!B:B,'Base stats'!AI:AI)=1),0.5,1)/100,0.025),1)))</f>
        <v>0.5</v>
      </c>
      <c r="CA133" s="25" t="str">
        <f>IF(P133="Standard","No",MAX(0.01,IF(_xlfn.XLOOKUP(B133,'Base stats'!B:B,'Base stats'!N:N)=0,MROUND(BZ133*P133,0.05),MIN(1,MAX(0.025,MROUND(IF(OR(CC133="true",AND(BJ133="false",BO133="false")),POWER(10,4.15*LOG10(_xlfn.XLOOKUP(B133,'Base stats'!B:B,'Base stats'!C:C)*1000)^-0.73),POWER(10,3.47*LOG10(_xlfn.XLOOKUP(B133,'Base stats'!B:B,'Base stats'!C:C)*1000)^-0.96))*IF(_xlfn.XLOOKUP(B133,'Base stats'!B:B,'Base stats'!AI:AI)=1,0.5,1)/100,0.025))))))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115</v>
      </c>
      <c r="C134" s="28" t="s">
        <v>827</v>
      </c>
      <c r="D134" s="28" t="s">
        <v>884</v>
      </c>
      <c r="E134" s="28" t="s">
        <v>685</v>
      </c>
      <c r="F134" s="28" t="s">
        <v>685</v>
      </c>
      <c r="G134" s="28" t="s">
        <v>685</v>
      </c>
      <c r="H134" s="2">
        <f>MROUND((
  (IF(AND(_xlfn.XLOOKUP(B134,'Base stats'!B:B,'Base stats'!AJ:AJ)=0,BI134="None",_xlfn.XLOOKUP(_xlfn.XLOOKUP(B134,'Base stats'!B:B,'Base stats'!E:E),Groups!A:A,Groups!B:B)=0), (18 + BR134 * 2.7) * 0.5,
    IF(AND(_xlfn.XLOOKUP(B134,'Base stats'!B:B,'Base stats'!AJ:AJ)=0,OR(AO134&lt;0.55,AND(BI134="Intermediate",_xlfn.XLOOKUP(_xlfn.XLOOKUP(B134,'Base stats'!B:B,'Base stats'!E:E),Groups!A:A,Groups!B:B)&lt;2))), (18 + BR134 * 2.7),
      IF(OR(BI134="Advanced",_xlfn.XLOOKUP(B134,'Base stats'!B:B,'Base stats'!AJ:AJ)=1,_xlfn.XLOOKUP(_xlfn.XLOOKUP(B134,'Base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IF(_xlfn.XLOOKUP(_xlfn.XLOOKUP(B134,'Base stats'!B:B,'Base stats'!E:E),Groups!A:A,Groups!C:C)="Untamable",1,IF(_xlfn.XLOOKUP(B134,'Base stats'!B:B,'Base stats'!AJ:AJ)=1,0.99,MIN(MROUND((1-0.6282*EXP(-0.459*AO134))*_xlfn.XLOOKUP(_xlfn.XLOOKUP(B134,'Base stats'!B:B,'Base stats'!E:E),Groups!A:A,Groups!C:C)*IF(_xlfn.XLOOKUP(B134,'Base stats'!B:B,'Base stats'!O:O)=1,0.5,IF(_xlfn.XLOOKUP(B134,'Base stats'!B:B,'Base stats'!O:O)=2,0,1)),0.05),0.985)))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IF(_xlfn.XLOOKUP(_xlfn.XLOOKUP(B134,'Base stats'!B:B,'Base stats'!E:E),Groups!A:A,Groups!L:L)=1,MIN(MROUND(_xlfn.XLOOKUP(B134,'Animals CE'!B:B,'Animals CE'!Z:Z)/2+0.05,0.05),200%),"No")</f>
        <v>No</v>
      </c>
      <c r="O134" s="8" t="str">
        <f>IF(_xlfn.XLOOKUP(_xlfn.XLOOKUP(B134,'Base stats'!B:B,'Base stats'!E:E),Groups!A:A,Groups!L:L)=1,MIN(MROUND(_xlfn.XLOOKUP(B134,'Animals CE'!B:B,'Animals CE'!AA:AA)/2+0.05,0.05),200%),"No")</f>
        <v>No</v>
      </c>
      <c r="P134" s="2" t="str">
        <f>_xlfn.XLOOKUP(B134,'Base stats'!B:B,'Base stats'!R:R)</f>
        <v>Standard</v>
      </c>
      <c r="Q134" s="13">
        <f>MROUND((LOG10(_xlfn.XLOOKUP(B134,'Base stats'!B:B,'Base stats'!AP:AP))*(AO134^0.5)+(_xlfn.XLOOKUP(B134,'Base stats'!B:B,'Base stats'!AP:AP)/1000)^(2/3)+_xlfn.XLOOKUP(B134,'Base stats'!B:B,'Base stats'!AY:AY)/2)+0.5,0.5)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stats'!AQ:AQ))*(AO134^0.5)+(_xlfn.XLOOKUP(B134,'Base stats'!B:B,'Base stats'!AQ:AQ)/1000)^(2/3)+_xlfn.XLOOKUP(B134,'Base stats'!B:B,'Base stats'!AY:AY))+_xlfn.XLOOKUP(B134,'Base stats'!B:B,'Base stats'!AW:AW)+0.5,0.5))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stats'!AS:AS))*(AO134^0.5)+(_xlfn.XLOOKUP(B134,'Base stats'!B:B,'Base stats'!AS:AS)/1000)^(2/3)+_xlfn.XLOOKUP(B134,'Base stats'!B:B,'Base stats'!AX:AX))+0.5+IF(_xlfn.XLOOKUP(_xlfn.XLOOKUP(B134,'Base stats'!B:B,'Base stats'!E:E),Groups!A:A,Groups!U:U)&lt;&gt;3,_xlfn.XLOOKUP(B134,'Base stats'!B:B,'Base stats'!AY:AY),0),0.5))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stats'!AR:AR)="No","No",MROUND((LOG10(_xlfn.XLOOKUP(B134,'Base stats'!B:B,'Base stats'!AR:AR))*(AO134^0.75)+(_xlfn.XLOOKUP(B134,'Base stats'!B:B,'Base stats'!AR:AR)/1000)^(2/3)+_xlfn.XLOOKUP(B134,'Base stats'!B:B,'Base stats'!AV:AV)+_xlfn.XLOOKUP(B134,'Base stats'!B:B,'Base stats'!AY:AY))+0.5,0.5))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stats'!AQ:AQ))*(AO134^0.75)+(_xlfn.XLOOKUP(B134,'Base stats'!B:B,'Base stats'!AQ:AQ)/1000)^(2/3)+_xlfn.XLOOKUP(B134,'Base stats'!B:B,'Base stats'!AW:AW)+_xlfn.XLOOKUP(B134,'Base stats'!B:B,'Base stats'!AY:AY))+0.5,0.5))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5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IFERROR(IF(_xlfn.XLOOKUP(B134,'Base stats'!B:B,'Base stats'!F:F)="Lay eggs","Lay eggs",MIN(20,MAX(5.5,ROUND(((_xlfn.XLOOKUP(B134,'Base stats'!B:B,'Base stats'!F:F)-25)*(14.5/615) + 5.5)*2,0)/2))),"Cannot breed")</f>
        <v>9</v>
      </c>
      <c r="AT134" s="8">
        <f>IF(OR(A134="Queen",A134="Larva",A134="Megachicken",A134="Megatardi",A134="Toxscorpion"),"No",IFERROR(MAX(IF(_xlfn.XLOOKUP(B134,'Base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4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_xlfn.XLOOKUP(B134,'Base stats'!B:B,'Base stats'!AF:AF)</f>
        <v>&lt;li&gt;Monkey&lt;/li&gt;</v>
      </c>
      <c r="BB134" s="2" t="str">
        <f>_xlfn.XLOOKUP(B134,'Base stats'!B:B,'Base stats'!AE:AE)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stats'!Z:Z)=0),0,IF(OR(_xlfn.XLOOKUP(Animals!B134,'Base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stats'!AA:AA),0.005))</f>
        <v>0</v>
      </c>
      <c r="BE134" s="23">
        <f>MIN(1,MROUND(IF(AND(AO134&lt;0.5,_xlfn.XLOOKUP(B134,'Base stats'!B:B,'Base stats'!Z:Z)=0),0,IF(_xlfn.XLOOKUP(_xlfn.XLOOKUP(B134,'Base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stats'!AB:AB),0.005))</f>
        <v>0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stats'!AL:AL)="Standard","No",MROUND((_xlfn.XLOOKUP(B134,'Base stats'!B:B,'Base stats'!AL:AL)/3.6)/I134,0.1))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stats'!AC:AC)&lt;&gt;"No",_xlfn.XLOOKUP(B134,'Base stats'!B:B,'Base stats'!AC:AC),"")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stats'!AC:AC)&lt;&gt;"No",_xlfn.XLOOKUP(B134,'Base stats'!B:B,'Base stats'!AC:AC),"")
  )
)</f>
        <v>Forage, AttackTarget</v>
      </c>
      <c r="BQ134" s="25" t="str">
        <f>IF(
   AND(
      'Base stats'!AL134="Standard",_xlfn.XLOOKUP(_xlfn.XLOOKUP(B134,'Base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stats'!AT:AT) * 1.8) * 2) * 2.5 + 10 + I134 * 2,5)+IF(_xlfn.XLOOKUP(B134,'Base stats'!B:B,'Base stats'!AI:AI)=1,50,0)</f>
        <v>60</v>
      </c>
      <c r="BS134" s="8">
        <f t="shared" si="19"/>
        <v>0.45</v>
      </c>
      <c r="BT134" s="8" t="str">
        <f>_xlfn.XLOOKUP(B134,'Base stats'!B:B,'Base stats'!AD:AD)</f>
        <v>3~10</v>
      </c>
      <c r="BU134" s="2" t="str">
        <f>IF(AND(J134&lt;=0.95,OR(_xlfn.XLOOKUP(B134,'Base stats'!B:B,'Base stats'!AI:AI)=1,_xlfn.XLOOKUP(B134,'Base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stats'!AG:AG)=1,"true","false")</f>
        <v>false</v>
      </c>
      <c r="BW134" s="25" t="str">
        <f>IF(E134="BaseInsect","AnimalInsect",
IF(J134&gt;0.95,"AnimalExotic",
_xlfn.TEXTJOIN(", ",TRUE,
IF(OR(_xlfn.XLOOKUP(B134,'Base stats'!B:B,'Base stats'!AK:AK)=1,AND(_xlfn.XLOOKUP(B134,'Base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stats'!AI:AI)=1,AND(BI134&lt;&gt;"None",BR134&gt;=60),ISNUMBER(SEARCH("Attack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stats'!AH:AH)=1,"true","false")</f>
        <v>false</v>
      </c>
      <c r="BZ134" s="25">
        <f>IF(_xlfn.XLOOKUP(B134,'Base stats'!B:B,'Base stats'!N:N)=1,"No",MAX(0.01,MIN(MROUND(IF(OR(_xlfn.XLOOKUP(B134,'Base stats'!B:B,'Base stats'!AK:AK)=1,AND(BJ134="True",CC134="False")),POWER(10,3.47*LOG10(_xlfn.XLOOKUP(B134,'Base stats'!B:B,'Base stats'!C:C)*1000)^-0.96),POWER(10,4.15*LOG10(_xlfn.XLOOKUP(B134,'Base stats'!B:B,'Base stats'!C:C)*1000)^-0.73))*IF(OR(_xlfn.XLOOKUP(B134,'Base stats'!B:B,'Base stats'!AK:AK)=1,_xlfn.XLOOKUP(B134,'Base stats'!B:B,'Base stats'!AI:AI)=1),0.5,1)/100,0.025),1)))</f>
        <v>0.27500000000000002</v>
      </c>
      <c r="CA134" s="25" t="str">
        <f>IF(P134="Standard","No",MAX(0.01,IF(_xlfn.XLOOKUP(B134,'Base stats'!B:B,'Base stats'!N:N)=0,MROUND(BZ134*P134,0.05),MIN(1,MAX(0.025,MROUND(IF(OR(CC134="true",AND(BJ134="false",BO134="false")),POWER(10,4.15*LOG10(_xlfn.XLOOKUP(B134,'Base stats'!B:B,'Base stats'!C:C)*1000)^-0.73),POWER(10,3.47*LOG10(_xlfn.XLOOKUP(B134,'Base stats'!B:B,'Base stats'!C:C)*1000)^-0.96))*IF(_xlfn.XLOOKUP(B134,'Base stats'!B:B,'Base stats'!AI:AI)=1,0.5,1)/100,0.025))))))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97</v>
      </c>
      <c r="C135" s="28" t="s">
        <v>828</v>
      </c>
      <c r="D135" s="28" t="s">
        <v>884</v>
      </c>
      <c r="E135" s="28" t="s">
        <v>685</v>
      </c>
      <c r="F135" s="28" t="s">
        <v>685</v>
      </c>
      <c r="G135" s="28" t="s">
        <v>685</v>
      </c>
      <c r="H135" s="2">
        <f>MROUND((
  (IF(AND(_xlfn.XLOOKUP(B135,'Base stats'!B:B,'Base stats'!AJ:AJ)=0,BI135="None",_xlfn.XLOOKUP(_xlfn.XLOOKUP(B135,'Base stats'!B:B,'Base stats'!E:E),Groups!A:A,Groups!B:B)=0), (18 + BR135 * 2.7) * 0.5,
    IF(AND(_xlfn.XLOOKUP(B135,'Base stats'!B:B,'Base stats'!AJ:AJ)=0,OR(AO135&lt;0.55,AND(BI135="Intermediate",_xlfn.XLOOKUP(_xlfn.XLOOKUP(B135,'Base stats'!B:B,'Base stats'!E:E),Groups!A:A,Groups!B:B)&lt;2))), (18 + BR135 * 2.7),
      IF(OR(BI135="Advanced",_xlfn.XLOOKUP(B135,'Base stats'!B:B,'Base stats'!AJ:AJ)=1,_xlfn.XLOOKUP(_xlfn.XLOOKUP(B135,'Base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IF(_xlfn.XLOOKUP(_xlfn.XLOOKUP(B135,'Base stats'!B:B,'Base stats'!E:E),Groups!A:A,Groups!C:C)="Untamable",1,IF(_xlfn.XLOOKUP(B135,'Base stats'!B:B,'Base stats'!AJ:AJ)=1,0.99,MIN(MROUND((1-0.6282*EXP(-0.459*AO135))*_xlfn.XLOOKUP(_xlfn.XLOOKUP(B135,'Base stats'!B:B,'Base stats'!E:E),Groups!A:A,Groups!C:C)*IF(_xlfn.XLOOKUP(B135,'Base stats'!B:B,'Base stats'!O:O)=1,0.5,IF(_xlfn.XLOOKUP(B135,'Base stats'!B:B,'Base stats'!O:O)=2,0,1)),0.05),0.985)))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IF(_xlfn.XLOOKUP(_xlfn.XLOOKUP(B135,'Base stats'!B:B,'Base stats'!E:E),Groups!A:A,Groups!L:L)=1,MIN(MROUND(_xlfn.XLOOKUP(B135,'Animals CE'!B:B,'Animals CE'!Z:Z)/2+0.05,0.05),200%),"No")</f>
        <v>No</v>
      </c>
      <c r="O135" s="8" t="str">
        <f>IF(_xlfn.XLOOKUP(_xlfn.XLOOKUP(B135,'Base stats'!B:B,'Base stats'!E:E),Groups!A:A,Groups!L:L)=1,MIN(MROUND(_xlfn.XLOOKUP(B135,'Animals CE'!B:B,'Animals CE'!AA:AA)/2+0.05,0.05),200%),"No")</f>
        <v>No</v>
      </c>
      <c r="P135" s="2" t="str">
        <f>_xlfn.XLOOKUP(B135,'Base stats'!B:B,'Base stats'!R:R)</f>
        <v>Standard</v>
      </c>
      <c r="Q135" s="13">
        <f>MROUND((LOG10(_xlfn.XLOOKUP(B135,'Base stats'!B:B,'Base stats'!AP:AP))*(AO135^0.5)+(_xlfn.XLOOKUP(B135,'Base stats'!B:B,'Base stats'!AP:AP)/1000)^(2/3)+_xlfn.XLOOKUP(B135,'Base stats'!B:B,'Base stats'!AY:AY)/2)+0.5,0.5)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stats'!AQ:AQ))*(AO135^0.5)+(_xlfn.XLOOKUP(B135,'Base stats'!B:B,'Base stats'!AQ:AQ)/1000)^(2/3)+_xlfn.XLOOKUP(B135,'Base stats'!B:B,'Base stats'!AY:AY))+_xlfn.XLOOKUP(B135,'Base stats'!B:B,'Base stats'!AW:AW)+0.5,0.5))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stats'!AS:AS))*(AO135^0.5)+(_xlfn.XLOOKUP(B135,'Base stats'!B:B,'Base stats'!AS:AS)/1000)^(2/3)+_xlfn.XLOOKUP(B135,'Base stats'!B:B,'Base stats'!AX:AX))+0.5+IF(_xlfn.XLOOKUP(_xlfn.XLOOKUP(B135,'Base stats'!B:B,'Base stats'!E:E),Groups!A:A,Groups!U:U)&lt;&gt;3,_xlfn.XLOOKUP(B135,'Base stats'!B:B,'Base stats'!AY:AY),0),0.5))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stats'!AR:AR)="No","No",MROUND((LOG10(_xlfn.XLOOKUP(B135,'Base stats'!B:B,'Base stats'!AR:AR))*(AO135^0.75)+(_xlfn.XLOOKUP(B135,'Base stats'!B:B,'Base stats'!AR:AR)/1000)^(2/3)+_xlfn.XLOOKUP(B135,'Base stats'!B:B,'Base stats'!AV:AV)+_xlfn.XLOOKUP(B135,'Base stats'!B:B,'Base stats'!AY:AY))+0.5,0.5))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stats'!AQ:AQ))*(AO135^0.75)+(_xlfn.XLOOKUP(B135,'Base stats'!B:B,'Base stats'!AQ:AQ)/1000)^(2/3)+_xlfn.XLOOKUP(B135,'Base stats'!B:B,'Base stats'!AW:AW)+_xlfn.XLOOKUP(B135,'Base stats'!B:B,'Base stats'!AY:AY))+0.5,0.5))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5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IFERROR(IF(_xlfn.XLOOKUP(B135,'Base stats'!B:B,'Base stats'!F:F)="Lay eggs","Lay eggs",MIN(20,MAX(5.5,ROUND(((_xlfn.XLOOKUP(B135,'Base stats'!B:B,'Base stats'!F:F)-25)*(14.5/615) + 5.5)*2,0)/2))),"Cannot breed")</f>
        <v>14.5</v>
      </c>
      <c r="AT135" s="8">
        <f>IF(OR(A135="Queen",A135="Larva",A135="Megachicken",A135="Megatardi",A135="Toxscorpion"),"No",IFERROR(MAX(IF(_xlfn.XLOOKUP(B135,'Base stats'!B:B,'Base stats'!G:G)&lt;0.5,0.2,0.3),MROUND(_xlfn.XLOOKUP(B135,'Base stats'!B:B,'Base stats'!G:G)/(365/60),0.2)),"Unknown"))</f>
        <v>0.4</v>
      </c>
      <c r="AU135" s="8">
        <f t="shared" si="14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_xlfn.XLOOKUP(B135,'Base stats'!B:B,'Base stats'!AF:AF)</f>
        <v>&lt;li&gt;Pig&lt;/li&gt;</v>
      </c>
      <c r="BB135" s="2" t="str">
        <f>_xlfn.XLOOKUP(B135,'Base stats'!B:B,'Base stats'!AE:AE)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stats'!Z:Z)=0),0,IF(OR(_xlfn.XLOOKUP(Animals!B135,'Base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stats'!AA:AA),0.005))</f>
        <v>0</v>
      </c>
      <c r="BE135" s="23">
        <f>MIN(1,MROUND(IF(AND(AO135&lt;0.5,_xlfn.XLOOKUP(B135,'Base stats'!B:B,'Base stats'!Z:Z)=0),0,IF(_xlfn.XLOOKUP(_xlfn.XLOOKUP(B135,'Base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stats'!AB:AB),0.005))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stats'!AL:AL)="Standard","No",MROUND((_xlfn.XLOOKUP(B135,'Base stats'!B:B,'Base stats'!AL:AL)/3.6)/I135,0.1))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stats'!AC:AC)&lt;&gt;"No",_xlfn.XLOOKUP(B135,'Base stats'!B:B,'Base stats'!AC:AC),"")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stats'!AC:AC)&lt;&gt;"No",_xlfn.XLOOKUP(B135,'Base stats'!B:B,'Base stats'!AC:AC),"")
  )
)</f>
        <v>No</v>
      </c>
      <c r="BQ135" s="25" t="str">
        <f>IF(
   AND(
      'Base stats'!AL135="Standard",_xlfn.XLOOKUP(_xlfn.XLOOKUP(B135,'Base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stats'!AT:AT) * 1.8) * 2) * 2.5 + 10 + I135 * 2,5)+IF(_xlfn.XLOOKUP(B135,'Base stats'!B:B,'Base stats'!AI:AI)=1,50,0)</f>
        <v>150</v>
      </c>
      <c r="BS135" s="8">
        <f t="shared" si="19"/>
        <v>1.2000000000000002</v>
      </c>
      <c r="BT135" s="8" t="str">
        <f>_xlfn.XLOOKUP(B135,'Base stats'!B:B,'Base stats'!AD:AD)</f>
        <v>No</v>
      </c>
      <c r="BU135" s="2" t="str">
        <f>IF(AND(J135&lt;=0.95,OR(_xlfn.XLOOKUP(B135,'Base stats'!B:B,'Base stats'!AI:AI)=1,_xlfn.XLOOKUP(B135,'Base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stats'!AG:AG)=1,"true","false")</f>
        <v>false</v>
      </c>
      <c r="BW135" s="25" t="str">
        <f>IF(E135="BaseInsect","AnimalInsect",
IF(J135&gt;0.95,"AnimalExotic",
_xlfn.TEXTJOIN(", ",TRUE,
IF(OR(_xlfn.XLOOKUP(B135,'Base stats'!B:B,'Base stats'!AK:AK)=1,AND(_xlfn.XLOOKUP(B135,'Base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stats'!AI:AI)=1,AND(BI135&lt;&gt;"None",BR135&gt;=60),ISNUMBER(SEARCH("Attack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stats'!AH:AH)=1,"true","false")</f>
        <v>false</v>
      </c>
      <c r="BZ135" s="25">
        <f>IF(_xlfn.XLOOKUP(B135,'Base stats'!B:B,'Base stats'!N:N)=1,"No",MAX(0.01,MIN(MROUND(IF(OR(_xlfn.XLOOKUP(B135,'Base stats'!B:B,'Base stats'!AK:AK)=1,AND(BJ135="True",CC135="False")),POWER(10,3.47*LOG10(_xlfn.XLOOKUP(B135,'Base stats'!B:B,'Base stats'!C:C)*1000)^-0.96),POWER(10,4.15*LOG10(_xlfn.XLOOKUP(B135,'Base stats'!B:B,'Base stats'!C:C)*1000)^-0.73))*IF(OR(_xlfn.XLOOKUP(B135,'Base stats'!B:B,'Base stats'!AK:AK)=1,_xlfn.XLOOKUP(B135,'Base stats'!B:B,'Base stats'!AI:AI)=1),0.5,1)/100,0.025),1)))</f>
        <v>0.15000000000000002</v>
      </c>
      <c r="CA135" s="25" t="str">
        <f>IF(P135="Standard","No",MAX(0.01,IF(_xlfn.XLOOKUP(B135,'Base stats'!B:B,'Base stats'!N:N)=0,MROUND(BZ135*P135,0.05),MIN(1,MAX(0.025,MROUND(IF(OR(CC135="true",AND(BJ135="false",BO135="false")),POWER(10,4.15*LOG10(_xlfn.XLOOKUP(B135,'Base stats'!B:B,'Base stats'!C:C)*1000)^-0.73),POWER(10,3.47*LOG10(_xlfn.XLOOKUP(B135,'Base stats'!B:B,'Base stats'!C:C)*1000)^-0.96))*IF(_xlfn.XLOOKUP(B135,'Base stats'!B:B,'Base stats'!AI:AI)=1,0.5,1)/100,0.025))))))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493</v>
      </c>
      <c r="C136" s="28" t="s">
        <v>829</v>
      </c>
      <c r="D136" s="28" t="s">
        <v>884</v>
      </c>
      <c r="E136" s="28" t="s">
        <v>685</v>
      </c>
      <c r="F136" s="28" t="s">
        <v>685</v>
      </c>
      <c r="G136" s="28" t="s">
        <v>685</v>
      </c>
      <c r="H136" s="2">
        <f>MROUND((
  (IF(AND(_xlfn.XLOOKUP(B136,'Base stats'!B:B,'Base stats'!AJ:AJ)=0,BI136="None",_xlfn.XLOOKUP(_xlfn.XLOOKUP(B136,'Base stats'!B:B,'Base stats'!E:E),Groups!A:A,Groups!B:B)=0), (18 + BR136 * 2.7) * 0.5,
    IF(AND(_xlfn.XLOOKUP(B136,'Base stats'!B:B,'Base stats'!AJ:AJ)=0,OR(AO136&lt;0.55,AND(BI136="Intermediate",_xlfn.XLOOKUP(_xlfn.XLOOKUP(B136,'Base stats'!B:B,'Base stats'!E:E),Groups!A:A,Groups!B:B)&lt;2))), (18 + BR136 * 2.7),
      IF(OR(BI136="Advanced",_xlfn.XLOOKUP(B136,'Base stats'!B:B,'Base stats'!AJ:AJ)=1,_xlfn.XLOOKUP(_xlfn.XLOOKUP(B136,'Base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IF(_xlfn.XLOOKUP(_xlfn.XLOOKUP(B136,'Base stats'!B:B,'Base stats'!E:E),Groups!A:A,Groups!C:C)="Untamable",1,IF(_xlfn.XLOOKUP(B136,'Base stats'!B:B,'Base stats'!AJ:AJ)=1,0.99,MIN(MROUND((1-0.6282*EXP(-0.459*AO136))*_xlfn.XLOOKUP(_xlfn.XLOOKUP(B136,'Base stats'!B:B,'Base stats'!E:E),Groups!A:A,Groups!C:C)*IF(_xlfn.XLOOKUP(B136,'Base stats'!B:B,'Base stats'!O:O)=1,0.5,IF(_xlfn.XLOOKUP(B136,'Base stats'!B:B,'Base stats'!O:O)=2,0,1)),0.05),0.985)))</f>
        <v>0.95000000000000007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IF(_xlfn.XLOOKUP(_xlfn.XLOOKUP(B136,'Base stats'!B:B,'Base stats'!E:E),Groups!A:A,Groups!L:L)=1,MIN(MROUND(_xlfn.XLOOKUP(B136,'Animals CE'!B:B,'Animals CE'!Z:Z)/2+0.05,0.05),200%),"No")</f>
        <v>No</v>
      </c>
      <c r="O136" s="8" t="str">
        <f>IF(_xlfn.XLOOKUP(_xlfn.XLOOKUP(B136,'Base stats'!B:B,'Base stats'!E:E),Groups!A:A,Groups!L:L)=1,MIN(MROUND(_xlfn.XLOOKUP(B136,'Animals CE'!B:B,'Animals CE'!AA:AA)/2+0.05,0.05),200%),"No")</f>
        <v>No</v>
      </c>
      <c r="P136" s="2" t="str">
        <f>_xlfn.XLOOKUP(B136,'Base stats'!B:B,'Base stats'!R:R)</f>
        <v>Standard</v>
      </c>
      <c r="Q136" s="13">
        <f>MROUND((LOG10(_xlfn.XLOOKUP(B136,'Base stats'!B:B,'Base stats'!AP:AP))*(AO136^0.5)+(_xlfn.XLOOKUP(B136,'Base stats'!B:B,'Base stats'!AP:AP)/1000)^(2/3)+_xlfn.XLOOKUP(B136,'Base stats'!B:B,'Base stats'!AY:AY)/2)+0.5,0.5)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stats'!AQ:AQ))*(AO136^0.5)+(_xlfn.XLOOKUP(B136,'Base stats'!B:B,'Base stats'!AQ:AQ)/1000)^(2/3)+_xlfn.XLOOKUP(B136,'Base stats'!B:B,'Base stats'!AY:AY))+_xlfn.XLOOKUP(B136,'Base stats'!B:B,'Base stats'!AW:AW)+0.5,0.5))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stats'!AS:AS))*(AO136^0.5)+(_xlfn.XLOOKUP(B136,'Base stats'!B:B,'Base stats'!AS:AS)/1000)^(2/3)+_xlfn.XLOOKUP(B136,'Base stats'!B:B,'Base stats'!AX:AX))+0.5+IF(_xlfn.XLOOKUP(_xlfn.XLOOKUP(B136,'Base stats'!B:B,'Base stats'!E:E),Groups!A:A,Groups!U:U)&lt;&gt;3,_xlfn.XLOOKUP(B136,'Base stats'!B:B,'Base stats'!AY:AY),0),0.5))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stats'!AR:AR)="No","No",MROUND((LOG10(_xlfn.XLOOKUP(B136,'Base stats'!B:B,'Base stats'!AR:AR))*(AO136^0.75)+(_xlfn.XLOOKUP(B136,'Base stats'!B:B,'Base stats'!AR:AR)/1000)^(2/3)+_xlfn.XLOOKUP(B136,'Base stats'!B:B,'Base stats'!AV:AV)+_xlfn.XLOOKUP(B136,'Base stats'!B:B,'Base stats'!AY:AY))+0.5,0.5))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stats'!AQ:AQ))*(AO136^0.75)+(_xlfn.XLOOKUP(B136,'Base stats'!B:B,'Base stats'!AQ:AQ)/1000)^(2/3)+_xlfn.XLOOKUP(B136,'Base stats'!B:B,'Base stats'!AW:AW)+_xlfn.XLOOKUP(B136,'Base stats'!B:B,'Base stats'!AY:AY))+0.5,0.5))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5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IFERROR(IF(_xlfn.XLOOKUP(B136,'Base stats'!B:B,'Base stats'!F:F)="Lay eggs","Lay eggs",MIN(20,MAX(5.5,ROUND(((_xlfn.XLOOKUP(B136,'Base stats'!B:B,'Base stats'!F:F)-25)*(14.5/615) + 5.5)*2,0)/2))),"Cannot breed")</f>
        <v>10</v>
      </c>
      <c r="AT136" s="8">
        <f>IF(OR(A136="Queen",A136="Larva",A136="Megachicken",A136="Megatardi",A136="Toxscorpion"),"No",IFERROR(MAX(IF(_xlfn.XLOOKUP(B136,'Base stats'!B:B,'Base stats'!G:G)&lt;0.5,0.2,0.3),MROUND(_xlfn.XLOOKUP(B136,'Base stats'!B:B,'Base stats'!G:G)/(365/60),0.2)),"Unknown"))</f>
        <v>0.4</v>
      </c>
      <c r="AU136" s="8">
        <f t="shared" si="14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_xlfn.XLOOKUP(B136,'Base stats'!B:B,'Base stats'!AF:AF)</f>
        <v>&lt;li&gt;Cobra&lt;/li&gt;</v>
      </c>
      <c r="BB136" s="2" t="str">
        <f>_xlfn.XLOOKUP(B136,'Base stats'!B:B,'Base stats'!AE:AE)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stats'!Z:Z)=0),0,IF(OR(_xlfn.XLOOKUP(Animals!B136,'Base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stats'!AA:AA),0.005))</f>
        <v>0.1</v>
      </c>
      <c r="BE136" s="23">
        <f>MIN(1,MROUND(IF(AND(AO136&lt;0.5,_xlfn.XLOOKUP(B136,'Base stats'!B:B,'Base stats'!Z:Z)=0),0,IF(_xlfn.XLOOKUP(_xlfn.XLOOKUP(B136,'Base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stats'!AB:AB),0.005))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stats'!AL:AL)="Standard","No",MROUND((_xlfn.XLOOKUP(B136,'Base stats'!B:B,'Base stats'!AL:AL)/3.6)/I136,0.1))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stats'!AC:AC)&lt;&gt;"No",_xlfn.XLOOKUP(B136,'Base stats'!B:B,'Base stats'!AC:AC),"")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stats'!AC:AC)&lt;&gt;"No",_xlfn.XLOOKUP(B136,'Base stats'!B:B,'Base stats'!AC:AC),"")
  )
)</f>
        <v>No</v>
      </c>
      <c r="BQ136" s="25">
        <f>IF(
   AND(
      'Base stats'!AL136="Standard",_xlfn.XLOOKUP(_xlfn.XLOOKUP(B136,'Base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stats'!AT:AT) * 1.8) * 2) * 2.5 + 10 + I136 * 2,5)+IF(_xlfn.XLOOKUP(B136,'Base stats'!B:B,'Base stats'!AI:AI)=1,50,0)</f>
        <v>85</v>
      </c>
      <c r="BS136" s="8">
        <f t="shared" si="19"/>
        <v>0.35000000000000003</v>
      </c>
      <c r="BT136" s="8" t="str">
        <f>_xlfn.XLOOKUP(B136,'Base stats'!B:B,'Base stats'!AD:AD)</f>
        <v>No</v>
      </c>
      <c r="BU136" s="2" t="str">
        <f>IF(AND(J136&lt;=0.95,OR(_xlfn.XLOOKUP(B136,'Base stats'!B:B,'Base stats'!AI:AI)=1,_xlfn.XLOOKUP(B136,'Base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stats'!AG:AG)=1,"true","false")</f>
        <v>false</v>
      </c>
      <c r="BW136" s="25" t="str">
        <f>IF(E136="BaseInsect","AnimalInsect",
IF(J136&gt;0.95,"AnimalExotic",
_xlfn.TEXTJOIN(", ",TRUE,
IF(OR(_xlfn.XLOOKUP(B136,'Base stats'!B:B,'Base stats'!AK:AK)=1,AND(_xlfn.XLOOKUP(B136,'Base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stats'!AI:AI)=1,AND(BI136&lt;&gt;"None",BR136&gt;=60),ISNUMBER(SEARCH("Attack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stats'!AH:AH)=1,"true","false")</f>
        <v>false</v>
      </c>
      <c r="BZ136" s="25">
        <f>IF(_xlfn.XLOOKUP(B136,'Base stats'!B:B,'Base stats'!N:N)=1,"No",MAX(0.01,MIN(MROUND(IF(OR(_xlfn.XLOOKUP(B136,'Base stats'!B:B,'Base stats'!AK:AK)=1,AND(BJ136="True",CC136="False")),POWER(10,3.47*LOG10(_xlfn.XLOOKUP(B136,'Base stats'!B:B,'Base stats'!C:C)*1000)^-0.96),POWER(10,4.15*LOG10(_xlfn.XLOOKUP(B136,'Base stats'!B:B,'Base stats'!C:C)*1000)^-0.73))*IF(OR(_xlfn.XLOOKUP(B136,'Base stats'!B:B,'Base stats'!AK:AK)=1,_xlfn.XLOOKUP(B136,'Base stats'!B:B,'Base stats'!AI:AI)=1),0.5,1)/100,0.025),1)))</f>
        <v>0.2</v>
      </c>
      <c r="CA136" s="25" t="str">
        <f>IF(P136="Standard","No",MAX(0.01,IF(_xlfn.XLOOKUP(B136,'Base stats'!B:B,'Base stats'!N:N)=0,MROUND(BZ136*P136,0.05),MIN(1,MAX(0.025,MROUND(IF(OR(CC136="true",AND(BJ136="false",BO136="false")),POWER(10,4.15*LOG10(_xlfn.XLOOKUP(B136,'Base stats'!B:B,'Base stats'!C:C)*1000)^-0.73),POWER(10,3.47*LOG10(_xlfn.XLOOKUP(B136,'Base stats'!B:B,'Base stats'!C:C)*1000)^-0.96))*IF(_xlfn.XLOOKUP(B136,'Base stats'!B:B,'Base stats'!AI:AI)=1,0.5,1)/100,0.025))))))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239</v>
      </c>
      <c r="C137" s="28" t="s">
        <v>830</v>
      </c>
      <c r="D137" s="28" t="s">
        <v>884</v>
      </c>
      <c r="E137" s="28" t="s">
        <v>685</v>
      </c>
      <c r="F137" s="28" t="s">
        <v>685</v>
      </c>
      <c r="G137" s="28" t="s">
        <v>685</v>
      </c>
      <c r="H137" s="2">
        <f>MROUND((
  (IF(AND(_xlfn.XLOOKUP(B137,'Base stats'!B:B,'Base stats'!AJ:AJ)=0,BI137="None",_xlfn.XLOOKUP(_xlfn.XLOOKUP(B137,'Base stats'!B:B,'Base stats'!E:E),Groups!A:A,Groups!B:B)=0), (18 + BR137 * 2.7) * 0.5,
    IF(AND(_xlfn.XLOOKUP(B137,'Base stats'!B:B,'Base stats'!AJ:AJ)=0,OR(AO137&lt;0.55,AND(BI137="Intermediate",_xlfn.XLOOKUP(_xlfn.XLOOKUP(B137,'Base stats'!B:B,'Base stats'!E:E),Groups!A:A,Groups!B:B)&lt;2))), (18 + BR137 * 2.7),
      IF(OR(BI137="Advanced",_xlfn.XLOOKUP(B137,'Base stats'!B:B,'Base stats'!AJ:AJ)=1,_xlfn.XLOOKUP(_xlfn.XLOOKUP(B137,'Base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IF(_xlfn.XLOOKUP(_xlfn.XLOOKUP(B137,'Base stats'!B:B,'Base stats'!E:E),Groups!A:A,Groups!C:C)="Untamable",1,IF(_xlfn.XLOOKUP(B137,'Base stats'!B:B,'Base stats'!AJ:AJ)=1,0.99,MIN(MROUND((1-0.6282*EXP(-0.459*AO137))*_xlfn.XLOOKUP(_xlfn.XLOOKUP(B137,'Base stats'!B:B,'Base stats'!E:E),Groups!A:A,Groups!C:C)*IF(_xlfn.XLOOKUP(B137,'Base stats'!B:B,'Base stats'!O:O)=1,0.5,IF(_xlfn.XLOOKUP(B137,'Base stats'!B:B,'Base stats'!O:O)=2,0,1)),0.05),0.985)))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IF(_xlfn.XLOOKUP(_xlfn.XLOOKUP(B137,'Base stats'!B:B,'Base stats'!E:E),Groups!A:A,Groups!L:L)=1,MIN(MROUND(_xlfn.XLOOKUP(B137,'Animals CE'!B:B,'Animals CE'!Z:Z)/2+0.05,0.05),200%),"No")</f>
        <v>No</v>
      </c>
      <c r="O137" s="8" t="str">
        <f>IF(_xlfn.XLOOKUP(_xlfn.XLOOKUP(B137,'Base stats'!B:B,'Base stats'!E:E),Groups!A:A,Groups!L:L)=1,MIN(MROUND(_xlfn.XLOOKUP(B137,'Animals CE'!B:B,'Animals CE'!AA:AA)/2+0.05,0.05),200%),"No")</f>
        <v>No</v>
      </c>
      <c r="P137" s="2" t="str">
        <f>_xlfn.XLOOKUP(B137,'Base stats'!B:B,'Base stats'!R:R)</f>
        <v>Standard</v>
      </c>
      <c r="Q137" s="13">
        <f>MROUND((LOG10(_xlfn.XLOOKUP(B137,'Base stats'!B:B,'Base stats'!AP:AP))*(AO137^0.5)+(_xlfn.XLOOKUP(B137,'Base stats'!B:B,'Base stats'!AP:AP)/1000)^(2/3)+_xlfn.XLOOKUP(B137,'Base stats'!B:B,'Base stats'!AY:AY)/2)+0.5,0.5)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stats'!AQ:AQ))*(AO137^0.5)+(_xlfn.XLOOKUP(B137,'Base stats'!B:B,'Base stats'!AQ:AQ)/1000)^(2/3)+_xlfn.XLOOKUP(B137,'Base stats'!B:B,'Base stats'!AY:AY))+_xlfn.XLOOKUP(B137,'Base stats'!B:B,'Base stats'!AW:AW)+0.5,0.5))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stats'!AS:AS))*(AO137^0.5)+(_xlfn.XLOOKUP(B137,'Base stats'!B:B,'Base stats'!AS:AS)/1000)^(2/3)+_xlfn.XLOOKUP(B137,'Base stats'!B:B,'Base stats'!AX:AX))+0.5+IF(_xlfn.XLOOKUP(_xlfn.XLOOKUP(B137,'Base stats'!B:B,'Base stats'!E:E),Groups!A:A,Groups!U:U)&lt;&gt;3,_xlfn.XLOOKUP(B137,'Base stats'!B:B,'Base stats'!AY:AY),0),0.5))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stats'!AR:AR)="No","No",MROUND((LOG10(_xlfn.XLOOKUP(B137,'Base stats'!B:B,'Base stats'!AR:AR))*(AO137^0.75)+(_xlfn.XLOOKUP(B137,'Base stats'!B:B,'Base stats'!AR:AR)/1000)^(2/3)+_xlfn.XLOOKUP(B137,'Base stats'!B:B,'Base stats'!AV:AV)+_xlfn.XLOOKUP(B137,'Base stats'!B:B,'Base stats'!AY:AY))+0.5,0.5))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stats'!AQ:AQ))*(AO137^0.75)+(_xlfn.XLOOKUP(B137,'Base stats'!B:B,'Base stats'!AQ:AQ)/1000)^(2/3)+_xlfn.XLOOKUP(B137,'Base stats'!B:B,'Base stats'!AW:AW)+_xlfn.XLOOKUP(B137,'Base stats'!B:B,'Base stats'!AY:AY))+0.5,0.5))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5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IFERROR(IF(_xlfn.XLOOKUP(B137,'Base stats'!B:B,'Base stats'!F:F)="Lay eggs","Lay eggs",MIN(20,MAX(5.5,ROUND(((_xlfn.XLOOKUP(B137,'Base stats'!B:B,'Base stats'!F:F)-25)*(14.5/615) + 5.5)*2,0)/2))),"Cannot breed")</f>
        <v>20</v>
      </c>
      <c r="AT137" s="8">
        <f>IF(OR(A137="Queen",A137="Larva",A137="Megachicken",A137="Megatardi",A137="Toxscorpion"),"No",IFERROR(MAX(IF(_xlfn.XLOOKUP(B137,'Base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4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_xlfn.XLOOKUP(B137,'Base stats'!B:B,'Base stats'!AF:AF)</f>
        <v>&lt;li&gt;Elephant&lt;/li&gt;</v>
      </c>
      <c r="BB137" s="2" t="str">
        <f>_xlfn.XLOOKUP(B137,'Base stats'!B:B,'Base stats'!AE:AE)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stats'!Z:Z)=0),0,IF(OR(_xlfn.XLOOKUP(Animals!B137,'Base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stats'!AA:AA),0.005))</f>
        <v>2.5000000000000001E-2</v>
      </c>
      <c r="BE137" s="23">
        <f>MIN(1,MROUND(IF(AND(AO137&lt;0.5,_xlfn.XLOOKUP(B137,'Base stats'!B:B,'Base stats'!Z:Z)=0),0,IF(_xlfn.XLOOKUP(_xlfn.XLOOKUP(B137,'Base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stats'!AB:AB),0.005))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stats'!AL:AL)="Standard","No",MROUND((_xlfn.XLOOKUP(B137,'Base stats'!B:B,'Base stats'!AL:AL)/3.6)/I137,0.1))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stats'!AC:AC)&lt;&gt;"No",_xlfn.XLOOKUP(B137,'Base stats'!B:B,'Base stats'!AC:AC),"")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stats'!AC:AC)&lt;&gt;"No",_xlfn.XLOOKUP(B137,'Base stats'!B:B,'Base stats'!AC:AC),"")
  )
)</f>
        <v>No</v>
      </c>
      <c r="BQ137" s="25" t="str">
        <f>IF(
   AND(
      'Base stats'!AL137="Standard",_xlfn.XLOOKUP(_xlfn.XLOOKUP(B137,'Base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stats'!AT:AT) * 1.8) * 2) * 2.5 + 10 + I137 * 2,5)+IF(_xlfn.XLOOKUP(B137,'Base stats'!B:B,'Base stats'!AI:AI)=1,50,0)</f>
        <v>395</v>
      </c>
      <c r="BS137" s="8">
        <f t="shared" si="19"/>
        <v>2.9000000000000004</v>
      </c>
      <c r="BT137" s="8" t="str">
        <f>_xlfn.XLOOKUP(B137,'Base stats'!B:B,'Base stats'!AD:AD)</f>
        <v>3~10</v>
      </c>
      <c r="BU137" s="2" t="str">
        <f>IF(AND(J137&lt;=0.95,OR(_xlfn.XLOOKUP(B137,'Base stats'!B:B,'Base stats'!AI:AI)=1,_xlfn.XLOOKUP(B137,'Base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stats'!AG:AG)=1,"true","false")</f>
        <v>true</v>
      </c>
      <c r="BW137" s="25" t="str">
        <f>IF(E137="BaseInsect","AnimalInsect",
IF(J137&gt;0.95,"AnimalExotic",
_xlfn.TEXTJOIN(", ",TRUE,
IF(OR(_xlfn.XLOOKUP(B137,'Base stats'!B:B,'Base stats'!AK:AK)=1,AND(_xlfn.XLOOKUP(B137,'Base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stats'!AI:AI)=1,AND(BI137&lt;&gt;"None",BR137&gt;=60),ISNUMBER(SEARCH("Attack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stats'!AH:AH)=1,"true","false")</f>
        <v>false</v>
      </c>
      <c r="BZ137" s="25">
        <f>IF(_xlfn.XLOOKUP(B137,'Base stats'!B:B,'Base stats'!N:N)=1,"No",MAX(0.01,MIN(MROUND(IF(OR(_xlfn.XLOOKUP(B137,'Base stats'!B:B,'Base stats'!AK:AK)=1,AND(BJ137="True",CC137="False")),POWER(10,3.47*LOG10(_xlfn.XLOOKUP(B137,'Base stats'!B:B,'Base stats'!C:C)*1000)^-0.96),POWER(10,4.15*LOG10(_xlfn.XLOOKUP(B137,'Base stats'!B:B,'Base stats'!C:C)*1000)^-0.73))*IF(OR(_xlfn.XLOOKUP(B137,'Base stats'!B:B,'Base stats'!AK:AK)=1,_xlfn.XLOOKUP(B137,'Base stats'!B:B,'Base stats'!AI:AI)=1),0.5,1)/100,0.025),1)))</f>
        <v>0.125</v>
      </c>
      <c r="CA137" s="25" t="str">
        <f>IF(P137="Standard","No",MAX(0.01,IF(_xlfn.XLOOKUP(B137,'Base stats'!B:B,'Base stats'!N:N)=0,MROUND(BZ137*P137,0.05),MIN(1,MAX(0.025,MROUND(IF(OR(CC137="true",AND(BJ137="false",BO137="false")),POWER(10,4.15*LOG10(_xlfn.XLOOKUP(B137,'Base stats'!B:B,'Base stats'!C:C)*1000)^-0.73),POWER(10,3.47*LOG10(_xlfn.XLOOKUP(B137,'Base stats'!B:B,'Base stats'!C:C)*1000)^-0.96))*IF(_xlfn.XLOOKUP(B137,'Base stats'!B:B,'Base stats'!AI:AI)=1,0.5,1)/100,0.025))))))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494</v>
      </c>
      <c r="C138" s="28" t="s">
        <v>831</v>
      </c>
      <c r="D138" s="28" t="s">
        <v>884</v>
      </c>
      <c r="E138" s="28" t="s">
        <v>685</v>
      </c>
      <c r="F138" s="28" t="s">
        <v>685</v>
      </c>
      <c r="G138" s="28" t="s">
        <v>685</v>
      </c>
      <c r="H138" s="2">
        <f>MROUND((
  (IF(AND(_xlfn.XLOOKUP(B138,'Base stats'!B:B,'Base stats'!AJ:AJ)=0,BI138="None",_xlfn.XLOOKUP(_xlfn.XLOOKUP(B138,'Base stats'!B:B,'Base stats'!E:E),Groups!A:A,Groups!B:B)=0), (18 + BR138 * 2.7) * 0.5,
    IF(AND(_xlfn.XLOOKUP(B138,'Base stats'!B:B,'Base stats'!AJ:AJ)=0,OR(AO138&lt;0.55,AND(BI138="Intermediate",_xlfn.XLOOKUP(_xlfn.XLOOKUP(B138,'Base stats'!B:B,'Base stats'!E:E),Groups!A:A,Groups!B:B)&lt;2))), (18 + BR138 * 2.7),
      IF(OR(BI138="Advanced",_xlfn.XLOOKUP(B138,'Base stats'!B:B,'Base stats'!AJ:AJ)=1,_xlfn.XLOOKUP(_xlfn.XLOOKUP(B138,'Base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900</v>
      </c>
      <c r="I138" s="2">
        <f>MROUND(ROUNDDOWN(_xlfn.XLOOKUP(B138,'Base stats'!B:B,'Base stats'!L:L)/3.6/(23.3/11),1),0.5)</f>
        <v>6.5</v>
      </c>
      <c r="J138" s="2">
        <f>IF(_xlfn.XLOOKUP(_xlfn.XLOOKUP(B138,'Base stats'!B:B,'Base stats'!E:E),Groups!A:A,Groups!C:C)="Untamable",1,IF(_xlfn.XLOOKUP(B138,'Base stats'!B:B,'Base stats'!AJ:AJ)=1,0.99,MIN(MROUND((1-0.6282*EXP(-0.459*AO138))*_xlfn.XLOOKUP(_xlfn.XLOOKUP(B138,'Base stats'!B:B,'Base stats'!E:E),Groups!A:A,Groups!C:C)*IF(_xlfn.XLOOKUP(B138,'Base stats'!B:B,'Base stats'!O:O)=1,0.5,IF(_xlfn.XLOOKUP(B138,'Base stats'!B:B,'Base stats'!O:O)=2,0,1)),0.05),0.985)))</f>
        <v>0.60000000000000009</v>
      </c>
      <c r="K138" s="2">
        <f>ROUNDUP(AO138*_xlfn.XLOOKUP(_xlfn.XLOOKUP(B138,'Base stats'!B:B,'Base stats'!E:E),Groups!A:A,Groups!E:E),0)</f>
        <v>3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-35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IF(_xlfn.XLOOKUP(_xlfn.XLOOKUP(B138,'Base stats'!B:B,'Base stats'!E:E),Groups!A:A,Groups!L:L)=1,MIN(MROUND(_xlfn.XLOOKUP(B138,'Animals CE'!B:B,'Animals CE'!Z:Z)/2+0.05,0.05),200%),"No")</f>
        <v>No</v>
      </c>
      <c r="O138" s="8" t="str">
        <f>IF(_xlfn.XLOOKUP(_xlfn.XLOOKUP(B138,'Base stats'!B:B,'Base stats'!E:E),Groups!A:A,Groups!L:L)=1,MIN(MROUND(_xlfn.XLOOKUP(B138,'Animals CE'!B:B,'Animals CE'!AA:AA)/2+0.05,0.05),200%),"No")</f>
        <v>No</v>
      </c>
      <c r="P138" s="2" t="str">
        <f>_xlfn.XLOOKUP(B138,'Base stats'!B:B,'Base stats'!R:R)</f>
        <v>Standard</v>
      </c>
      <c r="Q138" s="13">
        <f>MROUND((LOG10(_xlfn.XLOOKUP(B138,'Base stats'!B:B,'Base stats'!AP:AP))*(AO138^0.5)+(_xlfn.XLOOKUP(B138,'Base stats'!B:B,'Base stats'!AP:AP)/1000)^(2/3)+_xlfn.XLOOKUP(B138,'Base stats'!B:B,'Base stats'!AY:AY)/2)+0.5,0.5)</f>
        <v>15.5</v>
      </c>
      <c r="R138" s="7">
        <f>IF(Q138="No","No",MAX(1,MROUND(_xlfn.XLOOKUP(B138,'Base stats'!B:B,'Base stats'!C:C)^0.165,0.05)))</f>
        <v>2.8000000000000003</v>
      </c>
      <c r="S138" s="13" t="str">
        <f>IF(_xlfn.XLOOKUP(_xlfn.XLOOKUP(B138,'Base stats'!B:B,'Base stats'!E:E),Groups!A:A,Groups!P:P)=0,"No",MROUND((LOG10(_xlfn.XLOOKUP(B138,'Base stats'!B:B,'Base stats'!AQ:AQ))*(AO138^0.5)+(_xlfn.XLOOKUP(B138,'Base stats'!B:B,'Base stats'!AQ:AQ)/1000)^(2/3)+_xlfn.XLOOKUP(B138,'Base stats'!B:B,'Base stats'!AY:AY))+_xlfn.XLOOKUP(B138,'Base stats'!B:B,'Base stats'!AW:AW)+0.5,0.5))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stats'!AS:AS))*(AO138^0.5)+(_xlfn.XLOOKUP(B138,'Base stats'!B:B,'Base stats'!AS:AS)/1000)^(2/3)+_xlfn.XLOOKUP(B138,'Base stats'!B:B,'Base stats'!AX:AX))+0.5+IF(_xlfn.XLOOKUP(_xlfn.XLOOKUP(B138,'Base stats'!B:B,'Base stats'!E:E),Groups!A:A,Groups!U:U)&lt;&gt;3,_xlfn.XLOOKUP(B138,'Base stats'!B:B,'Base stats'!AY:AY),0),0.5))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stats'!AR:AR)="No","No",MROUND((LOG10(_xlfn.XLOOKUP(B138,'Base stats'!B:B,'Base stats'!AR:AR))*(AO138^0.75)+(_xlfn.XLOOKUP(B138,'Base stats'!B:B,'Base stats'!AR:AR)/1000)^(2/3)+_xlfn.XLOOKUP(B138,'Base stats'!B:B,'Base stats'!AV:AV)+_xlfn.XLOOKUP(B138,'Base stats'!B:B,'Base stats'!AY:AY))+0.5,0.5))</f>
        <v>28.5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2.25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stats'!AQ:AQ))*(AO138^0.75)+(_xlfn.XLOOKUP(B138,'Base stats'!B:B,'Base stats'!AQ:AQ)/1000)^(2/3)+_xlfn.XLOOKUP(B138,'Base stats'!B:B,'Base stats'!AW:AW)+_xlfn.XLOOKUP(B138,'Base stats'!B:B,'Base stats'!AY:AY))+0.5,0.5))</f>
        <v>24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1.8</v>
      </c>
      <c r="AK138" s="7" t="str">
        <f>IF(AI138="No","No",_xlfn.XLOOKUP(_xlfn.XLOOKUP(B138,'Base stats'!B:B,'Base stats'!E:E),Groups!A:A,Groups!AF:AF))</f>
        <v>FrontRightPaw,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5"/>
        <v>30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2.75</v>
      </c>
      <c r="AP138" s="8">
        <f>MROUND(AO138*_xlfn.XLOOKUP(_xlfn.XLOOKUP(B138,'Base stats'!B:B,'Base stats'!E:E),Groups!A:A,Groups!AI:AI),0.05)</f>
        <v>3.3000000000000003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1.1000000000000001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15</v>
      </c>
      <c r="AS138" s="35">
        <f>IFERROR(IF(_xlfn.XLOOKUP(B138,'Base stats'!B:B,'Base stats'!F:F)="Lay eggs","Lay eggs",MIN(20,MAX(5.5,ROUND(((_xlfn.XLOOKUP(B138,'Base stats'!B:B,'Base stats'!F:F)-25)*(14.5/615) + 5.5)*2,0)/2))),"Cannot breed")</f>
        <v>6.5</v>
      </c>
      <c r="AT138" s="8">
        <f>IF(OR(A138="Queen",A138="Larva",A138="Megachicken",A138="Megatardi",A138="Toxscorpion"),"No",IFERROR(MAX(IF(_xlfn.XLOOKUP(B138,'Base stats'!B:B,'Base stats'!G:G)&lt;0.5,0.2,0.3),MROUND(_xlfn.XLOOKUP(B138,'Base stats'!B:B,'Base stats'!G:G)/(365/60),0.2)),"Unknown"))</f>
        <v>0.8</v>
      </c>
      <c r="AU138" s="8">
        <f t="shared" si="14"/>
        <v>0.4</v>
      </c>
      <c r="AV138" s="8">
        <f>IFERROR(IFERROR(MROUND(_xlfn.XLOOKUP(B138,'Base stats'!B:B,'Base stats'!J:J),0.1),"Lay eggs"),"Cannot breed")</f>
        <v>3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_xlfn.XLOOKUP(B138,'Base stats'!B:B,'Base stats'!AF:AF)</f>
        <v>No</v>
      </c>
      <c r="BB138" s="2" t="str">
        <f>_xlfn.XLOOKUP(B138,'Base stats'!B:B,'Base stats'!AE:AE)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stats'!Z:Z)=0),0,IF(OR(_xlfn.XLOOKUP(Animals!B138,'Base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stats'!AA:AA),0.005))</f>
        <v>0.05</v>
      </c>
      <c r="BE138" s="23">
        <f>MIN(1,MROUND(IF(AND(AO138&lt;0.5,_xlfn.XLOOKUP(B138,'Base stats'!B:B,'Base stats'!Z:Z)=0),0,IF(_xlfn.XLOOKUP(_xlfn.XLOOKUP(B138,'Base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stats'!AB:AB),0.005))</f>
        <v>0.3</v>
      </c>
      <c r="BF138" s="2" t="str">
        <f>IF(J138&gt;0.3,"No",_xlfn.XLOOKUP(_xlfn.XLOOKUP(Animals!B138,'Base stats'!B:B,'Base stats'!E:E),Groups!A:A,Groups!AP:AP))</f>
        <v>No</v>
      </c>
      <c r="BG138" s="2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108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5</v>
      </c>
      <c r="BL138" s="2">
        <f t="shared" si="17"/>
        <v>1</v>
      </c>
      <c r="BM138" s="25" t="str">
        <f>IF(_xlfn.XLOOKUP(B138,'Base stats'!B:B,'Base stats'!AL:AL)="Standard","No",MROUND((_xlfn.XLOOKUP(B138,'Base stats'!B:B,'Base stats'!AL:AL)/3.6)/I138,0.1))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stats'!AC:AC)&lt;&gt;"No",_xlfn.XLOOKUP(B138,'Base stats'!B:B,'Base stats'!AC:AC),"")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stats'!AC:AC)&lt;&gt;"No",_xlfn.XLOOKUP(B138,'Base stats'!B:B,'Base stats'!AC:AC),"")
  )
)</f>
        <v>AttackTarget</v>
      </c>
      <c r="BQ138" s="25" t="str">
        <f>IF(
   AND(
      'Base stats'!AL138="Standard",_xlfn.XLOOKUP(_xlfn.XLOOKUP(B138,'Base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stats'!AT:AT) * 1.8) * 2) * 2.5 + 10 + I138 * 2,5)+IF(_xlfn.XLOOKUP(B138,'Base stats'!B:B,'Base stats'!AI:AI)=1,50,0)</f>
        <v>340</v>
      </c>
      <c r="BS138" s="8">
        <f t="shared" si="19"/>
        <v>1.4500000000000002</v>
      </c>
      <c r="BT138" s="8" t="str">
        <f>_xlfn.XLOOKUP(B138,'Base stats'!B:B,'Base stats'!AD:AD)</f>
        <v>No</v>
      </c>
      <c r="BU138" s="2" t="str">
        <f>IF(AND(J138&lt;=0.95,OR(_xlfn.XLOOKUP(B138,'Base stats'!B:B,'Base stats'!AI:AI)=1,_xlfn.XLOOKUP(B138,'Base stats'!B:B,'Base stats'!Y:Y)="Carnivore",_xlfn.XLOOKUP(B138,'Base stats'!B:B,'Base stats'!Y:Y)="Omnivore",BE138&gt;0.1)),"true","false")</f>
        <v>true</v>
      </c>
      <c r="BV138" s="2" t="str">
        <f>IF(_xlfn.XLOOKUP(B138,'Base stats'!B:B,'Base stats'!AG:AG)=1,"true","false")</f>
        <v>false</v>
      </c>
      <c r="BW138" s="25" t="str">
        <f>IF(E138="BaseInsect","AnimalInsect",
IF(J138&gt;0.95,"AnimalExotic",
_xlfn.TEXTJOIN(", ",TRUE,
IF(OR(_xlfn.XLOOKUP(B138,'Base stats'!B:B,'Base stats'!AK:AK)=1,AND(_xlfn.XLOOKUP(B138,'Base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stats'!AI:AI)=1,AND(BI138&lt;&gt;"None",BR138&gt;=60),ISNUMBER(SEARCH("Attack target",BP138))),"AnimalFighter","")
)))</f>
        <v>AnimalUncommon, AnimalFighter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stats'!AH:AH)=1,"true","false")</f>
        <v>false</v>
      </c>
      <c r="BZ138" s="25">
        <f>IF(_xlfn.XLOOKUP(B138,'Base stats'!B:B,'Base stats'!N:N)=1,"No",MAX(0.01,MIN(MROUND(IF(OR(_xlfn.XLOOKUP(B138,'Base stats'!B:B,'Base stats'!AK:AK)=1,AND(BJ138="True",CC138="False")),POWER(10,3.47*LOG10(_xlfn.XLOOKUP(B138,'Base stats'!B:B,'Base stats'!C:C)*1000)^-0.96),POWER(10,4.15*LOG10(_xlfn.XLOOKUP(B138,'Base stats'!B:B,'Base stats'!C:C)*1000)^-0.73))*IF(OR(_xlfn.XLOOKUP(B138,'Base stats'!B:B,'Base stats'!AK:AK)=1,_xlfn.XLOOKUP(B138,'Base stats'!B:B,'Base stats'!AI:AI)=1),0.5,1)/100,0.025),1)))</f>
        <v>2.5000000000000001E-2</v>
      </c>
      <c r="CA138" s="25" t="str">
        <f>IF(P138="Standard","No",MAX(0.01,IF(_xlfn.XLOOKUP(B138,'Base stats'!B:B,'Base stats'!N:N)=0,MROUND(BZ138*P138,0.05),MIN(1,MAX(0.025,MROUND(IF(OR(CC138="true",AND(BJ138="false",BO138="false")),POWER(10,4.15*LOG10(_xlfn.XLOOKUP(B138,'Base stats'!B:B,'Base stats'!C:C)*1000)^-0.73),POWER(10,3.47*LOG10(_xlfn.XLOOKUP(B138,'Base stats'!B:B,'Base stats'!C:C)*1000)^-0.96))*IF(_xlfn.XLOOKUP(B138,'Base stats'!B:B,'Base stats'!AI:AI)=1,0.5,1)/100,0.025))))))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False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904</v>
      </c>
      <c r="C139" s="28" t="s">
        <v>832</v>
      </c>
      <c r="D139" s="28" t="s">
        <v>884</v>
      </c>
      <c r="E139" s="28" t="s">
        <v>685</v>
      </c>
      <c r="F139" s="28" t="s">
        <v>685</v>
      </c>
      <c r="G139" s="28" t="s">
        <v>685</v>
      </c>
      <c r="H139" s="2">
        <f>MROUND((
  (IF(AND(_xlfn.XLOOKUP(B139,'Base stats'!B:B,'Base stats'!AJ:AJ)=0,BI139="None",_xlfn.XLOOKUP(_xlfn.XLOOKUP(B139,'Base stats'!B:B,'Base stats'!E:E),Groups!A:A,Groups!B:B)=0), (18 + BR139 * 2.7) * 0.5,
    IF(AND(_xlfn.XLOOKUP(B139,'Base stats'!B:B,'Base stats'!AJ:AJ)=0,OR(AO139&lt;0.55,AND(BI139="Intermediate",_xlfn.XLOOKUP(_xlfn.XLOOKUP(B139,'Base stats'!B:B,'Base stats'!E:E),Groups!A:A,Groups!B:B)&lt;2))), (18 + BR139 * 2.7),
      IF(OR(BI139="Advanced",_xlfn.XLOOKUP(B139,'Base stats'!B:B,'Base stats'!AJ:AJ)=1,_xlfn.XLOOKUP(_xlfn.XLOOKUP(B139,'Base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IF(_xlfn.XLOOKUP(_xlfn.XLOOKUP(B139,'Base stats'!B:B,'Base stats'!E:E),Groups!A:A,Groups!C:C)="Untamable",1,IF(_xlfn.XLOOKUP(B139,'Base stats'!B:B,'Base stats'!AJ:AJ)=1,0.99,MIN(MROUND((1-0.6282*EXP(-0.459*AO139))*_xlfn.XLOOKUP(_xlfn.XLOOKUP(B139,'Base stats'!B:B,'Base stats'!E:E),Groups!A:A,Groups!C:C)*IF(_xlfn.XLOOKUP(B139,'Base stats'!B:B,'Base stats'!O:O)=1,0.5,IF(_xlfn.XLOOKUP(B139,'Base stats'!B:B,'Base stats'!O:O)=2,0,1)),0.05),0.985)))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IF(_xlfn.XLOOKUP(_xlfn.XLOOKUP(B139,'Base stats'!B:B,'Base stats'!E:E),Groups!A:A,Groups!L:L)=1,MIN(MROUND(_xlfn.XLOOKUP(B139,'Animals CE'!B:B,'Animals CE'!Z:Z)/2+0.05,0.05),200%),"No")</f>
        <v>No</v>
      </c>
      <c r="O139" s="8" t="str">
        <f>IF(_xlfn.XLOOKUP(_xlfn.XLOOKUP(B139,'Base stats'!B:B,'Base stats'!E:E),Groups!A:A,Groups!L:L)=1,MIN(MROUND(_xlfn.XLOOKUP(B139,'Animals CE'!B:B,'Animals CE'!AA:AA)/2+0.05,0.05),200%),"No")</f>
        <v>No</v>
      </c>
      <c r="P139" s="2" t="str">
        <f>_xlfn.XLOOKUP(B139,'Base stats'!B:B,'Base stats'!R:R)</f>
        <v>Standard</v>
      </c>
      <c r="Q139" s="13">
        <f>MROUND((LOG10(_xlfn.XLOOKUP(B139,'Base stats'!B:B,'Base stats'!AP:AP))*(AO139^0.5)+(_xlfn.XLOOKUP(B139,'Base stats'!B:B,'Base stats'!AP:AP)/1000)^(2/3)+_xlfn.XLOOKUP(B139,'Base stats'!B:B,'Base stats'!AY:AY)/2)+0.5,0.5)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stats'!AQ:AQ))*(AO139^0.5)+(_xlfn.XLOOKUP(B139,'Base stats'!B:B,'Base stats'!AQ:AQ)/1000)^(2/3)+_xlfn.XLOOKUP(B139,'Base stats'!B:B,'Base stats'!AY:AY))+_xlfn.XLOOKUP(B139,'Base stats'!B:B,'Base stats'!AW:AW)+0.5,0.5))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stats'!AS:AS))*(AO139^0.5)+(_xlfn.XLOOKUP(B139,'Base stats'!B:B,'Base stats'!AS:AS)/1000)^(2/3)+_xlfn.XLOOKUP(B139,'Base stats'!B:B,'Base stats'!AX:AX))+0.5+IF(_xlfn.XLOOKUP(_xlfn.XLOOKUP(B139,'Base stats'!B:B,'Base stats'!E:E),Groups!A:A,Groups!U:U)&lt;&gt;3,_xlfn.XLOOKUP(B139,'Base stats'!B:B,'Base stats'!AY:AY),0),0.5))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stats'!AR:AR)="No","No",MROUND((LOG10(_xlfn.XLOOKUP(B139,'Base stats'!B:B,'Base stats'!AR:AR))*(AO139^0.75)+(_xlfn.XLOOKUP(B139,'Base stats'!B:B,'Base stats'!AR:AR)/1000)^(2/3)+_xlfn.XLOOKUP(B139,'Base stats'!B:B,'Base stats'!AV:AV)+_xlfn.XLOOKUP(B139,'Base stats'!B:B,'Base stats'!AY:AY))+0.5,0.5))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stats'!AQ:AQ))*(AO139^0.75)+(_xlfn.XLOOKUP(B139,'Base stats'!B:B,'Base stats'!AQ:AQ)/1000)^(2/3)+_xlfn.XLOOKUP(B139,'Base stats'!B:B,'Base stats'!AW:AW)+_xlfn.XLOOKUP(B139,'Base stats'!B:B,'Base stats'!AY:AY))+0.5,0.5))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5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IFERROR(IF(_xlfn.XLOOKUP(B139,'Base stats'!B:B,'Base stats'!F:F)="Lay eggs","Lay eggs",MIN(20,MAX(5.5,ROUND(((_xlfn.XLOOKUP(B139,'Base stats'!B:B,'Base stats'!F:F)-25)*(14.5/615) + 5.5)*2,0)/2))),"Cannot breed")</f>
        <v>6.5</v>
      </c>
      <c r="AT139" s="8">
        <f>IF(OR(A139="Queen",A139="Larva",A139="Megachicken",A139="Megatardi",A139="Toxscorpion"),"No",IFERROR(MAX(IF(_xlfn.XLOOKUP(B139,'Base stats'!B:B,'Base stats'!G:G)&lt;0.5,0.2,0.3),MROUND(_xlfn.XLOOKUP(B139,'Base stats'!B:B,'Base stats'!G:G)/(365/60),0.2)),"Unknown"))</f>
        <v>0.3</v>
      </c>
      <c r="AU139" s="8">
        <f t="shared" si="14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_xlfn.XLOOKUP(B139,'Base stats'!B:B,'Base stats'!AF:AF)</f>
        <v>&lt;li&gt;YorkshireTerrier&lt;/li&gt;</v>
      </c>
      <c r="BB139" s="2" t="str">
        <f>_xlfn.XLOOKUP(B139,'Base stats'!B:B,'Base stats'!AE:AE)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stats'!Z:Z)=0),0,IF(OR(_xlfn.XLOOKUP(Animals!B139,'Base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stats'!AA:AA),0.005))</f>
        <v>0</v>
      </c>
      <c r="BE139" s="23">
        <f>MIN(1,MROUND(IF(AND(AO139&lt;0.5,_xlfn.XLOOKUP(B139,'Base stats'!B:B,'Base stats'!Z:Z)=0),0,IF(_xlfn.XLOOKUP(_xlfn.XLOOKUP(B139,'Base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stats'!AB:AB),0.005))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stats'!AL:AL)="Standard","No",MROUND((_xlfn.XLOOKUP(B139,'Base stats'!B:B,'Base stats'!AL:AL)/3.6)/I139,0.1))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stats'!AC:AC)&lt;&gt;"No",_xlfn.XLOOKUP(B139,'Base stats'!B:B,'Base stats'!AC:AC),"")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stats'!AC:AC)&lt;&gt;"No",_xlfn.XLOOKUP(B139,'Base stats'!B:B,'Base stats'!AC:AC),"")
  )
)</f>
        <v>Forage, Comfort</v>
      </c>
      <c r="BQ139" s="25" t="str">
        <f>IF(
   AND(
      'Base stats'!AL139="Standard",_xlfn.XLOOKUP(_xlfn.XLOOKUP(B139,'Base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stats'!AT:AT) * 1.8) * 2) * 2.5 + 10 + I139 * 2,5)+IF(_xlfn.XLOOKUP(B139,'Base stats'!B:B,'Base stats'!AI:AI)=1,50,0)</f>
        <v>55</v>
      </c>
      <c r="BS139" s="8">
        <f t="shared" si="19"/>
        <v>0.35000000000000003</v>
      </c>
      <c r="BT139" s="8" t="str">
        <f>_xlfn.XLOOKUP(B139,'Base stats'!B:B,'Base stats'!AD:AD)</f>
        <v>2~4</v>
      </c>
      <c r="BU139" s="2" t="str">
        <f>IF(AND(J139&lt;=0.95,OR(_xlfn.XLOOKUP(B139,'Base stats'!B:B,'Base stats'!AI:AI)=1,_xlfn.XLOOKUP(B139,'Base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stats'!AG:AG)=1,"true","false")</f>
        <v>false</v>
      </c>
      <c r="BW139" s="25" t="str">
        <f>IF(E139="BaseInsect","AnimalInsect",
IF(J139&gt;0.95,"AnimalExotic",
_xlfn.TEXTJOIN(", ",TRUE,
IF(OR(_xlfn.XLOOKUP(B139,'Base stats'!B:B,'Base stats'!AK:AK)=1,AND(_xlfn.XLOOKUP(B139,'Base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stats'!AI:AI)=1,AND(BI139&lt;&gt;"None",BR139&gt;=60),ISNUMBER(SEARCH("Attack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stats'!AH:AH)=1,"true","false")</f>
        <v>false</v>
      </c>
      <c r="BZ139" s="25">
        <f>IF(_xlfn.XLOOKUP(B139,'Base stats'!B:B,'Base stats'!N:N)=1,"No",MAX(0.01,MIN(MROUND(IF(OR(_xlfn.XLOOKUP(B139,'Base stats'!B:B,'Base stats'!AK:AK)=1,AND(BJ139="True",CC139="False")),POWER(10,3.47*LOG10(_xlfn.XLOOKUP(B139,'Base stats'!B:B,'Base stats'!C:C)*1000)^-0.96),POWER(10,4.15*LOG10(_xlfn.XLOOKUP(B139,'Base stats'!B:B,'Base stats'!C:C)*1000)^-0.73))*IF(OR(_xlfn.XLOOKUP(B139,'Base stats'!B:B,'Base stats'!AK:AK)=1,_xlfn.XLOOKUP(B139,'Base stats'!B:B,'Base stats'!AI:AI)=1),0.5,1)/100,0.025),1)))</f>
        <v>7.5000000000000011E-2</v>
      </c>
      <c r="CA139" s="25" t="str">
        <f>IF(P139="Standard","No",MAX(0.01,IF(_xlfn.XLOOKUP(B139,'Base stats'!B:B,'Base stats'!N:N)=0,MROUND(BZ139*P139,0.05),MIN(1,MAX(0.025,MROUND(IF(OR(CC139="true",AND(BJ139="false",BO139="false")),POWER(10,4.15*LOG10(_xlfn.XLOOKUP(B139,'Base stats'!B:B,'Base stats'!C:C)*1000)^-0.73),POWER(10,3.47*LOG10(_xlfn.XLOOKUP(B139,'Base stats'!B:B,'Base stats'!C:C)*1000)^-0.96))*IF(_xlfn.XLOOKUP(B139,'Base stats'!B:B,'Base stats'!AI:AI)=1,0.5,1)/100,0.025))))))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905</v>
      </c>
      <c r="C140" s="28" t="s">
        <v>833</v>
      </c>
      <c r="D140" s="28" t="s">
        <v>884</v>
      </c>
      <c r="E140" s="28" t="s">
        <v>685</v>
      </c>
      <c r="F140" s="28" t="s">
        <v>685</v>
      </c>
      <c r="G140" s="28" t="s">
        <v>685</v>
      </c>
      <c r="H140" s="2">
        <f>MROUND((
  (IF(AND(_xlfn.XLOOKUP(B140,'Base stats'!B:B,'Base stats'!AJ:AJ)=0,BI140="None",_xlfn.XLOOKUP(_xlfn.XLOOKUP(B140,'Base stats'!B:B,'Base stats'!E:E),Groups!A:A,Groups!B:B)=0), (18 + BR140 * 2.7) * 0.5,
    IF(AND(_xlfn.XLOOKUP(B140,'Base stats'!B:B,'Base stats'!AJ:AJ)=0,OR(AO140&lt;0.55,AND(BI140="Intermediate",_xlfn.XLOOKUP(_xlfn.XLOOKUP(B140,'Base stats'!B:B,'Base stats'!E:E),Groups!A:A,Groups!B:B)&lt;2))), (18 + BR140 * 2.7),
      IF(OR(BI140="Advanced",_xlfn.XLOOKUP(B140,'Base stats'!B:B,'Base stats'!AJ:AJ)=1,_xlfn.XLOOKUP(_xlfn.XLOOKUP(B140,'Base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IF(_xlfn.XLOOKUP(_xlfn.XLOOKUP(B140,'Base stats'!B:B,'Base stats'!E:E),Groups!A:A,Groups!C:C)="Untamable",1,IF(_xlfn.XLOOKUP(B140,'Base stats'!B:B,'Base stats'!AJ:AJ)=1,0.99,MIN(MROUND((1-0.6282*EXP(-0.459*AO140))*_xlfn.XLOOKUP(_xlfn.XLOOKUP(B140,'Base stats'!B:B,'Base stats'!E:E),Groups!A:A,Groups!C:C)*IF(_xlfn.XLOOKUP(B140,'Base stats'!B:B,'Base stats'!O:O)=1,0.5,IF(_xlfn.XLOOKUP(B140,'Base stats'!B:B,'Base stats'!O:O)=2,0,1)),0.05),0.985)))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IF(_xlfn.XLOOKUP(_xlfn.XLOOKUP(B140,'Base stats'!B:B,'Base stats'!E:E),Groups!A:A,Groups!L:L)=1,MIN(MROUND(_xlfn.XLOOKUP(B140,'Animals CE'!B:B,'Animals CE'!Z:Z)/2+0.05,0.05),200%),"No")</f>
        <v>No</v>
      </c>
      <c r="O140" s="8" t="str">
        <f>IF(_xlfn.XLOOKUP(_xlfn.XLOOKUP(B140,'Base stats'!B:B,'Base stats'!E:E),Groups!A:A,Groups!L:L)=1,MIN(MROUND(_xlfn.XLOOKUP(B140,'Animals CE'!B:B,'Animals CE'!AA:AA)/2+0.05,0.05),200%),"No")</f>
        <v>No</v>
      </c>
      <c r="P140" s="2" t="str">
        <f>_xlfn.XLOOKUP(B140,'Base stats'!B:B,'Base stats'!R:R)</f>
        <v>Standard</v>
      </c>
      <c r="Q140" s="13">
        <f>MROUND((LOG10(_xlfn.XLOOKUP(B140,'Base stats'!B:B,'Base stats'!AP:AP))*(AO140^0.5)+(_xlfn.XLOOKUP(B140,'Base stats'!B:B,'Base stats'!AP:AP)/1000)^(2/3)+_xlfn.XLOOKUP(B140,'Base stats'!B:B,'Base stats'!AY:AY)/2)+0.5,0.5)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stats'!AQ:AQ))*(AO140^0.5)+(_xlfn.XLOOKUP(B140,'Base stats'!B:B,'Base stats'!AQ:AQ)/1000)^(2/3)+_xlfn.XLOOKUP(B140,'Base stats'!B:B,'Base stats'!AY:AY))+_xlfn.XLOOKUP(B140,'Base stats'!B:B,'Base stats'!AW:AW)+0.5,0.5))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stats'!AS:AS))*(AO140^0.5)+(_xlfn.XLOOKUP(B140,'Base stats'!B:B,'Base stats'!AS:AS)/1000)^(2/3)+_xlfn.XLOOKUP(B140,'Base stats'!B:B,'Base stats'!AX:AX))+0.5+IF(_xlfn.XLOOKUP(_xlfn.XLOOKUP(B140,'Base stats'!B:B,'Base stats'!E:E),Groups!A:A,Groups!U:U)&lt;&gt;3,_xlfn.XLOOKUP(B140,'Base stats'!B:B,'Base stats'!AY:AY),0),0.5))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stats'!AR:AR)="No","No",MROUND((LOG10(_xlfn.XLOOKUP(B140,'Base stats'!B:B,'Base stats'!AR:AR))*(AO140^0.75)+(_xlfn.XLOOKUP(B140,'Base stats'!B:B,'Base stats'!AR:AR)/1000)^(2/3)+_xlfn.XLOOKUP(B140,'Base stats'!B:B,'Base stats'!AV:AV)+_xlfn.XLOOKUP(B140,'Base stats'!B:B,'Base stats'!AY:AY))+0.5,0.5))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stats'!AQ:AQ))*(AO140^0.75)+(_xlfn.XLOOKUP(B140,'Base stats'!B:B,'Base stats'!AQ:AQ)/1000)^(2/3)+_xlfn.XLOOKUP(B140,'Base stats'!B:B,'Base stats'!AW:AW)+_xlfn.XLOOKUP(B140,'Base stats'!B:B,'Base stats'!AY:AY))+0.5,0.5))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5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IFERROR(IF(_xlfn.XLOOKUP(B140,'Base stats'!B:B,'Base stats'!F:F)="Lay eggs","Lay eggs",MIN(20,MAX(5.5,ROUND(((_xlfn.XLOOKUP(B140,'Base stats'!B:B,'Base stats'!F:F)-25)*(14.5/615) + 5.5)*2,0)/2))),"Cannot breed")</f>
        <v>6.5</v>
      </c>
      <c r="AT140" s="8">
        <f>IF(OR(A140="Queen",A140="Larva",A140="Megachicken",A140="Megatardi",A140="Toxscorpion"),"No",IFERROR(MAX(IF(_xlfn.XLOOKUP(B140,'Base stats'!B:B,'Base stats'!G:G)&lt;0.5,0.2,0.3),MROUND(_xlfn.XLOOKUP(B140,'Base stats'!B:B,'Base stats'!G:G)/(365/60),0.2)),"Unknown"))</f>
        <v>0.3</v>
      </c>
      <c r="AU140" s="8">
        <f t="shared" si="14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_xlfn.XLOOKUP(B140,'Base stats'!B:B,'Base stats'!AF:AF)</f>
        <v>&lt;li&gt;YorkshireTerrier&lt;/li&gt;</v>
      </c>
      <c r="BB140" s="2" t="str">
        <f>_xlfn.XLOOKUP(B140,'Base stats'!B:B,'Base stats'!AE:AE)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stats'!Z:Z)=0),0,IF(OR(_xlfn.XLOOKUP(Animals!B140,'Base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stats'!AA:AA),0.005))</f>
        <v>0</v>
      </c>
      <c r="BE140" s="23">
        <f>MIN(1,MROUND(IF(AND(AO140&lt;0.5,_xlfn.XLOOKUP(B140,'Base stats'!B:B,'Base stats'!Z:Z)=0),0,IF(_xlfn.XLOOKUP(_xlfn.XLOOKUP(B140,'Base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stats'!AB:AB),0.005))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stats'!AL:AL)="Standard","No",MROUND((_xlfn.XLOOKUP(B140,'Base stats'!B:B,'Base stats'!AL:AL)/3.6)/I140,0.1))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stats'!AC:AC)&lt;&gt;"No",_xlfn.XLOOKUP(B140,'Base stats'!B:B,'Base stats'!AC:AC),"")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stats'!AC:AC)&lt;&gt;"No",_xlfn.XLOOKUP(B140,'Base stats'!B:B,'Base stats'!AC:AC),"")
  )
)</f>
        <v>Forage, Comfort</v>
      </c>
      <c r="BQ140" s="25" t="str">
        <f>IF(
   AND(
      'Base stats'!AL140="Standard",_xlfn.XLOOKUP(_xlfn.XLOOKUP(B140,'Base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stats'!AT:AT) * 1.8) * 2) * 2.5 + 10 + I140 * 2,5)+IF(_xlfn.XLOOKUP(B140,'Base stats'!B:B,'Base stats'!AI:AI)=1,50,0)</f>
        <v>35</v>
      </c>
      <c r="BS140" s="8">
        <f t="shared" si="19"/>
        <v>0.25</v>
      </c>
      <c r="BT140" s="8" t="str">
        <f>_xlfn.XLOOKUP(B140,'Base stats'!B:B,'Base stats'!AD:AD)</f>
        <v>2~4</v>
      </c>
      <c r="BU140" s="2" t="str">
        <f>IF(AND(J140&lt;=0.95,OR(_xlfn.XLOOKUP(B140,'Base stats'!B:B,'Base stats'!AI:AI)=1,_xlfn.XLOOKUP(B140,'Base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stats'!AG:AG)=1,"true","false")</f>
        <v>false</v>
      </c>
      <c r="BW140" s="25" t="str">
        <f>IF(E140="BaseInsect","AnimalInsect",
IF(J140&gt;0.95,"AnimalExotic",
_xlfn.TEXTJOIN(", ",TRUE,
IF(OR(_xlfn.XLOOKUP(B140,'Base stats'!B:B,'Base stats'!AK:AK)=1,AND(_xlfn.XLOOKUP(B140,'Base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stats'!AI:AI)=1,AND(BI140&lt;&gt;"None",BR140&gt;=60),ISNUMBER(SEARCH("Attack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stats'!AH:AH)=1,"true","false")</f>
        <v>false</v>
      </c>
      <c r="BZ140" s="25">
        <f>IF(_xlfn.XLOOKUP(B140,'Base stats'!B:B,'Base stats'!N:N)=1,"No",MAX(0.01,MIN(MROUND(IF(OR(_xlfn.XLOOKUP(B140,'Base stats'!B:B,'Base stats'!AK:AK)=1,AND(BJ140="True",CC140="False")),POWER(10,3.47*LOG10(_xlfn.XLOOKUP(B140,'Base stats'!B:B,'Base stats'!C:C)*1000)^-0.96),POWER(10,4.15*LOG10(_xlfn.XLOOKUP(B140,'Base stats'!B:B,'Base stats'!C:C)*1000)^-0.73))*IF(OR(_xlfn.XLOOKUP(B140,'Base stats'!B:B,'Base stats'!AK:AK)=1,_xlfn.XLOOKUP(B140,'Base stats'!B:B,'Base stats'!AI:AI)=1),0.5,1)/100,0.025),1)))</f>
        <v>0.125</v>
      </c>
      <c r="CA140" s="25" t="str">
        <f>IF(P140="Standard","No",MAX(0.01,IF(_xlfn.XLOOKUP(B140,'Base stats'!B:B,'Base stats'!N:N)=0,MROUND(BZ140*P140,0.05),MIN(1,MAX(0.025,MROUND(IF(OR(CC140="true",AND(BJ140="false",BO140="false")),POWER(10,4.15*LOG10(_xlfn.XLOOKUP(B140,'Base stats'!B:B,'Base stats'!C:C)*1000)^-0.73),POWER(10,3.47*LOG10(_xlfn.XLOOKUP(B140,'Base stats'!B:B,'Base stats'!C:C)*1000)^-0.96))*IF(_xlfn.XLOOKUP(B140,'Base stats'!B:B,'Base stats'!AI:AI)=1,0.5,1)/100,0.025))))))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906</v>
      </c>
      <c r="C141" s="28" t="s">
        <v>834</v>
      </c>
      <c r="D141" s="28" t="s">
        <v>884</v>
      </c>
      <c r="E141" s="28" t="s">
        <v>685</v>
      </c>
      <c r="F141" s="28" t="s">
        <v>685</v>
      </c>
      <c r="G141" s="28" t="s">
        <v>685</v>
      </c>
      <c r="H141" s="2">
        <f>MROUND((
  (IF(AND(_xlfn.XLOOKUP(B141,'Base stats'!B:B,'Base stats'!AJ:AJ)=0,BI141="None",_xlfn.XLOOKUP(_xlfn.XLOOKUP(B141,'Base stats'!B:B,'Base stats'!E:E),Groups!A:A,Groups!B:B)=0), (18 + BR141 * 2.7) * 0.5,
    IF(AND(_xlfn.XLOOKUP(B141,'Base stats'!B:B,'Base stats'!AJ:AJ)=0,OR(AO141&lt;0.55,AND(BI141="Intermediate",_xlfn.XLOOKUP(_xlfn.XLOOKUP(B141,'Base stats'!B:B,'Base stats'!E:E),Groups!A:A,Groups!B:B)&lt;2))), (18 + BR141 * 2.7),
      IF(OR(BI141="Advanced",_xlfn.XLOOKUP(B141,'Base stats'!B:B,'Base stats'!AJ:AJ)=1,_xlfn.XLOOKUP(_xlfn.XLOOKUP(B141,'Base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IF(_xlfn.XLOOKUP(_xlfn.XLOOKUP(B141,'Base stats'!B:B,'Base stats'!E:E),Groups!A:A,Groups!C:C)="Untamable",1,IF(_xlfn.XLOOKUP(B141,'Base stats'!B:B,'Base stats'!AJ:AJ)=1,0.99,MIN(MROUND((1-0.6282*EXP(-0.459*AO141))*_xlfn.XLOOKUP(_xlfn.XLOOKUP(B141,'Base stats'!B:B,'Base stats'!E:E),Groups!A:A,Groups!C:C)*IF(_xlfn.XLOOKUP(B141,'Base stats'!B:B,'Base stats'!O:O)=1,0.5,IF(_xlfn.XLOOKUP(B141,'Base stats'!B:B,'Base stats'!O:O)=2,0,1)),0.05),0.985)))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IF(_xlfn.XLOOKUP(_xlfn.XLOOKUP(B141,'Base stats'!B:B,'Base stats'!E:E),Groups!A:A,Groups!L:L)=1,MIN(MROUND(_xlfn.XLOOKUP(B141,'Animals CE'!B:B,'Animals CE'!Z:Z)/2+0.05,0.05),200%),"No")</f>
        <v>No</v>
      </c>
      <c r="O141" s="8" t="str">
        <f>IF(_xlfn.XLOOKUP(_xlfn.XLOOKUP(B141,'Base stats'!B:B,'Base stats'!E:E),Groups!A:A,Groups!L:L)=1,MIN(MROUND(_xlfn.XLOOKUP(B141,'Animals CE'!B:B,'Animals CE'!AA:AA)/2+0.05,0.05),200%),"No")</f>
        <v>No</v>
      </c>
      <c r="P141" s="2" t="str">
        <f>_xlfn.XLOOKUP(B141,'Base stats'!B:B,'Base stats'!R:R)</f>
        <v>Standard</v>
      </c>
      <c r="Q141" s="13">
        <f>MROUND((LOG10(_xlfn.XLOOKUP(B141,'Base stats'!B:B,'Base stats'!AP:AP))*(AO141^0.5)+(_xlfn.XLOOKUP(B141,'Base stats'!B:B,'Base stats'!AP:AP)/1000)^(2/3)+_xlfn.XLOOKUP(B141,'Base stats'!B:B,'Base stats'!AY:AY)/2)+0.5,0.5)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stats'!AQ:AQ))*(AO141^0.5)+(_xlfn.XLOOKUP(B141,'Base stats'!B:B,'Base stats'!AQ:AQ)/1000)^(2/3)+_xlfn.XLOOKUP(B141,'Base stats'!B:B,'Base stats'!AY:AY))+_xlfn.XLOOKUP(B141,'Base stats'!B:B,'Base stats'!AW:AW)+0.5,0.5))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stats'!AS:AS))*(AO141^0.5)+(_xlfn.XLOOKUP(B141,'Base stats'!B:B,'Base stats'!AS:AS)/1000)^(2/3)+_xlfn.XLOOKUP(B141,'Base stats'!B:B,'Base stats'!AX:AX))+0.5+IF(_xlfn.XLOOKUP(_xlfn.XLOOKUP(B141,'Base stats'!B:B,'Base stats'!E:E),Groups!A:A,Groups!U:U)&lt;&gt;3,_xlfn.XLOOKUP(B141,'Base stats'!B:B,'Base stats'!AY:AY),0),0.5))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stats'!AR:AR)="No","No",MROUND((LOG10(_xlfn.XLOOKUP(B141,'Base stats'!B:B,'Base stats'!AR:AR))*(AO141^0.75)+(_xlfn.XLOOKUP(B141,'Base stats'!B:B,'Base stats'!AR:AR)/1000)^(2/3)+_xlfn.XLOOKUP(B141,'Base stats'!B:B,'Base stats'!AV:AV)+_xlfn.XLOOKUP(B141,'Base stats'!B:B,'Base stats'!AY:AY))+0.5,0.5))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stats'!AQ:AQ))*(AO141^0.75)+(_xlfn.XLOOKUP(B141,'Base stats'!B:B,'Base stats'!AQ:AQ)/1000)^(2/3)+_xlfn.XLOOKUP(B141,'Base stats'!B:B,'Base stats'!AW:AW)+_xlfn.XLOOKUP(B141,'Base stats'!B:B,'Base stats'!AY:AY))+0.5,0.5))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5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IFERROR(IF(_xlfn.XLOOKUP(B141,'Base stats'!B:B,'Base stats'!F:F)="Lay eggs","Lay eggs",MIN(20,MAX(5.5,ROUND(((_xlfn.XLOOKUP(B141,'Base stats'!B:B,'Base stats'!F:F)-25)*(14.5/615) + 5.5)*2,0)/2))),"Cannot breed")</f>
        <v>6.5</v>
      </c>
      <c r="AT141" s="8">
        <f>IF(OR(A141="Queen",A141="Larva",A141="Megachicken",A141="Megatardi",A141="Toxscorpion"),"No",IFERROR(MAX(IF(_xlfn.XLOOKUP(B141,'Base stats'!B:B,'Base stats'!G:G)&lt;0.5,0.2,0.3),MROUND(_xlfn.XLOOKUP(B141,'Base stats'!B:B,'Base stats'!G:G)/(365/60),0.2)),"Unknown"))</f>
        <v>0.3</v>
      </c>
      <c r="AU141" s="8">
        <f t="shared" si="14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_xlfn.XLOOKUP(B141,'Base stats'!B:B,'Base stats'!AF:AF)</f>
        <v>&lt;li&gt;YorkshireTerrier&lt;/li&gt;</v>
      </c>
      <c r="BB141" s="2" t="str">
        <f>_xlfn.XLOOKUP(B141,'Base stats'!B:B,'Base stats'!AE:AE)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stats'!Z:Z)=0),0,IF(OR(_xlfn.XLOOKUP(Animals!B141,'Base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stats'!AA:AA),0.005))</f>
        <v>0</v>
      </c>
      <c r="BE141" s="23">
        <f>MIN(1,MROUND(IF(AND(AO141&lt;0.5,_xlfn.XLOOKUP(B141,'Base stats'!B:B,'Base stats'!Z:Z)=0),0,IF(_xlfn.XLOOKUP(_xlfn.XLOOKUP(B141,'Base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stats'!AB:AB),0.005))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stats'!AL:AL)="Standard","No",MROUND((_xlfn.XLOOKUP(B141,'Base stats'!B:B,'Base stats'!AL:AL)/3.6)/I141,0.1))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stats'!AC:AC)&lt;&gt;"No",_xlfn.XLOOKUP(B141,'Base stats'!B:B,'Base stats'!AC:AC),"")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stats'!AC:AC)&lt;&gt;"No",_xlfn.XLOOKUP(B141,'Base stats'!B:B,'Base stats'!AC:AC),"")
  )
)</f>
        <v>Forage, Comfort</v>
      </c>
      <c r="BQ141" s="25" t="str">
        <f>IF(
   AND(
      'Base stats'!AL141="Standard",_xlfn.XLOOKUP(_xlfn.XLOOKUP(B141,'Base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stats'!AT:AT) * 1.8) * 2) * 2.5 + 10 + I141 * 2,5)+IF(_xlfn.XLOOKUP(B141,'Base stats'!B:B,'Base stats'!AI:AI)=1,50,0)</f>
        <v>65</v>
      </c>
      <c r="BS141" s="8">
        <f t="shared" si="19"/>
        <v>0.4</v>
      </c>
      <c r="BT141" s="8" t="str">
        <f>_xlfn.XLOOKUP(B141,'Base stats'!B:B,'Base stats'!AD:AD)</f>
        <v>2~4</v>
      </c>
      <c r="BU141" s="2" t="str">
        <f>IF(AND(J141&lt;=0.95,OR(_xlfn.XLOOKUP(B141,'Base stats'!B:B,'Base stats'!AI:AI)=1,_xlfn.XLOOKUP(B141,'Base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stats'!AG:AG)=1,"true","false")</f>
        <v>false</v>
      </c>
      <c r="BW141" s="25" t="str">
        <f>IF(E141="BaseInsect","AnimalInsect",
IF(J141&gt;0.95,"AnimalExotic",
_xlfn.TEXTJOIN(", ",TRUE,
IF(OR(_xlfn.XLOOKUP(B141,'Base stats'!B:B,'Base stats'!AK:AK)=1,AND(_xlfn.XLOOKUP(B141,'Base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stats'!AI:AI)=1,AND(BI141&lt;&gt;"None",BR141&gt;=60),ISNUMBER(SEARCH("Attack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stats'!AH:AH)=1,"true","false")</f>
        <v>false</v>
      </c>
      <c r="BZ141" s="25">
        <f>IF(_xlfn.XLOOKUP(B141,'Base stats'!B:B,'Base stats'!N:N)=1,"No",MAX(0.01,MIN(MROUND(IF(OR(_xlfn.XLOOKUP(B141,'Base stats'!B:B,'Base stats'!AK:AK)=1,AND(BJ141="True",CC141="False")),POWER(10,3.47*LOG10(_xlfn.XLOOKUP(B141,'Base stats'!B:B,'Base stats'!C:C)*1000)^-0.96),POWER(10,4.15*LOG10(_xlfn.XLOOKUP(B141,'Base stats'!B:B,'Base stats'!C:C)*1000)^-0.73))*IF(OR(_xlfn.XLOOKUP(B141,'Base stats'!B:B,'Base stats'!AK:AK)=1,_xlfn.XLOOKUP(B141,'Base stats'!B:B,'Base stats'!AI:AI)=1),0.5,1)/100,0.025),1)))</f>
        <v>7.5000000000000011E-2</v>
      </c>
      <c r="CA141" s="25" t="str">
        <f>IF(P141="Standard","No",MAX(0.01,IF(_xlfn.XLOOKUP(B141,'Base stats'!B:B,'Base stats'!N:N)=0,MROUND(BZ141*P141,0.05),MIN(1,MAX(0.025,MROUND(IF(OR(CC141="true",AND(BJ141="false",BO141="false")),POWER(10,4.15*LOG10(_xlfn.XLOOKUP(B141,'Base stats'!B:B,'Base stats'!C:C)*1000)^-0.73),POWER(10,3.47*LOG10(_xlfn.XLOOKUP(B141,'Base stats'!B:B,'Base stats'!C:C)*1000)^-0.96))*IF(_xlfn.XLOOKUP(B141,'Base stats'!B:B,'Base stats'!AI:AI)=1,0.5,1)/100,0.025))))))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907</v>
      </c>
      <c r="C142" s="28" t="s">
        <v>835</v>
      </c>
      <c r="D142" s="28" t="s">
        <v>884</v>
      </c>
      <c r="E142" s="28" t="s">
        <v>685</v>
      </c>
      <c r="F142" s="28" t="s">
        <v>685</v>
      </c>
      <c r="G142" s="28" t="s">
        <v>685</v>
      </c>
      <c r="H142" s="2">
        <f>MROUND((
  (IF(AND(_xlfn.XLOOKUP(B142,'Base stats'!B:B,'Base stats'!AJ:AJ)=0,BI142="None",_xlfn.XLOOKUP(_xlfn.XLOOKUP(B142,'Base stats'!B:B,'Base stats'!E:E),Groups!A:A,Groups!B:B)=0), (18 + BR142 * 2.7) * 0.5,
    IF(AND(_xlfn.XLOOKUP(B142,'Base stats'!B:B,'Base stats'!AJ:AJ)=0,OR(AO142&lt;0.55,AND(BI142="Intermediate",_xlfn.XLOOKUP(_xlfn.XLOOKUP(B142,'Base stats'!B:B,'Base stats'!E:E),Groups!A:A,Groups!B:B)&lt;2))), (18 + BR142 * 2.7),
      IF(OR(BI142="Advanced",_xlfn.XLOOKUP(B142,'Base stats'!B:B,'Base stats'!AJ:AJ)=1,_xlfn.XLOOKUP(_xlfn.XLOOKUP(B142,'Base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IF(_xlfn.XLOOKUP(_xlfn.XLOOKUP(B142,'Base stats'!B:B,'Base stats'!E:E),Groups!A:A,Groups!C:C)="Untamable",1,IF(_xlfn.XLOOKUP(B142,'Base stats'!B:B,'Base stats'!AJ:AJ)=1,0.99,MIN(MROUND((1-0.6282*EXP(-0.459*AO142))*_xlfn.XLOOKUP(_xlfn.XLOOKUP(B142,'Base stats'!B:B,'Base stats'!E:E),Groups!A:A,Groups!C:C)*IF(_xlfn.XLOOKUP(B142,'Base stats'!B:B,'Base stats'!O:O)=1,0.5,IF(_xlfn.XLOOKUP(B142,'Base stats'!B:B,'Base stats'!O:O)=2,0,1)),0.05),0.985)))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IF(_xlfn.XLOOKUP(_xlfn.XLOOKUP(B142,'Base stats'!B:B,'Base stats'!E:E),Groups!A:A,Groups!L:L)=1,MIN(MROUND(_xlfn.XLOOKUP(B142,'Animals CE'!B:B,'Animals CE'!Z:Z)/2+0.05,0.05),200%),"No")</f>
        <v>No</v>
      </c>
      <c r="O142" s="8" t="str">
        <f>IF(_xlfn.XLOOKUP(_xlfn.XLOOKUP(B142,'Base stats'!B:B,'Base stats'!E:E),Groups!A:A,Groups!L:L)=1,MIN(MROUND(_xlfn.XLOOKUP(B142,'Animals CE'!B:B,'Animals CE'!AA:AA)/2+0.05,0.05),200%),"No")</f>
        <v>No</v>
      </c>
      <c r="P142" s="2" t="str">
        <f>_xlfn.XLOOKUP(B142,'Base stats'!B:B,'Base stats'!R:R)</f>
        <v>Standard</v>
      </c>
      <c r="Q142" s="13">
        <f>MROUND((LOG10(_xlfn.XLOOKUP(B142,'Base stats'!B:B,'Base stats'!AP:AP))*(AO142^0.5)+(_xlfn.XLOOKUP(B142,'Base stats'!B:B,'Base stats'!AP:AP)/1000)^(2/3)+_xlfn.XLOOKUP(B142,'Base stats'!B:B,'Base stats'!AY:AY)/2)+0.5,0.5)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stats'!AQ:AQ))*(AO142^0.5)+(_xlfn.XLOOKUP(B142,'Base stats'!B:B,'Base stats'!AQ:AQ)/1000)^(2/3)+_xlfn.XLOOKUP(B142,'Base stats'!B:B,'Base stats'!AY:AY))+_xlfn.XLOOKUP(B142,'Base stats'!B:B,'Base stats'!AW:AW)+0.5,0.5))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stats'!AS:AS))*(AO142^0.5)+(_xlfn.XLOOKUP(B142,'Base stats'!B:B,'Base stats'!AS:AS)/1000)^(2/3)+_xlfn.XLOOKUP(B142,'Base stats'!B:B,'Base stats'!AX:AX))+0.5+IF(_xlfn.XLOOKUP(_xlfn.XLOOKUP(B142,'Base stats'!B:B,'Base stats'!E:E),Groups!A:A,Groups!U:U)&lt;&gt;3,_xlfn.XLOOKUP(B142,'Base stats'!B:B,'Base stats'!AY:AY),0),0.5))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stats'!AR:AR)="No","No",MROUND((LOG10(_xlfn.XLOOKUP(B142,'Base stats'!B:B,'Base stats'!AR:AR))*(AO142^0.75)+(_xlfn.XLOOKUP(B142,'Base stats'!B:B,'Base stats'!AR:AR)/1000)^(2/3)+_xlfn.XLOOKUP(B142,'Base stats'!B:B,'Base stats'!AV:AV)+_xlfn.XLOOKUP(B142,'Base stats'!B:B,'Base stats'!AY:AY))+0.5,0.5))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stats'!AQ:AQ))*(AO142^0.75)+(_xlfn.XLOOKUP(B142,'Base stats'!B:B,'Base stats'!AQ:AQ)/1000)^(2/3)+_xlfn.XLOOKUP(B142,'Base stats'!B:B,'Base stats'!AW:AW)+_xlfn.XLOOKUP(B142,'Base stats'!B:B,'Base stats'!AY:AY))+0.5,0.5))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5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IFERROR(IF(_xlfn.XLOOKUP(B142,'Base stats'!B:B,'Base stats'!F:F)="Lay eggs","Lay eggs",MIN(20,MAX(5.5,ROUND(((_xlfn.XLOOKUP(B142,'Base stats'!B:B,'Base stats'!F:F)-25)*(14.5/615) + 5.5)*2,0)/2))),"Cannot breed")</f>
        <v>6.5</v>
      </c>
      <c r="AT142" s="8">
        <f>IF(OR(A142="Queen",A142="Larva",A142="Megachicken",A142="Megatardi",A142="Toxscorpion"),"No",IFERROR(MAX(IF(_xlfn.XLOOKUP(B142,'Base stats'!B:B,'Base stats'!G:G)&lt;0.5,0.2,0.3),MROUND(_xlfn.XLOOKUP(B142,'Base stats'!B:B,'Base stats'!G:G)/(365/60),0.2)),"Unknown"))</f>
        <v>0.3</v>
      </c>
      <c r="AU142" s="8">
        <f t="shared" si="14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_xlfn.XLOOKUP(B142,'Base stats'!B:B,'Base stats'!AF:AF)</f>
        <v>&lt;li&gt;YorkshireTerrier&lt;/li&gt;</v>
      </c>
      <c r="BB142" s="2" t="str">
        <f>_xlfn.XLOOKUP(B142,'Base stats'!B:B,'Base stats'!AE:AE)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stats'!Z:Z)=0),0,IF(OR(_xlfn.XLOOKUP(Animals!B142,'Base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stats'!AA:AA),0.005))</f>
        <v>0</v>
      </c>
      <c r="BE142" s="23">
        <f>MIN(1,MROUND(IF(AND(AO142&lt;0.5,_xlfn.XLOOKUP(B142,'Base stats'!B:B,'Base stats'!Z:Z)=0),0,IF(_xlfn.XLOOKUP(_xlfn.XLOOKUP(B142,'Base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stats'!AB:AB),0.005))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stats'!AL:AL)="Standard","No",MROUND((_xlfn.XLOOKUP(B142,'Base stats'!B:B,'Base stats'!AL:AL)/3.6)/I142,0.1))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stats'!AC:AC)&lt;&gt;"No",_xlfn.XLOOKUP(B142,'Base stats'!B:B,'Base stats'!AC:AC),"")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stats'!AC:AC)&lt;&gt;"No",_xlfn.XLOOKUP(B142,'Base stats'!B:B,'Base stats'!AC:AC),"")
  )
)</f>
        <v>Forage, Comfort</v>
      </c>
      <c r="BQ142" s="25" t="str">
        <f>IF(
   AND(
      'Base stats'!AL142="Standard",_xlfn.XLOOKUP(_xlfn.XLOOKUP(B142,'Base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stats'!AT:AT) * 1.8) * 2) * 2.5 + 10 + I142 * 2,5)+IF(_xlfn.XLOOKUP(B142,'Base stats'!B:B,'Base stats'!AI:AI)=1,50,0)</f>
        <v>60</v>
      </c>
      <c r="BS142" s="8">
        <f t="shared" si="19"/>
        <v>0.35000000000000003</v>
      </c>
      <c r="BT142" s="8" t="str">
        <f>_xlfn.XLOOKUP(B142,'Base stats'!B:B,'Base stats'!AD:AD)</f>
        <v>2~4</v>
      </c>
      <c r="BU142" s="2" t="str">
        <f>IF(AND(J142&lt;=0.95,OR(_xlfn.XLOOKUP(B142,'Base stats'!B:B,'Base stats'!AI:AI)=1,_xlfn.XLOOKUP(B142,'Base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stats'!AG:AG)=1,"true","false")</f>
        <v>false</v>
      </c>
      <c r="BW142" s="25" t="str">
        <f>IF(E142="BaseInsect","AnimalInsect",
IF(J142&gt;0.95,"AnimalExotic",
_xlfn.TEXTJOIN(", ",TRUE,
IF(OR(_xlfn.XLOOKUP(B142,'Base stats'!B:B,'Base stats'!AK:AK)=1,AND(_xlfn.XLOOKUP(B142,'Base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stats'!AI:AI)=1,AND(BI142&lt;&gt;"None",BR142&gt;=60),ISNUMBER(SEARCH("Attack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stats'!AH:AH)=1,"true","false")</f>
        <v>false</v>
      </c>
      <c r="BZ142" s="25">
        <f>IF(_xlfn.XLOOKUP(B142,'Base stats'!B:B,'Base stats'!N:N)=1,"No",MAX(0.01,MIN(MROUND(IF(OR(_xlfn.XLOOKUP(B142,'Base stats'!B:B,'Base stats'!AK:AK)=1,AND(BJ142="True",CC142="False")),POWER(10,3.47*LOG10(_xlfn.XLOOKUP(B142,'Base stats'!B:B,'Base stats'!C:C)*1000)^-0.96),POWER(10,4.15*LOG10(_xlfn.XLOOKUP(B142,'Base stats'!B:B,'Base stats'!C:C)*1000)^-0.73))*IF(OR(_xlfn.XLOOKUP(B142,'Base stats'!B:B,'Base stats'!AK:AK)=1,_xlfn.XLOOKUP(B142,'Base stats'!B:B,'Base stats'!AI:AI)=1),0.5,1)/100,0.025),1)))</f>
        <v>7.5000000000000011E-2</v>
      </c>
      <c r="CA142" s="25" t="str">
        <f>IF(P142="Standard","No",MAX(0.01,IF(_xlfn.XLOOKUP(B142,'Base stats'!B:B,'Base stats'!N:N)=0,MROUND(BZ142*P142,0.05),MIN(1,MAX(0.025,MROUND(IF(OR(CC142="true",AND(BJ142="false",BO142="false")),POWER(10,4.15*LOG10(_xlfn.XLOOKUP(B142,'Base stats'!B:B,'Base stats'!C:C)*1000)^-0.73),POWER(10,3.47*LOG10(_xlfn.XLOOKUP(B142,'Base stats'!B:B,'Base stats'!C:C)*1000)^-0.96))*IF(_xlfn.XLOOKUP(B142,'Base stats'!B:B,'Base stats'!AI:AI)=1,0.5,1)/100,0.025))))))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908</v>
      </c>
      <c r="C143" s="28" t="s">
        <v>836</v>
      </c>
      <c r="D143" s="28" t="s">
        <v>884</v>
      </c>
      <c r="E143" s="28" t="s">
        <v>685</v>
      </c>
      <c r="F143" s="28" t="s">
        <v>685</v>
      </c>
      <c r="G143" s="28" t="s">
        <v>685</v>
      </c>
      <c r="H143" s="2">
        <f>MROUND((
  (IF(AND(_xlfn.XLOOKUP(B143,'Base stats'!B:B,'Base stats'!AJ:AJ)=0,BI143="None",_xlfn.XLOOKUP(_xlfn.XLOOKUP(B143,'Base stats'!B:B,'Base stats'!E:E),Groups!A:A,Groups!B:B)=0), (18 + BR143 * 2.7) * 0.5,
    IF(AND(_xlfn.XLOOKUP(B143,'Base stats'!B:B,'Base stats'!AJ:AJ)=0,OR(AO143&lt;0.55,AND(BI143="Intermediate",_xlfn.XLOOKUP(_xlfn.XLOOKUP(B143,'Base stats'!B:B,'Base stats'!E:E),Groups!A:A,Groups!B:B)&lt;2))), (18 + BR143 * 2.7),
      IF(OR(BI143="Advanced",_xlfn.XLOOKUP(B143,'Base stats'!B:B,'Base stats'!AJ:AJ)=1,_xlfn.XLOOKUP(_xlfn.XLOOKUP(B143,'Base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IF(_xlfn.XLOOKUP(_xlfn.XLOOKUP(B143,'Base stats'!B:B,'Base stats'!E:E),Groups!A:A,Groups!C:C)="Untamable",1,IF(_xlfn.XLOOKUP(B143,'Base stats'!B:B,'Base stats'!AJ:AJ)=1,0.99,MIN(MROUND((1-0.6282*EXP(-0.459*AO143))*_xlfn.XLOOKUP(_xlfn.XLOOKUP(B143,'Base stats'!B:B,'Base stats'!E:E),Groups!A:A,Groups!C:C)*IF(_xlfn.XLOOKUP(B143,'Base stats'!B:B,'Base stats'!O:O)=1,0.5,IF(_xlfn.XLOOKUP(B143,'Base stats'!B:B,'Base stats'!O:O)=2,0,1)),0.05),0.985)))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IF(_xlfn.XLOOKUP(_xlfn.XLOOKUP(B143,'Base stats'!B:B,'Base stats'!E:E),Groups!A:A,Groups!L:L)=1,MIN(MROUND(_xlfn.XLOOKUP(B143,'Animals CE'!B:B,'Animals CE'!Z:Z)/2+0.05,0.05),200%),"No")</f>
        <v>No</v>
      </c>
      <c r="O143" s="8" t="str">
        <f>IF(_xlfn.XLOOKUP(_xlfn.XLOOKUP(B143,'Base stats'!B:B,'Base stats'!E:E),Groups!A:A,Groups!L:L)=1,MIN(MROUND(_xlfn.XLOOKUP(B143,'Animals CE'!B:B,'Animals CE'!AA:AA)/2+0.05,0.05),200%),"No")</f>
        <v>No</v>
      </c>
      <c r="P143" s="2" t="str">
        <f>_xlfn.XLOOKUP(B143,'Base stats'!B:B,'Base stats'!R:R)</f>
        <v>Standard</v>
      </c>
      <c r="Q143" s="13">
        <f>MROUND((LOG10(_xlfn.XLOOKUP(B143,'Base stats'!B:B,'Base stats'!AP:AP))*(AO143^0.5)+(_xlfn.XLOOKUP(B143,'Base stats'!B:B,'Base stats'!AP:AP)/1000)^(2/3)+_xlfn.XLOOKUP(B143,'Base stats'!B:B,'Base stats'!AY:AY)/2)+0.5,0.5)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stats'!AQ:AQ))*(AO143^0.5)+(_xlfn.XLOOKUP(B143,'Base stats'!B:B,'Base stats'!AQ:AQ)/1000)^(2/3)+_xlfn.XLOOKUP(B143,'Base stats'!B:B,'Base stats'!AY:AY))+_xlfn.XLOOKUP(B143,'Base stats'!B:B,'Base stats'!AW:AW)+0.5,0.5))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stats'!AS:AS))*(AO143^0.5)+(_xlfn.XLOOKUP(B143,'Base stats'!B:B,'Base stats'!AS:AS)/1000)^(2/3)+_xlfn.XLOOKUP(B143,'Base stats'!B:B,'Base stats'!AX:AX))+0.5+IF(_xlfn.XLOOKUP(_xlfn.XLOOKUP(B143,'Base stats'!B:B,'Base stats'!E:E),Groups!A:A,Groups!U:U)&lt;&gt;3,_xlfn.XLOOKUP(B143,'Base stats'!B:B,'Base stats'!AY:AY),0),0.5))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stats'!AR:AR)="No","No",MROUND((LOG10(_xlfn.XLOOKUP(B143,'Base stats'!B:B,'Base stats'!AR:AR))*(AO143^0.75)+(_xlfn.XLOOKUP(B143,'Base stats'!B:B,'Base stats'!AR:AR)/1000)^(2/3)+_xlfn.XLOOKUP(B143,'Base stats'!B:B,'Base stats'!AV:AV)+_xlfn.XLOOKUP(B143,'Base stats'!B:B,'Base stats'!AY:AY))+0.5,0.5))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stats'!AQ:AQ))*(AO143^0.75)+(_xlfn.XLOOKUP(B143,'Base stats'!B:B,'Base stats'!AQ:AQ)/1000)^(2/3)+_xlfn.XLOOKUP(B143,'Base stats'!B:B,'Base stats'!AW:AW)+_xlfn.XLOOKUP(B143,'Base stats'!B:B,'Base stats'!AY:AY))+0.5,0.5))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5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IFERROR(IF(_xlfn.XLOOKUP(B143,'Base stats'!B:B,'Base stats'!F:F)="Lay eggs","Lay eggs",MIN(20,MAX(5.5,ROUND(((_xlfn.XLOOKUP(B143,'Base stats'!B:B,'Base stats'!F:F)-25)*(14.5/615) + 5.5)*2,0)/2))),"Cannot breed")</f>
        <v>6.5</v>
      </c>
      <c r="AT143" s="8">
        <f>IF(OR(A143="Queen",A143="Larva",A143="Megachicken",A143="Megatardi",A143="Toxscorpion"),"No",IFERROR(MAX(IF(_xlfn.XLOOKUP(B143,'Base stats'!B:B,'Base stats'!G:G)&lt;0.5,0.2,0.3),MROUND(_xlfn.XLOOKUP(B143,'Base stats'!B:B,'Base stats'!G:G)/(365/60),0.2)),"Unknown"))</f>
        <v>0.3</v>
      </c>
      <c r="AU143" s="8">
        <f t="shared" si="14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_xlfn.XLOOKUP(B143,'Base stats'!B:B,'Base stats'!AF:AF)</f>
        <v>&lt;li&gt;YorkshireTerrier&lt;/li&gt;</v>
      </c>
      <c r="BB143" s="2" t="str">
        <f>_xlfn.XLOOKUP(B143,'Base stats'!B:B,'Base stats'!AE:AE)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stats'!Z:Z)=0),0,IF(OR(_xlfn.XLOOKUP(Animals!B143,'Base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stats'!AA:AA),0.005))</f>
        <v>0</v>
      </c>
      <c r="BE143" s="23">
        <f>MIN(1,MROUND(IF(AND(AO143&lt;0.5,_xlfn.XLOOKUP(B143,'Base stats'!B:B,'Base stats'!Z:Z)=0),0,IF(_xlfn.XLOOKUP(_xlfn.XLOOKUP(B143,'Base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stats'!AB:AB),0.005))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stats'!AL:AL)="Standard","No",MROUND((_xlfn.XLOOKUP(B143,'Base stats'!B:B,'Base stats'!AL:AL)/3.6)/I143,0.1))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stats'!AC:AC)&lt;&gt;"No",_xlfn.XLOOKUP(B143,'Base stats'!B:B,'Base stats'!AC:AC),"")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stats'!AC:AC)&lt;&gt;"No",_xlfn.XLOOKUP(B143,'Base stats'!B:B,'Base stats'!AC:AC),"")
  )
)</f>
        <v>AttackTarget, Forage, Comfort</v>
      </c>
      <c r="BQ143" s="25" t="str">
        <f>IF(
   AND(
      'Base stats'!AL143="Standard",_xlfn.XLOOKUP(_xlfn.XLOOKUP(B143,'Base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stats'!AT:AT) * 1.8) * 2) * 2.5 + 10 + I143 * 2,5)+IF(_xlfn.XLOOKUP(B143,'Base stats'!B:B,'Base stats'!AI:AI)=1,50,0)</f>
        <v>85</v>
      </c>
      <c r="BS143" s="8">
        <f t="shared" si="19"/>
        <v>0.55000000000000004</v>
      </c>
      <c r="BT143" s="8" t="str">
        <f>_xlfn.XLOOKUP(B143,'Base stats'!B:B,'Base stats'!AD:AD)</f>
        <v>2~4</v>
      </c>
      <c r="BU143" s="2" t="str">
        <f>IF(AND(J143&lt;=0.95,OR(_xlfn.XLOOKUP(B143,'Base stats'!B:B,'Base stats'!AI:AI)=1,_xlfn.XLOOKUP(B143,'Base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stats'!AG:AG)=1,"true","false")</f>
        <v>false</v>
      </c>
      <c r="BW143" s="25" t="str">
        <f>IF(E143="BaseInsect","AnimalInsect",
IF(J143&gt;0.95,"AnimalExotic",
_xlfn.TEXTJOIN(", ",TRUE,
IF(OR(_xlfn.XLOOKUP(B143,'Base stats'!B:B,'Base stats'!AK:AK)=1,AND(_xlfn.XLOOKUP(B143,'Base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stats'!AI:AI)=1,AND(BI143&lt;&gt;"None",BR143&gt;=60),ISNUMBER(SEARCH("Attack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stats'!AH:AH)=1,"true","false")</f>
        <v>false</v>
      </c>
      <c r="BZ143" s="25">
        <f>IF(_xlfn.XLOOKUP(B143,'Base stats'!B:B,'Base stats'!N:N)=1,"No",MAX(0.01,MIN(MROUND(IF(OR(_xlfn.XLOOKUP(B143,'Base stats'!B:B,'Base stats'!AK:AK)=1,AND(BJ143="True",CC143="False")),POWER(10,3.47*LOG10(_xlfn.XLOOKUP(B143,'Base stats'!B:B,'Base stats'!C:C)*1000)^-0.96),POWER(10,4.15*LOG10(_xlfn.XLOOKUP(B143,'Base stats'!B:B,'Base stats'!C:C)*1000)^-0.73))*IF(OR(_xlfn.XLOOKUP(B143,'Base stats'!B:B,'Base stats'!AK:AK)=1,_xlfn.XLOOKUP(B143,'Base stats'!B:B,'Base stats'!AI:AI)=1),0.5,1)/100,0.025),1)))</f>
        <v>7.5000000000000011E-2</v>
      </c>
      <c r="CA143" s="25" t="str">
        <f>IF(P143="Standard","No",MAX(0.01,IF(_xlfn.XLOOKUP(B143,'Base stats'!B:B,'Base stats'!N:N)=0,MROUND(BZ143*P143,0.05),MIN(1,MAX(0.025,MROUND(IF(OR(CC143="true",AND(BJ143="false",BO143="false")),POWER(10,4.15*LOG10(_xlfn.XLOOKUP(B143,'Base stats'!B:B,'Base stats'!C:C)*1000)^-0.73),POWER(10,3.47*LOG10(_xlfn.XLOOKUP(B143,'Base stats'!B:B,'Base stats'!C:C)*1000)^-0.96))*IF(_xlfn.XLOOKUP(B143,'Base stats'!B:B,'Base stats'!AI:AI)=1,0.5,1)/100,0.025))))))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909</v>
      </c>
      <c r="C144" s="28" t="s">
        <v>837</v>
      </c>
      <c r="D144" s="28" t="s">
        <v>884</v>
      </c>
      <c r="E144" s="28" t="s">
        <v>685</v>
      </c>
      <c r="F144" s="28" t="s">
        <v>685</v>
      </c>
      <c r="G144" s="28" t="s">
        <v>685</v>
      </c>
      <c r="H144" s="2">
        <f>MROUND((
  (IF(AND(_xlfn.XLOOKUP(B144,'Base stats'!B:B,'Base stats'!AJ:AJ)=0,BI144="None",_xlfn.XLOOKUP(_xlfn.XLOOKUP(B144,'Base stats'!B:B,'Base stats'!E:E),Groups!A:A,Groups!B:B)=0), (18 + BR144 * 2.7) * 0.5,
    IF(AND(_xlfn.XLOOKUP(B144,'Base stats'!B:B,'Base stats'!AJ:AJ)=0,OR(AO144&lt;0.55,AND(BI144="Intermediate",_xlfn.XLOOKUP(_xlfn.XLOOKUP(B144,'Base stats'!B:B,'Base stats'!E:E),Groups!A:A,Groups!B:B)&lt;2))), (18 + BR144 * 2.7),
      IF(OR(BI144="Advanced",_xlfn.XLOOKUP(B144,'Base stats'!B:B,'Base stats'!AJ:AJ)=1,_xlfn.XLOOKUP(_xlfn.XLOOKUP(B144,'Base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IF(_xlfn.XLOOKUP(_xlfn.XLOOKUP(B144,'Base stats'!B:B,'Base stats'!E:E),Groups!A:A,Groups!C:C)="Untamable",1,IF(_xlfn.XLOOKUP(B144,'Base stats'!B:B,'Base stats'!AJ:AJ)=1,0.99,MIN(MROUND((1-0.6282*EXP(-0.459*AO144))*_xlfn.XLOOKUP(_xlfn.XLOOKUP(B144,'Base stats'!B:B,'Base stats'!E:E),Groups!A:A,Groups!C:C)*IF(_xlfn.XLOOKUP(B144,'Base stats'!B:B,'Base stats'!O:O)=1,0.5,IF(_xlfn.XLOOKUP(B144,'Base stats'!B:B,'Base stats'!O:O)=2,0,1)),0.05),0.985)))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IF(_xlfn.XLOOKUP(_xlfn.XLOOKUP(B144,'Base stats'!B:B,'Base stats'!E:E),Groups!A:A,Groups!L:L)=1,MIN(MROUND(_xlfn.XLOOKUP(B144,'Animals CE'!B:B,'Animals CE'!Z:Z)/2+0.05,0.05),200%),"No")</f>
        <v>No</v>
      </c>
      <c r="O144" s="8" t="str">
        <f>IF(_xlfn.XLOOKUP(_xlfn.XLOOKUP(B144,'Base stats'!B:B,'Base stats'!E:E),Groups!A:A,Groups!L:L)=1,MIN(MROUND(_xlfn.XLOOKUP(B144,'Animals CE'!B:B,'Animals CE'!AA:AA)/2+0.05,0.05),200%),"No")</f>
        <v>No</v>
      </c>
      <c r="P144" s="2" t="str">
        <f>_xlfn.XLOOKUP(B144,'Base stats'!B:B,'Base stats'!R:R)</f>
        <v>Standard</v>
      </c>
      <c r="Q144" s="13">
        <f>MROUND((LOG10(_xlfn.XLOOKUP(B144,'Base stats'!B:B,'Base stats'!AP:AP))*(AO144^0.5)+(_xlfn.XLOOKUP(B144,'Base stats'!B:B,'Base stats'!AP:AP)/1000)^(2/3)+_xlfn.XLOOKUP(B144,'Base stats'!B:B,'Base stats'!AY:AY)/2)+0.5,0.5)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stats'!AQ:AQ))*(AO144^0.5)+(_xlfn.XLOOKUP(B144,'Base stats'!B:B,'Base stats'!AQ:AQ)/1000)^(2/3)+_xlfn.XLOOKUP(B144,'Base stats'!B:B,'Base stats'!AY:AY))+_xlfn.XLOOKUP(B144,'Base stats'!B:B,'Base stats'!AW:AW)+0.5,0.5))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stats'!AS:AS))*(AO144^0.5)+(_xlfn.XLOOKUP(B144,'Base stats'!B:B,'Base stats'!AS:AS)/1000)^(2/3)+_xlfn.XLOOKUP(B144,'Base stats'!B:B,'Base stats'!AX:AX))+0.5+IF(_xlfn.XLOOKUP(_xlfn.XLOOKUP(B144,'Base stats'!B:B,'Base stats'!E:E),Groups!A:A,Groups!U:U)&lt;&gt;3,_xlfn.XLOOKUP(B144,'Base stats'!B:B,'Base stats'!AY:AY),0),0.5))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stats'!AR:AR)="No","No",MROUND((LOG10(_xlfn.XLOOKUP(B144,'Base stats'!B:B,'Base stats'!AR:AR))*(AO144^0.75)+(_xlfn.XLOOKUP(B144,'Base stats'!B:B,'Base stats'!AR:AR)/1000)^(2/3)+_xlfn.XLOOKUP(B144,'Base stats'!B:B,'Base stats'!AV:AV)+_xlfn.XLOOKUP(B144,'Base stats'!B:B,'Base stats'!AY:AY))+0.5,0.5))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stats'!AQ:AQ))*(AO144^0.75)+(_xlfn.XLOOKUP(B144,'Base stats'!B:B,'Base stats'!AQ:AQ)/1000)^(2/3)+_xlfn.XLOOKUP(B144,'Base stats'!B:B,'Base stats'!AW:AW)+_xlfn.XLOOKUP(B144,'Base stats'!B:B,'Base stats'!AY:AY))+0.5,0.5))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5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IFERROR(IF(_xlfn.XLOOKUP(B144,'Base stats'!B:B,'Base stats'!F:F)="Lay eggs","Lay eggs",MIN(20,MAX(5.5,ROUND(((_xlfn.XLOOKUP(B144,'Base stats'!B:B,'Base stats'!F:F)-25)*(14.5/615) + 5.5)*2,0)/2))),"Cannot breed")</f>
        <v>6.5</v>
      </c>
      <c r="AT144" s="8">
        <f>IF(OR(A144="Queen",A144="Larva",A144="Megachicken",A144="Megatardi",A144="Toxscorpion"),"No",IFERROR(MAX(IF(_xlfn.XLOOKUP(B144,'Base stats'!B:B,'Base stats'!G:G)&lt;0.5,0.2,0.3),MROUND(_xlfn.XLOOKUP(B144,'Base stats'!B:B,'Base stats'!G:G)/(365/60),0.2)),"Unknown"))</f>
        <v>0.3</v>
      </c>
      <c r="AU144" s="8">
        <f t="shared" si="14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_xlfn.XLOOKUP(B144,'Base stats'!B:B,'Base stats'!AF:AF)</f>
        <v>&lt;li&gt;YorkshireTerrier&lt;/li&gt;</v>
      </c>
      <c r="BB144" s="2" t="str">
        <f>_xlfn.XLOOKUP(B144,'Base stats'!B:B,'Base stats'!AE:AE)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stats'!Z:Z)=0),0,IF(OR(_xlfn.XLOOKUP(Animals!B144,'Base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stats'!AA:AA),0.005))</f>
        <v>0</v>
      </c>
      <c r="BE144" s="23">
        <f>MIN(1,MROUND(IF(AND(AO144&lt;0.5,_xlfn.XLOOKUP(B144,'Base stats'!B:B,'Base stats'!Z:Z)=0),0,IF(_xlfn.XLOOKUP(_xlfn.XLOOKUP(B144,'Base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stats'!AB:AB),0.005))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stats'!AL:AL)="Standard","No",MROUND((_xlfn.XLOOKUP(B144,'Base stats'!B:B,'Base stats'!AL:AL)/3.6)/I144,0.1))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stats'!AC:AC)&lt;&gt;"No",_xlfn.XLOOKUP(B144,'Base stats'!B:B,'Base stats'!AC:AC),"")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stats'!AC:AC)&lt;&gt;"No",_xlfn.XLOOKUP(B144,'Base stats'!B:B,'Base stats'!AC:AC),"")
  )
)</f>
        <v>AttackTarget, Forage, Comfort</v>
      </c>
      <c r="BQ144" s="25" t="str">
        <f>IF(
   AND(
      'Base stats'!AL144="Standard",_xlfn.XLOOKUP(_xlfn.XLOOKUP(B144,'Base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stats'!AT:AT) * 1.8) * 2) * 2.5 + 10 + I144 * 2,5)+IF(_xlfn.XLOOKUP(B144,'Base stats'!B:B,'Base stats'!AI:AI)=1,50,0)</f>
        <v>105</v>
      </c>
      <c r="BS144" s="8">
        <f t="shared" si="19"/>
        <v>0.65</v>
      </c>
      <c r="BT144" s="8" t="str">
        <f>_xlfn.XLOOKUP(B144,'Base stats'!B:B,'Base stats'!AD:AD)</f>
        <v>2~4</v>
      </c>
      <c r="BU144" s="2" t="str">
        <f>IF(AND(J144&lt;=0.95,OR(_xlfn.XLOOKUP(B144,'Base stats'!B:B,'Base stats'!AI:AI)=1,_xlfn.XLOOKUP(B144,'Base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stats'!AG:AG)=1,"true","false")</f>
        <v>false</v>
      </c>
      <c r="BW144" s="25" t="str">
        <f>IF(E144="BaseInsect","AnimalInsect",
IF(J144&gt;0.95,"AnimalExotic",
_xlfn.TEXTJOIN(", ",TRUE,
IF(OR(_xlfn.XLOOKUP(B144,'Base stats'!B:B,'Base stats'!AK:AK)=1,AND(_xlfn.XLOOKUP(B144,'Base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stats'!AI:AI)=1,AND(BI144&lt;&gt;"None",BR144&gt;=60),ISNUMBER(SEARCH("Attack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stats'!AH:AH)=1,"true","false")</f>
        <v>false</v>
      </c>
      <c r="BZ144" s="25">
        <f>IF(_xlfn.XLOOKUP(B144,'Base stats'!B:B,'Base stats'!N:N)=1,"No",MAX(0.01,MIN(MROUND(IF(OR(_xlfn.XLOOKUP(B144,'Base stats'!B:B,'Base stats'!AK:AK)=1,AND(BJ144="True",CC144="False")),POWER(10,3.47*LOG10(_xlfn.XLOOKUP(B144,'Base stats'!B:B,'Base stats'!C:C)*1000)^-0.96),POWER(10,4.15*LOG10(_xlfn.XLOOKUP(B144,'Base stats'!B:B,'Base stats'!C:C)*1000)^-0.73))*IF(OR(_xlfn.XLOOKUP(B144,'Base stats'!B:B,'Base stats'!AK:AK)=1,_xlfn.XLOOKUP(B144,'Base stats'!B:B,'Base stats'!AI:AI)=1),0.5,1)/100,0.025),1)))</f>
        <v>0.05</v>
      </c>
      <c r="CA144" s="25" t="str">
        <f>IF(P144="Standard","No",MAX(0.01,IF(_xlfn.XLOOKUP(B144,'Base stats'!B:B,'Base stats'!N:N)=0,MROUND(BZ144*P144,0.05),MIN(1,MAX(0.025,MROUND(IF(OR(CC144="true",AND(BJ144="false",BO144="false")),POWER(10,4.15*LOG10(_xlfn.XLOOKUP(B144,'Base stats'!B:B,'Base stats'!C:C)*1000)^-0.73),POWER(10,3.47*LOG10(_xlfn.XLOOKUP(B144,'Base stats'!B:B,'Base stats'!C:C)*1000)^-0.96))*IF(_xlfn.XLOOKUP(B144,'Base stats'!B:B,'Base stats'!AI:AI)=1,0.5,1)/100,0.025))))))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910</v>
      </c>
      <c r="C145" s="28" t="s">
        <v>838</v>
      </c>
      <c r="D145" s="28" t="s">
        <v>884</v>
      </c>
      <c r="E145" s="28" t="s">
        <v>685</v>
      </c>
      <c r="F145" s="28" t="s">
        <v>685</v>
      </c>
      <c r="G145" s="28" t="s">
        <v>685</v>
      </c>
      <c r="H145" s="2">
        <f>MROUND((
  (IF(AND(_xlfn.XLOOKUP(B145,'Base stats'!B:B,'Base stats'!AJ:AJ)=0,BI145="None",_xlfn.XLOOKUP(_xlfn.XLOOKUP(B145,'Base stats'!B:B,'Base stats'!E:E),Groups!A:A,Groups!B:B)=0), (18 + BR145 * 2.7) * 0.5,
    IF(AND(_xlfn.XLOOKUP(B145,'Base stats'!B:B,'Base stats'!AJ:AJ)=0,OR(AO145&lt;0.55,AND(BI145="Intermediate",_xlfn.XLOOKUP(_xlfn.XLOOKUP(B145,'Base stats'!B:B,'Base stats'!E:E),Groups!A:A,Groups!B:B)&lt;2))), (18 + BR145 * 2.7),
      IF(OR(BI145="Advanced",_xlfn.XLOOKUP(B145,'Base stats'!B:B,'Base stats'!AJ:AJ)=1,_xlfn.XLOOKUP(_xlfn.XLOOKUP(B145,'Base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IF(_xlfn.XLOOKUP(_xlfn.XLOOKUP(B145,'Base stats'!B:B,'Base stats'!E:E),Groups!A:A,Groups!C:C)="Untamable",1,IF(_xlfn.XLOOKUP(B145,'Base stats'!B:B,'Base stats'!AJ:AJ)=1,0.99,MIN(MROUND((1-0.6282*EXP(-0.459*AO145))*_xlfn.XLOOKUP(_xlfn.XLOOKUP(B145,'Base stats'!B:B,'Base stats'!E:E),Groups!A:A,Groups!C:C)*IF(_xlfn.XLOOKUP(B145,'Base stats'!B:B,'Base stats'!O:O)=1,0.5,IF(_xlfn.XLOOKUP(B145,'Base stats'!B:B,'Base stats'!O:O)=2,0,1)),0.05),0.985)))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IF(_xlfn.XLOOKUP(_xlfn.XLOOKUP(B145,'Base stats'!B:B,'Base stats'!E:E),Groups!A:A,Groups!L:L)=1,MIN(MROUND(_xlfn.XLOOKUP(B145,'Animals CE'!B:B,'Animals CE'!Z:Z)/2+0.05,0.05),200%),"No")</f>
        <v>No</v>
      </c>
      <c r="O145" s="8" t="str">
        <f>IF(_xlfn.XLOOKUP(_xlfn.XLOOKUP(B145,'Base stats'!B:B,'Base stats'!E:E),Groups!A:A,Groups!L:L)=1,MIN(MROUND(_xlfn.XLOOKUP(B145,'Animals CE'!B:B,'Animals CE'!AA:AA)/2+0.05,0.05),200%),"No")</f>
        <v>No</v>
      </c>
      <c r="P145" s="2" t="str">
        <f>_xlfn.XLOOKUP(B145,'Base stats'!B:B,'Base stats'!R:R)</f>
        <v>Standard</v>
      </c>
      <c r="Q145" s="13">
        <f>MROUND((LOG10(_xlfn.XLOOKUP(B145,'Base stats'!B:B,'Base stats'!AP:AP))*(AO145^0.5)+(_xlfn.XLOOKUP(B145,'Base stats'!B:B,'Base stats'!AP:AP)/1000)^(2/3)+_xlfn.XLOOKUP(B145,'Base stats'!B:B,'Base stats'!AY:AY)/2)+0.5,0.5)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stats'!AQ:AQ))*(AO145^0.5)+(_xlfn.XLOOKUP(B145,'Base stats'!B:B,'Base stats'!AQ:AQ)/1000)^(2/3)+_xlfn.XLOOKUP(B145,'Base stats'!B:B,'Base stats'!AY:AY))+_xlfn.XLOOKUP(B145,'Base stats'!B:B,'Base stats'!AW:AW)+0.5,0.5))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stats'!AS:AS))*(AO145^0.5)+(_xlfn.XLOOKUP(B145,'Base stats'!B:B,'Base stats'!AS:AS)/1000)^(2/3)+_xlfn.XLOOKUP(B145,'Base stats'!B:B,'Base stats'!AX:AX))+0.5+IF(_xlfn.XLOOKUP(_xlfn.XLOOKUP(B145,'Base stats'!B:B,'Base stats'!E:E),Groups!A:A,Groups!U:U)&lt;&gt;3,_xlfn.XLOOKUP(B145,'Base stats'!B:B,'Base stats'!AY:AY),0),0.5))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stats'!AR:AR)="No","No",MROUND((LOG10(_xlfn.XLOOKUP(B145,'Base stats'!B:B,'Base stats'!AR:AR))*(AO145^0.75)+(_xlfn.XLOOKUP(B145,'Base stats'!B:B,'Base stats'!AR:AR)/1000)^(2/3)+_xlfn.XLOOKUP(B145,'Base stats'!B:B,'Base stats'!AV:AV)+_xlfn.XLOOKUP(B145,'Base stats'!B:B,'Base stats'!AY:AY))+0.5,0.5))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stats'!AQ:AQ))*(AO145^0.75)+(_xlfn.XLOOKUP(B145,'Base stats'!B:B,'Base stats'!AQ:AQ)/1000)^(2/3)+_xlfn.XLOOKUP(B145,'Base stats'!B:B,'Base stats'!AW:AW)+_xlfn.XLOOKUP(B145,'Base stats'!B:B,'Base stats'!AY:AY))+0.5,0.5))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5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IFERROR(IF(_xlfn.XLOOKUP(B145,'Base stats'!B:B,'Base stats'!F:F)="Lay eggs","Lay eggs",MIN(20,MAX(5.5,ROUND(((_xlfn.XLOOKUP(B145,'Base stats'!B:B,'Base stats'!F:F)-25)*(14.5/615) + 5.5)*2,0)/2))),"Cannot breed")</f>
        <v>6.5</v>
      </c>
      <c r="AT145" s="8">
        <f>IF(OR(A145="Queen",A145="Larva",A145="Megachicken",A145="Megatardi",A145="Toxscorpion"),"No",IFERROR(MAX(IF(_xlfn.XLOOKUP(B145,'Base stats'!B:B,'Base stats'!G:G)&lt;0.5,0.2,0.3),MROUND(_xlfn.XLOOKUP(B145,'Base stats'!B:B,'Base stats'!G:G)/(365/60),0.2)),"Unknown"))</f>
        <v>0.3</v>
      </c>
      <c r="AU145" s="8">
        <f t="shared" si="14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_xlfn.XLOOKUP(B145,'Base stats'!B:B,'Base stats'!AF:AF)</f>
        <v>&lt;li&gt;YorkshireTerrier&lt;/li&gt;</v>
      </c>
      <c r="BB145" s="2" t="str">
        <f>_xlfn.XLOOKUP(B145,'Base stats'!B:B,'Base stats'!AE:AE)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stats'!Z:Z)=0),0,IF(OR(_xlfn.XLOOKUP(Animals!B145,'Base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stats'!AA:AA),0.005))</f>
        <v>0</v>
      </c>
      <c r="BE145" s="23">
        <f>MIN(1,MROUND(IF(AND(AO145&lt;0.5,_xlfn.XLOOKUP(B145,'Base stats'!B:B,'Base stats'!Z:Z)=0),0,IF(_xlfn.XLOOKUP(_xlfn.XLOOKUP(B145,'Base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stats'!AB:AB),0.005))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stats'!AL:AL)="Standard","No",MROUND((_xlfn.XLOOKUP(B145,'Base stats'!B:B,'Base stats'!AL:AL)/3.6)/I145,0.1))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stats'!AC:AC)&lt;&gt;"No",_xlfn.XLOOKUP(B145,'Base stats'!B:B,'Base stats'!AC:AC),"")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stats'!AC:AC)&lt;&gt;"No",_xlfn.XLOOKUP(B145,'Base stats'!B:B,'Base stats'!AC:AC),"")
  )
)</f>
        <v>AttackTarget, Forage, Comfort</v>
      </c>
      <c r="BQ145" s="25" t="str">
        <f>IF(
   AND(
      'Base stats'!AL145="Standard",_xlfn.XLOOKUP(_xlfn.XLOOKUP(B145,'Base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stats'!AT:AT) * 1.8) * 2) * 2.5 + 10 + I145 * 2,5)+IF(_xlfn.XLOOKUP(B145,'Base stats'!B:B,'Base stats'!AI:AI)=1,50,0)</f>
        <v>80</v>
      </c>
      <c r="BS145" s="8">
        <f t="shared" si="19"/>
        <v>0.5</v>
      </c>
      <c r="BT145" s="8" t="str">
        <f>_xlfn.XLOOKUP(B145,'Base stats'!B:B,'Base stats'!AD:AD)</f>
        <v>2~4</v>
      </c>
      <c r="BU145" s="2" t="str">
        <f>IF(AND(J145&lt;=0.95,OR(_xlfn.XLOOKUP(B145,'Base stats'!B:B,'Base stats'!AI:AI)=1,_xlfn.XLOOKUP(B145,'Base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stats'!AG:AG)=1,"true","false")</f>
        <v>false</v>
      </c>
      <c r="BW145" s="25" t="str">
        <f>IF(E145="BaseInsect","AnimalInsect",
IF(J145&gt;0.95,"AnimalExotic",
_xlfn.TEXTJOIN(", ",TRUE,
IF(OR(_xlfn.XLOOKUP(B145,'Base stats'!B:B,'Base stats'!AK:AK)=1,AND(_xlfn.XLOOKUP(B145,'Base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stats'!AI:AI)=1,AND(BI145&lt;&gt;"None",BR145&gt;=60),ISNUMBER(SEARCH("Attack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stats'!AH:AH)=1,"true","false")</f>
        <v>false</v>
      </c>
      <c r="BZ145" s="25">
        <f>IF(_xlfn.XLOOKUP(B145,'Base stats'!B:B,'Base stats'!N:N)=1,"No",MAX(0.01,MIN(MROUND(IF(OR(_xlfn.XLOOKUP(B145,'Base stats'!B:B,'Base stats'!AK:AK)=1,AND(BJ145="True",CC145="False")),POWER(10,3.47*LOG10(_xlfn.XLOOKUP(B145,'Base stats'!B:B,'Base stats'!C:C)*1000)^-0.96),POWER(10,4.15*LOG10(_xlfn.XLOOKUP(B145,'Base stats'!B:B,'Base stats'!C:C)*1000)^-0.73))*IF(OR(_xlfn.XLOOKUP(B145,'Base stats'!B:B,'Base stats'!AK:AK)=1,_xlfn.XLOOKUP(B145,'Base stats'!B:B,'Base stats'!AI:AI)=1),0.5,1)/100,0.025),1)))</f>
        <v>7.5000000000000011E-2</v>
      </c>
      <c r="CA145" s="25" t="str">
        <f>IF(P145="Standard","No",MAX(0.01,IF(_xlfn.XLOOKUP(B145,'Base stats'!B:B,'Base stats'!N:N)=0,MROUND(BZ145*P145,0.05),MIN(1,MAX(0.025,MROUND(IF(OR(CC145="true",AND(BJ145="false",BO145="false")),POWER(10,4.15*LOG10(_xlfn.XLOOKUP(B145,'Base stats'!B:B,'Base stats'!C:C)*1000)^-0.73),POWER(10,3.47*LOG10(_xlfn.XLOOKUP(B145,'Base stats'!B:B,'Base stats'!C:C)*1000)^-0.96))*IF(_xlfn.XLOOKUP(B145,'Base stats'!B:B,'Base stats'!AI:AI)=1,0.5,1)/100,0.025))))))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911</v>
      </c>
      <c r="C146" s="28" t="s">
        <v>839</v>
      </c>
      <c r="D146" s="28" t="s">
        <v>884</v>
      </c>
      <c r="E146" s="28" t="s">
        <v>685</v>
      </c>
      <c r="F146" s="28" t="s">
        <v>685</v>
      </c>
      <c r="G146" s="28" t="s">
        <v>685</v>
      </c>
      <c r="H146" s="2">
        <f>MROUND((
  (IF(AND(_xlfn.XLOOKUP(B146,'Base stats'!B:B,'Base stats'!AJ:AJ)=0,BI146="None",_xlfn.XLOOKUP(_xlfn.XLOOKUP(B146,'Base stats'!B:B,'Base stats'!E:E),Groups!A:A,Groups!B:B)=0), (18 + BR146 * 2.7) * 0.5,
    IF(AND(_xlfn.XLOOKUP(B146,'Base stats'!B:B,'Base stats'!AJ:AJ)=0,OR(AO146&lt;0.55,AND(BI146="Intermediate",_xlfn.XLOOKUP(_xlfn.XLOOKUP(B146,'Base stats'!B:B,'Base stats'!E:E),Groups!A:A,Groups!B:B)&lt;2))), (18 + BR146 * 2.7),
      IF(OR(BI146="Advanced",_xlfn.XLOOKUP(B146,'Base stats'!B:B,'Base stats'!AJ:AJ)=1,_xlfn.XLOOKUP(_xlfn.XLOOKUP(B146,'Base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IF(_xlfn.XLOOKUP(_xlfn.XLOOKUP(B146,'Base stats'!B:B,'Base stats'!E:E),Groups!A:A,Groups!C:C)="Untamable",1,IF(_xlfn.XLOOKUP(B146,'Base stats'!B:B,'Base stats'!AJ:AJ)=1,0.99,MIN(MROUND((1-0.6282*EXP(-0.459*AO146))*_xlfn.XLOOKUP(_xlfn.XLOOKUP(B146,'Base stats'!B:B,'Base stats'!E:E),Groups!A:A,Groups!C:C)*IF(_xlfn.XLOOKUP(B146,'Base stats'!B:B,'Base stats'!O:O)=1,0.5,IF(_xlfn.XLOOKUP(B146,'Base stats'!B:B,'Base stats'!O:O)=2,0,1)),0.05),0.985)))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IF(_xlfn.XLOOKUP(_xlfn.XLOOKUP(B146,'Base stats'!B:B,'Base stats'!E:E),Groups!A:A,Groups!L:L)=1,MIN(MROUND(_xlfn.XLOOKUP(B146,'Animals CE'!B:B,'Animals CE'!Z:Z)/2+0.05,0.05),200%),"No")</f>
        <v>No</v>
      </c>
      <c r="O146" s="8" t="str">
        <f>IF(_xlfn.XLOOKUP(_xlfn.XLOOKUP(B146,'Base stats'!B:B,'Base stats'!E:E),Groups!A:A,Groups!L:L)=1,MIN(MROUND(_xlfn.XLOOKUP(B146,'Animals CE'!B:B,'Animals CE'!AA:AA)/2+0.05,0.05),200%),"No")</f>
        <v>No</v>
      </c>
      <c r="P146" s="2" t="str">
        <f>_xlfn.XLOOKUP(B146,'Base stats'!B:B,'Base stats'!R:R)</f>
        <v>Standard</v>
      </c>
      <c r="Q146" s="13">
        <f>MROUND((LOG10(_xlfn.XLOOKUP(B146,'Base stats'!B:B,'Base stats'!AP:AP))*(AO146^0.5)+(_xlfn.XLOOKUP(B146,'Base stats'!B:B,'Base stats'!AP:AP)/1000)^(2/3)+_xlfn.XLOOKUP(B146,'Base stats'!B:B,'Base stats'!AY:AY)/2)+0.5,0.5)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stats'!AQ:AQ))*(AO146^0.5)+(_xlfn.XLOOKUP(B146,'Base stats'!B:B,'Base stats'!AQ:AQ)/1000)^(2/3)+_xlfn.XLOOKUP(B146,'Base stats'!B:B,'Base stats'!AY:AY))+_xlfn.XLOOKUP(B146,'Base stats'!B:B,'Base stats'!AW:AW)+0.5,0.5))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stats'!AS:AS))*(AO146^0.5)+(_xlfn.XLOOKUP(B146,'Base stats'!B:B,'Base stats'!AS:AS)/1000)^(2/3)+_xlfn.XLOOKUP(B146,'Base stats'!B:B,'Base stats'!AX:AX))+0.5+IF(_xlfn.XLOOKUP(_xlfn.XLOOKUP(B146,'Base stats'!B:B,'Base stats'!E:E),Groups!A:A,Groups!U:U)&lt;&gt;3,_xlfn.XLOOKUP(B146,'Base stats'!B:B,'Base stats'!AY:AY),0),0.5))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stats'!AR:AR)="No","No",MROUND((LOG10(_xlfn.XLOOKUP(B146,'Base stats'!B:B,'Base stats'!AR:AR))*(AO146^0.75)+(_xlfn.XLOOKUP(B146,'Base stats'!B:B,'Base stats'!AR:AR)/1000)^(2/3)+_xlfn.XLOOKUP(B146,'Base stats'!B:B,'Base stats'!AV:AV)+_xlfn.XLOOKUP(B146,'Base stats'!B:B,'Base stats'!AY:AY))+0.5,0.5))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stats'!AQ:AQ))*(AO146^0.75)+(_xlfn.XLOOKUP(B146,'Base stats'!B:B,'Base stats'!AQ:AQ)/1000)^(2/3)+_xlfn.XLOOKUP(B146,'Base stats'!B:B,'Base stats'!AW:AW)+_xlfn.XLOOKUP(B146,'Base stats'!B:B,'Base stats'!AY:AY))+0.5,0.5))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5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IFERROR(IF(_xlfn.XLOOKUP(B146,'Base stats'!B:B,'Base stats'!F:F)="Lay eggs","Lay eggs",MIN(20,MAX(5.5,ROUND(((_xlfn.XLOOKUP(B146,'Base stats'!B:B,'Base stats'!F:F)-25)*(14.5/615) + 5.5)*2,0)/2))),"Cannot breed")</f>
        <v>6.5</v>
      </c>
      <c r="AT146" s="8">
        <f>IF(OR(A146="Queen",A146="Larva",A146="Megachicken",A146="Megatardi",A146="Toxscorpion"),"No",IFERROR(MAX(IF(_xlfn.XLOOKUP(B146,'Base stats'!B:B,'Base stats'!G:G)&lt;0.5,0.2,0.3),MROUND(_xlfn.XLOOKUP(B146,'Base stats'!B:B,'Base stats'!G:G)/(365/60),0.2)),"Unknown"))</f>
        <v>0.3</v>
      </c>
      <c r="AU146" s="8">
        <f t="shared" si="14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_xlfn.XLOOKUP(B146,'Base stats'!B:B,'Base stats'!AF:AF)</f>
        <v>&lt;li&gt;YorkshireTerrier&lt;/li&gt;</v>
      </c>
      <c r="BB146" s="2" t="str">
        <f>_xlfn.XLOOKUP(B146,'Base stats'!B:B,'Base stats'!AE:AE)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stats'!Z:Z)=0),0,IF(OR(_xlfn.XLOOKUP(Animals!B146,'Base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stats'!AA:AA),0.005))</f>
        <v>0</v>
      </c>
      <c r="BE146" s="23">
        <f>MIN(1,MROUND(IF(AND(AO146&lt;0.5,_xlfn.XLOOKUP(B146,'Base stats'!B:B,'Base stats'!Z:Z)=0),0,IF(_xlfn.XLOOKUP(_xlfn.XLOOKUP(B146,'Base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stats'!AB:AB),0.005))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stats'!AL:AL)="Standard","No",MROUND((_xlfn.XLOOKUP(B146,'Base stats'!B:B,'Base stats'!AL:AL)/3.6)/I146,0.1))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stats'!AC:AC)&lt;&gt;"No",_xlfn.XLOOKUP(B146,'Base stats'!B:B,'Base stats'!AC:AC),"")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stats'!AC:AC)&lt;&gt;"No",_xlfn.XLOOKUP(B146,'Base stats'!B:B,'Base stats'!AC:AC),"")
  )
)</f>
        <v>Forage, Comfort</v>
      </c>
      <c r="BQ146" s="25" t="str">
        <f>IF(
   AND(
      'Base stats'!AL146="Standard",_xlfn.XLOOKUP(_xlfn.XLOOKUP(B146,'Base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stats'!AT:AT) * 1.8) * 2) * 2.5 + 10 + I146 * 2,5)+IF(_xlfn.XLOOKUP(B146,'Base stats'!B:B,'Base stats'!AI:AI)=1,50,0)</f>
        <v>50</v>
      </c>
      <c r="BS146" s="8">
        <f t="shared" si="19"/>
        <v>0.30000000000000004</v>
      </c>
      <c r="BT146" s="8" t="str">
        <f>_xlfn.XLOOKUP(B146,'Base stats'!B:B,'Base stats'!AD:AD)</f>
        <v>2~4</v>
      </c>
      <c r="BU146" s="2" t="str">
        <f>IF(AND(J146&lt;=0.95,OR(_xlfn.XLOOKUP(B146,'Base stats'!B:B,'Base stats'!AI:AI)=1,_xlfn.XLOOKUP(B146,'Base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stats'!AG:AG)=1,"true","false")</f>
        <v>false</v>
      </c>
      <c r="BW146" s="25" t="str">
        <f>IF(E146="BaseInsect","AnimalInsect",
IF(J146&gt;0.95,"AnimalExotic",
_xlfn.TEXTJOIN(", ",TRUE,
IF(OR(_xlfn.XLOOKUP(B146,'Base stats'!B:B,'Base stats'!AK:AK)=1,AND(_xlfn.XLOOKUP(B146,'Base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stats'!AI:AI)=1,AND(BI146&lt;&gt;"None",BR146&gt;=60),ISNUMBER(SEARCH("Attack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stats'!AH:AH)=1,"true","false")</f>
        <v>false</v>
      </c>
      <c r="BZ146" s="25">
        <f>IF(_xlfn.XLOOKUP(B146,'Base stats'!B:B,'Base stats'!N:N)=1,"No",MAX(0.01,MIN(MROUND(IF(OR(_xlfn.XLOOKUP(B146,'Base stats'!B:B,'Base stats'!AK:AK)=1,AND(BJ146="True",CC146="False")),POWER(10,3.47*LOG10(_xlfn.XLOOKUP(B146,'Base stats'!B:B,'Base stats'!C:C)*1000)^-0.96),POWER(10,4.15*LOG10(_xlfn.XLOOKUP(B146,'Base stats'!B:B,'Base stats'!C:C)*1000)^-0.73))*IF(OR(_xlfn.XLOOKUP(B146,'Base stats'!B:B,'Base stats'!AK:AK)=1,_xlfn.XLOOKUP(B146,'Base stats'!B:B,'Base stats'!AI:AI)=1),0.5,1)/100,0.025),1)))</f>
        <v>0.1</v>
      </c>
      <c r="CA146" s="25" t="str">
        <f>IF(P146="Standard","No",MAX(0.01,IF(_xlfn.XLOOKUP(B146,'Base stats'!B:B,'Base stats'!N:N)=0,MROUND(BZ146*P146,0.05),MIN(1,MAX(0.025,MROUND(IF(OR(CC146="true",AND(BJ146="false",BO146="false")),POWER(10,4.15*LOG10(_xlfn.XLOOKUP(B146,'Base stats'!B:B,'Base stats'!C:C)*1000)^-0.73),POWER(10,3.47*LOG10(_xlfn.XLOOKUP(B146,'Base stats'!B:B,'Base stats'!C:C)*1000)^-0.96))*IF(_xlfn.XLOOKUP(B146,'Base stats'!B:B,'Base stats'!AI:AI)=1,0.5,1)/100,0.025))))))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912</v>
      </c>
      <c r="C147" s="28" t="s">
        <v>840</v>
      </c>
      <c r="D147" s="28" t="s">
        <v>884</v>
      </c>
      <c r="E147" s="28" t="s">
        <v>685</v>
      </c>
      <c r="F147" s="28" t="s">
        <v>685</v>
      </c>
      <c r="G147" s="28" t="s">
        <v>685</v>
      </c>
      <c r="H147" s="2">
        <f>MROUND((
  (IF(AND(_xlfn.XLOOKUP(B147,'Base stats'!B:B,'Base stats'!AJ:AJ)=0,BI147="None",_xlfn.XLOOKUP(_xlfn.XLOOKUP(B147,'Base stats'!B:B,'Base stats'!E:E),Groups!A:A,Groups!B:B)=0), (18 + BR147 * 2.7) * 0.5,
    IF(AND(_xlfn.XLOOKUP(B147,'Base stats'!B:B,'Base stats'!AJ:AJ)=0,OR(AO147&lt;0.55,AND(BI147="Intermediate",_xlfn.XLOOKUP(_xlfn.XLOOKUP(B147,'Base stats'!B:B,'Base stats'!E:E),Groups!A:A,Groups!B:B)&lt;2))), (18 + BR147 * 2.7),
      IF(OR(BI147="Advanced",_xlfn.XLOOKUP(B147,'Base stats'!B:B,'Base stats'!AJ:AJ)=1,_xlfn.XLOOKUP(_xlfn.XLOOKUP(B147,'Base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IF(_xlfn.XLOOKUP(_xlfn.XLOOKUP(B147,'Base stats'!B:B,'Base stats'!E:E),Groups!A:A,Groups!C:C)="Untamable",1,IF(_xlfn.XLOOKUP(B147,'Base stats'!B:B,'Base stats'!AJ:AJ)=1,0.99,MIN(MROUND((1-0.6282*EXP(-0.459*AO147))*_xlfn.XLOOKUP(_xlfn.XLOOKUP(B147,'Base stats'!B:B,'Base stats'!E:E),Groups!A:A,Groups!C:C)*IF(_xlfn.XLOOKUP(B147,'Base stats'!B:B,'Base stats'!O:O)=1,0.5,IF(_xlfn.XLOOKUP(B147,'Base stats'!B:B,'Base stats'!O:O)=2,0,1)),0.05),0.985)))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IF(_xlfn.XLOOKUP(_xlfn.XLOOKUP(B147,'Base stats'!B:B,'Base stats'!E:E),Groups!A:A,Groups!L:L)=1,MIN(MROUND(_xlfn.XLOOKUP(B147,'Animals CE'!B:B,'Animals CE'!Z:Z)/2+0.05,0.05),200%),"No")</f>
        <v>No</v>
      </c>
      <c r="O147" s="8" t="str">
        <f>IF(_xlfn.XLOOKUP(_xlfn.XLOOKUP(B147,'Base stats'!B:B,'Base stats'!E:E),Groups!A:A,Groups!L:L)=1,MIN(MROUND(_xlfn.XLOOKUP(B147,'Animals CE'!B:B,'Animals CE'!AA:AA)/2+0.05,0.05),200%),"No")</f>
        <v>No</v>
      </c>
      <c r="P147" s="2" t="str">
        <f>_xlfn.XLOOKUP(B147,'Base stats'!B:B,'Base stats'!R:R)</f>
        <v>Standard</v>
      </c>
      <c r="Q147" s="13">
        <f>MROUND((LOG10(_xlfn.XLOOKUP(B147,'Base stats'!B:B,'Base stats'!AP:AP))*(AO147^0.5)+(_xlfn.XLOOKUP(B147,'Base stats'!B:B,'Base stats'!AP:AP)/1000)^(2/3)+_xlfn.XLOOKUP(B147,'Base stats'!B:B,'Base stats'!AY:AY)/2)+0.5,0.5)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stats'!AQ:AQ))*(AO147^0.5)+(_xlfn.XLOOKUP(B147,'Base stats'!B:B,'Base stats'!AQ:AQ)/1000)^(2/3)+_xlfn.XLOOKUP(B147,'Base stats'!B:B,'Base stats'!AY:AY))+_xlfn.XLOOKUP(B147,'Base stats'!B:B,'Base stats'!AW:AW)+0.5,0.5))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stats'!AS:AS))*(AO147^0.5)+(_xlfn.XLOOKUP(B147,'Base stats'!B:B,'Base stats'!AS:AS)/1000)^(2/3)+_xlfn.XLOOKUP(B147,'Base stats'!B:B,'Base stats'!AX:AX))+0.5+IF(_xlfn.XLOOKUP(_xlfn.XLOOKUP(B147,'Base stats'!B:B,'Base stats'!E:E),Groups!A:A,Groups!U:U)&lt;&gt;3,_xlfn.XLOOKUP(B147,'Base stats'!B:B,'Base stats'!AY:AY),0),0.5))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stats'!AR:AR)="No","No",MROUND((LOG10(_xlfn.XLOOKUP(B147,'Base stats'!B:B,'Base stats'!AR:AR))*(AO147^0.75)+(_xlfn.XLOOKUP(B147,'Base stats'!B:B,'Base stats'!AR:AR)/1000)^(2/3)+_xlfn.XLOOKUP(B147,'Base stats'!B:B,'Base stats'!AV:AV)+_xlfn.XLOOKUP(B147,'Base stats'!B:B,'Base stats'!AY:AY))+0.5,0.5))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stats'!AQ:AQ))*(AO147^0.75)+(_xlfn.XLOOKUP(B147,'Base stats'!B:B,'Base stats'!AQ:AQ)/1000)^(2/3)+_xlfn.XLOOKUP(B147,'Base stats'!B:B,'Base stats'!AW:AW)+_xlfn.XLOOKUP(B147,'Base stats'!B:B,'Base stats'!AY:AY))+0.5,0.5))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5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IFERROR(IF(_xlfn.XLOOKUP(B147,'Base stats'!B:B,'Base stats'!F:F)="Lay eggs","Lay eggs",MIN(20,MAX(5.5,ROUND(((_xlfn.XLOOKUP(B147,'Base stats'!B:B,'Base stats'!F:F)-25)*(14.5/615) + 5.5)*2,0)/2))),"Cannot breed")</f>
        <v>6.5</v>
      </c>
      <c r="AT147" s="8">
        <f>IF(OR(A147="Queen",A147="Larva",A147="Megachicken",A147="Megatardi",A147="Toxscorpion"),"No",IFERROR(MAX(IF(_xlfn.XLOOKUP(B147,'Base stats'!B:B,'Base stats'!G:G)&lt;0.5,0.2,0.3),MROUND(_xlfn.XLOOKUP(B147,'Base stats'!B:B,'Base stats'!G:G)/(365/60),0.2)),"Unknown"))</f>
        <v>0.3</v>
      </c>
      <c r="AU147" s="8">
        <f t="shared" si="14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_xlfn.XLOOKUP(B147,'Base stats'!B:B,'Base stats'!AF:AF)</f>
        <v>&lt;li&gt;YorkshireTerrier&lt;/li&gt;</v>
      </c>
      <c r="BB147" s="2" t="str">
        <f>_xlfn.XLOOKUP(B147,'Base stats'!B:B,'Base stats'!AE:AE)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stats'!Z:Z)=0),0,IF(OR(_xlfn.XLOOKUP(Animals!B147,'Base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stats'!AA:AA),0.005))</f>
        <v>0</v>
      </c>
      <c r="BE147" s="23">
        <f>MIN(1,MROUND(IF(AND(AO147&lt;0.5,_xlfn.XLOOKUP(B147,'Base stats'!B:B,'Base stats'!Z:Z)=0),0,IF(_xlfn.XLOOKUP(_xlfn.XLOOKUP(B147,'Base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stats'!AB:AB),0.005))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stats'!AL:AL)="Standard","No",MROUND((_xlfn.XLOOKUP(B147,'Base stats'!B:B,'Base stats'!AL:AL)/3.6)/I147,0.1))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stats'!AC:AC)&lt;&gt;"No",_xlfn.XLOOKUP(B147,'Base stats'!B:B,'Base stats'!AC:AC),"")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stats'!AC:AC)&lt;&gt;"No",_xlfn.XLOOKUP(B147,'Base stats'!B:B,'Base stats'!AC:AC),"")
  )
)</f>
        <v>AttackTarget, Forage, Comfort</v>
      </c>
      <c r="BQ147" s="25" t="str">
        <f>IF(
   AND(
      'Base stats'!AL147="Standard",_xlfn.XLOOKUP(_xlfn.XLOOKUP(B147,'Base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stats'!AT:AT) * 1.8) * 2) * 2.5 + 10 + I147 * 2,5)+IF(_xlfn.XLOOKUP(B147,'Base stats'!B:B,'Base stats'!AI:AI)=1,50,0)</f>
        <v>95</v>
      </c>
      <c r="BS147" s="8">
        <f t="shared" si="19"/>
        <v>0.55000000000000004</v>
      </c>
      <c r="BT147" s="8" t="str">
        <f>_xlfn.XLOOKUP(B147,'Base stats'!B:B,'Base stats'!AD:AD)</f>
        <v>2~4</v>
      </c>
      <c r="BU147" s="2" t="str">
        <f>IF(AND(J147&lt;=0.95,OR(_xlfn.XLOOKUP(B147,'Base stats'!B:B,'Base stats'!AI:AI)=1,_xlfn.XLOOKUP(B147,'Base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stats'!AG:AG)=1,"true","false")</f>
        <v>false</v>
      </c>
      <c r="BW147" s="25" t="str">
        <f>IF(E147="BaseInsect","AnimalInsect",
IF(J147&gt;0.95,"AnimalExotic",
_xlfn.TEXTJOIN(", ",TRUE,
IF(OR(_xlfn.XLOOKUP(B147,'Base stats'!B:B,'Base stats'!AK:AK)=1,AND(_xlfn.XLOOKUP(B147,'Base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stats'!AI:AI)=1,AND(BI147&lt;&gt;"None",BR147&gt;=60),ISNUMBER(SEARCH("Attack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stats'!AH:AH)=1,"true","false")</f>
        <v>false</v>
      </c>
      <c r="BZ147" s="25">
        <f>IF(_xlfn.XLOOKUP(B147,'Base stats'!B:B,'Base stats'!N:N)=1,"No",MAX(0.01,MIN(MROUND(IF(OR(_xlfn.XLOOKUP(B147,'Base stats'!B:B,'Base stats'!AK:AK)=1,AND(BJ147="True",CC147="False")),POWER(10,3.47*LOG10(_xlfn.XLOOKUP(B147,'Base stats'!B:B,'Base stats'!C:C)*1000)^-0.96),POWER(10,4.15*LOG10(_xlfn.XLOOKUP(B147,'Base stats'!B:B,'Base stats'!C:C)*1000)^-0.73))*IF(OR(_xlfn.XLOOKUP(B147,'Base stats'!B:B,'Base stats'!AK:AK)=1,_xlfn.XLOOKUP(B147,'Base stats'!B:B,'Base stats'!AI:AI)=1),0.5,1)/100,0.025),1)))</f>
        <v>0.05</v>
      </c>
      <c r="CA147" s="25" t="str">
        <f>IF(P147="Standard","No",MAX(0.01,IF(_xlfn.XLOOKUP(B147,'Base stats'!B:B,'Base stats'!N:N)=0,MROUND(BZ147*P147,0.05),MIN(1,MAX(0.025,MROUND(IF(OR(CC147="true",AND(BJ147="false",BO147="false")),POWER(10,4.15*LOG10(_xlfn.XLOOKUP(B147,'Base stats'!B:B,'Base stats'!C:C)*1000)^-0.73),POWER(10,3.47*LOG10(_xlfn.XLOOKUP(B147,'Base stats'!B:B,'Base stats'!C:C)*1000)^-0.96))*IF(_xlfn.XLOOKUP(B147,'Base stats'!B:B,'Base stats'!AI:AI)=1,0.5,1)/100,0.025))))))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913</v>
      </c>
      <c r="C148" s="28" t="s">
        <v>841</v>
      </c>
      <c r="D148" s="28" t="s">
        <v>884</v>
      </c>
      <c r="E148" s="28" t="s">
        <v>685</v>
      </c>
      <c r="F148" s="28" t="s">
        <v>685</v>
      </c>
      <c r="G148" s="28" t="s">
        <v>685</v>
      </c>
      <c r="H148" s="2">
        <f>MROUND((
  (IF(AND(_xlfn.XLOOKUP(B148,'Base stats'!B:B,'Base stats'!AJ:AJ)=0,BI148="None",_xlfn.XLOOKUP(_xlfn.XLOOKUP(B148,'Base stats'!B:B,'Base stats'!E:E),Groups!A:A,Groups!B:B)=0), (18 + BR148 * 2.7) * 0.5,
    IF(AND(_xlfn.XLOOKUP(B148,'Base stats'!B:B,'Base stats'!AJ:AJ)=0,OR(AO148&lt;0.55,AND(BI148="Intermediate",_xlfn.XLOOKUP(_xlfn.XLOOKUP(B148,'Base stats'!B:B,'Base stats'!E:E),Groups!A:A,Groups!B:B)&lt;2))), (18 + BR148 * 2.7),
      IF(OR(BI148="Advanced",_xlfn.XLOOKUP(B148,'Base stats'!B:B,'Base stats'!AJ:AJ)=1,_xlfn.XLOOKUP(_xlfn.XLOOKUP(B148,'Base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IF(_xlfn.XLOOKUP(_xlfn.XLOOKUP(B148,'Base stats'!B:B,'Base stats'!E:E),Groups!A:A,Groups!C:C)="Untamable",1,IF(_xlfn.XLOOKUP(B148,'Base stats'!B:B,'Base stats'!AJ:AJ)=1,0.99,MIN(MROUND((1-0.6282*EXP(-0.459*AO148))*_xlfn.XLOOKUP(_xlfn.XLOOKUP(B148,'Base stats'!B:B,'Base stats'!E:E),Groups!A:A,Groups!C:C)*IF(_xlfn.XLOOKUP(B148,'Base stats'!B:B,'Base stats'!O:O)=1,0.5,IF(_xlfn.XLOOKUP(B148,'Base stats'!B:B,'Base stats'!O:O)=2,0,1)),0.05),0.985)))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IF(_xlfn.XLOOKUP(_xlfn.XLOOKUP(B148,'Base stats'!B:B,'Base stats'!E:E),Groups!A:A,Groups!L:L)=1,MIN(MROUND(_xlfn.XLOOKUP(B148,'Animals CE'!B:B,'Animals CE'!Z:Z)/2+0.05,0.05),200%),"No")</f>
        <v>No</v>
      </c>
      <c r="O148" s="8" t="str">
        <f>IF(_xlfn.XLOOKUP(_xlfn.XLOOKUP(B148,'Base stats'!B:B,'Base stats'!E:E),Groups!A:A,Groups!L:L)=1,MIN(MROUND(_xlfn.XLOOKUP(B148,'Animals CE'!B:B,'Animals CE'!AA:AA)/2+0.05,0.05),200%),"No")</f>
        <v>No</v>
      </c>
      <c r="P148" s="2" t="str">
        <f>_xlfn.XLOOKUP(B148,'Base stats'!B:B,'Base stats'!R:R)</f>
        <v>Standard</v>
      </c>
      <c r="Q148" s="13">
        <f>MROUND((LOG10(_xlfn.XLOOKUP(B148,'Base stats'!B:B,'Base stats'!AP:AP))*(AO148^0.5)+(_xlfn.XLOOKUP(B148,'Base stats'!B:B,'Base stats'!AP:AP)/1000)^(2/3)+_xlfn.XLOOKUP(B148,'Base stats'!B:B,'Base stats'!AY:AY)/2)+0.5,0.5)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stats'!AQ:AQ))*(AO148^0.5)+(_xlfn.XLOOKUP(B148,'Base stats'!B:B,'Base stats'!AQ:AQ)/1000)^(2/3)+_xlfn.XLOOKUP(B148,'Base stats'!B:B,'Base stats'!AY:AY))+_xlfn.XLOOKUP(B148,'Base stats'!B:B,'Base stats'!AW:AW)+0.5,0.5))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stats'!AS:AS))*(AO148^0.5)+(_xlfn.XLOOKUP(B148,'Base stats'!B:B,'Base stats'!AS:AS)/1000)^(2/3)+_xlfn.XLOOKUP(B148,'Base stats'!B:B,'Base stats'!AX:AX))+0.5+IF(_xlfn.XLOOKUP(_xlfn.XLOOKUP(B148,'Base stats'!B:B,'Base stats'!E:E),Groups!A:A,Groups!U:U)&lt;&gt;3,_xlfn.XLOOKUP(B148,'Base stats'!B:B,'Base stats'!AY:AY),0),0.5))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stats'!AR:AR)="No","No",MROUND((LOG10(_xlfn.XLOOKUP(B148,'Base stats'!B:B,'Base stats'!AR:AR))*(AO148^0.75)+(_xlfn.XLOOKUP(B148,'Base stats'!B:B,'Base stats'!AR:AR)/1000)^(2/3)+_xlfn.XLOOKUP(B148,'Base stats'!B:B,'Base stats'!AV:AV)+_xlfn.XLOOKUP(B148,'Base stats'!B:B,'Base stats'!AY:AY))+0.5,0.5))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stats'!AQ:AQ))*(AO148^0.75)+(_xlfn.XLOOKUP(B148,'Base stats'!B:B,'Base stats'!AQ:AQ)/1000)^(2/3)+_xlfn.XLOOKUP(B148,'Base stats'!B:B,'Base stats'!AW:AW)+_xlfn.XLOOKUP(B148,'Base stats'!B:B,'Base stats'!AY:AY))+0.5,0.5))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5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IFERROR(IF(_xlfn.XLOOKUP(B148,'Base stats'!B:B,'Base stats'!F:F)="Lay eggs","Lay eggs",MIN(20,MAX(5.5,ROUND(((_xlfn.XLOOKUP(B148,'Base stats'!B:B,'Base stats'!F:F)-25)*(14.5/615) + 5.5)*2,0)/2))),"Cannot breed")</f>
        <v>6.5</v>
      </c>
      <c r="AT148" s="8">
        <f>IF(OR(A148="Queen",A148="Larva",A148="Megachicken",A148="Megatardi",A148="Toxscorpion"),"No",IFERROR(MAX(IF(_xlfn.XLOOKUP(B148,'Base stats'!B:B,'Base stats'!G:G)&lt;0.5,0.2,0.3),MROUND(_xlfn.XLOOKUP(B148,'Base stats'!B:B,'Base stats'!G:G)/(365/60),0.2)),"Unknown"))</f>
        <v>0.3</v>
      </c>
      <c r="AU148" s="8">
        <f t="shared" si="14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_xlfn.XLOOKUP(B148,'Base stats'!B:B,'Base stats'!AF:AF)</f>
        <v>&lt;li&gt;YorkshireTerrier&lt;/li&gt;</v>
      </c>
      <c r="BB148" s="2" t="str">
        <f>_xlfn.XLOOKUP(B148,'Base stats'!B:B,'Base stats'!AE:AE)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stats'!Z:Z)=0),0,IF(OR(_xlfn.XLOOKUP(Animals!B148,'Base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stats'!AA:AA),0.005))</f>
        <v>0</v>
      </c>
      <c r="BE148" s="23">
        <f>MIN(1,MROUND(IF(AND(AO148&lt;0.5,_xlfn.XLOOKUP(B148,'Base stats'!B:B,'Base stats'!Z:Z)=0),0,IF(_xlfn.XLOOKUP(_xlfn.XLOOKUP(B148,'Base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stats'!AB:AB),0.005))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stats'!AL:AL)="Standard","No",MROUND((_xlfn.XLOOKUP(B148,'Base stats'!B:B,'Base stats'!AL:AL)/3.6)/I148,0.1))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stats'!AC:AC)&lt;&gt;"No",_xlfn.XLOOKUP(B148,'Base stats'!B:B,'Base stats'!AC:AC),"")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stats'!AC:AC)&lt;&gt;"No",_xlfn.XLOOKUP(B148,'Base stats'!B:B,'Base stats'!AC:AC),"")
  )
)</f>
        <v>Forage, Comfort</v>
      </c>
      <c r="BQ148" s="25" t="str">
        <f>IF(
   AND(
      'Base stats'!AL148="Standard",_xlfn.XLOOKUP(_xlfn.XLOOKUP(B148,'Base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stats'!AT:AT) * 1.8) * 2) * 2.5 + 10 + I148 * 2,5)+IF(_xlfn.XLOOKUP(B148,'Base stats'!B:B,'Base stats'!AI:AI)=1,50,0)</f>
        <v>45</v>
      </c>
      <c r="BS148" s="8">
        <f t="shared" si="19"/>
        <v>0.30000000000000004</v>
      </c>
      <c r="BT148" s="8" t="str">
        <f>_xlfn.XLOOKUP(B148,'Base stats'!B:B,'Base stats'!AD:AD)</f>
        <v>2~4</v>
      </c>
      <c r="BU148" s="2" t="str">
        <f>IF(AND(J148&lt;=0.95,OR(_xlfn.XLOOKUP(B148,'Base stats'!B:B,'Base stats'!AI:AI)=1,_xlfn.XLOOKUP(B148,'Base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stats'!AG:AG)=1,"true","false")</f>
        <v>false</v>
      </c>
      <c r="BW148" s="25" t="str">
        <f>IF(E148="BaseInsect","AnimalInsect",
IF(J148&gt;0.95,"AnimalExotic",
_xlfn.TEXTJOIN(", ",TRUE,
IF(OR(_xlfn.XLOOKUP(B148,'Base stats'!B:B,'Base stats'!AK:AK)=1,AND(_xlfn.XLOOKUP(B148,'Base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stats'!AI:AI)=1,AND(BI148&lt;&gt;"None",BR148&gt;=60),ISNUMBER(SEARCH("Attack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stats'!AH:AH)=1,"true","false")</f>
        <v>false</v>
      </c>
      <c r="BZ148" s="25">
        <f>IF(_xlfn.XLOOKUP(B148,'Base stats'!B:B,'Base stats'!N:N)=1,"No",MAX(0.01,MIN(MROUND(IF(OR(_xlfn.XLOOKUP(B148,'Base stats'!B:B,'Base stats'!AK:AK)=1,AND(BJ148="True",CC148="False")),POWER(10,3.47*LOG10(_xlfn.XLOOKUP(B148,'Base stats'!B:B,'Base stats'!C:C)*1000)^-0.96),POWER(10,4.15*LOG10(_xlfn.XLOOKUP(B148,'Base stats'!B:B,'Base stats'!C:C)*1000)^-0.73))*IF(OR(_xlfn.XLOOKUP(B148,'Base stats'!B:B,'Base stats'!AK:AK)=1,_xlfn.XLOOKUP(B148,'Base stats'!B:B,'Base stats'!AI:AI)=1),0.5,1)/100,0.025),1)))</f>
        <v>0.1</v>
      </c>
      <c r="CA148" s="25" t="str">
        <f>IF(P148="Standard","No",MAX(0.01,IF(_xlfn.XLOOKUP(B148,'Base stats'!B:B,'Base stats'!N:N)=0,MROUND(BZ148*P148,0.05),MIN(1,MAX(0.025,MROUND(IF(OR(CC148="true",AND(BJ148="false",BO148="false")),POWER(10,4.15*LOG10(_xlfn.XLOOKUP(B148,'Base stats'!B:B,'Base stats'!C:C)*1000)^-0.73),POWER(10,3.47*LOG10(_xlfn.XLOOKUP(B148,'Base stats'!B:B,'Base stats'!C:C)*1000)^-0.96))*IF(_xlfn.XLOOKUP(B148,'Base stats'!B:B,'Base stats'!AI:AI)=1,0.5,1)/100,0.025))))))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914</v>
      </c>
      <c r="C149" s="28" t="s">
        <v>842</v>
      </c>
      <c r="D149" s="28" t="s">
        <v>884</v>
      </c>
      <c r="E149" s="28" t="s">
        <v>685</v>
      </c>
      <c r="F149" s="28" t="s">
        <v>685</v>
      </c>
      <c r="G149" s="28" t="s">
        <v>685</v>
      </c>
      <c r="H149" s="2">
        <f>MROUND((
  (IF(AND(_xlfn.XLOOKUP(B149,'Base stats'!B:B,'Base stats'!AJ:AJ)=0,BI149="None",_xlfn.XLOOKUP(_xlfn.XLOOKUP(B149,'Base stats'!B:B,'Base stats'!E:E),Groups!A:A,Groups!B:B)=0), (18 + BR149 * 2.7) * 0.5,
    IF(AND(_xlfn.XLOOKUP(B149,'Base stats'!B:B,'Base stats'!AJ:AJ)=0,OR(AO149&lt;0.55,AND(BI149="Intermediate",_xlfn.XLOOKUP(_xlfn.XLOOKUP(B149,'Base stats'!B:B,'Base stats'!E:E),Groups!A:A,Groups!B:B)&lt;2))), (18 + BR149 * 2.7),
      IF(OR(BI149="Advanced",_xlfn.XLOOKUP(B149,'Base stats'!B:B,'Base stats'!AJ:AJ)=1,_xlfn.XLOOKUP(_xlfn.XLOOKUP(B149,'Base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IF(_xlfn.XLOOKUP(_xlfn.XLOOKUP(B149,'Base stats'!B:B,'Base stats'!E:E),Groups!A:A,Groups!C:C)="Untamable",1,IF(_xlfn.XLOOKUP(B149,'Base stats'!B:B,'Base stats'!AJ:AJ)=1,0.99,MIN(MROUND((1-0.6282*EXP(-0.459*AO149))*_xlfn.XLOOKUP(_xlfn.XLOOKUP(B149,'Base stats'!B:B,'Base stats'!E:E),Groups!A:A,Groups!C:C)*IF(_xlfn.XLOOKUP(B149,'Base stats'!B:B,'Base stats'!O:O)=1,0.5,IF(_xlfn.XLOOKUP(B149,'Base stats'!B:B,'Base stats'!O:O)=2,0,1)),0.05),0.985)))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IF(_xlfn.XLOOKUP(_xlfn.XLOOKUP(B149,'Base stats'!B:B,'Base stats'!E:E),Groups!A:A,Groups!L:L)=1,MIN(MROUND(_xlfn.XLOOKUP(B149,'Animals CE'!B:B,'Animals CE'!Z:Z)/2+0.05,0.05),200%),"No")</f>
        <v>No</v>
      </c>
      <c r="O149" s="8" t="str">
        <f>IF(_xlfn.XLOOKUP(_xlfn.XLOOKUP(B149,'Base stats'!B:B,'Base stats'!E:E),Groups!A:A,Groups!L:L)=1,MIN(MROUND(_xlfn.XLOOKUP(B149,'Animals CE'!B:B,'Animals CE'!AA:AA)/2+0.05,0.05),200%),"No")</f>
        <v>No</v>
      </c>
      <c r="P149" s="2" t="str">
        <f>_xlfn.XLOOKUP(B149,'Base stats'!B:B,'Base stats'!R:R)</f>
        <v>Standard</v>
      </c>
      <c r="Q149" s="13">
        <f>MROUND((LOG10(_xlfn.XLOOKUP(B149,'Base stats'!B:B,'Base stats'!AP:AP))*(AO149^0.5)+(_xlfn.XLOOKUP(B149,'Base stats'!B:B,'Base stats'!AP:AP)/1000)^(2/3)+_xlfn.XLOOKUP(B149,'Base stats'!B:B,'Base stats'!AY:AY)/2)+0.5,0.5)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stats'!AQ:AQ))*(AO149^0.5)+(_xlfn.XLOOKUP(B149,'Base stats'!B:B,'Base stats'!AQ:AQ)/1000)^(2/3)+_xlfn.XLOOKUP(B149,'Base stats'!B:B,'Base stats'!AY:AY))+_xlfn.XLOOKUP(B149,'Base stats'!B:B,'Base stats'!AW:AW)+0.5,0.5))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stats'!AS:AS))*(AO149^0.5)+(_xlfn.XLOOKUP(B149,'Base stats'!B:B,'Base stats'!AS:AS)/1000)^(2/3)+_xlfn.XLOOKUP(B149,'Base stats'!B:B,'Base stats'!AX:AX))+0.5+IF(_xlfn.XLOOKUP(_xlfn.XLOOKUP(B149,'Base stats'!B:B,'Base stats'!E:E),Groups!A:A,Groups!U:U)&lt;&gt;3,_xlfn.XLOOKUP(B149,'Base stats'!B:B,'Base stats'!AY:AY),0),0.5))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stats'!AR:AR)="No","No",MROUND((LOG10(_xlfn.XLOOKUP(B149,'Base stats'!B:B,'Base stats'!AR:AR))*(AO149^0.75)+(_xlfn.XLOOKUP(B149,'Base stats'!B:B,'Base stats'!AR:AR)/1000)^(2/3)+_xlfn.XLOOKUP(B149,'Base stats'!B:B,'Base stats'!AV:AV)+_xlfn.XLOOKUP(B149,'Base stats'!B:B,'Base stats'!AY:AY))+0.5,0.5))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stats'!AQ:AQ))*(AO149^0.75)+(_xlfn.XLOOKUP(B149,'Base stats'!B:B,'Base stats'!AQ:AQ)/1000)^(2/3)+_xlfn.XLOOKUP(B149,'Base stats'!B:B,'Base stats'!AW:AW)+_xlfn.XLOOKUP(B149,'Base stats'!B:B,'Base stats'!AY:AY))+0.5,0.5))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5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IFERROR(IF(_xlfn.XLOOKUP(B149,'Base stats'!B:B,'Base stats'!F:F)="Lay eggs","Lay eggs",MIN(20,MAX(5.5,ROUND(((_xlfn.XLOOKUP(B149,'Base stats'!B:B,'Base stats'!F:F)-25)*(14.5/615) + 5.5)*2,0)/2))),"Cannot breed")</f>
        <v>6.5</v>
      </c>
      <c r="AT149" s="8">
        <f>IF(OR(A149="Queen",A149="Larva",A149="Megachicken",A149="Megatardi",A149="Toxscorpion"),"No",IFERROR(MAX(IF(_xlfn.XLOOKUP(B149,'Base stats'!B:B,'Base stats'!G:G)&lt;0.5,0.2,0.3),MROUND(_xlfn.XLOOKUP(B149,'Base stats'!B:B,'Base stats'!G:G)/(365/60),0.2)),"Unknown"))</f>
        <v>0.3</v>
      </c>
      <c r="AU149" s="8">
        <f t="shared" si="14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_xlfn.XLOOKUP(B149,'Base stats'!B:B,'Base stats'!AF:AF)</f>
        <v>&lt;li&gt;YorkshireTerrier&lt;/li&gt;</v>
      </c>
      <c r="BB149" s="2" t="str">
        <f>_xlfn.XLOOKUP(B149,'Base stats'!B:B,'Base stats'!AE:AE)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stats'!Z:Z)=0),0,IF(OR(_xlfn.XLOOKUP(Animals!B149,'Base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stats'!AA:AA),0.005))</f>
        <v>0</v>
      </c>
      <c r="BE149" s="23">
        <f>MIN(1,MROUND(IF(AND(AO149&lt;0.5,_xlfn.XLOOKUP(B149,'Base stats'!B:B,'Base stats'!Z:Z)=0),0,IF(_xlfn.XLOOKUP(_xlfn.XLOOKUP(B149,'Base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stats'!AB:AB),0.005))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stats'!AL:AL)="Standard","No",MROUND((_xlfn.XLOOKUP(B149,'Base stats'!B:B,'Base stats'!AL:AL)/3.6)/I149,0.1))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stats'!AC:AC)&lt;&gt;"No",_xlfn.XLOOKUP(B149,'Base stats'!B:B,'Base stats'!AC:AC),"")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stats'!AC:AC)&lt;&gt;"No",_xlfn.XLOOKUP(B149,'Base stats'!B:B,'Base stats'!AC:AC),"")
  )
)</f>
        <v>AttackTarget, Forage, Comfort</v>
      </c>
      <c r="BQ149" s="25" t="str">
        <f>IF(
   AND(
      'Base stats'!AL149="Standard",_xlfn.XLOOKUP(_xlfn.XLOOKUP(B149,'Base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stats'!AT:AT) * 1.8) * 2) * 2.5 + 10 + I149 * 2,5)+IF(_xlfn.XLOOKUP(B149,'Base stats'!B:B,'Base stats'!AI:AI)=1,50,0)</f>
        <v>70</v>
      </c>
      <c r="BS149" s="8">
        <f t="shared" si="19"/>
        <v>0.45</v>
      </c>
      <c r="BT149" s="8" t="str">
        <f>_xlfn.XLOOKUP(B149,'Base stats'!B:B,'Base stats'!AD:AD)</f>
        <v>2~4</v>
      </c>
      <c r="BU149" s="2" t="str">
        <f>IF(AND(J149&lt;=0.95,OR(_xlfn.XLOOKUP(B149,'Base stats'!B:B,'Base stats'!AI:AI)=1,_xlfn.XLOOKUP(B149,'Base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stats'!AG:AG)=1,"true","false")</f>
        <v>false</v>
      </c>
      <c r="BW149" s="25" t="str">
        <f>IF(E149="BaseInsect","AnimalInsect",
IF(J149&gt;0.95,"AnimalExotic",
_xlfn.TEXTJOIN(", ",TRUE,
IF(OR(_xlfn.XLOOKUP(B149,'Base stats'!B:B,'Base stats'!AK:AK)=1,AND(_xlfn.XLOOKUP(B149,'Base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stats'!AI:AI)=1,AND(BI149&lt;&gt;"None",BR149&gt;=60),ISNUMBER(SEARCH("Attack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stats'!AH:AH)=1,"true","false")</f>
        <v>false</v>
      </c>
      <c r="BZ149" s="25">
        <f>IF(_xlfn.XLOOKUP(B149,'Base stats'!B:B,'Base stats'!N:N)=1,"No",MAX(0.01,MIN(MROUND(IF(OR(_xlfn.XLOOKUP(B149,'Base stats'!B:B,'Base stats'!AK:AK)=1,AND(BJ149="True",CC149="False")),POWER(10,3.47*LOG10(_xlfn.XLOOKUP(B149,'Base stats'!B:B,'Base stats'!C:C)*1000)^-0.96),POWER(10,4.15*LOG10(_xlfn.XLOOKUP(B149,'Base stats'!B:B,'Base stats'!C:C)*1000)^-0.73))*IF(OR(_xlfn.XLOOKUP(B149,'Base stats'!B:B,'Base stats'!AK:AK)=1,_xlfn.XLOOKUP(B149,'Base stats'!B:B,'Base stats'!AI:AI)=1),0.5,1)/100,0.025),1)))</f>
        <v>7.5000000000000011E-2</v>
      </c>
      <c r="CA149" s="25" t="str">
        <f>IF(P149="Standard","No",MAX(0.01,IF(_xlfn.XLOOKUP(B149,'Base stats'!B:B,'Base stats'!N:N)=0,MROUND(BZ149*P149,0.05),MIN(1,MAX(0.025,MROUND(IF(OR(CC149="true",AND(BJ149="false",BO149="false")),POWER(10,4.15*LOG10(_xlfn.XLOOKUP(B149,'Base stats'!B:B,'Base stats'!C:C)*1000)^-0.73),POWER(10,3.47*LOG10(_xlfn.XLOOKUP(B149,'Base stats'!B:B,'Base stats'!C:C)*1000)^-0.96))*IF(_xlfn.XLOOKUP(B149,'Base stats'!B:B,'Base stats'!AI:AI)=1,0.5,1)/100,0.025))))))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915</v>
      </c>
      <c r="C150" s="28" t="s">
        <v>843</v>
      </c>
      <c r="D150" s="28" t="s">
        <v>884</v>
      </c>
      <c r="E150" s="28" t="s">
        <v>685</v>
      </c>
      <c r="F150" s="28" t="s">
        <v>685</v>
      </c>
      <c r="G150" s="28" t="s">
        <v>685</v>
      </c>
      <c r="H150" s="2">
        <f>MROUND((
  (IF(AND(_xlfn.XLOOKUP(B150,'Base stats'!B:B,'Base stats'!AJ:AJ)=0,BI150="None",_xlfn.XLOOKUP(_xlfn.XLOOKUP(B150,'Base stats'!B:B,'Base stats'!E:E),Groups!A:A,Groups!B:B)=0), (18 + BR150 * 2.7) * 0.5,
    IF(AND(_xlfn.XLOOKUP(B150,'Base stats'!B:B,'Base stats'!AJ:AJ)=0,OR(AO150&lt;0.55,AND(BI150="Intermediate",_xlfn.XLOOKUP(_xlfn.XLOOKUP(B150,'Base stats'!B:B,'Base stats'!E:E),Groups!A:A,Groups!B:B)&lt;2))), (18 + BR150 * 2.7),
      IF(OR(BI150="Advanced",_xlfn.XLOOKUP(B150,'Base stats'!B:B,'Base stats'!AJ:AJ)=1,_xlfn.XLOOKUP(_xlfn.XLOOKUP(B150,'Base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IF(_xlfn.XLOOKUP(_xlfn.XLOOKUP(B150,'Base stats'!B:B,'Base stats'!E:E),Groups!A:A,Groups!C:C)="Untamable",1,IF(_xlfn.XLOOKUP(B150,'Base stats'!B:B,'Base stats'!AJ:AJ)=1,0.99,MIN(MROUND((1-0.6282*EXP(-0.459*AO150))*_xlfn.XLOOKUP(_xlfn.XLOOKUP(B150,'Base stats'!B:B,'Base stats'!E:E),Groups!A:A,Groups!C:C)*IF(_xlfn.XLOOKUP(B150,'Base stats'!B:B,'Base stats'!O:O)=1,0.5,IF(_xlfn.XLOOKUP(B150,'Base stats'!B:B,'Base stats'!O:O)=2,0,1)),0.05),0.985)))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IF(_xlfn.XLOOKUP(_xlfn.XLOOKUP(B150,'Base stats'!B:B,'Base stats'!E:E),Groups!A:A,Groups!L:L)=1,MIN(MROUND(_xlfn.XLOOKUP(B150,'Animals CE'!B:B,'Animals CE'!Z:Z)/2+0.05,0.05),200%),"No")</f>
        <v>No</v>
      </c>
      <c r="O150" s="8" t="str">
        <f>IF(_xlfn.XLOOKUP(_xlfn.XLOOKUP(B150,'Base stats'!B:B,'Base stats'!E:E),Groups!A:A,Groups!L:L)=1,MIN(MROUND(_xlfn.XLOOKUP(B150,'Animals CE'!B:B,'Animals CE'!AA:AA)/2+0.05,0.05),200%),"No")</f>
        <v>No</v>
      </c>
      <c r="P150" s="2" t="str">
        <f>_xlfn.XLOOKUP(B150,'Base stats'!B:B,'Base stats'!R:R)</f>
        <v>Standard</v>
      </c>
      <c r="Q150" s="13">
        <f>MROUND((LOG10(_xlfn.XLOOKUP(B150,'Base stats'!B:B,'Base stats'!AP:AP))*(AO150^0.5)+(_xlfn.XLOOKUP(B150,'Base stats'!B:B,'Base stats'!AP:AP)/1000)^(2/3)+_xlfn.XLOOKUP(B150,'Base stats'!B:B,'Base stats'!AY:AY)/2)+0.5,0.5)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stats'!AQ:AQ))*(AO150^0.5)+(_xlfn.XLOOKUP(B150,'Base stats'!B:B,'Base stats'!AQ:AQ)/1000)^(2/3)+_xlfn.XLOOKUP(B150,'Base stats'!B:B,'Base stats'!AY:AY))+_xlfn.XLOOKUP(B150,'Base stats'!B:B,'Base stats'!AW:AW)+0.5,0.5))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stats'!AS:AS))*(AO150^0.5)+(_xlfn.XLOOKUP(B150,'Base stats'!B:B,'Base stats'!AS:AS)/1000)^(2/3)+_xlfn.XLOOKUP(B150,'Base stats'!B:B,'Base stats'!AX:AX))+0.5+IF(_xlfn.XLOOKUP(_xlfn.XLOOKUP(B150,'Base stats'!B:B,'Base stats'!E:E),Groups!A:A,Groups!U:U)&lt;&gt;3,_xlfn.XLOOKUP(B150,'Base stats'!B:B,'Base stats'!AY:AY),0),0.5))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stats'!AR:AR)="No","No",MROUND((LOG10(_xlfn.XLOOKUP(B150,'Base stats'!B:B,'Base stats'!AR:AR))*(AO150^0.75)+(_xlfn.XLOOKUP(B150,'Base stats'!B:B,'Base stats'!AR:AR)/1000)^(2/3)+_xlfn.XLOOKUP(B150,'Base stats'!B:B,'Base stats'!AV:AV)+_xlfn.XLOOKUP(B150,'Base stats'!B:B,'Base stats'!AY:AY))+0.5,0.5))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stats'!AQ:AQ))*(AO150^0.75)+(_xlfn.XLOOKUP(B150,'Base stats'!B:B,'Base stats'!AQ:AQ)/1000)^(2/3)+_xlfn.XLOOKUP(B150,'Base stats'!B:B,'Base stats'!AW:AW)+_xlfn.XLOOKUP(B150,'Base stats'!B:B,'Base stats'!AY:AY))+0.5,0.5))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FrontRightPaw,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5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IFERROR(IF(_xlfn.XLOOKUP(B150,'Base stats'!B:B,'Base stats'!F:F)="Lay eggs","Lay eggs",MIN(20,MAX(5.5,ROUND(((_xlfn.XLOOKUP(B150,'Base stats'!B:B,'Base stats'!F:F)-25)*(14.5/615) + 5.5)*2,0)/2))),"Cannot breed")</f>
        <v>6.5</v>
      </c>
      <c r="AT150" s="8">
        <f>IF(OR(A150="Queen",A150="Larva",A150="Megachicken",A150="Megatardi",A150="Toxscorpion"),"No",IFERROR(MAX(IF(_xlfn.XLOOKUP(B150,'Base stats'!B:B,'Base stats'!G:G)&lt;0.5,0.2,0.3),MROUND(_xlfn.XLOOKUP(B150,'Base stats'!B:B,'Base stats'!G:G)/(365/60),0.2)),"Unknown"))</f>
        <v>0.3</v>
      </c>
      <c r="AU150" s="8">
        <f t="shared" si="14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_xlfn.XLOOKUP(B150,'Base stats'!B:B,'Base stats'!AF:AF)</f>
        <v>&lt;li&gt;Cat&lt;/li&gt;</v>
      </c>
      <c r="BB150" s="2" t="str">
        <f>_xlfn.XLOOKUP(B150,'Base stats'!B:B,'Base stats'!AE:AE)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stats'!Z:Z)=0),0,IF(OR(_xlfn.XLOOKUP(Animals!B150,'Base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stats'!AA:AA),0.005))</f>
        <v>0</v>
      </c>
      <c r="BE150" s="23">
        <f>MIN(1,MROUND(IF(AND(AO150&lt;0.5,_xlfn.XLOOKUP(B150,'Base stats'!B:B,'Base stats'!Z:Z)=0),0,IF(_xlfn.XLOOKUP(_xlfn.XLOOKUP(B150,'Base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stats'!AB:AB),0.005))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stats'!AL:AL)="Standard","No",MROUND((_xlfn.XLOOKUP(B150,'Base stats'!B:B,'Base stats'!AL:AL)/3.6)/I150,0.1))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stats'!AC:AC)&lt;&gt;"No",_xlfn.XLOOKUP(B150,'Base stats'!B:B,'Base stats'!AC:AC),"")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stats'!AC:AC)&lt;&gt;"No",_xlfn.XLOOKUP(B150,'Base stats'!B:B,'Base stats'!AC:AC),"")
  )
)</f>
        <v>Comfort</v>
      </c>
      <c r="BQ150" s="25" t="str">
        <f>IF(
   AND(
      'Base stats'!AL150="Standard",_xlfn.XLOOKUP(_xlfn.XLOOKUP(B150,'Base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stats'!AT:AT) * 1.8) * 2) * 2.5 + 10 + I150 * 2,5)+IF(_xlfn.XLOOKUP(B150,'Base stats'!B:B,'Base stats'!AI:AI)=1,50,0)</f>
        <v>45</v>
      </c>
      <c r="BS150" s="8">
        <f t="shared" si="19"/>
        <v>0.30000000000000004</v>
      </c>
      <c r="BT150" s="8" t="str">
        <f>_xlfn.XLOOKUP(B150,'Base stats'!B:B,'Base stats'!AD:AD)</f>
        <v>No</v>
      </c>
      <c r="BU150" s="2" t="str">
        <f>IF(AND(J150&lt;=0.95,OR(_xlfn.XLOOKUP(B150,'Base stats'!B:B,'Base stats'!AI:AI)=1,_xlfn.XLOOKUP(B150,'Base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stats'!AG:AG)=1,"true","false")</f>
        <v>false</v>
      </c>
      <c r="BW150" s="25" t="str">
        <f>IF(E150="BaseInsect","AnimalInsect",
IF(J150&gt;0.95,"AnimalExotic",
_xlfn.TEXTJOIN(", ",TRUE,
IF(OR(_xlfn.XLOOKUP(B150,'Base stats'!B:B,'Base stats'!AK:AK)=1,AND(_xlfn.XLOOKUP(B150,'Base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stats'!AI:AI)=1,AND(BI150&lt;&gt;"None",BR150&gt;=60),ISNUMBER(SEARCH("Attack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stats'!AH:AH)=1,"true","false")</f>
        <v>false</v>
      </c>
      <c r="BZ150" s="25">
        <f>IF(_xlfn.XLOOKUP(B150,'Base stats'!B:B,'Base stats'!N:N)=1,"No",MAX(0.01,MIN(MROUND(IF(OR(_xlfn.XLOOKUP(B150,'Base stats'!B:B,'Base stats'!AK:AK)=1,AND(BJ150="True",CC150="False")),POWER(10,3.47*LOG10(_xlfn.XLOOKUP(B150,'Base stats'!B:B,'Base stats'!C:C)*1000)^-0.96),POWER(10,4.15*LOG10(_xlfn.XLOOKUP(B150,'Base stats'!B:B,'Base stats'!C:C)*1000)^-0.73))*IF(OR(_xlfn.XLOOKUP(B150,'Base stats'!B:B,'Base stats'!AK:AK)=1,_xlfn.XLOOKUP(B150,'Base stats'!B:B,'Base stats'!AI:AI)=1),0.5,1)/100,0.025),1)))</f>
        <v>0.1</v>
      </c>
      <c r="CA150" s="25" t="str">
        <f>IF(P150="Standard","No",MAX(0.01,IF(_xlfn.XLOOKUP(B150,'Base stats'!B:B,'Base stats'!N:N)=0,MROUND(BZ150*P150,0.05),MIN(1,MAX(0.025,MROUND(IF(OR(CC150="true",AND(BJ150="false",BO150="false")),POWER(10,4.15*LOG10(_xlfn.XLOOKUP(B150,'Base stats'!B:B,'Base stats'!C:C)*1000)^-0.73),POWER(10,3.47*LOG10(_xlfn.XLOOKUP(B150,'Base stats'!B:B,'Base stats'!C:C)*1000)^-0.96))*IF(_xlfn.XLOOKUP(B150,'Base stats'!B:B,'Base stats'!AI:AI)=1,0.5,1)/100,0.025))))))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916</v>
      </c>
      <c r="C151" s="28" t="s">
        <v>844</v>
      </c>
      <c r="D151" s="28" t="s">
        <v>884</v>
      </c>
      <c r="E151" s="28" t="s">
        <v>685</v>
      </c>
      <c r="F151" s="28" t="s">
        <v>685</v>
      </c>
      <c r="G151" s="28" t="s">
        <v>685</v>
      </c>
      <c r="H151" s="2">
        <f>MROUND((
  (IF(AND(_xlfn.XLOOKUP(B151,'Base stats'!B:B,'Base stats'!AJ:AJ)=0,BI151="None",_xlfn.XLOOKUP(_xlfn.XLOOKUP(B151,'Base stats'!B:B,'Base stats'!E:E),Groups!A:A,Groups!B:B)=0), (18 + BR151 * 2.7) * 0.5,
    IF(AND(_xlfn.XLOOKUP(B151,'Base stats'!B:B,'Base stats'!AJ:AJ)=0,OR(AO151&lt;0.55,AND(BI151="Intermediate",_xlfn.XLOOKUP(_xlfn.XLOOKUP(B151,'Base stats'!B:B,'Base stats'!E:E),Groups!A:A,Groups!B:B)&lt;2))), (18 + BR151 * 2.7),
      IF(OR(BI151="Advanced",_xlfn.XLOOKUP(B151,'Base stats'!B:B,'Base stats'!AJ:AJ)=1,_xlfn.XLOOKUP(_xlfn.XLOOKUP(B151,'Base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IF(_xlfn.XLOOKUP(_xlfn.XLOOKUP(B151,'Base stats'!B:B,'Base stats'!E:E),Groups!A:A,Groups!C:C)="Untamable",1,IF(_xlfn.XLOOKUP(B151,'Base stats'!B:B,'Base stats'!AJ:AJ)=1,0.99,MIN(MROUND((1-0.6282*EXP(-0.459*AO151))*_xlfn.XLOOKUP(_xlfn.XLOOKUP(B151,'Base stats'!B:B,'Base stats'!E:E),Groups!A:A,Groups!C:C)*IF(_xlfn.XLOOKUP(B151,'Base stats'!B:B,'Base stats'!O:O)=1,0.5,IF(_xlfn.XLOOKUP(B151,'Base stats'!B:B,'Base stats'!O:O)=2,0,1)),0.05),0.985)))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IF(_xlfn.XLOOKUP(_xlfn.XLOOKUP(B151,'Base stats'!B:B,'Base stats'!E:E),Groups!A:A,Groups!L:L)=1,MIN(MROUND(_xlfn.XLOOKUP(B151,'Animals CE'!B:B,'Animals CE'!Z:Z)/2+0.05,0.05),200%),"No")</f>
        <v>No</v>
      </c>
      <c r="O151" s="8" t="str">
        <f>IF(_xlfn.XLOOKUP(_xlfn.XLOOKUP(B151,'Base stats'!B:B,'Base stats'!E:E),Groups!A:A,Groups!L:L)=1,MIN(MROUND(_xlfn.XLOOKUP(B151,'Animals CE'!B:B,'Animals CE'!AA:AA)/2+0.05,0.05),200%),"No")</f>
        <v>No</v>
      </c>
      <c r="P151" s="2" t="str">
        <f>_xlfn.XLOOKUP(B151,'Base stats'!B:B,'Base stats'!R:R)</f>
        <v>Standard</v>
      </c>
      <c r="Q151" s="13">
        <f>MROUND((LOG10(_xlfn.XLOOKUP(B151,'Base stats'!B:B,'Base stats'!AP:AP))*(AO151^0.5)+(_xlfn.XLOOKUP(B151,'Base stats'!B:B,'Base stats'!AP:AP)/1000)^(2/3)+_xlfn.XLOOKUP(B151,'Base stats'!B:B,'Base stats'!AY:AY)/2)+0.5,0.5)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stats'!AQ:AQ))*(AO151^0.5)+(_xlfn.XLOOKUP(B151,'Base stats'!B:B,'Base stats'!AQ:AQ)/1000)^(2/3)+_xlfn.XLOOKUP(B151,'Base stats'!B:B,'Base stats'!AY:AY))+_xlfn.XLOOKUP(B151,'Base stats'!B:B,'Base stats'!AW:AW)+0.5,0.5))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stats'!AS:AS))*(AO151^0.5)+(_xlfn.XLOOKUP(B151,'Base stats'!B:B,'Base stats'!AS:AS)/1000)^(2/3)+_xlfn.XLOOKUP(B151,'Base stats'!B:B,'Base stats'!AX:AX))+0.5+IF(_xlfn.XLOOKUP(_xlfn.XLOOKUP(B151,'Base stats'!B:B,'Base stats'!E:E),Groups!A:A,Groups!U:U)&lt;&gt;3,_xlfn.XLOOKUP(B151,'Base stats'!B:B,'Base stats'!AY:AY),0),0.5))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stats'!AR:AR)="No","No",MROUND((LOG10(_xlfn.XLOOKUP(B151,'Base stats'!B:B,'Base stats'!AR:AR))*(AO151^0.75)+(_xlfn.XLOOKUP(B151,'Base stats'!B:B,'Base stats'!AR:AR)/1000)^(2/3)+_xlfn.XLOOKUP(B151,'Base stats'!B:B,'Base stats'!AV:AV)+_xlfn.XLOOKUP(B151,'Base stats'!B:B,'Base stats'!AY:AY))+0.5,0.5))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stats'!AQ:AQ))*(AO151^0.75)+(_xlfn.XLOOKUP(B151,'Base stats'!B:B,'Base stats'!AQ:AQ)/1000)^(2/3)+_xlfn.XLOOKUP(B151,'Base stats'!B:B,'Base stats'!AW:AW)+_xlfn.XLOOKUP(B151,'Base stats'!B:B,'Base stats'!AY:AY))+0.5,0.5))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FrontRightPaw,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5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IFERROR(IF(_xlfn.XLOOKUP(B151,'Base stats'!B:B,'Base stats'!F:F)="Lay eggs","Lay eggs",MIN(20,MAX(5.5,ROUND(((_xlfn.XLOOKUP(B151,'Base stats'!B:B,'Base stats'!F:F)-25)*(14.5/615) + 5.5)*2,0)/2))),"Cannot breed")</f>
        <v>6.5</v>
      </c>
      <c r="AT151" s="8">
        <f>IF(OR(A151="Queen",A151="Larva",A151="Megachicken",A151="Megatardi",A151="Toxscorpion"),"No",IFERROR(MAX(IF(_xlfn.XLOOKUP(B151,'Base stats'!B:B,'Base stats'!G:G)&lt;0.5,0.2,0.3),MROUND(_xlfn.XLOOKUP(B151,'Base stats'!B:B,'Base stats'!G:G)/(365/60),0.2)),"Unknown"))</f>
        <v>0.3</v>
      </c>
      <c r="AU151" s="8">
        <f t="shared" si="14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_xlfn.XLOOKUP(B151,'Base stats'!B:B,'Base stats'!AF:AF)</f>
        <v>&lt;li&gt;Cat&lt;/li&gt;</v>
      </c>
      <c r="BB151" s="2" t="str">
        <f>_xlfn.XLOOKUP(B151,'Base stats'!B:B,'Base stats'!AE:AE)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stats'!Z:Z)=0),0,IF(OR(_xlfn.XLOOKUP(Animals!B151,'Base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stats'!AA:AA),0.005))</f>
        <v>0</v>
      </c>
      <c r="BE151" s="23">
        <f>MIN(1,MROUND(IF(AND(AO151&lt;0.5,_xlfn.XLOOKUP(B151,'Base stats'!B:B,'Base stats'!Z:Z)=0),0,IF(_xlfn.XLOOKUP(_xlfn.XLOOKUP(B151,'Base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stats'!AB:AB),0.005))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stats'!AL:AL)="Standard","No",MROUND((_xlfn.XLOOKUP(B151,'Base stats'!B:B,'Base stats'!AL:AL)/3.6)/I151,0.1))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stats'!AC:AC)&lt;&gt;"No",_xlfn.XLOOKUP(B151,'Base stats'!B:B,'Base stats'!AC:AC),"")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stats'!AC:AC)&lt;&gt;"No",_xlfn.XLOOKUP(B151,'Base stats'!B:B,'Base stats'!AC:AC),"")
  )
)</f>
        <v>Comfort</v>
      </c>
      <c r="BQ151" s="25" t="str">
        <f>IF(
   AND(
      'Base stats'!AL151="Standard",_xlfn.XLOOKUP(_xlfn.XLOOKUP(B151,'Base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stats'!AT:AT) * 1.8) * 2) * 2.5 + 10 + I151 * 2,5)+IF(_xlfn.XLOOKUP(B151,'Base stats'!B:B,'Base stats'!AI:AI)=1,50,0)</f>
        <v>45</v>
      </c>
      <c r="BS151" s="8">
        <f t="shared" si="19"/>
        <v>0.30000000000000004</v>
      </c>
      <c r="BT151" s="8" t="str">
        <f>_xlfn.XLOOKUP(B151,'Base stats'!B:B,'Base stats'!AD:AD)</f>
        <v>No</v>
      </c>
      <c r="BU151" s="2" t="str">
        <f>IF(AND(J151&lt;=0.95,OR(_xlfn.XLOOKUP(B151,'Base stats'!B:B,'Base stats'!AI:AI)=1,_xlfn.XLOOKUP(B151,'Base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stats'!AG:AG)=1,"true","false")</f>
        <v>false</v>
      </c>
      <c r="BW151" s="25" t="str">
        <f>IF(E151="BaseInsect","AnimalInsect",
IF(J151&gt;0.95,"AnimalExotic",
_xlfn.TEXTJOIN(", ",TRUE,
IF(OR(_xlfn.XLOOKUP(B151,'Base stats'!B:B,'Base stats'!AK:AK)=1,AND(_xlfn.XLOOKUP(B151,'Base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stats'!AI:AI)=1,AND(BI151&lt;&gt;"None",BR151&gt;=60),ISNUMBER(SEARCH("Attack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stats'!AH:AH)=1,"true","false")</f>
        <v>false</v>
      </c>
      <c r="BZ151" s="25">
        <f>IF(_xlfn.XLOOKUP(B151,'Base stats'!B:B,'Base stats'!N:N)=1,"No",MAX(0.01,MIN(MROUND(IF(OR(_xlfn.XLOOKUP(B151,'Base stats'!B:B,'Base stats'!AK:AK)=1,AND(BJ151="True",CC151="False")),POWER(10,3.47*LOG10(_xlfn.XLOOKUP(B151,'Base stats'!B:B,'Base stats'!C:C)*1000)^-0.96),POWER(10,4.15*LOG10(_xlfn.XLOOKUP(B151,'Base stats'!B:B,'Base stats'!C:C)*1000)^-0.73))*IF(OR(_xlfn.XLOOKUP(B151,'Base stats'!B:B,'Base stats'!AK:AK)=1,_xlfn.XLOOKUP(B151,'Base stats'!B:B,'Base stats'!AI:AI)=1),0.5,1)/100,0.025),1)))</f>
        <v>0.1</v>
      </c>
      <c r="CA151" s="25" t="str">
        <f>IF(P151="Standard","No",MAX(0.01,IF(_xlfn.XLOOKUP(B151,'Base stats'!B:B,'Base stats'!N:N)=0,MROUND(BZ151*P151,0.05),MIN(1,MAX(0.025,MROUND(IF(OR(CC151="true",AND(BJ151="false",BO151="false")),POWER(10,4.15*LOG10(_xlfn.XLOOKUP(B151,'Base stats'!B:B,'Base stats'!C:C)*1000)^-0.73),POWER(10,3.47*LOG10(_xlfn.XLOOKUP(B151,'Base stats'!B:B,'Base stats'!C:C)*1000)^-0.96))*IF(_xlfn.XLOOKUP(B151,'Base stats'!B:B,'Base stats'!AI:AI)=1,0.5,1)/100,0.025))))))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917</v>
      </c>
      <c r="C152" s="28" t="s">
        <v>845</v>
      </c>
      <c r="D152" s="28" t="s">
        <v>884</v>
      </c>
      <c r="E152" s="28" t="s">
        <v>685</v>
      </c>
      <c r="F152" s="28" t="s">
        <v>685</v>
      </c>
      <c r="G152" s="28" t="s">
        <v>685</v>
      </c>
      <c r="H152" s="2">
        <f>MROUND((
  (IF(AND(_xlfn.XLOOKUP(B152,'Base stats'!B:B,'Base stats'!AJ:AJ)=0,BI152="None",_xlfn.XLOOKUP(_xlfn.XLOOKUP(B152,'Base stats'!B:B,'Base stats'!E:E),Groups!A:A,Groups!B:B)=0), (18 + BR152 * 2.7) * 0.5,
    IF(AND(_xlfn.XLOOKUP(B152,'Base stats'!B:B,'Base stats'!AJ:AJ)=0,OR(AO152&lt;0.55,AND(BI152="Intermediate",_xlfn.XLOOKUP(_xlfn.XLOOKUP(B152,'Base stats'!B:B,'Base stats'!E:E),Groups!A:A,Groups!B:B)&lt;2))), (18 + BR152 * 2.7),
      IF(OR(BI152="Advanced",_xlfn.XLOOKUP(B152,'Base stats'!B:B,'Base stats'!AJ:AJ)=1,_xlfn.XLOOKUP(_xlfn.XLOOKUP(B152,'Base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IF(_xlfn.XLOOKUP(_xlfn.XLOOKUP(B152,'Base stats'!B:B,'Base stats'!E:E),Groups!A:A,Groups!C:C)="Untamable",1,IF(_xlfn.XLOOKUP(B152,'Base stats'!B:B,'Base stats'!AJ:AJ)=1,0.99,MIN(MROUND((1-0.6282*EXP(-0.459*AO152))*_xlfn.XLOOKUP(_xlfn.XLOOKUP(B152,'Base stats'!B:B,'Base stats'!E:E),Groups!A:A,Groups!C:C)*IF(_xlfn.XLOOKUP(B152,'Base stats'!B:B,'Base stats'!O:O)=1,0.5,IF(_xlfn.XLOOKUP(B152,'Base stats'!B:B,'Base stats'!O:O)=2,0,1)),0.05),0.985)))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IF(_xlfn.XLOOKUP(_xlfn.XLOOKUP(B152,'Base stats'!B:B,'Base stats'!E:E),Groups!A:A,Groups!L:L)=1,MIN(MROUND(_xlfn.XLOOKUP(B152,'Animals CE'!B:B,'Animals CE'!Z:Z)/2+0.05,0.05),200%),"No")</f>
        <v>No</v>
      </c>
      <c r="O152" s="8" t="str">
        <f>IF(_xlfn.XLOOKUP(_xlfn.XLOOKUP(B152,'Base stats'!B:B,'Base stats'!E:E),Groups!A:A,Groups!L:L)=1,MIN(MROUND(_xlfn.XLOOKUP(B152,'Animals CE'!B:B,'Animals CE'!AA:AA)/2+0.05,0.05),200%),"No")</f>
        <v>No</v>
      </c>
      <c r="P152" s="2" t="str">
        <f>_xlfn.XLOOKUP(B152,'Base stats'!B:B,'Base stats'!R:R)</f>
        <v>Standard</v>
      </c>
      <c r="Q152" s="13">
        <f>MROUND((LOG10(_xlfn.XLOOKUP(B152,'Base stats'!B:B,'Base stats'!AP:AP))*(AO152^0.5)+(_xlfn.XLOOKUP(B152,'Base stats'!B:B,'Base stats'!AP:AP)/1000)^(2/3)+_xlfn.XLOOKUP(B152,'Base stats'!B:B,'Base stats'!AY:AY)/2)+0.5,0.5)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stats'!AQ:AQ))*(AO152^0.5)+(_xlfn.XLOOKUP(B152,'Base stats'!B:B,'Base stats'!AQ:AQ)/1000)^(2/3)+_xlfn.XLOOKUP(B152,'Base stats'!B:B,'Base stats'!AY:AY))+_xlfn.XLOOKUP(B152,'Base stats'!B:B,'Base stats'!AW:AW)+0.5,0.5))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stats'!AS:AS))*(AO152^0.5)+(_xlfn.XLOOKUP(B152,'Base stats'!B:B,'Base stats'!AS:AS)/1000)^(2/3)+_xlfn.XLOOKUP(B152,'Base stats'!B:B,'Base stats'!AX:AX))+0.5+IF(_xlfn.XLOOKUP(_xlfn.XLOOKUP(B152,'Base stats'!B:B,'Base stats'!E:E),Groups!A:A,Groups!U:U)&lt;&gt;3,_xlfn.XLOOKUP(B152,'Base stats'!B:B,'Base stats'!AY:AY),0),0.5))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stats'!AR:AR)="No","No",MROUND((LOG10(_xlfn.XLOOKUP(B152,'Base stats'!B:B,'Base stats'!AR:AR))*(AO152^0.75)+(_xlfn.XLOOKUP(B152,'Base stats'!B:B,'Base stats'!AR:AR)/1000)^(2/3)+_xlfn.XLOOKUP(B152,'Base stats'!B:B,'Base stats'!AV:AV)+_xlfn.XLOOKUP(B152,'Base stats'!B:B,'Base stats'!AY:AY))+0.5,0.5))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stats'!AQ:AQ))*(AO152^0.75)+(_xlfn.XLOOKUP(B152,'Base stats'!B:B,'Base stats'!AQ:AQ)/1000)^(2/3)+_xlfn.XLOOKUP(B152,'Base stats'!B:B,'Base stats'!AW:AW)+_xlfn.XLOOKUP(B152,'Base stats'!B:B,'Base stats'!AY:AY))+0.5,0.5))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FrontRightPaw,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5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IFERROR(IF(_xlfn.XLOOKUP(B152,'Base stats'!B:B,'Base stats'!F:F)="Lay eggs","Lay eggs",MIN(20,MAX(5.5,ROUND(((_xlfn.XLOOKUP(B152,'Base stats'!B:B,'Base stats'!F:F)-25)*(14.5/615) + 5.5)*2,0)/2))),"Cannot breed")</f>
        <v>6.5</v>
      </c>
      <c r="AT152" s="8">
        <f>IF(OR(A152="Queen",A152="Larva",A152="Megachicken",A152="Megatardi",A152="Toxscorpion"),"No",IFERROR(MAX(IF(_xlfn.XLOOKUP(B152,'Base stats'!B:B,'Base stats'!G:G)&lt;0.5,0.2,0.3),MROUND(_xlfn.XLOOKUP(B152,'Base stats'!B:B,'Base stats'!G:G)/(365/60),0.2)),"Unknown"))</f>
        <v>0.3</v>
      </c>
      <c r="AU152" s="8">
        <f t="shared" si="14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_xlfn.XLOOKUP(B152,'Base stats'!B:B,'Base stats'!AF:AF)</f>
        <v>&lt;li&gt;Cat&lt;/li&gt;</v>
      </c>
      <c r="BB152" s="2" t="str">
        <f>_xlfn.XLOOKUP(B152,'Base stats'!B:B,'Base stats'!AE:AE)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stats'!Z:Z)=0),0,IF(OR(_xlfn.XLOOKUP(Animals!B152,'Base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stats'!AA:AA),0.005))</f>
        <v>0</v>
      </c>
      <c r="BE152" s="23">
        <f>MIN(1,MROUND(IF(AND(AO152&lt;0.5,_xlfn.XLOOKUP(B152,'Base stats'!B:B,'Base stats'!Z:Z)=0),0,IF(_xlfn.XLOOKUP(_xlfn.XLOOKUP(B152,'Base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stats'!AB:AB),0.005))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stats'!AL:AL)="Standard","No",MROUND((_xlfn.XLOOKUP(B152,'Base stats'!B:B,'Base stats'!AL:AL)/3.6)/I152,0.1))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stats'!AC:AC)&lt;&gt;"No",_xlfn.XLOOKUP(B152,'Base stats'!B:B,'Base stats'!AC:AC),"")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stats'!AC:AC)&lt;&gt;"No",_xlfn.XLOOKUP(B152,'Base stats'!B:B,'Base stats'!AC:AC),"")
  )
)</f>
        <v>Comfort</v>
      </c>
      <c r="BQ152" s="25" t="str">
        <f>IF(
   AND(
      'Base stats'!AL152="Standard",_xlfn.XLOOKUP(_xlfn.XLOOKUP(B152,'Base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stats'!AT:AT) * 1.8) * 2) * 2.5 + 10 + I152 * 2,5)+IF(_xlfn.XLOOKUP(B152,'Base stats'!B:B,'Base stats'!AI:AI)=1,50,0)</f>
        <v>45</v>
      </c>
      <c r="BS152" s="8">
        <f t="shared" si="19"/>
        <v>0.30000000000000004</v>
      </c>
      <c r="BT152" s="8" t="str">
        <f>_xlfn.XLOOKUP(B152,'Base stats'!B:B,'Base stats'!AD:AD)</f>
        <v>No</v>
      </c>
      <c r="BU152" s="2" t="str">
        <f>IF(AND(J152&lt;=0.95,OR(_xlfn.XLOOKUP(B152,'Base stats'!B:B,'Base stats'!AI:AI)=1,_xlfn.XLOOKUP(B152,'Base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stats'!AG:AG)=1,"true","false")</f>
        <v>false</v>
      </c>
      <c r="BW152" s="25" t="str">
        <f>IF(E152="BaseInsect","AnimalInsect",
IF(J152&gt;0.95,"AnimalExotic",
_xlfn.TEXTJOIN(", ",TRUE,
IF(OR(_xlfn.XLOOKUP(B152,'Base stats'!B:B,'Base stats'!AK:AK)=1,AND(_xlfn.XLOOKUP(B152,'Base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stats'!AI:AI)=1,AND(BI152&lt;&gt;"None",BR152&gt;=60),ISNUMBER(SEARCH("Attack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stats'!AH:AH)=1,"true","false")</f>
        <v>false</v>
      </c>
      <c r="BZ152" s="25">
        <f>IF(_xlfn.XLOOKUP(B152,'Base stats'!B:B,'Base stats'!N:N)=1,"No",MAX(0.01,MIN(MROUND(IF(OR(_xlfn.XLOOKUP(B152,'Base stats'!B:B,'Base stats'!AK:AK)=1,AND(BJ152="True",CC152="False")),POWER(10,3.47*LOG10(_xlfn.XLOOKUP(B152,'Base stats'!B:B,'Base stats'!C:C)*1000)^-0.96),POWER(10,4.15*LOG10(_xlfn.XLOOKUP(B152,'Base stats'!B:B,'Base stats'!C:C)*1000)^-0.73))*IF(OR(_xlfn.XLOOKUP(B152,'Base stats'!B:B,'Base stats'!AK:AK)=1,_xlfn.XLOOKUP(B152,'Base stats'!B:B,'Base stats'!AI:AI)=1),0.5,1)/100,0.025),1)))</f>
        <v>0.1</v>
      </c>
      <c r="CA152" s="25" t="str">
        <f>IF(P152="Standard","No",MAX(0.01,IF(_xlfn.XLOOKUP(B152,'Base stats'!B:B,'Base stats'!N:N)=0,MROUND(BZ152*P152,0.05),MIN(1,MAX(0.025,MROUND(IF(OR(CC152="true",AND(BJ152="false",BO152="false")),POWER(10,4.15*LOG10(_xlfn.XLOOKUP(B152,'Base stats'!B:B,'Base stats'!C:C)*1000)^-0.73),POWER(10,3.47*LOG10(_xlfn.XLOOKUP(B152,'Base stats'!B:B,'Base stats'!C:C)*1000)^-0.96))*IF(_xlfn.XLOOKUP(B152,'Base stats'!B:B,'Base stats'!AI:AI)=1,0.5,1)/100,0.025))))))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918</v>
      </c>
      <c r="C153" s="28" t="s">
        <v>846</v>
      </c>
      <c r="D153" s="28" t="s">
        <v>884</v>
      </c>
      <c r="E153" s="28" t="s">
        <v>685</v>
      </c>
      <c r="F153" s="28" t="s">
        <v>685</v>
      </c>
      <c r="G153" s="28" t="s">
        <v>685</v>
      </c>
      <c r="H153" s="2">
        <f>MROUND((
  (IF(AND(_xlfn.XLOOKUP(B153,'Base stats'!B:B,'Base stats'!AJ:AJ)=0,BI153="None",_xlfn.XLOOKUP(_xlfn.XLOOKUP(B153,'Base stats'!B:B,'Base stats'!E:E),Groups!A:A,Groups!B:B)=0), (18 + BR153 * 2.7) * 0.5,
    IF(AND(_xlfn.XLOOKUP(B153,'Base stats'!B:B,'Base stats'!AJ:AJ)=0,OR(AO153&lt;0.55,AND(BI153="Intermediate",_xlfn.XLOOKUP(_xlfn.XLOOKUP(B153,'Base stats'!B:B,'Base stats'!E:E),Groups!A:A,Groups!B:B)&lt;2))), (18 + BR153 * 2.7),
      IF(OR(BI153="Advanced",_xlfn.XLOOKUP(B153,'Base stats'!B:B,'Base stats'!AJ:AJ)=1,_xlfn.XLOOKUP(_xlfn.XLOOKUP(B153,'Base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IF(_xlfn.XLOOKUP(_xlfn.XLOOKUP(B153,'Base stats'!B:B,'Base stats'!E:E),Groups!A:A,Groups!C:C)="Untamable",1,IF(_xlfn.XLOOKUP(B153,'Base stats'!B:B,'Base stats'!AJ:AJ)=1,0.99,MIN(MROUND((1-0.6282*EXP(-0.459*AO153))*_xlfn.XLOOKUP(_xlfn.XLOOKUP(B153,'Base stats'!B:B,'Base stats'!E:E),Groups!A:A,Groups!C:C)*IF(_xlfn.XLOOKUP(B153,'Base stats'!B:B,'Base stats'!O:O)=1,0.5,IF(_xlfn.XLOOKUP(B153,'Base stats'!B:B,'Base stats'!O:O)=2,0,1)),0.05),0.985)))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IF(_xlfn.XLOOKUP(_xlfn.XLOOKUP(B153,'Base stats'!B:B,'Base stats'!E:E),Groups!A:A,Groups!L:L)=1,MIN(MROUND(_xlfn.XLOOKUP(B153,'Animals CE'!B:B,'Animals CE'!Z:Z)/2+0.05,0.05),200%),"No")</f>
        <v>No</v>
      </c>
      <c r="O153" s="8" t="str">
        <f>IF(_xlfn.XLOOKUP(_xlfn.XLOOKUP(B153,'Base stats'!B:B,'Base stats'!E:E),Groups!A:A,Groups!L:L)=1,MIN(MROUND(_xlfn.XLOOKUP(B153,'Animals CE'!B:B,'Animals CE'!AA:AA)/2+0.05,0.05),200%),"No")</f>
        <v>No</v>
      </c>
      <c r="P153" s="2" t="str">
        <f>_xlfn.XLOOKUP(B153,'Base stats'!B:B,'Base stats'!R:R)</f>
        <v>Standard</v>
      </c>
      <c r="Q153" s="13">
        <f>MROUND((LOG10(_xlfn.XLOOKUP(B153,'Base stats'!B:B,'Base stats'!AP:AP))*(AO153^0.5)+(_xlfn.XLOOKUP(B153,'Base stats'!B:B,'Base stats'!AP:AP)/1000)^(2/3)+_xlfn.XLOOKUP(B153,'Base stats'!B:B,'Base stats'!AY:AY)/2)+0.5,0.5)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stats'!AQ:AQ))*(AO153^0.5)+(_xlfn.XLOOKUP(B153,'Base stats'!B:B,'Base stats'!AQ:AQ)/1000)^(2/3)+_xlfn.XLOOKUP(B153,'Base stats'!B:B,'Base stats'!AY:AY))+_xlfn.XLOOKUP(B153,'Base stats'!B:B,'Base stats'!AW:AW)+0.5,0.5))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stats'!AS:AS))*(AO153^0.5)+(_xlfn.XLOOKUP(B153,'Base stats'!B:B,'Base stats'!AS:AS)/1000)^(2/3)+_xlfn.XLOOKUP(B153,'Base stats'!B:B,'Base stats'!AX:AX))+0.5+IF(_xlfn.XLOOKUP(_xlfn.XLOOKUP(B153,'Base stats'!B:B,'Base stats'!E:E),Groups!A:A,Groups!U:U)&lt;&gt;3,_xlfn.XLOOKUP(B153,'Base stats'!B:B,'Base stats'!AY:AY),0),0.5))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stats'!AR:AR)="No","No",MROUND((LOG10(_xlfn.XLOOKUP(B153,'Base stats'!B:B,'Base stats'!AR:AR))*(AO153^0.75)+(_xlfn.XLOOKUP(B153,'Base stats'!B:B,'Base stats'!AR:AR)/1000)^(2/3)+_xlfn.XLOOKUP(B153,'Base stats'!B:B,'Base stats'!AV:AV)+_xlfn.XLOOKUP(B153,'Base stats'!B:B,'Base stats'!AY:AY))+0.5,0.5))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stats'!AQ:AQ))*(AO153^0.75)+(_xlfn.XLOOKUP(B153,'Base stats'!B:B,'Base stats'!AQ:AQ)/1000)^(2/3)+_xlfn.XLOOKUP(B153,'Base stats'!B:B,'Base stats'!AW:AW)+_xlfn.XLOOKUP(B153,'Base stats'!B:B,'Base stats'!AY:AY))+0.5,0.5))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FrontRightPaw,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5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IFERROR(IF(_xlfn.XLOOKUP(B153,'Base stats'!B:B,'Base stats'!F:F)="Lay eggs","Lay eggs",MIN(20,MAX(5.5,ROUND(((_xlfn.XLOOKUP(B153,'Base stats'!B:B,'Base stats'!F:F)-25)*(14.5/615) + 5.5)*2,0)/2))),"Cannot breed")</f>
        <v>6.5</v>
      </c>
      <c r="AT153" s="8">
        <f>IF(OR(A153="Queen",A153="Larva",A153="Megachicken",A153="Megatardi",A153="Toxscorpion"),"No",IFERROR(MAX(IF(_xlfn.XLOOKUP(B153,'Base stats'!B:B,'Base stats'!G:G)&lt;0.5,0.2,0.3),MROUND(_xlfn.XLOOKUP(B153,'Base stats'!B:B,'Base stats'!G:G)/(365/60),0.2)),"Unknown"))</f>
        <v>0.3</v>
      </c>
      <c r="AU153" s="8">
        <f t="shared" si="14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_xlfn.XLOOKUP(B153,'Base stats'!B:B,'Base stats'!AF:AF)</f>
        <v>&lt;li&gt;Cat&lt;/li&gt;</v>
      </c>
      <c r="BB153" s="2" t="str">
        <f>_xlfn.XLOOKUP(B153,'Base stats'!B:B,'Base stats'!AE:AE)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stats'!Z:Z)=0),0,IF(OR(_xlfn.XLOOKUP(Animals!B153,'Base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stats'!AA:AA),0.005))</f>
        <v>0</v>
      </c>
      <c r="BE153" s="23">
        <f>MIN(1,MROUND(IF(AND(AO153&lt;0.5,_xlfn.XLOOKUP(B153,'Base stats'!B:B,'Base stats'!Z:Z)=0),0,IF(_xlfn.XLOOKUP(_xlfn.XLOOKUP(B153,'Base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stats'!AB:AB),0.005))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stats'!AL:AL)="Standard","No",MROUND((_xlfn.XLOOKUP(B153,'Base stats'!B:B,'Base stats'!AL:AL)/3.6)/I153,0.1))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stats'!AC:AC)&lt;&gt;"No",_xlfn.XLOOKUP(B153,'Base stats'!B:B,'Base stats'!AC:AC),"")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stats'!AC:AC)&lt;&gt;"No",_xlfn.XLOOKUP(B153,'Base stats'!B:B,'Base stats'!AC:AC),"")
  )
)</f>
        <v>Comfort</v>
      </c>
      <c r="BQ153" s="25" t="str">
        <f>IF(
   AND(
      'Base stats'!AL153="Standard",_xlfn.XLOOKUP(_xlfn.XLOOKUP(B153,'Base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stats'!AT:AT) * 1.8) * 2) * 2.5 + 10 + I153 * 2,5)+IF(_xlfn.XLOOKUP(B153,'Base stats'!B:B,'Base stats'!AI:AI)=1,50,0)</f>
        <v>50</v>
      </c>
      <c r="BS153" s="8">
        <f t="shared" si="19"/>
        <v>0.30000000000000004</v>
      </c>
      <c r="BT153" s="8" t="str">
        <f>_xlfn.XLOOKUP(B153,'Base stats'!B:B,'Base stats'!AD:AD)</f>
        <v>No</v>
      </c>
      <c r="BU153" s="2" t="str">
        <f>IF(AND(J153&lt;=0.95,OR(_xlfn.XLOOKUP(B153,'Base stats'!B:B,'Base stats'!AI:AI)=1,_xlfn.XLOOKUP(B153,'Base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stats'!AG:AG)=1,"true","false")</f>
        <v>false</v>
      </c>
      <c r="BW153" s="25" t="str">
        <f>IF(E153="BaseInsect","AnimalInsect",
IF(J153&gt;0.95,"AnimalExotic",
_xlfn.TEXTJOIN(", ",TRUE,
IF(OR(_xlfn.XLOOKUP(B153,'Base stats'!B:B,'Base stats'!AK:AK)=1,AND(_xlfn.XLOOKUP(B153,'Base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stats'!AI:AI)=1,AND(BI153&lt;&gt;"None",BR153&gt;=60),ISNUMBER(SEARCH("Attack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stats'!AH:AH)=1,"true","false")</f>
        <v>false</v>
      </c>
      <c r="BZ153" s="25">
        <f>IF(_xlfn.XLOOKUP(B153,'Base stats'!B:B,'Base stats'!N:N)=1,"No",MAX(0.01,MIN(MROUND(IF(OR(_xlfn.XLOOKUP(B153,'Base stats'!B:B,'Base stats'!AK:AK)=1,AND(BJ153="True",CC153="False")),POWER(10,3.47*LOG10(_xlfn.XLOOKUP(B153,'Base stats'!B:B,'Base stats'!C:C)*1000)^-0.96),POWER(10,4.15*LOG10(_xlfn.XLOOKUP(B153,'Base stats'!B:B,'Base stats'!C:C)*1000)^-0.73))*IF(OR(_xlfn.XLOOKUP(B153,'Base stats'!B:B,'Base stats'!AK:AK)=1,_xlfn.XLOOKUP(B153,'Base stats'!B:B,'Base stats'!AI:AI)=1),0.5,1)/100,0.025),1)))</f>
        <v>0.1</v>
      </c>
      <c r="CA153" s="25" t="str">
        <f>IF(P153="Standard","No",MAX(0.01,IF(_xlfn.XLOOKUP(B153,'Base stats'!B:B,'Base stats'!N:N)=0,MROUND(BZ153*P153,0.05),MIN(1,MAX(0.025,MROUND(IF(OR(CC153="true",AND(BJ153="false",BO153="false")),POWER(10,4.15*LOG10(_xlfn.XLOOKUP(B153,'Base stats'!B:B,'Base stats'!C:C)*1000)^-0.73),POWER(10,3.47*LOG10(_xlfn.XLOOKUP(B153,'Base stats'!B:B,'Base stats'!C:C)*1000)^-0.96))*IF(_xlfn.XLOOKUP(B153,'Base stats'!B:B,'Base stats'!AI:AI)=1,0.5,1)/100,0.025))))))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919</v>
      </c>
      <c r="C154" s="28" t="s">
        <v>847</v>
      </c>
      <c r="D154" s="28" t="s">
        <v>884</v>
      </c>
      <c r="E154" s="28" t="s">
        <v>685</v>
      </c>
      <c r="F154" s="28" t="s">
        <v>685</v>
      </c>
      <c r="G154" s="28" t="s">
        <v>685</v>
      </c>
      <c r="H154" s="2">
        <f>MROUND((
  (IF(AND(_xlfn.XLOOKUP(B154,'Base stats'!B:B,'Base stats'!AJ:AJ)=0,BI154="None",_xlfn.XLOOKUP(_xlfn.XLOOKUP(B154,'Base stats'!B:B,'Base stats'!E:E),Groups!A:A,Groups!B:B)=0), (18 + BR154 * 2.7) * 0.5,
    IF(AND(_xlfn.XLOOKUP(B154,'Base stats'!B:B,'Base stats'!AJ:AJ)=0,OR(AO154&lt;0.55,AND(BI154="Intermediate",_xlfn.XLOOKUP(_xlfn.XLOOKUP(B154,'Base stats'!B:B,'Base stats'!E:E),Groups!A:A,Groups!B:B)&lt;2))), (18 + BR154 * 2.7),
      IF(OR(BI154="Advanced",_xlfn.XLOOKUP(B154,'Base stats'!B:B,'Base stats'!AJ:AJ)=1,_xlfn.XLOOKUP(_xlfn.XLOOKUP(B154,'Base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IF(_xlfn.XLOOKUP(_xlfn.XLOOKUP(B154,'Base stats'!B:B,'Base stats'!E:E),Groups!A:A,Groups!C:C)="Untamable",1,IF(_xlfn.XLOOKUP(B154,'Base stats'!B:B,'Base stats'!AJ:AJ)=1,0.99,MIN(MROUND((1-0.6282*EXP(-0.459*AO154))*_xlfn.XLOOKUP(_xlfn.XLOOKUP(B154,'Base stats'!B:B,'Base stats'!E:E),Groups!A:A,Groups!C:C)*IF(_xlfn.XLOOKUP(B154,'Base stats'!B:B,'Base stats'!O:O)=1,0.5,IF(_xlfn.XLOOKUP(B154,'Base stats'!B:B,'Base stats'!O:O)=2,0,1)),0.05),0.985)))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IF(_xlfn.XLOOKUP(_xlfn.XLOOKUP(B154,'Base stats'!B:B,'Base stats'!E:E),Groups!A:A,Groups!L:L)=1,MIN(MROUND(_xlfn.XLOOKUP(B154,'Animals CE'!B:B,'Animals CE'!Z:Z)/2+0.05,0.05),200%),"No")</f>
        <v>No</v>
      </c>
      <c r="O154" s="8" t="str">
        <f>IF(_xlfn.XLOOKUP(_xlfn.XLOOKUP(B154,'Base stats'!B:B,'Base stats'!E:E),Groups!A:A,Groups!L:L)=1,MIN(MROUND(_xlfn.XLOOKUP(B154,'Animals CE'!B:B,'Animals CE'!AA:AA)/2+0.05,0.05),200%),"No")</f>
        <v>No</v>
      </c>
      <c r="P154" s="2" t="str">
        <f>_xlfn.XLOOKUP(B154,'Base stats'!B:B,'Base stats'!R:R)</f>
        <v>Standard</v>
      </c>
      <c r="Q154" s="13">
        <f>MROUND((LOG10(_xlfn.XLOOKUP(B154,'Base stats'!B:B,'Base stats'!AP:AP))*(AO154^0.5)+(_xlfn.XLOOKUP(B154,'Base stats'!B:B,'Base stats'!AP:AP)/1000)^(2/3)+_xlfn.XLOOKUP(B154,'Base stats'!B:B,'Base stats'!AY:AY)/2)+0.5,0.5)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stats'!AQ:AQ))*(AO154^0.5)+(_xlfn.XLOOKUP(B154,'Base stats'!B:B,'Base stats'!AQ:AQ)/1000)^(2/3)+_xlfn.XLOOKUP(B154,'Base stats'!B:B,'Base stats'!AY:AY))+_xlfn.XLOOKUP(B154,'Base stats'!B:B,'Base stats'!AW:AW)+0.5,0.5))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stats'!AS:AS))*(AO154^0.5)+(_xlfn.XLOOKUP(B154,'Base stats'!B:B,'Base stats'!AS:AS)/1000)^(2/3)+_xlfn.XLOOKUP(B154,'Base stats'!B:B,'Base stats'!AX:AX))+0.5+IF(_xlfn.XLOOKUP(_xlfn.XLOOKUP(B154,'Base stats'!B:B,'Base stats'!E:E),Groups!A:A,Groups!U:U)&lt;&gt;3,_xlfn.XLOOKUP(B154,'Base stats'!B:B,'Base stats'!AY:AY),0),0.5))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stats'!AR:AR)="No","No",MROUND((LOG10(_xlfn.XLOOKUP(B154,'Base stats'!B:B,'Base stats'!AR:AR))*(AO154^0.75)+(_xlfn.XLOOKUP(B154,'Base stats'!B:B,'Base stats'!AR:AR)/1000)^(2/3)+_xlfn.XLOOKUP(B154,'Base stats'!B:B,'Base stats'!AV:AV)+_xlfn.XLOOKUP(B154,'Base stats'!B:B,'Base stats'!AY:AY))+0.5,0.5))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stats'!AQ:AQ))*(AO154^0.75)+(_xlfn.XLOOKUP(B154,'Base stats'!B:B,'Base stats'!AQ:AQ)/1000)^(2/3)+_xlfn.XLOOKUP(B154,'Base stats'!B:B,'Base stats'!AW:AW)+_xlfn.XLOOKUP(B154,'Base stats'!B:B,'Base stats'!AY:AY))+0.5,0.5))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FrontRightPaw,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5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IFERROR(IF(_xlfn.XLOOKUP(B154,'Base stats'!B:B,'Base stats'!F:F)="Lay eggs","Lay eggs",MIN(20,MAX(5.5,ROUND(((_xlfn.XLOOKUP(B154,'Base stats'!B:B,'Base stats'!F:F)-25)*(14.5/615) + 5.5)*2,0)/2))),"Cannot breed")</f>
        <v>6.5</v>
      </c>
      <c r="AT154" s="8">
        <f>IF(OR(A154="Queen",A154="Larva",A154="Megachicken",A154="Megatardi",A154="Toxscorpion"),"No",IFERROR(MAX(IF(_xlfn.XLOOKUP(B154,'Base stats'!B:B,'Base stats'!G:G)&lt;0.5,0.2,0.3),MROUND(_xlfn.XLOOKUP(B154,'Base stats'!B:B,'Base stats'!G:G)/(365/60),0.2)),"Unknown"))</f>
        <v>0.3</v>
      </c>
      <c r="AU154" s="8">
        <f t="shared" si="14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_xlfn.XLOOKUP(B154,'Base stats'!B:B,'Base stats'!AF:AF)</f>
        <v>&lt;li&gt;Cat&lt;/li&gt;</v>
      </c>
      <c r="BB154" s="2" t="str">
        <f>_xlfn.XLOOKUP(B154,'Base stats'!B:B,'Base stats'!AE:AE)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stats'!Z:Z)=0),0,IF(OR(_xlfn.XLOOKUP(Animals!B154,'Base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stats'!AA:AA),0.005))</f>
        <v>0</v>
      </c>
      <c r="BE154" s="23">
        <f>MIN(1,MROUND(IF(AND(AO154&lt;0.5,_xlfn.XLOOKUP(B154,'Base stats'!B:B,'Base stats'!Z:Z)=0),0,IF(_xlfn.XLOOKUP(_xlfn.XLOOKUP(B154,'Base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stats'!AB:AB),0.005))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stats'!AL:AL)="Standard","No",MROUND((_xlfn.XLOOKUP(B154,'Base stats'!B:B,'Base stats'!AL:AL)/3.6)/I154,0.1))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stats'!AC:AC)&lt;&gt;"No",_xlfn.XLOOKUP(B154,'Base stats'!B:B,'Base stats'!AC:AC),"")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stats'!AC:AC)&lt;&gt;"No",_xlfn.XLOOKUP(B154,'Base stats'!B:B,'Base stats'!AC:AC),"")
  )
)</f>
        <v>Comfort</v>
      </c>
      <c r="BQ154" s="25" t="str">
        <f>IF(
   AND(
      'Base stats'!AL154="Standard",_xlfn.XLOOKUP(_xlfn.XLOOKUP(B154,'Base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stats'!AT:AT) * 1.8) * 2) * 2.5 + 10 + I154 * 2,5)+IF(_xlfn.XLOOKUP(B154,'Base stats'!B:B,'Base stats'!AI:AI)=1,50,0)</f>
        <v>45</v>
      </c>
      <c r="BS154" s="8">
        <f t="shared" si="19"/>
        <v>0.25</v>
      </c>
      <c r="BT154" s="8" t="str">
        <f>_xlfn.XLOOKUP(B154,'Base stats'!B:B,'Base stats'!AD:AD)</f>
        <v>No</v>
      </c>
      <c r="BU154" s="2" t="str">
        <f>IF(AND(J154&lt;=0.95,OR(_xlfn.XLOOKUP(B154,'Base stats'!B:B,'Base stats'!AI:AI)=1,_xlfn.XLOOKUP(B154,'Base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stats'!AG:AG)=1,"true","false")</f>
        <v>false</v>
      </c>
      <c r="BW154" s="25" t="str">
        <f>IF(E154="BaseInsect","AnimalInsect",
IF(J154&gt;0.95,"AnimalExotic",
_xlfn.TEXTJOIN(", ",TRUE,
IF(OR(_xlfn.XLOOKUP(B154,'Base stats'!B:B,'Base stats'!AK:AK)=1,AND(_xlfn.XLOOKUP(B154,'Base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stats'!AI:AI)=1,AND(BI154&lt;&gt;"None",BR154&gt;=60),ISNUMBER(SEARCH("Attack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stats'!AH:AH)=1,"true","false")</f>
        <v>false</v>
      </c>
      <c r="BZ154" s="25">
        <f>IF(_xlfn.XLOOKUP(B154,'Base stats'!B:B,'Base stats'!N:N)=1,"No",MAX(0.01,MIN(MROUND(IF(OR(_xlfn.XLOOKUP(B154,'Base stats'!B:B,'Base stats'!AK:AK)=1,AND(BJ154="True",CC154="False")),POWER(10,3.47*LOG10(_xlfn.XLOOKUP(B154,'Base stats'!B:B,'Base stats'!C:C)*1000)^-0.96),POWER(10,4.15*LOG10(_xlfn.XLOOKUP(B154,'Base stats'!B:B,'Base stats'!C:C)*1000)^-0.73))*IF(OR(_xlfn.XLOOKUP(B154,'Base stats'!B:B,'Base stats'!AK:AK)=1,_xlfn.XLOOKUP(B154,'Base stats'!B:B,'Base stats'!AI:AI)=1),0.5,1)/100,0.025),1)))</f>
        <v>0.1</v>
      </c>
      <c r="CA154" s="25" t="str">
        <f>IF(P154="Standard","No",MAX(0.01,IF(_xlfn.XLOOKUP(B154,'Base stats'!B:B,'Base stats'!N:N)=0,MROUND(BZ154*P154,0.05),MIN(1,MAX(0.025,MROUND(IF(OR(CC154="true",AND(BJ154="false",BO154="false")),POWER(10,4.15*LOG10(_xlfn.XLOOKUP(B154,'Base stats'!B:B,'Base stats'!C:C)*1000)^-0.73),POWER(10,3.47*LOG10(_xlfn.XLOOKUP(B154,'Base stats'!B:B,'Base stats'!C:C)*1000)^-0.96))*IF(_xlfn.XLOOKUP(B154,'Base stats'!B:B,'Base stats'!AI:AI)=1,0.5,1)/100,0.025))))))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920</v>
      </c>
      <c r="C155" s="28" t="s">
        <v>848</v>
      </c>
      <c r="D155" s="28" t="s">
        <v>884</v>
      </c>
      <c r="E155" s="28" t="s">
        <v>685</v>
      </c>
      <c r="F155" s="28" t="s">
        <v>685</v>
      </c>
      <c r="G155" s="28" t="s">
        <v>685</v>
      </c>
      <c r="H155" s="2">
        <f>MROUND((
  (IF(AND(_xlfn.XLOOKUP(B155,'Base stats'!B:B,'Base stats'!AJ:AJ)=0,BI155="None",_xlfn.XLOOKUP(_xlfn.XLOOKUP(B155,'Base stats'!B:B,'Base stats'!E:E),Groups!A:A,Groups!B:B)=0), (18 + BR155 * 2.7) * 0.5,
    IF(AND(_xlfn.XLOOKUP(B155,'Base stats'!B:B,'Base stats'!AJ:AJ)=0,OR(AO155&lt;0.55,AND(BI155="Intermediate",_xlfn.XLOOKUP(_xlfn.XLOOKUP(B155,'Base stats'!B:B,'Base stats'!E:E),Groups!A:A,Groups!B:B)&lt;2))), (18 + BR155 * 2.7),
      IF(OR(BI155="Advanced",_xlfn.XLOOKUP(B155,'Base stats'!B:B,'Base stats'!AJ:AJ)=1,_xlfn.XLOOKUP(_xlfn.XLOOKUP(B155,'Base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IF(_xlfn.XLOOKUP(_xlfn.XLOOKUP(B155,'Base stats'!B:B,'Base stats'!E:E),Groups!A:A,Groups!C:C)="Untamable",1,IF(_xlfn.XLOOKUP(B155,'Base stats'!B:B,'Base stats'!AJ:AJ)=1,0.99,MIN(MROUND((1-0.6282*EXP(-0.459*AO155))*_xlfn.XLOOKUP(_xlfn.XLOOKUP(B155,'Base stats'!B:B,'Base stats'!E:E),Groups!A:A,Groups!C:C)*IF(_xlfn.XLOOKUP(B155,'Base stats'!B:B,'Base stats'!O:O)=1,0.5,IF(_xlfn.XLOOKUP(B155,'Base stats'!B:B,'Base stats'!O:O)=2,0,1)),0.05),0.985)))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IF(_xlfn.XLOOKUP(_xlfn.XLOOKUP(B155,'Base stats'!B:B,'Base stats'!E:E),Groups!A:A,Groups!L:L)=1,MIN(MROUND(_xlfn.XLOOKUP(B155,'Animals CE'!B:B,'Animals CE'!Z:Z)/2+0.05,0.05),200%),"No")</f>
        <v>No</v>
      </c>
      <c r="O155" s="8" t="str">
        <f>IF(_xlfn.XLOOKUP(_xlfn.XLOOKUP(B155,'Base stats'!B:B,'Base stats'!E:E),Groups!A:A,Groups!L:L)=1,MIN(MROUND(_xlfn.XLOOKUP(B155,'Animals CE'!B:B,'Animals CE'!AA:AA)/2+0.05,0.05),200%),"No")</f>
        <v>No</v>
      </c>
      <c r="P155" s="2" t="str">
        <f>_xlfn.XLOOKUP(B155,'Base stats'!B:B,'Base stats'!R:R)</f>
        <v>Standard</v>
      </c>
      <c r="Q155" s="13">
        <f>MROUND((LOG10(_xlfn.XLOOKUP(B155,'Base stats'!B:B,'Base stats'!AP:AP))*(AO155^0.5)+(_xlfn.XLOOKUP(B155,'Base stats'!B:B,'Base stats'!AP:AP)/1000)^(2/3)+_xlfn.XLOOKUP(B155,'Base stats'!B:B,'Base stats'!AY:AY)/2)+0.5,0.5)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stats'!AQ:AQ))*(AO155^0.5)+(_xlfn.XLOOKUP(B155,'Base stats'!B:B,'Base stats'!AQ:AQ)/1000)^(2/3)+_xlfn.XLOOKUP(B155,'Base stats'!B:B,'Base stats'!AY:AY))+_xlfn.XLOOKUP(B155,'Base stats'!B:B,'Base stats'!AW:AW)+0.5,0.5))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stats'!AS:AS))*(AO155^0.5)+(_xlfn.XLOOKUP(B155,'Base stats'!B:B,'Base stats'!AS:AS)/1000)^(2/3)+_xlfn.XLOOKUP(B155,'Base stats'!B:B,'Base stats'!AX:AX))+0.5+IF(_xlfn.XLOOKUP(_xlfn.XLOOKUP(B155,'Base stats'!B:B,'Base stats'!E:E),Groups!A:A,Groups!U:U)&lt;&gt;3,_xlfn.XLOOKUP(B155,'Base stats'!B:B,'Base stats'!AY:AY),0),0.5))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stats'!AR:AR)="No","No",MROUND((LOG10(_xlfn.XLOOKUP(B155,'Base stats'!B:B,'Base stats'!AR:AR))*(AO155^0.75)+(_xlfn.XLOOKUP(B155,'Base stats'!B:B,'Base stats'!AR:AR)/1000)^(2/3)+_xlfn.XLOOKUP(B155,'Base stats'!B:B,'Base stats'!AV:AV)+_xlfn.XLOOKUP(B155,'Base stats'!B:B,'Base stats'!AY:AY))+0.5,0.5))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stats'!AQ:AQ))*(AO155^0.75)+(_xlfn.XLOOKUP(B155,'Base stats'!B:B,'Base stats'!AQ:AQ)/1000)^(2/3)+_xlfn.XLOOKUP(B155,'Base stats'!B:B,'Base stats'!AW:AW)+_xlfn.XLOOKUP(B155,'Base stats'!B:B,'Base stats'!AY:AY))+0.5,0.5))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FrontRightPaw,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5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IFERROR(IF(_xlfn.XLOOKUP(B155,'Base stats'!B:B,'Base stats'!F:F)="Lay eggs","Lay eggs",MIN(20,MAX(5.5,ROUND(((_xlfn.XLOOKUP(B155,'Base stats'!B:B,'Base stats'!F:F)-25)*(14.5/615) + 5.5)*2,0)/2))),"Cannot breed")</f>
        <v>6.5</v>
      </c>
      <c r="AT155" s="8">
        <f>IF(OR(A155="Queen",A155="Larva",A155="Megachicken",A155="Megatardi",A155="Toxscorpion"),"No",IFERROR(MAX(IF(_xlfn.XLOOKUP(B155,'Base stats'!B:B,'Base stats'!G:G)&lt;0.5,0.2,0.3),MROUND(_xlfn.XLOOKUP(B155,'Base stats'!B:B,'Base stats'!G:G)/(365/60),0.2)),"Unknown"))</f>
        <v>0.3</v>
      </c>
      <c r="AU155" s="8">
        <f t="shared" si="14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_xlfn.XLOOKUP(B155,'Base stats'!B:B,'Base stats'!AF:AF)</f>
        <v>&lt;li&gt;Cat&lt;/li&gt;</v>
      </c>
      <c r="BB155" s="2" t="str">
        <f>_xlfn.XLOOKUP(B155,'Base stats'!B:B,'Base stats'!AE:AE)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stats'!Z:Z)=0),0,IF(OR(_xlfn.XLOOKUP(Animals!B155,'Base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stats'!AA:AA),0.005))</f>
        <v>0</v>
      </c>
      <c r="BE155" s="23">
        <f>MIN(1,MROUND(IF(AND(AO155&lt;0.5,_xlfn.XLOOKUP(B155,'Base stats'!B:B,'Base stats'!Z:Z)=0),0,IF(_xlfn.XLOOKUP(_xlfn.XLOOKUP(B155,'Base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stats'!AB:AB),0.005))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stats'!AL:AL)="Standard","No",MROUND((_xlfn.XLOOKUP(B155,'Base stats'!B:B,'Base stats'!AL:AL)/3.6)/I155,0.1))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stats'!AC:AC)&lt;&gt;"No",_xlfn.XLOOKUP(B155,'Base stats'!B:B,'Base stats'!AC:AC),"")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stats'!AC:AC)&lt;&gt;"No",_xlfn.XLOOKUP(B155,'Base stats'!B:B,'Base stats'!AC:AC),"")
  )
)</f>
        <v>Comfort</v>
      </c>
      <c r="BQ155" s="25" t="str">
        <f>IF(
   AND(
      'Base stats'!AL155="Standard",_xlfn.XLOOKUP(_xlfn.XLOOKUP(B155,'Base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stats'!AT:AT) * 1.8) * 2) * 2.5 + 10 + I155 * 2,5)+IF(_xlfn.XLOOKUP(B155,'Base stats'!B:B,'Base stats'!AI:AI)=1,50,0)</f>
        <v>50</v>
      </c>
      <c r="BS155" s="8">
        <f t="shared" si="19"/>
        <v>0.30000000000000004</v>
      </c>
      <c r="BT155" s="8" t="str">
        <f>_xlfn.XLOOKUP(B155,'Base stats'!B:B,'Base stats'!AD:AD)</f>
        <v>No</v>
      </c>
      <c r="BU155" s="2" t="str">
        <f>IF(AND(J155&lt;=0.95,OR(_xlfn.XLOOKUP(B155,'Base stats'!B:B,'Base stats'!AI:AI)=1,_xlfn.XLOOKUP(B155,'Base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stats'!AG:AG)=1,"true","false")</f>
        <v>false</v>
      </c>
      <c r="BW155" s="25" t="str">
        <f>IF(E155="BaseInsect","AnimalInsect",
IF(J155&gt;0.95,"AnimalExotic",
_xlfn.TEXTJOIN(", ",TRUE,
IF(OR(_xlfn.XLOOKUP(B155,'Base stats'!B:B,'Base stats'!AK:AK)=1,AND(_xlfn.XLOOKUP(B155,'Base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stats'!AI:AI)=1,AND(BI155&lt;&gt;"None",BR155&gt;=60),ISNUMBER(SEARCH("Attack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stats'!AH:AH)=1,"true","false")</f>
        <v>false</v>
      </c>
      <c r="BZ155" s="25">
        <f>IF(_xlfn.XLOOKUP(B155,'Base stats'!B:B,'Base stats'!N:N)=1,"No",MAX(0.01,MIN(MROUND(IF(OR(_xlfn.XLOOKUP(B155,'Base stats'!B:B,'Base stats'!AK:AK)=1,AND(BJ155="True",CC155="False")),POWER(10,3.47*LOG10(_xlfn.XLOOKUP(B155,'Base stats'!B:B,'Base stats'!C:C)*1000)^-0.96),POWER(10,4.15*LOG10(_xlfn.XLOOKUP(B155,'Base stats'!B:B,'Base stats'!C:C)*1000)^-0.73))*IF(OR(_xlfn.XLOOKUP(B155,'Base stats'!B:B,'Base stats'!AK:AK)=1,_xlfn.XLOOKUP(B155,'Base stats'!B:B,'Base stats'!AI:AI)=1),0.5,1)/100,0.025),1)))</f>
        <v>0.1</v>
      </c>
      <c r="CA155" s="25" t="str">
        <f>IF(P155="Standard","No",MAX(0.01,IF(_xlfn.XLOOKUP(B155,'Base stats'!B:B,'Base stats'!N:N)=0,MROUND(BZ155*P155,0.05),MIN(1,MAX(0.025,MROUND(IF(OR(CC155="true",AND(BJ155="false",BO155="false")),POWER(10,4.15*LOG10(_xlfn.XLOOKUP(B155,'Base stats'!B:B,'Base stats'!C:C)*1000)^-0.73),POWER(10,3.47*LOG10(_xlfn.XLOOKUP(B155,'Base stats'!B:B,'Base stats'!C:C)*1000)^-0.96))*IF(_xlfn.XLOOKUP(B155,'Base stats'!B:B,'Base stats'!AI:AI)=1,0.5,1)/100,0.025))))))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921</v>
      </c>
      <c r="C156" s="28" t="s">
        <v>849</v>
      </c>
      <c r="D156" s="28" t="s">
        <v>884</v>
      </c>
      <c r="E156" s="28" t="s">
        <v>685</v>
      </c>
      <c r="F156" s="28" t="s">
        <v>685</v>
      </c>
      <c r="G156" s="28" t="s">
        <v>685</v>
      </c>
      <c r="H156" s="2">
        <f>MROUND((
  (IF(AND(_xlfn.XLOOKUP(B156,'Base stats'!B:B,'Base stats'!AJ:AJ)=0,BI156="None",_xlfn.XLOOKUP(_xlfn.XLOOKUP(B156,'Base stats'!B:B,'Base stats'!E:E),Groups!A:A,Groups!B:B)=0), (18 + BR156 * 2.7) * 0.5,
    IF(AND(_xlfn.XLOOKUP(B156,'Base stats'!B:B,'Base stats'!AJ:AJ)=0,OR(AO156&lt;0.55,AND(BI156="Intermediate",_xlfn.XLOOKUP(_xlfn.XLOOKUP(B156,'Base stats'!B:B,'Base stats'!E:E),Groups!A:A,Groups!B:B)&lt;2))), (18 + BR156 * 2.7),
      IF(OR(BI156="Advanced",_xlfn.XLOOKUP(B156,'Base stats'!B:B,'Base stats'!AJ:AJ)=1,_xlfn.XLOOKUP(_xlfn.XLOOKUP(B156,'Base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IF(_xlfn.XLOOKUP(_xlfn.XLOOKUP(B156,'Base stats'!B:B,'Base stats'!E:E),Groups!A:A,Groups!C:C)="Untamable",1,IF(_xlfn.XLOOKUP(B156,'Base stats'!B:B,'Base stats'!AJ:AJ)=1,0.99,MIN(MROUND((1-0.6282*EXP(-0.459*AO156))*_xlfn.XLOOKUP(_xlfn.XLOOKUP(B156,'Base stats'!B:B,'Base stats'!E:E),Groups!A:A,Groups!C:C)*IF(_xlfn.XLOOKUP(B156,'Base stats'!B:B,'Base stats'!O:O)=1,0.5,IF(_xlfn.XLOOKUP(B156,'Base stats'!B:B,'Base stats'!O:O)=2,0,1)),0.05),0.985)))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IF(_xlfn.XLOOKUP(_xlfn.XLOOKUP(B156,'Base stats'!B:B,'Base stats'!E:E),Groups!A:A,Groups!L:L)=1,MIN(MROUND(_xlfn.XLOOKUP(B156,'Animals CE'!B:B,'Animals CE'!Z:Z)/2+0.05,0.05),200%),"No")</f>
        <v>No</v>
      </c>
      <c r="O156" s="8" t="str">
        <f>IF(_xlfn.XLOOKUP(_xlfn.XLOOKUP(B156,'Base stats'!B:B,'Base stats'!E:E),Groups!A:A,Groups!L:L)=1,MIN(MROUND(_xlfn.XLOOKUP(B156,'Animals CE'!B:B,'Animals CE'!AA:AA)/2+0.05,0.05),200%),"No")</f>
        <v>No</v>
      </c>
      <c r="P156" s="2" t="str">
        <f>_xlfn.XLOOKUP(B156,'Base stats'!B:B,'Base stats'!R:R)</f>
        <v>Standard</v>
      </c>
      <c r="Q156" s="13">
        <f>MROUND((LOG10(_xlfn.XLOOKUP(B156,'Base stats'!B:B,'Base stats'!AP:AP))*(AO156^0.5)+(_xlfn.XLOOKUP(B156,'Base stats'!B:B,'Base stats'!AP:AP)/1000)^(2/3)+_xlfn.XLOOKUP(B156,'Base stats'!B:B,'Base stats'!AY:AY)/2)+0.5,0.5)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stats'!AQ:AQ))*(AO156^0.5)+(_xlfn.XLOOKUP(B156,'Base stats'!B:B,'Base stats'!AQ:AQ)/1000)^(2/3)+_xlfn.XLOOKUP(B156,'Base stats'!B:B,'Base stats'!AY:AY))+_xlfn.XLOOKUP(B156,'Base stats'!B:B,'Base stats'!AW:AW)+0.5,0.5))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stats'!AS:AS))*(AO156^0.5)+(_xlfn.XLOOKUP(B156,'Base stats'!B:B,'Base stats'!AS:AS)/1000)^(2/3)+_xlfn.XLOOKUP(B156,'Base stats'!B:B,'Base stats'!AX:AX))+0.5+IF(_xlfn.XLOOKUP(_xlfn.XLOOKUP(B156,'Base stats'!B:B,'Base stats'!E:E),Groups!A:A,Groups!U:U)&lt;&gt;3,_xlfn.XLOOKUP(B156,'Base stats'!B:B,'Base stats'!AY:AY),0),0.5))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stats'!AR:AR)="No","No",MROUND((LOG10(_xlfn.XLOOKUP(B156,'Base stats'!B:B,'Base stats'!AR:AR))*(AO156^0.75)+(_xlfn.XLOOKUP(B156,'Base stats'!B:B,'Base stats'!AR:AR)/1000)^(2/3)+_xlfn.XLOOKUP(B156,'Base stats'!B:B,'Base stats'!AV:AV)+_xlfn.XLOOKUP(B156,'Base stats'!B:B,'Base stats'!AY:AY))+0.5,0.5))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stats'!AQ:AQ))*(AO156^0.75)+(_xlfn.XLOOKUP(B156,'Base stats'!B:B,'Base stats'!AQ:AQ)/1000)^(2/3)+_xlfn.XLOOKUP(B156,'Base stats'!B:B,'Base stats'!AW:AW)+_xlfn.XLOOKUP(B156,'Base stats'!B:B,'Base stats'!AY:AY))+0.5,0.5))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FrontRightPaw,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5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IFERROR(IF(_xlfn.XLOOKUP(B156,'Base stats'!B:B,'Base stats'!F:F)="Lay eggs","Lay eggs",MIN(20,MAX(5.5,ROUND(((_xlfn.XLOOKUP(B156,'Base stats'!B:B,'Base stats'!F:F)-25)*(14.5/615) + 5.5)*2,0)/2))),"Cannot breed")</f>
        <v>6.5</v>
      </c>
      <c r="AT156" s="8">
        <f>IF(OR(A156="Queen",A156="Larva",A156="Megachicken",A156="Megatardi",A156="Toxscorpion"),"No",IFERROR(MAX(IF(_xlfn.XLOOKUP(B156,'Base stats'!B:B,'Base stats'!G:G)&lt;0.5,0.2,0.3),MROUND(_xlfn.XLOOKUP(B156,'Base stats'!B:B,'Base stats'!G:G)/(365/60),0.2)),"Unknown"))</f>
        <v>0.3</v>
      </c>
      <c r="AU156" s="8">
        <f t="shared" si="14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_xlfn.XLOOKUP(B156,'Base stats'!B:B,'Base stats'!AF:AF)</f>
        <v>&lt;li&gt;Cat&lt;/li&gt;</v>
      </c>
      <c r="BB156" s="2" t="str">
        <f>_xlfn.XLOOKUP(B156,'Base stats'!B:B,'Base stats'!AE:AE)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stats'!Z:Z)=0),0,IF(OR(_xlfn.XLOOKUP(Animals!B156,'Base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stats'!AA:AA),0.005))</f>
        <v>0</v>
      </c>
      <c r="BE156" s="23">
        <f>MIN(1,MROUND(IF(AND(AO156&lt;0.5,_xlfn.XLOOKUP(B156,'Base stats'!B:B,'Base stats'!Z:Z)=0),0,IF(_xlfn.XLOOKUP(_xlfn.XLOOKUP(B156,'Base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stats'!AB:AB),0.005))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stats'!AL:AL)="Standard","No",MROUND((_xlfn.XLOOKUP(B156,'Base stats'!B:B,'Base stats'!AL:AL)/3.6)/I156,0.1))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stats'!AC:AC)&lt;&gt;"No",_xlfn.XLOOKUP(B156,'Base stats'!B:B,'Base stats'!AC:AC),"")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stats'!AC:AC)&lt;&gt;"No",_xlfn.XLOOKUP(B156,'Base stats'!B:B,'Base stats'!AC:AC),"")
  )
)</f>
        <v>Comfort</v>
      </c>
      <c r="BQ156" s="25" t="str">
        <f>IF(
   AND(
      'Base stats'!AL156="Standard",_xlfn.XLOOKUP(_xlfn.XLOOKUP(B156,'Base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stats'!AT:AT) * 1.8) * 2) * 2.5 + 10 + I156 * 2,5)+IF(_xlfn.XLOOKUP(B156,'Base stats'!B:B,'Base stats'!AI:AI)=1,50,0)</f>
        <v>45</v>
      </c>
      <c r="BS156" s="8">
        <f t="shared" si="19"/>
        <v>0.25</v>
      </c>
      <c r="BT156" s="8" t="str">
        <f>_xlfn.XLOOKUP(B156,'Base stats'!B:B,'Base stats'!AD:AD)</f>
        <v>No</v>
      </c>
      <c r="BU156" s="2" t="str">
        <f>IF(AND(J156&lt;=0.95,OR(_xlfn.XLOOKUP(B156,'Base stats'!B:B,'Base stats'!AI:AI)=1,_xlfn.XLOOKUP(B156,'Base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stats'!AG:AG)=1,"true","false")</f>
        <v>false</v>
      </c>
      <c r="BW156" s="25" t="str">
        <f>IF(E156="BaseInsect","AnimalInsect",
IF(J156&gt;0.95,"AnimalExotic",
_xlfn.TEXTJOIN(", ",TRUE,
IF(OR(_xlfn.XLOOKUP(B156,'Base stats'!B:B,'Base stats'!AK:AK)=1,AND(_xlfn.XLOOKUP(B156,'Base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stats'!AI:AI)=1,AND(BI156&lt;&gt;"None",BR156&gt;=60),ISNUMBER(SEARCH("Attack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stats'!AH:AH)=1,"true","false")</f>
        <v>false</v>
      </c>
      <c r="BZ156" s="25">
        <f>IF(_xlfn.XLOOKUP(B156,'Base stats'!B:B,'Base stats'!N:N)=1,"No",MAX(0.01,MIN(MROUND(IF(OR(_xlfn.XLOOKUP(B156,'Base stats'!B:B,'Base stats'!AK:AK)=1,AND(BJ156="True",CC156="False")),POWER(10,3.47*LOG10(_xlfn.XLOOKUP(B156,'Base stats'!B:B,'Base stats'!C:C)*1000)^-0.96),POWER(10,4.15*LOG10(_xlfn.XLOOKUP(B156,'Base stats'!B:B,'Base stats'!C:C)*1000)^-0.73))*IF(OR(_xlfn.XLOOKUP(B156,'Base stats'!B:B,'Base stats'!AK:AK)=1,_xlfn.XLOOKUP(B156,'Base stats'!B:B,'Base stats'!AI:AI)=1),0.5,1)/100,0.025),1)))</f>
        <v>0.1</v>
      </c>
      <c r="CA156" s="25" t="str">
        <f>IF(P156="Standard","No",MAX(0.01,IF(_xlfn.XLOOKUP(B156,'Base stats'!B:B,'Base stats'!N:N)=0,MROUND(BZ156*P156,0.05),MIN(1,MAX(0.025,MROUND(IF(OR(CC156="true",AND(BJ156="false",BO156="false")),POWER(10,4.15*LOG10(_xlfn.XLOOKUP(B156,'Base stats'!B:B,'Base stats'!C:C)*1000)^-0.73),POWER(10,3.47*LOG10(_xlfn.XLOOKUP(B156,'Base stats'!B:B,'Base stats'!C:C)*1000)^-0.96))*IF(_xlfn.XLOOKUP(B156,'Base stats'!B:B,'Base stats'!AI:AI)=1,0.5,1)/100,0.025))))))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922</v>
      </c>
      <c r="C157" s="28" t="s">
        <v>850</v>
      </c>
      <c r="D157" s="28" t="s">
        <v>884</v>
      </c>
      <c r="E157" s="28" t="s">
        <v>685</v>
      </c>
      <c r="F157" s="28" t="s">
        <v>685</v>
      </c>
      <c r="G157" s="28" t="s">
        <v>685</v>
      </c>
      <c r="H157" s="2">
        <f>MROUND((
  (IF(AND(_xlfn.XLOOKUP(B157,'Base stats'!B:B,'Base stats'!AJ:AJ)=0,BI157="None",_xlfn.XLOOKUP(_xlfn.XLOOKUP(B157,'Base stats'!B:B,'Base stats'!E:E),Groups!A:A,Groups!B:B)=0), (18 + BR157 * 2.7) * 0.5,
    IF(AND(_xlfn.XLOOKUP(B157,'Base stats'!B:B,'Base stats'!AJ:AJ)=0,OR(AO157&lt;0.55,AND(BI157="Intermediate",_xlfn.XLOOKUP(_xlfn.XLOOKUP(B157,'Base stats'!B:B,'Base stats'!E:E),Groups!A:A,Groups!B:B)&lt;2))), (18 + BR157 * 2.7),
      IF(OR(BI157="Advanced",_xlfn.XLOOKUP(B157,'Base stats'!B:B,'Base stats'!AJ:AJ)=1,_xlfn.XLOOKUP(_xlfn.XLOOKUP(B157,'Base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IF(_xlfn.XLOOKUP(_xlfn.XLOOKUP(B157,'Base stats'!B:B,'Base stats'!E:E),Groups!A:A,Groups!C:C)="Untamable",1,IF(_xlfn.XLOOKUP(B157,'Base stats'!B:B,'Base stats'!AJ:AJ)=1,0.99,MIN(MROUND((1-0.6282*EXP(-0.459*AO157))*_xlfn.XLOOKUP(_xlfn.XLOOKUP(B157,'Base stats'!B:B,'Base stats'!E:E),Groups!A:A,Groups!C:C)*IF(_xlfn.XLOOKUP(B157,'Base stats'!B:B,'Base stats'!O:O)=1,0.5,IF(_xlfn.XLOOKUP(B157,'Base stats'!B:B,'Base stats'!O:O)=2,0,1)),0.05),0.985)))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IF(_xlfn.XLOOKUP(_xlfn.XLOOKUP(B157,'Base stats'!B:B,'Base stats'!E:E),Groups!A:A,Groups!L:L)=1,MIN(MROUND(_xlfn.XLOOKUP(B157,'Animals CE'!B:B,'Animals CE'!Z:Z)/2+0.05,0.05),200%),"No")</f>
        <v>No</v>
      </c>
      <c r="O157" s="8" t="str">
        <f>IF(_xlfn.XLOOKUP(_xlfn.XLOOKUP(B157,'Base stats'!B:B,'Base stats'!E:E),Groups!A:A,Groups!L:L)=1,MIN(MROUND(_xlfn.XLOOKUP(B157,'Animals CE'!B:B,'Animals CE'!AA:AA)/2+0.05,0.05),200%),"No")</f>
        <v>No</v>
      </c>
      <c r="P157" s="2" t="str">
        <f>_xlfn.XLOOKUP(B157,'Base stats'!B:B,'Base stats'!R:R)</f>
        <v>Standard</v>
      </c>
      <c r="Q157" s="13">
        <f>MROUND((LOG10(_xlfn.XLOOKUP(B157,'Base stats'!B:B,'Base stats'!AP:AP))*(AO157^0.5)+(_xlfn.XLOOKUP(B157,'Base stats'!B:B,'Base stats'!AP:AP)/1000)^(2/3)+_xlfn.XLOOKUP(B157,'Base stats'!B:B,'Base stats'!AY:AY)/2)+0.5,0.5)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stats'!AQ:AQ))*(AO157^0.5)+(_xlfn.XLOOKUP(B157,'Base stats'!B:B,'Base stats'!AQ:AQ)/1000)^(2/3)+_xlfn.XLOOKUP(B157,'Base stats'!B:B,'Base stats'!AY:AY))+_xlfn.XLOOKUP(B157,'Base stats'!B:B,'Base stats'!AW:AW)+0.5,0.5))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stats'!AS:AS))*(AO157^0.5)+(_xlfn.XLOOKUP(B157,'Base stats'!B:B,'Base stats'!AS:AS)/1000)^(2/3)+_xlfn.XLOOKUP(B157,'Base stats'!B:B,'Base stats'!AX:AX))+0.5+IF(_xlfn.XLOOKUP(_xlfn.XLOOKUP(B157,'Base stats'!B:B,'Base stats'!E:E),Groups!A:A,Groups!U:U)&lt;&gt;3,_xlfn.XLOOKUP(B157,'Base stats'!B:B,'Base stats'!AY:AY),0),0.5))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stats'!AR:AR)="No","No",MROUND((LOG10(_xlfn.XLOOKUP(B157,'Base stats'!B:B,'Base stats'!AR:AR))*(AO157^0.75)+(_xlfn.XLOOKUP(B157,'Base stats'!B:B,'Base stats'!AR:AR)/1000)^(2/3)+_xlfn.XLOOKUP(B157,'Base stats'!B:B,'Base stats'!AV:AV)+_xlfn.XLOOKUP(B157,'Base stats'!B:B,'Base stats'!AY:AY))+0.5,0.5))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stats'!AQ:AQ))*(AO157^0.75)+(_xlfn.XLOOKUP(B157,'Base stats'!B:B,'Base stats'!AQ:AQ)/1000)^(2/3)+_xlfn.XLOOKUP(B157,'Base stats'!B:B,'Base stats'!AW:AW)+_xlfn.XLOOKUP(B157,'Base stats'!B:B,'Base stats'!AY:AY))+0.5,0.5))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FrontRightPaw,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5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IFERROR(IF(_xlfn.XLOOKUP(B157,'Base stats'!B:B,'Base stats'!F:F)="Lay eggs","Lay eggs",MIN(20,MAX(5.5,ROUND(((_xlfn.XLOOKUP(B157,'Base stats'!B:B,'Base stats'!F:F)-25)*(14.5/615) + 5.5)*2,0)/2))),"Cannot breed")</f>
        <v>6.5</v>
      </c>
      <c r="AT157" s="8">
        <f>IF(OR(A157="Queen",A157="Larva",A157="Megachicken",A157="Megatardi",A157="Toxscorpion"),"No",IFERROR(MAX(IF(_xlfn.XLOOKUP(B157,'Base stats'!B:B,'Base stats'!G:G)&lt;0.5,0.2,0.3),MROUND(_xlfn.XLOOKUP(B157,'Base stats'!B:B,'Base stats'!G:G)/(365/60),0.2)),"Unknown"))</f>
        <v>0.3</v>
      </c>
      <c r="AU157" s="8">
        <f t="shared" si="14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_xlfn.XLOOKUP(B157,'Base stats'!B:B,'Base stats'!AF:AF)</f>
        <v>&lt;li&gt;Cat&lt;/li&gt;</v>
      </c>
      <c r="BB157" s="2" t="str">
        <f>_xlfn.XLOOKUP(B157,'Base stats'!B:B,'Base stats'!AE:AE)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stats'!Z:Z)=0),0,IF(OR(_xlfn.XLOOKUP(Animals!B157,'Base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stats'!AA:AA),0.005))</f>
        <v>0</v>
      </c>
      <c r="BE157" s="23">
        <f>MIN(1,MROUND(IF(AND(AO157&lt;0.5,_xlfn.XLOOKUP(B157,'Base stats'!B:B,'Base stats'!Z:Z)=0),0,IF(_xlfn.XLOOKUP(_xlfn.XLOOKUP(B157,'Base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stats'!AB:AB),0.005))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stats'!AL:AL)="Standard","No",MROUND((_xlfn.XLOOKUP(B157,'Base stats'!B:B,'Base stats'!AL:AL)/3.6)/I157,0.1))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stats'!AC:AC)&lt;&gt;"No",_xlfn.XLOOKUP(B157,'Base stats'!B:B,'Base stats'!AC:AC),"")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stats'!AC:AC)&lt;&gt;"No",_xlfn.XLOOKUP(B157,'Base stats'!B:B,'Base stats'!AC:AC),"")
  )
)</f>
        <v>Comfort</v>
      </c>
      <c r="BQ157" s="25" t="str">
        <f>IF(
   AND(
      'Base stats'!AL157="Standard",_xlfn.XLOOKUP(_xlfn.XLOOKUP(B157,'Base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stats'!AT:AT) * 1.8) * 2) * 2.5 + 10 + I157 * 2,5)+IF(_xlfn.XLOOKUP(B157,'Base stats'!B:B,'Base stats'!AI:AI)=1,50,0)</f>
        <v>45</v>
      </c>
      <c r="BS157" s="8">
        <f t="shared" si="19"/>
        <v>0.30000000000000004</v>
      </c>
      <c r="BT157" s="8" t="str">
        <f>_xlfn.XLOOKUP(B157,'Base stats'!B:B,'Base stats'!AD:AD)</f>
        <v>No</v>
      </c>
      <c r="BU157" s="2" t="str">
        <f>IF(AND(J157&lt;=0.95,OR(_xlfn.XLOOKUP(B157,'Base stats'!B:B,'Base stats'!AI:AI)=1,_xlfn.XLOOKUP(B157,'Base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stats'!AG:AG)=1,"true","false")</f>
        <v>false</v>
      </c>
      <c r="BW157" s="25" t="str">
        <f>IF(E157="BaseInsect","AnimalInsect",
IF(J157&gt;0.95,"AnimalExotic",
_xlfn.TEXTJOIN(", ",TRUE,
IF(OR(_xlfn.XLOOKUP(B157,'Base stats'!B:B,'Base stats'!AK:AK)=1,AND(_xlfn.XLOOKUP(B157,'Base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stats'!AI:AI)=1,AND(BI157&lt;&gt;"None",BR157&gt;=60),ISNUMBER(SEARCH("Attack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stats'!AH:AH)=1,"true","false")</f>
        <v>false</v>
      </c>
      <c r="BZ157" s="25">
        <f>IF(_xlfn.XLOOKUP(B157,'Base stats'!B:B,'Base stats'!N:N)=1,"No",MAX(0.01,MIN(MROUND(IF(OR(_xlfn.XLOOKUP(B157,'Base stats'!B:B,'Base stats'!AK:AK)=1,AND(BJ157="True",CC157="False")),POWER(10,3.47*LOG10(_xlfn.XLOOKUP(B157,'Base stats'!B:B,'Base stats'!C:C)*1000)^-0.96),POWER(10,4.15*LOG10(_xlfn.XLOOKUP(B157,'Base stats'!B:B,'Base stats'!C:C)*1000)^-0.73))*IF(OR(_xlfn.XLOOKUP(B157,'Base stats'!B:B,'Base stats'!AK:AK)=1,_xlfn.XLOOKUP(B157,'Base stats'!B:B,'Base stats'!AI:AI)=1),0.5,1)/100,0.025),1)))</f>
        <v>0.1</v>
      </c>
      <c r="CA157" s="25" t="str">
        <f>IF(P157="Standard","No",MAX(0.01,IF(_xlfn.XLOOKUP(B157,'Base stats'!B:B,'Base stats'!N:N)=0,MROUND(BZ157*P157,0.05),MIN(1,MAX(0.025,MROUND(IF(OR(CC157="true",AND(BJ157="false",BO157="false")),POWER(10,4.15*LOG10(_xlfn.XLOOKUP(B157,'Base stats'!B:B,'Base stats'!C:C)*1000)^-0.73),POWER(10,3.47*LOG10(_xlfn.XLOOKUP(B157,'Base stats'!B:B,'Base stats'!C:C)*1000)^-0.96))*IF(_xlfn.XLOOKUP(B157,'Base stats'!B:B,'Base stats'!AI:AI)=1,0.5,1)/100,0.025))))))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923</v>
      </c>
      <c r="C158" s="28" t="s">
        <v>851</v>
      </c>
      <c r="D158" s="28" t="s">
        <v>884</v>
      </c>
      <c r="E158" s="28" t="s">
        <v>685</v>
      </c>
      <c r="F158" s="28" t="s">
        <v>685</v>
      </c>
      <c r="G158" s="28" t="s">
        <v>685</v>
      </c>
      <c r="H158" s="2">
        <f>MROUND((
  (IF(AND(_xlfn.XLOOKUP(B158,'Base stats'!B:B,'Base stats'!AJ:AJ)=0,BI158="None",_xlfn.XLOOKUP(_xlfn.XLOOKUP(B158,'Base stats'!B:B,'Base stats'!E:E),Groups!A:A,Groups!B:B)=0), (18 + BR158 * 2.7) * 0.5,
    IF(AND(_xlfn.XLOOKUP(B158,'Base stats'!B:B,'Base stats'!AJ:AJ)=0,OR(AO158&lt;0.55,AND(BI158="Intermediate",_xlfn.XLOOKUP(_xlfn.XLOOKUP(B158,'Base stats'!B:B,'Base stats'!E:E),Groups!A:A,Groups!B:B)&lt;2))), (18 + BR158 * 2.7),
      IF(OR(BI158="Advanced",_xlfn.XLOOKUP(B158,'Base stats'!B:B,'Base stats'!AJ:AJ)=1,_xlfn.XLOOKUP(_xlfn.XLOOKUP(B158,'Base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IF(_xlfn.XLOOKUP(_xlfn.XLOOKUP(B158,'Base stats'!B:B,'Base stats'!E:E),Groups!A:A,Groups!C:C)="Untamable",1,IF(_xlfn.XLOOKUP(B158,'Base stats'!B:B,'Base stats'!AJ:AJ)=1,0.99,MIN(MROUND((1-0.6282*EXP(-0.459*AO158))*_xlfn.XLOOKUP(_xlfn.XLOOKUP(B158,'Base stats'!B:B,'Base stats'!E:E),Groups!A:A,Groups!C:C)*IF(_xlfn.XLOOKUP(B158,'Base stats'!B:B,'Base stats'!O:O)=1,0.5,IF(_xlfn.XLOOKUP(B158,'Base stats'!B:B,'Base stats'!O:O)=2,0,1)),0.05),0.985)))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IF(_xlfn.XLOOKUP(_xlfn.XLOOKUP(B158,'Base stats'!B:B,'Base stats'!E:E),Groups!A:A,Groups!L:L)=1,MIN(MROUND(_xlfn.XLOOKUP(B158,'Animals CE'!B:B,'Animals CE'!Z:Z)/2+0.05,0.05),200%),"No")</f>
        <v>No</v>
      </c>
      <c r="O158" s="8" t="str">
        <f>IF(_xlfn.XLOOKUP(_xlfn.XLOOKUP(B158,'Base stats'!B:B,'Base stats'!E:E),Groups!A:A,Groups!L:L)=1,MIN(MROUND(_xlfn.XLOOKUP(B158,'Animals CE'!B:B,'Animals CE'!AA:AA)/2+0.05,0.05),200%),"No")</f>
        <v>No</v>
      </c>
      <c r="P158" s="2" t="str">
        <f>_xlfn.XLOOKUP(B158,'Base stats'!B:B,'Base stats'!R:R)</f>
        <v>Standard</v>
      </c>
      <c r="Q158" s="13">
        <f>MROUND((LOG10(_xlfn.XLOOKUP(B158,'Base stats'!B:B,'Base stats'!AP:AP))*(AO158^0.5)+(_xlfn.XLOOKUP(B158,'Base stats'!B:B,'Base stats'!AP:AP)/1000)^(2/3)+_xlfn.XLOOKUP(B158,'Base stats'!B:B,'Base stats'!AY:AY)/2)+0.5,0.5)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stats'!AQ:AQ))*(AO158^0.5)+(_xlfn.XLOOKUP(B158,'Base stats'!B:B,'Base stats'!AQ:AQ)/1000)^(2/3)+_xlfn.XLOOKUP(B158,'Base stats'!B:B,'Base stats'!AY:AY))+_xlfn.XLOOKUP(B158,'Base stats'!B:B,'Base stats'!AW:AW)+0.5,0.5))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stats'!AS:AS))*(AO158^0.5)+(_xlfn.XLOOKUP(B158,'Base stats'!B:B,'Base stats'!AS:AS)/1000)^(2/3)+_xlfn.XLOOKUP(B158,'Base stats'!B:B,'Base stats'!AX:AX))+0.5+IF(_xlfn.XLOOKUP(_xlfn.XLOOKUP(B158,'Base stats'!B:B,'Base stats'!E:E),Groups!A:A,Groups!U:U)&lt;&gt;3,_xlfn.XLOOKUP(B158,'Base stats'!B:B,'Base stats'!AY:AY),0),0.5))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stats'!AR:AR)="No","No",MROUND((LOG10(_xlfn.XLOOKUP(B158,'Base stats'!B:B,'Base stats'!AR:AR))*(AO158^0.75)+(_xlfn.XLOOKUP(B158,'Base stats'!B:B,'Base stats'!AR:AR)/1000)^(2/3)+_xlfn.XLOOKUP(B158,'Base stats'!B:B,'Base stats'!AV:AV)+_xlfn.XLOOKUP(B158,'Base stats'!B:B,'Base stats'!AY:AY))+0.5,0.5))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stats'!AQ:AQ))*(AO158^0.75)+(_xlfn.XLOOKUP(B158,'Base stats'!B:B,'Base stats'!AQ:AQ)/1000)^(2/3)+_xlfn.XLOOKUP(B158,'Base stats'!B:B,'Base stats'!AW:AW)+_xlfn.XLOOKUP(B158,'Base stats'!B:B,'Base stats'!AY:AY))+0.5,0.5))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FrontRightPaw,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5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IFERROR(IF(_xlfn.XLOOKUP(B158,'Base stats'!B:B,'Base stats'!F:F)="Lay eggs","Lay eggs",MIN(20,MAX(5.5,ROUND(((_xlfn.XLOOKUP(B158,'Base stats'!B:B,'Base stats'!F:F)-25)*(14.5/615) + 5.5)*2,0)/2))),"Cannot breed")</f>
        <v>6.5</v>
      </c>
      <c r="AT158" s="8">
        <f>IF(OR(A158="Queen",A158="Larva",A158="Megachicken",A158="Megatardi",A158="Toxscorpion"),"No",IFERROR(MAX(IF(_xlfn.XLOOKUP(B158,'Base stats'!B:B,'Base stats'!G:G)&lt;0.5,0.2,0.3),MROUND(_xlfn.XLOOKUP(B158,'Base stats'!B:B,'Base stats'!G:G)/(365/60),0.2)),"Unknown"))</f>
        <v>0.3</v>
      </c>
      <c r="AU158" s="8">
        <f t="shared" si="14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_xlfn.XLOOKUP(B158,'Base stats'!B:B,'Base stats'!AF:AF)</f>
        <v>&lt;li&gt;Cat&lt;/li&gt;</v>
      </c>
      <c r="BB158" s="2" t="str">
        <f>_xlfn.XLOOKUP(B158,'Base stats'!B:B,'Base stats'!AE:AE)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stats'!Z:Z)=0),0,IF(OR(_xlfn.XLOOKUP(Animals!B158,'Base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stats'!AA:AA),0.005))</f>
        <v>0</v>
      </c>
      <c r="BE158" s="23">
        <f>MIN(1,MROUND(IF(AND(AO158&lt;0.5,_xlfn.XLOOKUP(B158,'Base stats'!B:B,'Base stats'!Z:Z)=0),0,IF(_xlfn.XLOOKUP(_xlfn.XLOOKUP(B158,'Base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stats'!AB:AB),0.005))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stats'!AL:AL)="Standard","No",MROUND((_xlfn.XLOOKUP(B158,'Base stats'!B:B,'Base stats'!AL:AL)/3.6)/I158,0.1))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stats'!AC:AC)&lt;&gt;"No",_xlfn.XLOOKUP(B158,'Base stats'!B:B,'Base stats'!AC:AC),"")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stats'!AC:AC)&lt;&gt;"No",_xlfn.XLOOKUP(B158,'Base stats'!B:B,'Base stats'!AC:AC),"")
  )
)</f>
        <v>Comfort</v>
      </c>
      <c r="BQ158" s="25" t="str">
        <f>IF(
   AND(
      'Base stats'!AL158="Standard",_xlfn.XLOOKUP(_xlfn.XLOOKUP(B158,'Base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stats'!AT:AT) * 1.8) * 2) * 2.5 + 10 + I158 * 2,5)+IF(_xlfn.XLOOKUP(B158,'Base stats'!B:B,'Base stats'!AI:AI)=1,50,0)</f>
        <v>45</v>
      </c>
      <c r="BS158" s="8">
        <f t="shared" si="19"/>
        <v>0.30000000000000004</v>
      </c>
      <c r="BT158" s="8" t="str">
        <f>_xlfn.XLOOKUP(B158,'Base stats'!B:B,'Base stats'!AD:AD)</f>
        <v>No</v>
      </c>
      <c r="BU158" s="2" t="str">
        <f>IF(AND(J158&lt;=0.95,OR(_xlfn.XLOOKUP(B158,'Base stats'!B:B,'Base stats'!AI:AI)=1,_xlfn.XLOOKUP(B158,'Base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stats'!AG:AG)=1,"true","false")</f>
        <v>false</v>
      </c>
      <c r="BW158" s="25" t="str">
        <f>IF(E158="BaseInsect","AnimalInsect",
IF(J158&gt;0.95,"AnimalExotic",
_xlfn.TEXTJOIN(", ",TRUE,
IF(OR(_xlfn.XLOOKUP(B158,'Base stats'!B:B,'Base stats'!AK:AK)=1,AND(_xlfn.XLOOKUP(B158,'Base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stats'!AI:AI)=1,AND(BI158&lt;&gt;"None",BR158&gt;=60),ISNUMBER(SEARCH("Attack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stats'!AH:AH)=1,"true","false")</f>
        <v>false</v>
      </c>
      <c r="BZ158" s="25">
        <f>IF(_xlfn.XLOOKUP(B158,'Base stats'!B:B,'Base stats'!N:N)=1,"No",MAX(0.01,MIN(MROUND(IF(OR(_xlfn.XLOOKUP(B158,'Base stats'!B:B,'Base stats'!AK:AK)=1,AND(BJ158="True",CC158="False")),POWER(10,3.47*LOG10(_xlfn.XLOOKUP(B158,'Base stats'!B:B,'Base stats'!C:C)*1000)^-0.96),POWER(10,4.15*LOG10(_xlfn.XLOOKUP(B158,'Base stats'!B:B,'Base stats'!C:C)*1000)^-0.73))*IF(OR(_xlfn.XLOOKUP(B158,'Base stats'!B:B,'Base stats'!AK:AK)=1,_xlfn.XLOOKUP(B158,'Base stats'!B:B,'Base stats'!AI:AI)=1),0.5,1)/100,0.025),1)))</f>
        <v>0.1</v>
      </c>
      <c r="CA158" s="25" t="str">
        <f>IF(P158="Standard","No",MAX(0.01,IF(_xlfn.XLOOKUP(B158,'Base stats'!B:B,'Base stats'!N:N)=0,MROUND(BZ158*P158,0.05),MIN(1,MAX(0.025,MROUND(IF(OR(CC158="true",AND(BJ158="false",BO158="false")),POWER(10,4.15*LOG10(_xlfn.XLOOKUP(B158,'Base stats'!B:B,'Base stats'!C:C)*1000)^-0.73),POWER(10,3.47*LOG10(_xlfn.XLOOKUP(B158,'Base stats'!B:B,'Base stats'!C:C)*1000)^-0.96))*IF(_xlfn.XLOOKUP(B158,'Base stats'!B:B,'Base stats'!AI:AI)=1,0.5,1)/100,0.025))))))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924</v>
      </c>
      <c r="C159" s="28" t="s">
        <v>852</v>
      </c>
      <c r="D159" s="28" t="s">
        <v>884</v>
      </c>
      <c r="E159" s="28" t="s">
        <v>685</v>
      </c>
      <c r="F159" s="28" t="s">
        <v>685</v>
      </c>
      <c r="G159" s="28" t="s">
        <v>685</v>
      </c>
      <c r="H159" s="2">
        <f>MROUND((
  (IF(AND(_xlfn.XLOOKUP(B159,'Base stats'!B:B,'Base stats'!AJ:AJ)=0,BI159="None",_xlfn.XLOOKUP(_xlfn.XLOOKUP(B159,'Base stats'!B:B,'Base stats'!E:E),Groups!A:A,Groups!B:B)=0), (18 + BR159 * 2.7) * 0.5,
    IF(AND(_xlfn.XLOOKUP(B159,'Base stats'!B:B,'Base stats'!AJ:AJ)=0,OR(AO159&lt;0.55,AND(BI159="Intermediate",_xlfn.XLOOKUP(_xlfn.XLOOKUP(B159,'Base stats'!B:B,'Base stats'!E:E),Groups!A:A,Groups!B:B)&lt;2))), (18 + BR159 * 2.7),
      IF(OR(BI159="Advanced",_xlfn.XLOOKUP(B159,'Base stats'!B:B,'Base stats'!AJ:AJ)=1,_xlfn.XLOOKUP(_xlfn.XLOOKUP(B159,'Base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IF(_xlfn.XLOOKUP(_xlfn.XLOOKUP(B159,'Base stats'!B:B,'Base stats'!E:E),Groups!A:A,Groups!C:C)="Untamable",1,IF(_xlfn.XLOOKUP(B159,'Base stats'!B:B,'Base stats'!AJ:AJ)=1,0.99,MIN(MROUND((1-0.6282*EXP(-0.459*AO159))*_xlfn.XLOOKUP(_xlfn.XLOOKUP(B159,'Base stats'!B:B,'Base stats'!E:E),Groups!A:A,Groups!C:C)*IF(_xlfn.XLOOKUP(B159,'Base stats'!B:B,'Base stats'!O:O)=1,0.5,IF(_xlfn.XLOOKUP(B159,'Base stats'!B:B,'Base stats'!O:O)=2,0,1)),0.05),0.985)))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IF(_xlfn.XLOOKUP(_xlfn.XLOOKUP(B159,'Base stats'!B:B,'Base stats'!E:E),Groups!A:A,Groups!L:L)=1,MIN(MROUND(_xlfn.XLOOKUP(B159,'Animals CE'!B:B,'Animals CE'!Z:Z)/2+0.05,0.05),200%),"No")</f>
        <v>No</v>
      </c>
      <c r="O159" s="8" t="str">
        <f>IF(_xlfn.XLOOKUP(_xlfn.XLOOKUP(B159,'Base stats'!B:B,'Base stats'!E:E),Groups!A:A,Groups!L:L)=1,MIN(MROUND(_xlfn.XLOOKUP(B159,'Animals CE'!B:B,'Animals CE'!AA:AA)/2+0.05,0.05),200%),"No")</f>
        <v>No</v>
      </c>
      <c r="P159" s="2" t="str">
        <f>_xlfn.XLOOKUP(B159,'Base stats'!B:B,'Base stats'!R:R)</f>
        <v>Standard</v>
      </c>
      <c r="Q159" s="13">
        <f>MROUND((LOG10(_xlfn.XLOOKUP(B159,'Base stats'!B:B,'Base stats'!AP:AP))*(AO159^0.5)+(_xlfn.XLOOKUP(B159,'Base stats'!B:B,'Base stats'!AP:AP)/1000)^(2/3)+_xlfn.XLOOKUP(B159,'Base stats'!B:B,'Base stats'!AY:AY)/2)+0.5,0.5)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stats'!AQ:AQ))*(AO159^0.5)+(_xlfn.XLOOKUP(B159,'Base stats'!B:B,'Base stats'!AQ:AQ)/1000)^(2/3)+_xlfn.XLOOKUP(B159,'Base stats'!B:B,'Base stats'!AY:AY))+_xlfn.XLOOKUP(B159,'Base stats'!B:B,'Base stats'!AW:AW)+0.5,0.5))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stats'!AS:AS))*(AO159^0.5)+(_xlfn.XLOOKUP(B159,'Base stats'!B:B,'Base stats'!AS:AS)/1000)^(2/3)+_xlfn.XLOOKUP(B159,'Base stats'!B:B,'Base stats'!AX:AX))+0.5+IF(_xlfn.XLOOKUP(_xlfn.XLOOKUP(B159,'Base stats'!B:B,'Base stats'!E:E),Groups!A:A,Groups!U:U)&lt;&gt;3,_xlfn.XLOOKUP(B159,'Base stats'!B:B,'Base stats'!AY:AY),0),0.5))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stats'!AR:AR)="No","No",MROUND((LOG10(_xlfn.XLOOKUP(B159,'Base stats'!B:B,'Base stats'!AR:AR))*(AO159^0.75)+(_xlfn.XLOOKUP(B159,'Base stats'!B:B,'Base stats'!AR:AR)/1000)^(2/3)+_xlfn.XLOOKUP(B159,'Base stats'!B:B,'Base stats'!AV:AV)+_xlfn.XLOOKUP(B159,'Base stats'!B:B,'Base stats'!AY:AY))+0.5,0.5))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stats'!AQ:AQ))*(AO159^0.75)+(_xlfn.XLOOKUP(B159,'Base stats'!B:B,'Base stats'!AQ:AQ)/1000)^(2/3)+_xlfn.XLOOKUP(B159,'Base stats'!B:B,'Base stats'!AW:AW)+_xlfn.XLOOKUP(B159,'Base stats'!B:B,'Base stats'!AY:AY))+0.5,0.5))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FrontRightPaw,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5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IFERROR(IF(_xlfn.XLOOKUP(B159,'Base stats'!B:B,'Base stats'!F:F)="Lay eggs","Lay eggs",MIN(20,MAX(5.5,ROUND(((_xlfn.XLOOKUP(B159,'Base stats'!B:B,'Base stats'!F:F)-25)*(14.5/615) + 5.5)*2,0)/2))),"Cannot breed")</f>
        <v>6.5</v>
      </c>
      <c r="AT159" s="8">
        <f>IF(OR(A159="Queen",A159="Larva",A159="Megachicken",A159="Megatardi",A159="Toxscorpion"),"No",IFERROR(MAX(IF(_xlfn.XLOOKUP(B159,'Base stats'!B:B,'Base stats'!G:G)&lt;0.5,0.2,0.3),MROUND(_xlfn.XLOOKUP(B159,'Base stats'!B:B,'Base stats'!G:G)/(365/60),0.2)),"Unknown"))</f>
        <v>0.3</v>
      </c>
      <c r="AU159" s="8">
        <f t="shared" si="14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_xlfn.XLOOKUP(B159,'Base stats'!B:B,'Base stats'!AF:AF)</f>
        <v>&lt;li&gt;Cat&lt;/li&gt;</v>
      </c>
      <c r="BB159" s="2" t="str">
        <f>_xlfn.XLOOKUP(B159,'Base stats'!B:B,'Base stats'!AE:AE)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stats'!Z:Z)=0),0,IF(OR(_xlfn.XLOOKUP(Animals!B159,'Base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stats'!AA:AA),0.005))</f>
        <v>0</v>
      </c>
      <c r="BE159" s="23">
        <f>MIN(1,MROUND(IF(AND(AO159&lt;0.5,_xlfn.XLOOKUP(B159,'Base stats'!B:B,'Base stats'!Z:Z)=0),0,IF(_xlfn.XLOOKUP(_xlfn.XLOOKUP(B159,'Base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stats'!AB:AB),0.005))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stats'!AL:AL)="Standard","No",MROUND((_xlfn.XLOOKUP(B159,'Base stats'!B:B,'Base stats'!AL:AL)/3.6)/I159,0.1))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stats'!AC:AC)&lt;&gt;"No",_xlfn.XLOOKUP(B159,'Base stats'!B:B,'Base stats'!AC:AC),"")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stats'!AC:AC)&lt;&gt;"No",_xlfn.XLOOKUP(B159,'Base stats'!B:B,'Base stats'!AC:AC),"")
  )
)</f>
        <v>Comfort</v>
      </c>
      <c r="BQ159" s="25" t="str">
        <f>IF(
   AND(
      'Base stats'!AL159="Standard",_xlfn.XLOOKUP(_xlfn.XLOOKUP(B159,'Base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stats'!AT:AT) * 1.8) * 2) * 2.5 + 10 + I159 * 2,5)+IF(_xlfn.XLOOKUP(B159,'Base stats'!B:B,'Base stats'!AI:AI)=1,50,0)</f>
        <v>50</v>
      </c>
      <c r="BS159" s="8">
        <f t="shared" si="19"/>
        <v>0.30000000000000004</v>
      </c>
      <c r="BT159" s="8" t="str">
        <f>_xlfn.XLOOKUP(B159,'Base stats'!B:B,'Base stats'!AD:AD)</f>
        <v>No</v>
      </c>
      <c r="BU159" s="2" t="str">
        <f>IF(AND(J159&lt;=0.95,OR(_xlfn.XLOOKUP(B159,'Base stats'!B:B,'Base stats'!AI:AI)=1,_xlfn.XLOOKUP(B159,'Base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stats'!AG:AG)=1,"true","false")</f>
        <v>false</v>
      </c>
      <c r="BW159" s="25" t="str">
        <f>IF(E159="BaseInsect","AnimalInsect",
IF(J159&gt;0.95,"AnimalExotic",
_xlfn.TEXTJOIN(", ",TRUE,
IF(OR(_xlfn.XLOOKUP(B159,'Base stats'!B:B,'Base stats'!AK:AK)=1,AND(_xlfn.XLOOKUP(B159,'Base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stats'!AI:AI)=1,AND(BI159&lt;&gt;"None",BR159&gt;=60),ISNUMBER(SEARCH("Attack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stats'!AH:AH)=1,"true","false")</f>
        <v>false</v>
      </c>
      <c r="BZ159" s="25">
        <f>IF(_xlfn.XLOOKUP(B159,'Base stats'!B:B,'Base stats'!N:N)=1,"No",MAX(0.01,MIN(MROUND(IF(OR(_xlfn.XLOOKUP(B159,'Base stats'!B:B,'Base stats'!AK:AK)=1,AND(BJ159="True",CC159="False")),POWER(10,3.47*LOG10(_xlfn.XLOOKUP(B159,'Base stats'!B:B,'Base stats'!C:C)*1000)^-0.96),POWER(10,4.15*LOG10(_xlfn.XLOOKUP(B159,'Base stats'!B:B,'Base stats'!C:C)*1000)^-0.73))*IF(OR(_xlfn.XLOOKUP(B159,'Base stats'!B:B,'Base stats'!AK:AK)=1,_xlfn.XLOOKUP(B159,'Base stats'!B:B,'Base stats'!AI:AI)=1),0.5,1)/100,0.025),1)))</f>
        <v>0.1</v>
      </c>
      <c r="CA159" s="25" t="str">
        <f>IF(P159="Standard","No",MAX(0.01,IF(_xlfn.XLOOKUP(B159,'Base stats'!B:B,'Base stats'!N:N)=0,MROUND(BZ159*P159,0.05),MIN(1,MAX(0.025,MROUND(IF(OR(CC159="true",AND(BJ159="false",BO159="false")),POWER(10,4.15*LOG10(_xlfn.XLOOKUP(B159,'Base stats'!B:B,'Base stats'!C:C)*1000)^-0.73),POWER(10,3.47*LOG10(_xlfn.XLOOKUP(B159,'Base stats'!B:B,'Base stats'!C:C)*1000)^-0.96))*IF(_xlfn.XLOOKUP(B159,'Base stats'!B:B,'Base stats'!AI:AI)=1,0.5,1)/100,0.025))))))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464</v>
      </c>
      <c r="C160" s="28" t="s">
        <v>853</v>
      </c>
      <c r="D160" s="28" t="s">
        <v>959</v>
      </c>
      <c r="E160" s="28" t="s">
        <v>685</v>
      </c>
      <c r="F160" s="28" t="s">
        <v>685</v>
      </c>
      <c r="G160" s="28" t="s">
        <v>685</v>
      </c>
      <c r="H160" s="2">
        <f>MROUND((
  (IF(AND(_xlfn.XLOOKUP(B160,'Base stats'!B:B,'Base stats'!AJ:AJ)=0,BI160="None",_xlfn.XLOOKUP(_xlfn.XLOOKUP(B160,'Base stats'!B:B,'Base stats'!E:E),Groups!A:A,Groups!B:B)=0), (18 + BR160 * 2.7) * 0.5,
    IF(AND(_xlfn.XLOOKUP(B160,'Base stats'!B:B,'Base stats'!AJ:AJ)=0,OR(AO160&lt;0.55,AND(BI160="Intermediate",_xlfn.XLOOKUP(_xlfn.XLOOKUP(B160,'Base stats'!B:B,'Base stats'!E:E),Groups!A:A,Groups!B:B)&lt;2))), (18 + BR160 * 2.7),
      IF(OR(BI160="Advanced",_xlfn.XLOOKUP(B160,'Base stats'!B:B,'Base stats'!AJ:AJ)=1,_xlfn.XLOOKUP(_xlfn.XLOOKUP(B160,'Base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4775</v>
      </c>
      <c r="I160" s="2">
        <f>MROUND(ROUNDDOWN(_xlfn.XLOOKUP(B160,'Base stats'!B:B,'Base stats'!L:L)/3.6/(23.3/11),1),0.5)</f>
        <v>5.5</v>
      </c>
      <c r="J160" s="2">
        <f>IF(_xlfn.XLOOKUP(_xlfn.XLOOKUP(B160,'Base stats'!B:B,'Base stats'!E:E),Groups!A:A,Groups!C:C)="Untamable",1,IF(_xlfn.XLOOKUP(B160,'Base stats'!B:B,'Base stats'!AJ:AJ)=1,0.99,MIN(MROUND((1-0.6282*EXP(-0.459*AO160))*_xlfn.XLOOKUP(_xlfn.XLOOKUP(B160,'Base stats'!B:B,'Base stats'!E:E),Groups!A:A,Groups!C:C)*IF(_xlfn.XLOOKUP(B160,'Base stats'!B:B,'Base stats'!O:O)=1,0.5,IF(_xlfn.XLOOKUP(B160,'Base stats'!B:B,'Base stats'!O:O)=2,0,1)),0.05),0.985)))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IF(_xlfn.XLOOKUP(_xlfn.XLOOKUP(B160,'Base stats'!B:B,'Base stats'!E:E),Groups!A:A,Groups!L:L)=1,MIN(MROUND(_xlfn.XLOOKUP(B160,'Animals CE'!B:B,'Animals CE'!Z:Z)/2+0.05,0.05),200%),"No")</f>
        <v>1.3</v>
      </c>
      <c r="O160" s="8">
        <f>IF(_xlfn.XLOOKUP(_xlfn.XLOOKUP(B160,'Base stats'!B:B,'Base stats'!E:E),Groups!A:A,Groups!L:L)=1,MIN(MROUND(_xlfn.XLOOKUP(B160,'Animals CE'!B:B,'Animals CE'!AA:AA)/2+0.05,0.05),200%),"No")</f>
        <v>1.3</v>
      </c>
      <c r="P160" s="2">
        <f>_xlfn.XLOOKUP(B160,'Base stats'!B:B,'Base stats'!R:R)</f>
        <v>1</v>
      </c>
      <c r="Q160" s="13">
        <f>MROUND((LOG10(_xlfn.XLOOKUP(B160,'Base stats'!B:B,'Base stats'!AP:AP))*(AO160^0.5)+(_xlfn.XLOOKUP(B160,'Base stats'!B:B,'Base stats'!AP:AP)/1000)^(2/3)+_xlfn.XLOOKUP(B160,'Base stats'!B:B,'Base stats'!AY:AY)/2)+0.5,0.5)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stats'!AQ:AQ))*(AO160^0.5)+(_xlfn.XLOOKUP(B160,'Base stats'!B:B,'Base stats'!AQ:AQ)/1000)^(2/3)+_xlfn.XLOOKUP(B160,'Base stats'!B:B,'Base stats'!AY:AY))+_xlfn.XLOOKUP(B160,'Base stats'!B:B,'Base stats'!AW:AW)+0.5,0.5))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stats'!AS:AS))*(AO160^0.5)+(_xlfn.XLOOKUP(B160,'Base stats'!B:B,'Base stats'!AS:AS)/1000)^(2/3)+_xlfn.XLOOKUP(B160,'Base stats'!B:B,'Base stats'!AX:AX))+0.5+IF(_xlfn.XLOOKUP(_xlfn.XLOOKUP(B160,'Base stats'!B:B,'Base stats'!E:E),Groups!A:A,Groups!U:U)&lt;&gt;3,_xlfn.XLOOKUP(B160,'Base stats'!B:B,'Base stats'!AY:AY),0),0.5))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stats'!AR:AR)="No","No",MROUND((LOG10(_xlfn.XLOOKUP(B160,'Base stats'!B:B,'Base stats'!AR:AR))*(AO160^0.75)+(_xlfn.XLOOKUP(B160,'Base stats'!B:B,'Base stats'!AR:AR)/1000)^(2/3)+_xlfn.XLOOKUP(B160,'Base stats'!B:B,'Base stats'!AV:AV)+_xlfn.XLOOKUP(B160,'Base stats'!B:B,'Base stats'!AY:AY))+0.5,0.5))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stats'!AQ:AQ))*(AO160^0.75)+(_xlfn.XLOOKUP(B160,'Base stats'!B:B,'Base stats'!AQ:AQ)/1000)^(2/3)+_xlfn.XLOOKUP(B160,'Base stats'!B:B,'Base stats'!AW:AW)+_xlfn.XLOOKUP(B160,'Base stats'!B:B,'Base stats'!AY:AY))+0.5,0.5))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FrontRightPaw,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5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IFERROR(IF(_xlfn.XLOOKUP(B160,'Base stats'!B:B,'Base stats'!F:F)="Lay eggs","Lay eggs",MIN(20,MAX(5.5,ROUND(((_xlfn.XLOOKUP(B160,'Base stats'!B:B,'Base stats'!F:F)-25)*(14.5/615) + 5.5)*2,0)/2))),"Cannot breed")</f>
        <v>18.5</v>
      </c>
      <c r="AT160" s="8">
        <f>IF(OR(A160="Queen",A160="Larva",A160="Megachicken",A160="Megatardi",A160="Toxscorpion"),"No",IFERROR(MAX(IF(_xlfn.XLOOKUP(B160,'Base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4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_xlfn.XLOOKUP(B160,'Base stats'!B:B,'Base stats'!AF:AF)</f>
        <v>No</v>
      </c>
      <c r="BB160" s="2" t="str">
        <f>_xlfn.XLOOKUP(B160,'Base stats'!B:B,'Base stats'!AE:AE)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stats'!Z:Z)=0),0,IF(OR(_xlfn.XLOOKUP(Animals!B160,'Base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stats'!AA:AA),0.005))</f>
        <v>1</v>
      </c>
      <c r="BE160" s="23">
        <f>MIN(1,MROUND(IF(AND(AO160&lt;0.5,_xlfn.XLOOKUP(B160,'Base stats'!B:B,'Base stats'!Z:Z)=0),0,IF(_xlfn.XLOOKUP(_xlfn.XLOOKUP(B160,'Base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stats'!AB:AB),0.005))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stats'!AL:AL)="Standard","No",MROUND((_xlfn.XLOOKUP(B160,'Base stats'!B:B,'Base stats'!AL:AL)/3.6)/I160,0.1))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stats'!AC:AC)&lt;&gt;"No",_xlfn.XLOOKUP(B160,'Base stats'!B:B,'Base stats'!AC:AC),"")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stats'!AC:AC)&lt;&gt;"No",_xlfn.XLOOKUP(B160,'Base stats'!B:B,'Base stats'!AC:AC),"")
  )
)</f>
        <v>AttackTarget</v>
      </c>
      <c r="BQ160" s="25" t="str">
        <f>IF(
   AND(
      'Base stats'!AL160="Standard",_xlfn.XLOOKUP(_xlfn.XLOOKUP(B160,'Base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stats'!AT:AT) * 1.8) * 2) * 2.5 + 10 + I160 * 2,5)+IF(_xlfn.XLOOKUP(B160,'Base stats'!B:B,'Base stats'!AI:AI)=1,50,0)</f>
        <v>1680</v>
      </c>
      <c r="BS160" s="8">
        <f t="shared" si="19"/>
        <v>4.05</v>
      </c>
      <c r="BT160" s="8" t="str">
        <f>_xlfn.XLOOKUP(B160,'Base stats'!B:B,'Base stats'!AD:AD)</f>
        <v>No</v>
      </c>
      <c r="BU160" s="2" t="str">
        <f>IF(AND(J160&lt;=0.95,OR(_xlfn.XLOOKUP(B160,'Base stats'!B:B,'Base stats'!AI:AI)=1,_xlfn.XLOOKUP(B160,'Base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stats'!AG:AG)=1,"true","false")</f>
        <v>false</v>
      </c>
      <c r="BW160" s="25" t="str">
        <f>IF(E160="BaseInsect","AnimalInsect",
IF(J160&gt;0.95,"AnimalExotic",
_xlfn.TEXTJOIN(", ",TRUE,
IF(OR(_xlfn.XLOOKUP(B160,'Base stats'!B:B,'Base stats'!AK:AK)=1,AND(_xlfn.XLOOKUP(B160,'Base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stats'!AI:AI)=1,AND(BI160&lt;&gt;"None",BR160&gt;=60),ISNUMBER(SEARCH("Attack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stats'!AH:AH)=1,"true","false")</f>
        <v>false</v>
      </c>
      <c r="BZ160" s="25">
        <f>IF(_xlfn.XLOOKUP(B160,'Base stats'!B:B,'Base stats'!N:N)=1,"No",MAX(0.01,MIN(MROUND(IF(OR(_xlfn.XLOOKUP(B160,'Base stats'!B:B,'Base stats'!AK:AK)=1,AND(BJ160="True",CC160="False")),POWER(10,3.47*LOG10(_xlfn.XLOOKUP(B160,'Base stats'!B:B,'Base stats'!C:C)*1000)^-0.96),POWER(10,4.15*LOG10(_xlfn.XLOOKUP(B160,'Base stats'!B:B,'Base stats'!C:C)*1000)^-0.73))*IF(OR(_xlfn.XLOOKUP(B160,'Base stats'!B:B,'Base stats'!AK:AK)=1,_xlfn.XLOOKUP(B160,'Base stats'!B:B,'Base stats'!AI:AI)=1),0.5,1)/100,0.025),1)))</f>
        <v>2.5000000000000001E-2</v>
      </c>
      <c r="CA160" s="25">
        <f>IF(P160="Standard","No",MAX(0.01,IF(_xlfn.XLOOKUP(B160,'Base stats'!B:B,'Base stats'!N:N)=0,MROUND(BZ160*P160,0.05),MIN(1,MAX(0.025,MROUND(IF(OR(CC160="true",AND(BJ160="false",BO160="false")),POWER(10,4.15*LOG10(_xlfn.XLOOKUP(B160,'Base stats'!B:B,'Base stats'!C:C)*1000)^-0.73),POWER(10,3.47*LOG10(_xlfn.XLOOKUP(B160,'Base stats'!B:B,'Base stats'!C:C)*1000)^-0.96))*IF(_xlfn.XLOOKUP(B160,'Base stats'!B:B,'Base stats'!AI:AI)=1,0.5,1)/100,0.025))))))</f>
        <v>0.05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1161</v>
      </c>
      <c r="C161" s="28" t="s">
        <v>1162</v>
      </c>
      <c r="D161" s="28" t="s">
        <v>1163</v>
      </c>
      <c r="E161" s="28" t="s">
        <v>685</v>
      </c>
      <c r="F161" s="28" t="s">
        <v>685</v>
      </c>
      <c r="G161" s="28" t="s">
        <v>685</v>
      </c>
      <c r="H161" s="2">
        <f>MROUND((
  (IF(AND(_xlfn.XLOOKUP(B161,'Base stats'!B:B,'Base stats'!AJ:AJ)=0,BI161="None",_xlfn.XLOOKUP(_xlfn.XLOOKUP(B161,'Base stats'!B:B,'Base stats'!E:E),Groups!A:A,Groups!B:B)=0), (18 + BR161 * 2.7) * 0.5,
    IF(AND(_xlfn.XLOOKUP(B161,'Base stats'!B:B,'Base stats'!AJ:AJ)=0,OR(AO161&lt;0.55,AND(BI161="Intermediate",_xlfn.XLOOKUP(_xlfn.XLOOKUP(B161,'Base stats'!B:B,'Base stats'!E:E),Groups!A:A,Groups!B:B)&lt;2))), (18 + BR161 * 2.7),
      IF(OR(BI161="Advanced",_xlfn.XLOOKUP(B161,'Base stats'!B:B,'Base stats'!AJ:AJ)=1,_xlfn.XLOOKUP(_xlfn.XLOOKUP(B161,'Base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IF(_xlfn.XLOOKUP(_xlfn.XLOOKUP(B161,'Base stats'!B:B,'Base stats'!E:E),Groups!A:A,Groups!C:C)="Untamable",1,IF(_xlfn.XLOOKUP(B161,'Base stats'!B:B,'Base stats'!AJ:AJ)=1,0.99,MIN(MROUND((1-0.6282*EXP(-0.459*AO161))*_xlfn.XLOOKUP(_xlfn.XLOOKUP(B161,'Base stats'!B:B,'Base stats'!E:E),Groups!A:A,Groups!C:C)*IF(_xlfn.XLOOKUP(B161,'Base stats'!B:B,'Base stats'!O:O)=1,0.5,IF(_xlfn.XLOOKUP(B161,'Base stats'!B:B,'Base stats'!O:O)=2,0,1)),0.05),0.985)))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IF(_xlfn.XLOOKUP(_xlfn.XLOOKUP(B161,'Base stats'!B:B,'Base stats'!E:E),Groups!A:A,Groups!L:L)=1,MIN(MROUND(_xlfn.XLOOKUP(B161,'Animals CE'!B:B,'Animals CE'!Z:Z)/2+0.05,0.05),200%),"No")</f>
        <v>No</v>
      </c>
      <c r="O161" s="8" t="str">
        <f>IF(_xlfn.XLOOKUP(_xlfn.XLOOKUP(B161,'Base stats'!B:B,'Base stats'!E:E),Groups!A:A,Groups!L:L)=1,MIN(MROUND(_xlfn.XLOOKUP(B161,'Animals CE'!B:B,'Animals CE'!AA:AA)/2+0.05,0.05),200%),"No")</f>
        <v>No</v>
      </c>
      <c r="P161" s="2" t="str">
        <f>_xlfn.XLOOKUP(B161,'Base stats'!B:B,'Base stats'!R:R)</f>
        <v>Standard</v>
      </c>
      <c r="Q161" s="13">
        <f>MROUND((LOG10(_xlfn.XLOOKUP(B161,'Base stats'!B:B,'Base stats'!AP:AP))*(AO161^0.5)+(_xlfn.XLOOKUP(B161,'Base stats'!B:B,'Base stats'!AP:AP)/1000)^(2/3)+_xlfn.XLOOKUP(B161,'Base stats'!B:B,'Base stats'!AY:AY)/2)+0.5,0.5)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stats'!AQ:AQ))*(AO161^0.5)+(_xlfn.XLOOKUP(B161,'Base stats'!B:B,'Base stats'!AQ:AQ)/1000)^(2/3)+_xlfn.XLOOKUP(B161,'Base stats'!B:B,'Base stats'!AY:AY))+_xlfn.XLOOKUP(B161,'Base stats'!B:B,'Base stats'!AW:AW)+0.5,0.5))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stats'!AS:AS))*(AO161^0.5)+(_xlfn.XLOOKUP(B161,'Base stats'!B:B,'Base stats'!AS:AS)/1000)^(2/3)+_xlfn.XLOOKUP(B161,'Base stats'!B:B,'Base stats'!AX:AX))+0.5+IF(_xlfn.XLOOKUP(_xlfn.XLOOKUP(B161,'Base stats'!B:B,'Base stats'!E:E),Groups!A:A,Groups!U:U)&lt;&gt;3,_xlfn.XLOOKUP(B161,'Base stats'!B:B,'Base stats'!AY:AY),0),0.5))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stats'!AR:AR)="No","No",MROUND((LOG10(_xlfn.XLOOKUP(B161,'Base stats'!B:B,'Base stats'!AR:AR))*(AO161^0.75)+(_xlfn.XLOOKUP(B161,'Base stats'!B:B,'Base stats'!AR:AR)/1000)^(2/3)+_xlfn.XLOOKUP(B161,'Base stats'!B:B,'Base stats'!AV:AV)+_xlfn.XLOOKUP(B161,'Base stats'!B:B,'Base stats'!AY:AY))+0.5,0.5))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stats'!AQ:AQ))*(AO161^0.75)+(_xlfn.XLOOKUP(B161,'Base stats'!B:B,'Base stats'!AQ:AQ)/1000)^(2/3)+_xlfn.XLOOKUP(B161,'Base stats'!B:B,'Base stats'!AW:AW)+_xlfn.XLOOKUP(B161,'Base stats'!B:B,'Base stats'!AY:AY))+0.5,0.5))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FrontRightPaw,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5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IFERROR(IF(_xlfn.XLOOKUP(B161,'Base stats'!B:B,'Base stats'!F:F)="Lay eggs","Lay eggs",MIN(20,MAX(5.5,ROUND(((_xlfn.XLOOKUP(B161,'Base stats'!B:B,'Base stats'!F:F)-25)*(14.5/615) + 5.5)*2,0)/2))),"Cannot breed")</f>
        <v>7.5</v>
      </c>
      <c r="AT161" s="8">
        <f>IF(OR(A161="Queen",A161="Larva",A161="Megachicken",A161="Megatardi",A161="Toxscorpion"),"No",IFERROR(MAX(IF(_xlfn.XLOOKUP(B161,'Base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4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_xlfn.XLOOKUP(B161,'Base stats'!B:B,'Base stats'!AF:AF)</f>
        <v>No</v>
      </c>
      <c r="BB161" s="2" t="str">
        <f>_xlfn.XLOOKUP(B161,'Base stats'!B:B,'Base stats'!AE:AE)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stats'!Z:Z)=0),0,IF(OR(_xlfn.XLOOKUP(Animals!B161,'Base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stats'!AA:AA),0.005))</f>
        <v>0.05</v>
      </c>
      <c r="BE161" s="23">
        <f>MIN(1,MROUND(IF(AND(AO161&lt;0.5,_xlfn.XLOOKUP(B161,'Base stats'!B:B,'Base stats'!Z:Z)=0),0,IF(_xlfn.XLOOKUP(_xlfn.XLOOKUP(B161,'Base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stats'!AB:AB),0.005))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stats'!AL:AL)="Standard","No",MROUND((_xlfn.XLOOKUP(B161,'Base stats'!B:B,'Base stats'!AL:AL)/3.6)/I161,0.1))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stats'!AC:AC)&lt;&gt;"No",_xlfn.XLOOKUP(B161,'Base stats'!B:B,'Base stats'!AC:AC),"")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stats'!AC:AC)&lt;&gt;"No",_xlfn.XLOOKUP(B161,'Base stats'!B:B,'Base stats'!AC:AC),"")
  )
)</f>
        <v>AttackTarget</v>
      </c>
      <c r="BQ161" s="25" t="str">
        <f>IF(
   AND(
      'Base stats'!AL161="Standard",_xlfn.XLOOKUP(_xlfn.XLOOKUP(B161,'Base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stats'!AT:AT) * 1.8) * 2) * 2.5 + 10 + I161 * 2,5)+IF(_xlfn.XLOOKUP(B161,'Base stats'!B:B,'Base stats'!AI:AI)=1,50,0)</f>
        <v>320</v>
      </c>
      <c r="BS161" s="8">
        <f t="shared" si="19"/>
        <v>1.35</v>
      </c>
      <c r="BT161" s="8" t="str">
        <f>_xlfn.XLOOKUP(B161,'Base stats'!B:B,'Base stats'!AD:AD)</f>
        <v>No</v>
      </c>
      <c r="BU161" s="2" t="str">
        <f>IF(AND(J161&lt;=0.95,OR(_xlfn.XLOOKUP(B161,'Base stats'!B:B,'Base stats'!AI:AI)=1,_xlfn.XLOOKUP(B161,'Base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stats'!AG:AG)=1,"true","false")</f>
        <v>false</v>
      </c>
      <c r="BW161" s="25" t="str">
        <f>IF(E161="BaseInsect","AnimalInsect",
IF(J161&gt;0.95,"AnimalExotic",
_xlfn.TEXTJOIN(", ",TRUE,
IF(OR(_xlfn.XLOOKUP(B161,'Base stats'!B:B,'Base stats'!AK:AK)=1,AND(_xlfn.XLOOKUP(B161,'Base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stats'!AI:AI)=1,AND(BI161&lt;&gt;"None",BR161&gt;=60),ISNUMBER(SEARCH("Attack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stats'!AH:AH)=1,"true","false")</f>
        <v>false</v>
      </c>
      <c r="BZ161" s="25">
        <f>IF(_xlfn.XLOOKUP(B161,'Base stats'!B:B,'Base stats'!N:N)=1,"No",MAX(0.01,MIN(MROUND(IF(OR(_xlfn.XLOOKUP(B161,'Base stats'!B:B,'Base stats'!AK:AK)=1,AND(BJ161="True",CC161="False")),POWER(10,3.47*LOG10(_xlfn.XLOOKUP(B161,'Base stats'!B:B,'Base stats'!C:C)*1000)^-0.96),POWER(10,4.15*LOG10(_xlfn.XLOOKUP(B161,'Base stats'!B:B,'Base stats'!C:C)*1000)^-0.73))*IF(OR(_xlfn.XLOOKUP(B161,'Base stats'!B:B,'Base stats'!AK:AK)=1,_xlfn.XLOOKUP(B161,'Base stats'!B:B,'Base stats'!AI:AI)=1),0.5,1)/100,0.025),1)))</f>
        <v>2.5000000000000001E-2</v>
      </c>
      <c r="CA161" s="25" t="str">
        <f>IF(P161="Standard","No",MAX(0.01,IF(_xlfn.XLOOKUP(B161,'Base stats'!B:B,'Base stats'!N:N)=0,MROUND(BZ161*P161,0.05),MIN(1,MAX(0.025,MROUND(IF(OR(CC161="true",AND(BJ161="false",BO161="false")),POWER(10,4.15*LOG10(_xlfn.XLOOKUP(B161,'Base stats'!B:B,'Base stats'!C:C)*1000)^-0.73),POWER(10,3.47*LOG10(_xlfn.XLOOKUP(B161,'Base stats'!B:B,'Base stats'!C:C)*1000)^-0.96))*IF(_xlfn.XLOOKUP(B161,'Base stats'!B:B,'Base stats'!AI:AI)=1,0.5,1)/100,0.025))))))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1164</v>
      </c>
      <c r="C162" s="28" t="s">
        <v>1166</v>
      </c>
      <c r="D162" s="28" t="s">
        <v>1163</v>
      </c>
      <c r="E162" s="28" t="s">
        <v>685</v>
      </c>
      <c r="F162" s="28" t="s">
        <v>685</v>
      </c>
      <c r="G162" s="28" t="s">
        <v>685</v>
      </c>
      <c r="H162" s="2">
        <f>MROUND((
  (IF(AND(_xlfn.XLOOKUP(B162,'Base stats'!B:B,'Base stats'!AJ:AJ)=0,BI162="None",_xlfn.XLOOKUP(_xlfn.XLOOKUP(B162,'Base stats'!B:B,'Base stats'!E:E),Groups!A:A,Groups!B:B)=0), (18 + BR162 * 2.7) * 0.5,
    IF(AND(_xlfn.XLOOKUP(B162,'Base stats'!B:B,'Base stats'!AJ:AJ)=0,OR(AO162&lt;0.55,AND(BI162="Intermediate",_xlfn.XLOOKUP(_xlfn.XLOOKUP(B162,'Base stats'!B:B,'Base stats'!E:E),Groups!A:A,Groups!B:B)&lt;2))), (18 + BR162 * 2.7),
      IF(OR(BI162="Advanced",_xlfn.XLOOKUP(B162,'Base stats'!B:B,'Base stats'!AJ:AJ)=1,_xlfn.XLOOKUP(_xlfn.XLOOKUP(B162,'Base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IF(_xlfn.XLOOKUP(_xlfn.XLOOKUP(B162,'Base stats'!B:B,'Base stats'!E:E),Groups!A:A,Groups!C:C)="Untamable",1,IF(_xlfn.XLOOKUP(B162,'Base stats'!B:B,'Base stats'!AJ:AJ)=1,0.99,MIN(MROUND((1-0.6282*EXP(-0.459*AO162))*_xlfn.XLOOKUP(_xlfn.XLOOKUP(B162,'Base stats'!B:B,'Base stats'!E:E),Groups!A:A,Groups!C:C)*IF(_xlfn.XLOOKUP(B162,'Base stats'!B:B,'Base stats'!O:O)=1,0.5,IF(_xlfn.XLOOKUP(B162,'Base stats'!B:B,'Base stats'!O:O)=2,0,1)),0.05),0.985)))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-25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IF(_xlfn.XLOOKUP(_xlfn.XLOOKUP(B162,'Base stats'!B:B,'Base stats'!E:E),Groups!A:A,Groups!L:L)=1,MIN(MROUND(_xlfn.XLOOKUP(B162,'Animals CE'!B:B,'Animals CE'!Z:Z)/2+0.05,0.05),200%),"No")</f>
        <v>No</v>
      </c>
      <c r="O162" s="8" t="str">
        <f>IF(_xlfn.XLOOKUP(_xlfn.XLOOKUP(B162,'Base stats'!B:B,'Base stats'!E:E),Groups!A:A,Groups!L:L)=1,MIN(MROUND(_xlfn.XLOOKUP(B162,'Animals CE'!B:B,'Animals CE'!AA:AA)/2+0.05,0.05),200%),"No")</f>
        <v>No</v>
      </c>
      <c r="P162" s="2" t="str">
        <f>_xlfn.XLOOKUP(B162,'Base stats'!B:B,'Base stats'!R:R)</f>
        <v>Standard</v>
      </c>
      <c r="Q162" s="13">
        <f>MROUND((LOG10(_xlfn.XLOOKUP(B162,'Base stats'!B:B,'Base stats'!AP:AP))*(AO162^0.5)+(_xlfn.XLOOKUP(B162,'Base stats'!B:B,'Base stats'!AP:AP)/1000)^(2/3)+_xlfn.XLOOKUP(B162,'Base stats'!B:B,'Base stats'!AY:AY)/2)+0.5,0.5)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stats'!AQ:AQ))*(AO162^0.5)+(_xlfn.XLOOKUP(B162,'Base stats'!B:B,'Base stats'!AQ:AQ)/1000)^(2/3)+_xlfn.XLOOKUP(B162,'Base stats'!B:B,'Base stats'!AY:AY))+_xlfn.XLOOKUP(B162,'Base stats'!B:B,'Base stats'!AW:AW)+0.5,0.5))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stats'!AS:AS))*(AO162^0.5)+(_xlfn.XLOOKUP(B162,'Base stats'!B:B,'Base stats'!AS:AS)/1000)^(2/3)+_xlfn.XLOOKUP(B162,'Base stats'!B:B,'Base stats'!AX:AX))+0.5+IF(_xlfn.XLOOKUP(_xlfn.XLOOKUP(B162,'Base stats'!B:B,'Base stats'!E:E),Groups!A:A,Groups!U:U)&lt;&gt;3,_xlfn.XLOOKUP(B162,'Base stats'!B:B,'Base stats'!AY:AY),0),0.5))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stats'!AR:AR)="No","No",MROUND((LOG10(_xlfn.XLOOKUP(B162,'Base stats'!B:B,'Base stats'!AR:AR))*(AO162^0.75)+(_xlfn.XLOOKUP(B162,'Base stats'!B:B,'Base stats'!AR:AR)/1000)^(2/3)+_xlfn.XLOOKUP(B162,'Base stats'!B:B,'Base stats'!AV:AV)+_xlfn.XLOOKUP(B162,'Base stats'!B:B,'Base stats'!AY:AY))+0.5,0.5))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stats'!AQ:AQ))*(AO162^0.75)+(_xlfn.XLOOKUP(B162,'Base stats'!B:B,'Base stats'!AQ:AQ)/1000)^(2/3)+_xlfn.XLOOKUP(B162,'Base stats'!B:B,'Base stats'!AW:AW)+_xlfn.XLOOKUP(B162,'Base stats'!B:B,'Base stats'!AY:AY))+0.5,0.5))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5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IFERROR(IF(_xlfn.XLOOKUP(B162,'Base stats'!B:B,'Base stats'!F:F)="Lay eggs","Lay eggs",MIN(20,MAX(5.5,ROUND(((_xlfn.XLOOKUP(B162,'Base stats'!B:B,'Base stats'!F:F)-25)*(14.5/615) + 5.5)*2,0)/2))),"Cannot breed")</f>
        <v>Lay eggs</v>
      </c>
      <c r="AT162" s="8">
        <f>IF(OR(A162="Queen",A162="Larva",A162="Megachicken",A162="Megatardi",A162="Toxscorpion"),"No",IFERROR(MAX(IF(_xlfn.XLOOKUP(B162,'Base stats'!B:B,'Base stats'!G:G)&lt;0.5,0.2,0.3),MROUND(_xlfn.XLOOKUP(B162,'Base stats'!B:B,'Base stats'!G:G)/(365/60),0.2)),"Unknown"))</f>
        <v>0.3</v>
      </c>
      <c r="AU162" s="8">
        <f t="shared" si="14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_xlfn.XLOOKUP(B162,'Base stats'!B:B,'Base stats'!AF:AF)</f>
        <v>No</v>
      </c>
      <c r="BB162" s="2" t="str">
        <f>_xlfn.XLOOKUP(B162,'Base stats'!B:B,'Base stats'!AE:AE)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stats'!Z:Z)=0),0,IF(OR(_xlfn.XLOOKUP(Animals!B162,'Base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stats'!AA:AA),0.005))</f>
        <v>0</v>
      </c>
      <c r="BE162" s="23">
        <f>MIN(1,MROUND(IF(AND(AO162&lt;0.5,_xlfn.XLOOKUP(B162,'Base stats'!B:B,'Base stats'!Z:Z)=0),0,IF(_xlfn.XLOOKUP(_xlfn.XLOOKUP(B162,'Base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stats'!AB:AB),0.005))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8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stats'!AL:AL)="Standard","No",MROUND((_xlfn.XLOOKUP(B162,'Base stats'!B:B,'Base stats'!AL:AL)/3.6)/I162,0.1))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stats'!AC:AC)&lt;&gt;"No",_xlfn.XLOOKUP(B162,'Base stats'!B:B,'Base stats'!AC:AC),"")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stats'!AC:AC)&lt;&gt;"No",_xlfn.XLOOKUP(B162,'Base stats'!B:B,'Base stats'!AC:AC),"")
  )
)</f>
        <v>No</v>
      </c>
      <c r="BQ162" s="25" t="str">
        <f>IF(
   AND(
      'Base stats'!AL162="Standard",_xlfn.XLOOKUP(_xlfn.XLOOKUP(B162,'Base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stats'!AT:AT) * 1.8) * 2) * 2.5 + 10 + I162 * 2,5)+IF(_xlfn.XLOOKUP(B162,'Base stats'!B:B,'Base stats'!AI:AI)=1,50,0)</f>
        <v>25</v>
      </c>
      <c r="BS162" s="8">
        <f t="shared" si="19"/>
        <v>0.25</v>
      </c>
      <c r="BT162" s="8" t="str">
        <f>_xlfn.XLOOKUP(B162,'Base stats'!B:B,'Base stats'!AD:AD)</f>
        <v>3~8</v>
      </c>
      <c r="BU162" s="2" t="str">
        <f>IF(AND(J162&lt;=0.95,OR(_xlfn.XLOOKUP(B162,'Base stats'!B:B,'Base stats'!AI:AI)=1,_xlfn.XLOOKUP(B162,'Base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stats'!AG:AG)=1,"true","false")</f>
        <v>false</v>
      </c>
      <c r="BW162" s="25" t="str">
        <f>IF(E162="BaseInsect","AnimalInsect",
IF(J162&gt;0.95,"AnimalExotic",
_xlfn.TEXTJOIN(", ",TRUE,
IF(OR(_xlfn.XLOOKUP(B162,'Base stats'!B:B,'Base stats'!AK:AK)=1,AND(_xlfn.XLOOKUP(B162,'Base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stats'!AI:AI)=1,AND(BI162&lt;&gt;"None",BR162&gt;=60),ISNUMBER(SEARCH("Attack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>TemperateForest TemperateSwamp</v>
      </c>
      <c r="BY162" s="25" t="str">
        <f>IF(_xlfn.XLOOKUP(B162,'Base stats'!B:B,'Base stats'!AH:AH)=1,"true","false")</f>
        <v>false</v>
      </c>
      <c r="BZ162" s="25">
        <f>IF(_xlfn.XLOOKUP(B162,'Base stats'!B:B,'Base stats'!N:N)=1,"No",MAX(0.01,MIN(MROUND(IF(OR(_xlfn.XLOOKUP(B162,'Base stats'!B:B,'Base stats'!AK:AK)=1,AND(BJ162="True",CC162="False")),POWER(10,3.47*LOG10(_xlfn.XLOOKUP(B162,'Base stats'!B:B,'Base stats'!C:C)*1000)^-0.96),POWER(10,4.15*LOG10(_xlfn.XLOOKUP(B162,'Base stats'!B:B,'Base stats'!C:C)*1000)^-0.73))*IF(OR(_xlfn.XLOOKUP(B162,'Base stats'!B:B,'Base stats'!AK:AK)=1,_xlfn.XLOOKUP(B162,'Base stats'!B:B,'Base stats'!AI:AI)=1),0.5,1)/100,0.025),1)))</f>
        <v>7.5000000000000011E-2</v>
      </c>
      <c r="CA162" s="25" t="str">
        <f>IF(P162="Standard","No",MAX(0.01,IF(_xlfn.XLOOKUP(B162,'Base stats'!B:B,'Base stats'!N:N)=0,MROUND(BZ162*P162,0.05),MIN(1,MAX(0.025,MROUND(IF(OR(CC162="true",AND(BJ162="false",BO162="false")),POWER(10,4.15*LOG10(_xlfn.XLOOKUP(B162,'Base stats'!B:B,'Base stats'!C:C)*1000)^-0.73),POWER(10,3.47*LOG10(_xlfn.XLOOKUP(B162,'Base stats'!B:B,'Base stats'!C:C)*1000)^-0.96))*IF(_xlfn.XLOOKUP(B162,'Base stats'!B:B,'Base stats'!AI:AI)=1,0.5,1)/100,0.025))))))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1168</v>
      </c>
      <c r="C163" s="28" t="s">
        <v>1169</v>
      </c>
      <c r="D163" s="28" t="s">
        <v>1163</v>
      </c>
      <c r="E163" s="28" t="s">
        <v>685</v>
      </c>
      <c r="F163" s="28" t="s">
        <v>685</v>
      </c>
      <c r="G163" s="28" t="s">
        <v>685</v>
      </c>
      <c r="H163" s="2">
        <f>MROUND((
  (IF(AND(_xlfn.XLOOKUP(B163,'Base stats'!B:B,'Base stats'!AJ:AJ)=0,BI163="None",_xlfn.XLOOKUP(_xlfn.XLOOKUP(B163,'Base stats'!B:B,'Base stats'!E:E),Groups!A:A,Groups!B:B)=0), (18 + BR163 * 2.7) * 0.5,
    IF(AND(_xlfn.XLOOKUP(B163,'Base stats'!B:B,'Base stats'!AJ:AJ)=0,OR(AO163&lt;0.55,AND(BI163="Intermediate",_xlfn.XLOOKUP(_xlfn.XLOOKUP(B163,'Base stats'!B:B,'Base stats'!E:E),Groups!A:A,Groups!B:B)&lt;2))), (18 + BR163 * 2.7),
      IF(OR(BI163="Advanced",_xlfn.XLOOKUP(B163,'Base stats'!B:B,'Base stats'!AJ:AJ)=1,_xlfn.XLOOKUP(_xlfn.XLOOKUP(B163,'Base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IF(_xlfn.XLOOKUP(_xlfn.XLOOKUP(B163,'Base stats'!B:B,'Base stats'!E:E),Groups!A:A,Groups!C:C)="Untamable",1,IF(_xlfn.XLOOKUP(B163,'Base stats'!B:B,'Base stats'!AJ:AJ)=1,0.99,MIN(MROUND((1-0.6282*EXP(-0.459*AO163))*_xlfn.XLOOKUP(_xlfn.XLOOKUP(B163,'Base stats'!B:B,'Base stats'!E:E),Groups!A:A,Groups!C:C)*IF(_xlfn.XLOOKUP(B163,'Base stats'!B:B,'Base stats'!O:O)=1,0.5,IF(_xlfn.XLOOKUP(B163,'Base stats'!B:B,'Base stats'!O:O)=2,0,1)),0.05),0.985)))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IF(_xlfn.XLOOKUP(_xlfn.XLOOKUP(B163,'Base stats'!B:B,'Base stats'!E:E),Groups!A:A,Groups!L:L)=1,MIN(MROUND(_xlfn.XLOOKUP(B163,'Animals CE'!B:B,'Animals CE'!Z:Z)/2+0.05,0.05),200%),"No")</f>
        <v>No</v>
      </c>
      <c r="O163" s="8" t="str">
        <f>IF(_xlfn.XLOOKUP(_xlfn.XLOOKUP(B163,'Base stats'!B:B,'Base stats'!E:E),Groups!A:A,Groups!L:L)=1,MIN(MROUND(_xlfn.XLOOKUP(B163,'Animals CE'!B:B,'Animals CE'!AA:AA)/2+0.05,0.05),200%),"No")</f>
        <v>No</v>
      </c>
      <c r="P163" s="2" t="str">
        <f>_xlfn.XLOOKUP(B163,'Base stats'!B:B,'Base stats'!R:R)</f>
        <v>Standard</v>
      </c>
      <c r="Q163" s="13">
        <f>MROUND((LOG10(_xlfn.XLOOKUP(B163,'Base stats'!B:B,'Base stats'!AP:AP))*(AO163^0.5)+(_xlfn.XLOOKUP(B163,'Base stats'!B:B,'Base stats'!AP:AP)/1000)^(2/3)+_xlfn.XLOOKUP(B163,'Base stats'!B:B,'Base stats'!AY:AY)/2)+0.5,0.5)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stats'!AQ:AQ))*(AO163^0.5)+(_xlfn.XLOOKUP(B163,'Base stats'!B:B,'Base stats'!AQ:AQ)/1000)^(2/3)+_xlfn.XLOOKUP(B163,'Base stats'!B:B,'Base stats'!AY:AY))+_xlfn.XLOOKUP(B163,'Base stats'!B:B,'Base stats'!AW:AW)+0.5,0.5))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stats'!AS:AS))*(AO163^0.5)+(_xlfn.XLOOKUP(B163,'Base stats'!B:B,'Base stats'!AS:AS)/1000)^(2/3)+_xlfn.XLOOKUP(B163,'Base stats'!B:B,'Base stats'!AX:AX))+0.5+IF(_xlfn.XLOOKUP(_xlfn.XLOOKUP(B163,'Base stats'!B:B,'Base stats'!E:E),Groups!A:A,Groups!U:U)&lt;&gt;3,_xlfn.XLOOKUP(B163,'Base stats'!B:B,'Base stats'!AY:AY),0),0.5))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stats'!AR:AR)="No","No",MROUND((LOG10(_xlfn.XLOOKUP(B163,'Base stats'!B:B,'Base stats'!AR:AR))*(AO163^0.75)+(_xlfn.XLOOKUP(B163,'Base stats'!B:B,'Base stats'!AR:AR)/1000)^(2/3)+_xlfn.XLOOKUP(B163,'Base stats'!B:B,'Base stats'!AV:AV)+_xlfn.XLOOKUP(B163,'Base stats'!B:B,'Base stats'!AY:AY))+0.5,0.5))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stats'!AQ:AQ))*(AO163^0.75)+(_xlfn.XLOOKUP(B163,'Base stats'!B:B,'Base stats'!AQ:AQ)/1000)^(2/3)+_xlfn.XLOOKUP(B163,'Base stats'!B:B,'Base stats'!AW:AW)+_xlfn.XLOOKUP(B163,'Base stats'!B:B,'Base stats'!AY:AY))+0.5,0.5))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ref="AN163:AN166" si="21">IF(BJ163="false","No",MROUND(AO163*5+15*1,5))</f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IFERROR(IF(_xlfn.XLOOKUP(B163,'Base stats'!B:B,'Base stats'!F:F)="Lay eggs","Lay eggs",MIN(20,MAX(5.5,ROUND(((_xlfn.XLOOKUP(B163,'Base stats'!B:B,'Base stats'!F:F)-25)*(14.5/615) + 5.5)*2,0)/2))),"Cannot breed")</f>
        <v>11</v>
      </c>
      <c r="AT163" s="8">
        <f>IF(OR(A163="Queen",A163="Larva",A163="Megachicken",A163="Megatardi",A163="Toxscorpion"),"No",IFERROR(MAX(IF(_xlfn.XLOOKUP(B163,'Base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4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ref="AW163:AW166" si="22">IF(BT163="No","false","true")</f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_xlfn.XLOOKUP(B163,'Base stats'!B:B,'Base stats'!AF:AF)</f>
        <v>&lt;li&gt;Monkey&lt;/li&gt;</v>
      </c>
      <c r="BB163" s="2" t="str">
        <f>_xlfn.XLOOKUP(B163,'Base stats'!B:B,'Base stats'!AE:AE)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stats'!Z:Z)=0),0,IF(OR(_xlfn.XLOOKUP(Animals!B163,'Base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stats'!AA:AA),0.005))</f>
        <v>2.5000000000000001E-2</v>
      </c>
      <c r="BE163" s="23">
        <f>MIN(1,MROUND(IF(AND(AO163&lt;0.5,_xlfn.XLOOKUP(B163,'Base stats'!B:B,'Base stats'!Z:Z)=0),0,IF(_xlfn.XLOOKUP(_xlfn.XLOOKUP(B163,'Base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stats'!AB:AB),0.005))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ref="BL163:BL166" si="23">IF(BI163&lt;&gt;"None",1,0)</f>
        <v>1</v>
      </c>
      <c r="BM163" s="25" t="str">
        <f>IF(_xlfn.XLOOKUP(B163,'Base stats'!B:B,'Base stats'!AL:AL)="Standard","No",MROUND((_xlfn.XLOOKUP(B163,'Base stats'!B:B,'Base stats'!AL:AL)/3.6)/I163,0.1))</f>
        <v>No</v>
      </c>
      <c r="BN163" s="25" t="str">
        <f t="shared" ref="BN163:BN166" si="24">IF(OR(BM163&lt;&gt;"No",BQ163=1),"true","false")</f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stats'!AC:AC)&lt;&gt;"No",_xlfn.XLOOKUP(B163,'Base stats'!B:B,'Base stats'!AC:AC),"")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stats'!AC:AC)&lt;&gt;"No",_xlfn.XLOOKUP(B163,'Base stats'!B:B,'Base stats'!AC:AC),"")
  )
)</f>
        <v>No</v>
      </c>
      <c r="BQ163" s="25" t="str">
        <f>IF(
   AND(
      'Base stats'!AL163="Standard",_xlfn.XLOOKUP(_xlfn.XLOOKUP(B163,'Base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stats'!AT:AT) * 1.8) * 2) * 2.5 + 10 + I163 * 2,5)+IF(_xlfn.XLOOKUP(B163,'Base stats'!B:B,'Base stats'!AI:AI)=1,50,0)</f>
        <v>85</v>
      </c>
      <c r="BS163" s="8">
        <f t="shared" ref="BS163:BS166" si="25">MROUND(AO163 * 0.2 + AQ163 * 0.8,0.05)</f>
        <v>0.65</v>
      </c>
      <c r="BT163" s="8" t="str">
        <f>_xlfn.XLOOKUP(B163,'Base stats'!B:B,'Base stats'!AD:AD)</f>
        <v>No</v>
      </c>
      <c r="BU163" s="2" t="str">
        <f>IF(AND(J163&lt;=0.95,OR(_xlfn.XLOOKUP(B163,'Base stats'!B:B,'Base stats'!AI:AI)=1,_xlfn.XLOOKUP(B163,'Base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stats'!AG:AG)=1,"true","false")</f>
        <v>false</v>
      </c>
      <c r="BW163" s="25" t="str">
        <f>IF(E163="BaseInsect","AnimalInsect",
IF(J163&gt;0.95,"AnimalExotic",
_xlfn.TEXTJOIN(", ",TRUE,
IF(OR(_xlfn.XLOOKUP(B163,'Base stats'!B:B,'Base stats'!AK:AK)=1,AND(_xlfn.XLOOKUP(B163,'Base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stats'!AI:AI)=1,AND(BI163&lt;&gt;"None",BR163&gt;=60),ISNUMBER(SEARCH("Attack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 TropicalSwamp Glowforest</v>
      </c>
      <c r="BY163" s="25" t="str">
        <f>IF(_xlfn.XLOOKUP(B163,'Base stats'!B:B,'Base stats'!AH:AH)=1,"true","false")</f>
        <v>false</v>
      </c>
      <c r="BZ163" s="25">
        <f>IF(_xlfn.XLOOKUP(B163,'Base stats'!B:B,'Base stats'!N:N)=1,"No",MAX(0.01,MIN(MROUND(IF(OR(_xlfn.XLOOKUP(B163,'Base stats'!B:B,'Base stats'!AK:AK)=1,AND(BJ163="True",CC163="False")),POWER(10,3.47*LOG10(_xlfn.XLOOKUP(B163,'Base stats'!B:B,'Base stats'!C:C)*1000)^-0.96),POWER(10,4.15*LOG10(_xlfn.XLOOKUP(B163,'Base stats'!B:B,'Base stats'!C:C)*1000)^-0.73))*IF(OR(_xlfn.XLOOKUP(B163,'Base stats'!B:B,'Base stats'!AK:AK)=1,_xlfn.XLOOKUP(B163,'Base stats'!B:B,'Base stats'!AI:AI)=1),0.5,1)/100,0.025),1)))</f>
        <v>2.5000000000000001E-2</v>
      </c>
      <c r="CA163" s="25" t="str">
        <f>IF(P163="Standard","No",MAX(0.01,IF(_xlfn.XLOOKUP(B163,'Base stats'!B:B,'Base stats'!N:N)=0,MROUND(BZ163*P163,0.05),MIN(1,MAX(0.025,MROUND(IF(OR(CC163="true",AND(BJ163="false",BO163="false")),POWER(10,4.15*LOG10(_xlfn.XLOOKUP(B163,'Base stats'!B:B,'Base stats'!C:C)*1000)^-0.73),POWER(10,3.47*LOG10(_xlfn.XLOOKUP(B163,'Base stats'!B:B,'Base stats'!C:C)*1000)^-0.96))*IF(_xlfn.XLOOKUP(B163,'Base stats'!B:B,'Base stats'!AI:AI)=1,0.5,1)/100,0.025))))))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ref="CD163:CD166" si="26">IF(J163&gt;0.95,"True","False")</f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1171</v>
      </c>
      <c r="C164" s="28" t="s">
        <v>1170</v>
      </c>
      <c r="D164" s="28" t="s">
        <v>1163</v>
      </c>
      <c r="E164" s="28" t="s">
        <v>685</v>
      </c>
      <c r="F164" s="28" t="s">
        <v>685</v>
      </c>
      <c r="G164" s="28" t="s">
        <v>685</v>
      </c>
      <c r="H164" s="2">
        <f>MROUND((
  (IF(AND(_xlfn.XLOOKUP(B164,'Base stats'!B:B,'Base stats'!AJ:AJ)=0,BI164="None",_xlfn.XLOOKUP(_xlfn.XLOOKUP(B164,'Base stats'!B:B,'Base stats'!E:E),Groups!A:A,Groups!B:B)=0), (18 + BR164 * 2.7) * 0.5,
    IF(AND(_xlfn.XLOOKUP(B164,'Base stats'!B:B,'Base stats'!AJ:AJ)=0,OR(AO164&lt;0.55,AND(BI164="Intermediate",_xlfn.XLOOKUP(_xlfn.XLOOKUP(B164,'Base stats'!B:B,'Base stats'!E:E),Groups!A:A,Groups!B:B)&lt;2))), (18 + BR164 * 2.7),
      IF(OR(BI164="Advanced",_xlfn.XLOOKUP(B164,'Base stats'!B:B,'Base stats'!AJ:AJ)=1,_xlfn.XLOOKUP(_xlfn.XLOOKUP(B164,'Base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IF(_xlfn.XLOOKUP(_xlfn.XLOOKUP(B164,'Base stats'!B:B,'Base stats'!E:E),Groups!A:A,Groups!C:C)="Untamable",1,IF(_xlfn.XLOOKUP(B164,'Base stats'!B:B,'Base stats'!AJ:AJ)=1,0.99,MIN(MROUND((1-0.6282*EXP(-0.459*AO164))*_xlfn.XLOOKUP(_xlfn.XLOOKUP(B164,'Base stats'!B:B,'Base stats'!E:E),Groups!A:A,Groups!C:C)*IF(_xlfn.XLOOKUP(B164,'Base stats'!B:B,'Base stats'!O:O)=1,0.5,IF(_xlfn.XLOOKUP(B164,'Base stats'!B:B,'Base stats'!O:O)=2,0,1)),0.05),0.985)))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IF(_xlfn.XLOOKUP(_xlfn.XLOOKUP(B164,'Base stats'!B:B,'Base stats'!E:E),Groups!A:A,Groups!L:L)=1,MIN(MROUND(_xlfn.XLOOKUP(B164,'Animals CE'!B:B,'Animals CE'!Z:Z)/2+0.05,0.05),200%),"No")</f>
        <v>No</v>
      </c>
      <c r="O164" s="8" t="str">
        <f>IF(_xlfn.XLOOKUP(_xlfn.XLOOKUP(B164,'Base stats'!B:B,'Base stats'!E:E),Groups!A:A,Groups!L:L)=1,MIN(MROUND(_xlfn.XLOOKUP(B164,'Animals CE'!B:B,'Animals CE'!AA:AA)/2+0.05,0.05),200%),"No")</f>
        <v>No</v>
      </c>
      <c r="P164" s="2" t="str">
        <f>_xlfn.XLOOKUP(B164,'Base stats'!B:B,'Base stats'!R:R)</f>
        <v>Standard</v>
      </c>
      <c r="Q164" s="13">
        <f>MROUND((LOG10(_xlfn.XLOOKUP(B164,'Base stats'!B:B,'Base stats'!AP:AP))*(AO164^0.5)+(_xlfn.XLOOKUP(B164,'Base stats'!B:B,'Base stats'!AP:AP)/1000)^(2/3)+_xlfn.XLOOKUP(B164,'Base stats'!B:B,'Base stats'!AY:AY)/2)+0.5,0.5)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stats'!AQ:AQ))*(AO164^0.5)+(_xlfn.XLOOKUP(B164,'Base stats'!B:B,'Base stats'!AQ:AQ)/1000)^(2/3)+_xlfn.XLOOKUP(B164,'Base stats'!B:B,'Base stats'!AY:AY))+_xlfn.XLOOKUP(B164,'Base stats'!B:B,'Base stats'!AW:AW)+0.5,0.5))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stats'!AS:AS))*(AO164^0.5)+(_xlfn.XLOOKUP(B164,'Base stats'!B:B,'Base stats'!AS:AS)/1000)^(2/3)+_xlfn.XLOOKUP(B164,'Base stats'!B:B,'Base stats'!AX:AX))+0.5+IF(_xlfn.XLOOKUP(_xlfn.XLOOKUP(B164,'Base stats'!B:B,'Base stats'!E:E),Groups!A:A,Groups!U:U)&lt;&gt;3,_xlfn.XLOOKUP(B164,'Base stats'!B:B,'Base stats'!AY:AY),0),0.5))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stats'!AR:AR)="No","No",MROUND((LOG10(_xlfn.XLOOKUP(B164,'Base stats'!B:B,'Base stats'!AR:AR))*(AO164^0.75)+(_xlfn.XLOOKUP(B164,'Base stats'!B:B,'Base stats'!AR:AR)/1000)^(2/3)+_xlfn.XLOOKUP(B164,'Base stats'!B:B,'Base stats'!AV:AV)+_xlfn.XLOOKUP(B164,'Base stats'!B:B,'Base stats'!AY:AY))+0.5,0.5))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stats'!AQ:AQ))*(AO164^0.75)+(_xlfn.XLOOKUP(B164,'Base stats'!B:B,'Base stats'!AQ:AQ)/1000)^(2/3)+_xlfn.XLOOKUP(B164,'Base stats'!B:B,'Base stats'!AW:AW)+_xlfn.XLOOKUP(B164,'Base stats'!B:B,'Base stats'!AY:AY))+0.5,0.5))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21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IFERROR(IF(_xlfn.XLOOKUP(B164,'Base stats'!B:B,'Base stats'!F:F)="Lay eggs","Lay eggs",MIN(20,MAX(5.5,ROUND(((_xlfn.XLOOKUP(B164,'Base stats'!B:B,'Base stats'!F:F)-25)*(14.5/615) + 5.5)*2,0)/2))),"Cannot breed")</f>
        <v>Lay eggs</v>
      </c>
      <c r="AT164" s="8" t="str">
        <f>IF(OR(A164="Queen",A164="Larva",A164="Megachicken",A164="Megatardi",A164="Toxscorpion"),"No",IFERROR(MAX(IF(_xlfn.XLOOKUP(B164,'Base stats'!B:B,'Base stats'!G:G)&lt;0.5,0.2,0.3),MROUND(_xlfn.XLOOKUP(B164,'Base stats'!B:B,'Base stats'!G:G)/(365/60),0.2)),"Unknown"))</f>
        <v>No</v>
      </c>
      <c r="AU164" s="8" t="str">
        <f t="shared" si="14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22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_xlfn.XLOOKUP(B164,'Base stats'!B:B,'Base stats'!AF:AF)</f>
        <v>&lt;li&gt;Chicken&lt;/li&gt;</v>
      </c>
      <c r="BB164" s="2" t="str">
        <f>_xlfn.XLOOKUP(B164,'Base stats'!B:B,'Base stats'!AE:AE)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stats'!Z:Z)=0),0,IF(OR(_xlfn.XLOOKUP(Animals!B164,'Base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stats'!AA:AA),0.005))</f>
        <v>0</v>
      </c>
      <c r="BE164" s="23">
        <f>MIN(1,MROUND(IF(AND(AO164&lt;0.5,_xlfn.XLOOKUP(B164,'Base stats'!B:B,'Base stats'!Z:Z)=0),0,IF(_xlfn.XLOOKUP(_xlfn.XLOOKUP(B164,'Base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stats'!AB:AB),0.005))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8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23"/>
        <v>0</v>
      </c>
      <c r="BM164" s="25" t="str">
        <f>IF(_xlfn.XLOOKUP(B164,'Base stats'!B:B,'Base stats'!AL:AL)="Standard","No",MROUND((_xlfn.XLOOKUP(B164,'Base stats'!B:B,'Base stats'!AL:AL)/3.6)/I164,0.1))</f>
        <v>No</v>
      </c>
      <c r="BN164" s="25" t="str">
        <f t="shared" si="24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stats'!AC:AC)&lt;&gt;"No",_xlfn.XLOOKUP(B164,'Base stats'!B:B,'Base stats'!AC:AC),"")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stats'!AC:AC)&lt;&gt;"No",_xlfn.XLOOKUP(B164,'Base stats'!B:B,'Base stats'!AC:AC),"")
  )
)</f>
        <v>No</v>
      </c>
      <c r="BQ164" s="25" t="str">
        <f>IF(
   AND(
      'Base stats'!AL164="Standard",_xlfn.XLOOKUP(_xlfn.XLOOKUP(B164,'Base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stats'!AT:AT) * 1.8) * 2) * 2.5 + 10 + I164 * 2,5)+IF(_xlfn.XLOOKUP(B164,'Base stats'!B:B,'Base stats'!AI:AI)=1,50,0)</f>
        <v>35</v>
      </c>
      <c r="BS164" s="8">
        <f t="shared" si="25"/>
        <v>0.35000000000000003</v>
      </c>
      <c r="BT164" s="8" t="str">
        <f>_xlfn.XLOOKUP(B164,'Base stats'!B:B,'Base stats'!AD:AD)</f>
        <v>No</v>
      </c>
      <c r="BU164" s="2" t="str">
        <f>IF(AND(J164&lt;=0.95,OR(_xlfn.XLOOKUP(B164,'Base stats'!B:B,'Base stats'!AI:AI)=1,_xlfn.XLOOKUP(B164,'Base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stats'!AG:AG)=1,"true","false")</f>
        <v>false</v>
      </c>
      <c r="BW164" s="25" t="str">
        <f>IF(E164="BaseInsect","AnimalInsect",
IF(J164&gt;0.95,"AnimalExotic",
_xlfn.TEXTJOIN(", ",TRUE,
IF(OR(_xlfn.XLOOKUP(B164,'Base stats'!B:B,'Base stats'!AK:AK)=1,AND(_xlfn.XLOOKUP(B164,'Base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stats'!AI:AI)=1,AND(BI164&lt;&gt;"None",BR164&gt;=60),ISNUMBER(SEARCH("Attack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stats'!AH:AH)=1,"true","false")</f>
        <v>false</v>
      </c>
      <c r="BZ164" s="25">
        <f>IF(_xlfn.XLOOKUP(B164,'Base stats'!B:B,'Base stats'!N:N)=1,"No",MAX(0.01,MIN(MROUND(IF(OR(_xlfn.XLOOKUP(B164,'Base stats'!B:B,'Base stats'!AK:AK)=1,AND(BJ164="True",CC164="False")),POWER(10,3.47*LOG10(_xlfn.XLOOKUP(B164,'Base stats'!B:B,'Base stats'!C:C)*1000)^-0.96),POWER(10,4.15*LOG10(_xlfn.XLOOKUP(B164,'Base stats'!B:B,'Base stats'!C:C)*1000)^-0.73))*IF(OR(_xlfn.XLOOKUP(B164,'Base stats'!B:B,'Base stats'!AK:AK)=1,_xlfn.XLOOKUP(B164,'Base stats'!B:B,'Base stats'!AI:AI)=1),0.5,1)/100,0.025),1)))</f>
        <v>0.05</v>
      </c>
      <c r="CA164" s="25" t="str">
        <f>IF(P164="Standard","No",MAX(0.01,IF(_xlfn.XLOOKUP(B164,'Base stats'!B:B,'Base stats'!N:N)=0,MROUND(BZ164*P164,0.05),MIN(1,MAX(0.025,MROUND(IF(OR(CC164="true",AND(BJ164="false",BO164="false")),POWER(10,4.15*LOG10(_xlfn.XLOOKUP(B164,'Base stats'!B:B,'Base stats'!C:C)*1000)^-0.73),POWER(10,3.47*LOG10(_xlfn.XLOOKUP(B164,'Base stats'!B:B,'Base stats'!C:C)*1000)^-0.96))*IF(_xlfn.XLOOKUP(B164,'Base stats'!B:B,'Base stats'!AI:AI)=1,0.5,1)/100,0.025))))))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6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1173</v>
      </c>
      <c r="C165" s="28" t="s">
        <v>1172</v>
      </c>
      <c r="D165" s="28" t="s">
        <v>1163</v>
      </c>
      <c r="E165" s="28" t="s">
        <v>685</v>
      </c>
      <c r="F165" s="28" t="s">
        <v>685</v>
      </c>
      <c r="G165" s="28" t="s">
        <v>685</v>
      </c>
      <c r="H165" s="2">
        <f>MROUND((
  (IF(AND(_xlfn.XLOOKUP(B165,'Base stats'!B:B,'Base stats'!AJ:AJ)=0,BI165="None",_xlfn.XLOOKUP(_xlfn.XLOOKUP(B165,'Base stats'!B:B,'Base stats'!E:E),Groups!A:A,Groups!B:B)=0), (18 + BR165 * 2.7) * 0.5,
    IF(AND(_xlfn.XLOOKUP(B165,'Base stats'!B:B,'Base stats'!AJ:AJ)=0,OR(AO165&lt;0.55,AND(BI165="Intermediate",_xlfn.XLOOKUP(_xlfn.XLOOKUP(B165,'Base stats'!B:B,'Base stats'!E:E),Groups!A:A,Groups!B:B)&lt;2))), (18 + BR165 * 2.7),
      IF(OR(BI165="Advanced",_xlfn.XLOOKUP(B165,'Base stats'!B:B,'Base stats'!AJ:AJ)=1,_xlfn.XLOOKUP(_xlfn.XLOOKUP(B165,'Base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IF(_xlfn.XLOOKUP(_xlfn.XLOOKUP(B165,'Base stats'!B:B,'Base stats'!E:E),Groups!A:A,Groups!C:C)="Untamable",1,IF(_xlfn.XLOOKUP(B165,'Base stats'!B:B,'Base stats'!AJ:AJ)=1,0.99,MIN(MROUND((1-0.6282*EXP(-0.459*AO165))*_xlfn.XLOOKUP(_xlfn.XLOOKUP(B165,'Base stats'!B:B,'Base stats'!E:E),Groups!A:A,Groups!C:C)*IF(_xlfn.XLOOKUP(B165,'Base stats'!B:B,'Base stats'!O:O)=1,0.5,IF(_xlfn.XLOOKUP(B165,'Base stats'!B:B,'Base stats'!O:O)=2,0,1)),0.05),0.985)))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-25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IF(_xlfn.XLOOKUP(_xlfn.XLOOKUP(B165,'Base stats'!B:B,'Base stats'!E:E),Groups!A:A,Groups!L:L)=1,MIN(MROUND(_xlfn.XLOOKUP(B165,'Animals CE'!B:B,'Animals CE'!Z:Z)/2+0.05,0.05),200%),"No")</f>
        <v>No</v>
      </c>
      <c r="O165" s="8" t="str">
        <f>IF(_xlfn.XLOOKUP(_xlfn.XLOOKUP(B165,'Base stats'!B:B,'Base stats'!E:E),Groups!A:A,Groups!L:L)=1,MIN(MROUND(_xlfn.XLOOKUP(B165,'Animals CE'!B:B,'Animals CE'!AA:AA)/2+0.05,0.05),200%),"No")</f>
        <v>No</v>
      </c>
      <c r="P165" s="2" t="str">
        <f>_xlfn.XLOOKUP(B165,'Base stats'!B:B,'Base stats'!R:R)</f>
        <v>Standard</v>
      </c>
      <c r="Q165" s="13">
        <f>MROUND((LOG10(_xlfn.XLOOKUP(B165,'Base stats'!B:B,'Base stats'!AP:AP))*(AO165^0.5)+(_xlfn.XLOOKUP(B165,'Base stats'!B:B,'Base stats'!AP:AP)/1000)^(2/3)+_xlfn.XLOOKUP(B165,'Base stats'!B:B,'Base stats'!AY:AY)/2)+0.5,0.5)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stats'!AQ:AQ))*(AO165^0.5)+(_xlfn.XLOOKUP(B165,'Base stats'!B:B,'Base stats'!AQ:AQ)/1000)^(2/3)+_xlfn.XLOOKUP(B165,'Base stats'!B:B,'Base stats'!AY:AY))+_xlfn.XLOOKUP(B165,'Base stats'!B:B,'Base stats'!AW:AW)+0.5,0.5))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stats'!AS:AS))*(AO165^0.5)+(_xlfn.XLOOKUP(B165,'Base stats'!B:B,'Base stats'!AS:AS)/1000)^(2/3)+_xlfn.XLOOKUP(B165,'Base stats'!B:B,'Base stats'!AX:AX))+0.5+IF(_xlfn.XLOOKUP(_xlfn.XLOOKUP(B165,'Base stats'!B:B,'Base stats'!E:E),Groups!A:A,Groups!U:U)&lt;&gt;3,_xlfn.XLOOKUP(B165,'Base stats'!B:B,'Base stats'!AY:AY),0),0.5))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stats'!AR:AR)="No","No",MROUND((LOG10(_xlfn.XLOOKUP(B165,'Base stats'!B:B,'Base stats'!AR:AR))*(AO165^0.75)+(_xlfn.XLOOKUP(B165,'Base stats'!B:B,'Base stats'!AR:AR)/1000)^(2/3)+_xlfn.XLOOKUP(B165,'Base stats'!B:B,'Base stats'!AV:AV)+_xlfn.XLOOKUP(B165,'Base stats'!B:B,'Base stats'!AY:AY))+0.5,0.5))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stats'!AQ:AQ))*(AO165^0.75)+(_xlfn.XLOOKUP(B165,'Base stats'!B:B,'Base stats'!AQ:AQ)/1000)^(2/3)+_xlfn.XLOOKUP(B165,'Base stats'!B:B,'Base stats'!AW:AW)+_xlfn.XLOOKUP(B165,'Base stats'!B:B,'Base stats'!AY:AY))+0.5,0.5))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21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IFERROR(IF(_xlfn.XLOOKUP(B165,'Base stats'!B:B,'Base stats'!F:F)="Lay eggs","Lay eggs",MIN(20,MAX(5.5,ROUND(((_xlfn.XLOOKUP(B165,'Base stats'!B:B,'Base stats'!F:F)-25)*(14.5/615) + 5.5)*2,0)/2))),"Cannot breed")</f>
        <v>Lay eggs</v>
      </c>
      <c r="AT165" s="8">
        <f>IF(OR(A165="Queen",A165="Larva",A165="Megachicken",A165="Megatardi",A165="Toxscorpion"),"No",IFERROR(MAX(IF(_xlfn.XLOOKUP(B165,'Base stats'!B:B,'Base stats'!G:G)&lt;0.5,0.2,0.3),MROUND(_xlfn.XLOOKUP(B165,'Base stats'!B:B,'Base stats'!G:G)/(365/60),0.2)),"Unknown"))</f>
        <v>0.4</v>
      </c>
      <c r="AU165" s="8">
        <f t="shared" si="14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22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_xlfn.XLOOKUP(B165,'Base stats'!B:B,'Base stats'!AF:AF)</f>
        <v>&lt;li&gt;Cassowary&lt;/li&gt;</v>
      </c>
      <c r="BB165" s="2" t="str">
        <f>_xlfn.XLOOKUP(B165,'Base stats'!B:B,'Base stats'!AE:AE)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stats'!Z:Z)=0),0,IF(OR(_xlfn.XLOOKUP(Animals!B165,'Base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stats'!AA:AA),0.005))</f>
        <v>0</v>
      </c>
      <c r="BE165" s="23">
        <f>MIN(1,MROUND(IF(AND(AO165&lt;0.5,_xlfn.XLOOKUP(B165,'Base stats'!B:B,'Base stats'!Z:Z)=0),0,IF(_xlfn.XLOOKUP(_xlfn.XLOOKUP(B165,'Base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stats'!AB:AB),0.005))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23"/>
        <v>0</v>
      </c>
      <c r="BM165" s="25" t="str">
        <f>IF(_xlfn.XLOOKUP(B165,'Base stats'!B:B,'Base stats'!AL:AL)="Standard","No",MROUND((_xlfn.XLOOKUP(B165,'Base stats'!B:B,'Base stats'!AL:AL)/3.6)/I165,0.1))</f>
        <v>No</v>
      </c>
      <c r="BN165" s="25" t="str">
        <f t="shared" si="24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stats'!AC:AC)&lt;&gt;"No",_xlfn.XLOOKUP(B165,'Base stats'!B:B,'Base stats'!AC:AC),"")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stats'!AC:AC)&lt;&gt;"No",_xlfn.XLOOKUP(B165,'Base stats'!B:B,'Base stats'!AC:AC),"")
  )
)</f>
        <v>No</v>
      </c>
      <c r="BQ165" s="25">
        <f>IF(
   AND(
      'Base stats'!AL165="Standard",_xlfn.XLOOKUP(_xlfn.XLOOKUP(B165,'Base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stats'!AT:AT) * 1.8) * 2) * 2.5 + 10 + I165 * 2,5)+IF(_xlfn.XLOOKUP(B165,'Base stats'!B:B,'Base stats'!AI:AI)=1,50,0)</f>
        <v>35</v>
      </c>
      <c r="BS165" s="8">
        <f t="shared" si="25"/>
        <v>0.4</v>
      </c>
      <c r="BT165" s="8" t="str">
        <f>_xlfn.XLOOKUP(B165,'Base stats'!B:B,'Base stats'!AD:AD)</f>
        <v>No</v>
      </c>
      <c r="BU165" s="2" t="str">
        <f>IF(AND(J165&lt;=0.95,OR(_xlfn.XLOOKUP(B165,'Base stats'!B:B,'Base stats'!AI:AI)=1,_xlfn.XLOOKUP(B165,'Base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stats'!AG:AG)=1,"true","false")</f>
        <v>false</v>
      </c>
      <c r="BW165" s="25" t="str">
        <f>IF(E165="BaseInsect","AnimalInsect",
IF(J165&gt;0.95,"AnimalExotic",
_xlfn.TEXTJOIN(", ",TRUE,
IF(OR(_xlfn.XLOOKUP(B165,'Base stats'!B:B,'Base stats'!AK:AK)=1,AND(_xlfn.XLOOKUP(B165,'Base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stats'!AI:AI)=1,AND(BI165&lt;&gt;"None",BR165&gt;=60),ISNUMBER(SEARCH("Attack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>TemperateForest TemperateSwamp</v>
      </c>
      <c r="BY165" s="25" t="str">
        <f>IF(_xlfn.XLOOKUP(B165,'Base stats'!B:B,'Base stats'!AH:AH)=1,"true","false")</f>
        <v>false</v>
      </c>
      <c r="BZ165" s="25">
        <f>IF(_xlfn.XLOOKUP(B165,'Base stats'!B:B,'Base stats'!N:N)=1,"No",MAX(0.01,MIN(MROUND(IF(OR(_xlfn.XLOOKUP(B165,'Base stats'!B:B,'Base stats'!AK:AK)=1,AND(BJ165="True",CC165="False")),POWER(10,3.47*LOG10(_xlfn.XLOOKUP(B165,'Base stats'!B:B,'Base stats'!C:C)*1000)^-0.96),POWER(10,4.15*LOG10(_xlfn.XLOOKUP(B165,'Base stats'!B:B,'Base stats'!C:C)*1000)^-0.73))*IF(OR(_xlfn.XLOOKUP(B165,'Base stats'!B:B,'Base stats'!AK:AK)=1,_xlfn.XLOOKUP(B165,'Base stats'!B:B,'Base stats'!AI:AI)=1),0.5,1)/100,0.025),1)))</f>
        <v>0.05</v>
      </c>
      <c r="CA165" s="25" t="str">
        <f>IF(P165="Standard","No",MAX(0.01,IF(_xlfn.XLOOKUP(B165,'Base stats'!B:B,'Base stats'!N:N)=0,MROUND(BZ165*P165,0.05),MIN(1,MAX(0.025,MROUND(IF(OR(CC165="true",AND(BJ165="false",BO165="false")),POWER(10,4.15*LOG10(_xlfn.XLOOKUP(B165,'Base stats'!B:B,'Base stats'!C:C)*1000)^-0.73),POWER(10,3.47*LOG10(_xlfn.XLOOKUP(B165,'Base stats'!B:B,'Base stats'!C:C)*1000)^-0.96))*IF(_xlfn.XLOOKUP(B165,'Base stats'!B:B,'Base stats'!AI:AI)=1,0.5,1)/100,0.025))))))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6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1175</v>
      </c>
      <c r="C166" s="28" t="s">
        <v>1174</v>
      </c>
      <c r="D166" s="28" t="s">
        <v>1163</v>
      </c>
      <c r="E166" s="28" t="s">
        <v>685</v>
      </c>
      <c r="F166" s="28" t="s">
        <v>685</v>
      </c>
      <c r="G166" s="28" t="s">
        <v>685</v>
      </c>
      <c r="H166" s="2">
        <f>MROUND((
  (IF(AND(_xlfn.XLOOKUP(B166,'Base stats'!B:B,'Base stats'!AJ:AJ)=0,BI166="None",_xlfn.XLOOKUP(_xlfn.XLOOKUP(B166,'Base stats'!B:B,'Base stats'!E:E),Groups!A:A,Groups!B:B)=0), (18 + BR166 * 2.7) * 0.5,
    IF(AND(_xlfn.XLOOKUP(B166,'Base stats'!B:B,'Base stats'!AJ:AJ)=0,OR(AO166&lt;0.55,AND(BI166="Intermediate",_xlfn.XLOOKUP(_xlfn.XLOOKUP(B166,'Base stats'!B:B,'Base stats'!E:E),Groups!A:A,Groups!B:B)&lt;2))), (18 + BR166 * 2.7),
      IF(OR(BI166="Advanced",_xlfn.XLOOKUP(B166,'Base stats'!B:B,'Base stats'!AJ:AJ)=1,_xlfn.XLOOKUP(_xlfn.XLOOKUP(B166,'Base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IF(_xlfn.XLOOKUP(_xlfn.XLOOKUP(B166,'Base stats'!B:B,'Base stats'!E:E),Groups!A:A,Groups!C:C)="Untamable",1,IF(_xlfn.XLOOKUP(B166,'Base stats'!B:B,'Base stats'!AJ:AJ)=1,0.99,MIN(MROUND((1-0.6282*EXP(-0.459*AO166))*_xlfn.XLOOKUP(_xlfn.XLOOKUP(B166,'Base stats'!B:B,'Base stats'!E:E),Groups!A:A,Groups!C:C)*IF(_xlfn.XLOOKUP(B166,'Base stats'!B:B,'Base stats'!O:O)=1,0.5,IF(_xlfn.XLOOKUP(B166,'Base stats'!B:B,'Base stats'!O:O)=2,0,1)),0.05),0.985)))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IF(_xlfn.XLOOKUP(_xlfn.XLOOKUP(B166,'Base stats'!B:B,'Base stats'!E:E),Groups!A:A,Groups!L:L)=1,MIN(MROUND(_xlfn.XLOOKUP(B166,'Animals CE'!B:B,'Animals CE'!Z:Z)/2+0.05,0.05),200%),"No")</f>
        <v>No</v>
      </c>
      <c r="O166" s="8" t="str">
        <f>IF(_xlfn.XLOOKUP(_xlfn.XLOOKUP(B166,'Base stats'!B:B,'Base stats'!E:E),Groups!A:A,Groups!L:L)=1,MIN(MROUND(_xlfn.XLOOKUP(B166,'Animals CE'!B:B,'Animals CE'!AA:AA)/2+0.05,0.05),200%),"No")</f>
        <v>No</v>
      </c>
      <c r="P166" s="2" t="str">
        <f>_xlfn.XLOOKUP(B166,'Base stats'!B:B,'Base stats'!R:R)</f>
        <v>Standard</v>
      </c>
      <c r="Q166" s="13">
        <f>MROUND((LOG10(_xlfn.XLOOKUP(B166,'Base stats'!B:B,'Base stats'!AP:AP))*(AO166^0.5)+(_xlfn.XLOOKUP(B166,'Base stats'!B:B,'Base stats'!AP:AP)/1000)^(2/3)+_xlfn.XLOOKUP(B166,'Base stats'!B:B,'Base stats'!AY:AY)/2)+0.5,0.5)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stats'!AQ:AQ))*(AO166^0.5)+(_xlfn.XLOOKUP(B166,'Base stats'!B:B,'Base stats'!AQ:AQ)/1000)^(2/3)+_xlfn.XLOOKUP(B166,'Base stats'!B:B,'Base stats'!AY:AY))+_xlfn.XLOOKUP(B166,'Base stats'!B:B,'Base stats'!AW:AW)+0.5,0.5))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stats'!AS:AS))*(AO166^0.5)+(_xlfn.XLOOKUP(B166,'Base stats'!B:B,'Base stats'!AS:AS)/1000)^(2/3)+_xlfn.XLOOKUP(B166,'Base stats'!B:B,'Base stats'!AX:AX))+0.5+IF(_xlfn.XLOOKUP(_xlfn.XLOOKUP(B166,'Base stats'!B:B,'Base stats'!E:E),Groups!A:A,Groups!U:U)&lt;&gt;3,_xlfn.XLOOKUP(B166,'Base stats'!B:B,'Base stats'!AY:AY),0),0.5))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stats'!AR:AR)="No","No",MROUND((LOG10(_xlfn.XLOOKUP(B166,'Base stats'!B:B,'Base stats'!AR:AR))*(AO166^0.75)+(_xlfn.XLOOKUP(B166,'Base stats'!B:B,'Base stats'!AR:AR)/1000)^(2/3)+_xlfn.XLOOKUP(B166,'Base stats'!B:B,'Base stats'!AV:AV)+_xlfn.XLOOKUP(B166,'Base stats'!B:B,'Base stats'!AY:AY))+0.5,0.5))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stats'!AQ:AQ))*(AO166^0.75)+(_xlfn.XLOOKUP(B166,'Base stats'!B:B,'Base stats'!AQ:AQ)/1000)^(2/3)+_xlfn.XLOOKUP(B166,'Base stats'!B:B,'Base stats'!AW:AW)+_xlfn.XLOOKUP(B166,'Base stats'!B:B,'Base stats'!AY:AY))+0.5,0.5))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21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IFERROR(IF(_xlfn.XLOOKUP(B166,'Base stats'!B:B,'Base stats'!F:F)="Lay eggs","Lay eggs",MIN(20,MAX(5.5,ROUND(((_xlfn.XLOOKUP(B166,'Base stats'!B:B,'Base stats'!F:F)-25)*(14.5/615) + 5.5)*2,0)/2))),"Cannot breed")</f>
        <v>5.5</v>
      </c>
      <c r="AT166" s="8">
        <f>IF(OR(A166="Queen",A166="Larva",A166="Megachicken",A166="Megatardi",A166="Toxscorpion"),"No",IFERROR(MAX(IF(_xlfn.XLOOKUP(B166,'Base stats'!B:B,'Base stats'!G:G)&lt;0.5,0.2,0.3),MROUND(_xlfn.XLOOKUP(B166,'Base stats'!B:B,'Base stats'!G:G)/(365/60),0.2)),"Unknown"))</f>
        <v>0.4</v>
      </c>
      <c r="AU166" s="8">
        <f t="shared" si="14"/>
        <v>0.2</v>
      </c>
      <c r="AV166" s="8">
        <f>IFERROR(IFERROR(MROUND(_xlfn.XLOOKUP(B166,'Base stats'!B:B,'Base stats'!J:J),0.1),"Lay eggs"),"Cannot breed")</f>
        <v>5</v>
      </c>
      <c r="AW166" s="2" t="str">
        <f t="shared" si="22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_xlfn.XLOOKUP(B166,'Base stats'!B:B,'Base stats'!AF:AF)</f>
        <v>&lt;li&gt;Hare&lt;/li&gt;</v>
      </c>
      <c r="BB166" s="2" t="str">
        <f>_xlfn.XLOOKUP(B166,'Base stats'!B:B,'Base stats'!AE:AE)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stats'!Z:Z)=0),0,IF(OR(_xlfn.XLOOKUP(Animals!B166,'Base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stats'!AA:AA),0.005))</f>
        <v>0</v>
      </c>
      <c r="BE166" s="23">
        <f>MIN(1,MROUND(IF(AND(AO166&lt;0.5,_xlfn.XLOOKUP(B166,'Base stats'!B:B,'Base stats'!Z:Z)=0),0,IF(_xlfn.XLOOKUP(_xlfn.XLOOKUP(B166,'Base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stats'!AB:AB),0.005))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23"/>
        <v>0</v>
      </c>
      <c r="BM166" s="25" t="str">
        <f>IF(_xlfn.XLOOKUP(B166,'Base stats'!B:B,'Base stats'!AL:AL)="Standard","No",MROUND((_xlfn.XLOOKUP(B166,'Base stats'!B:B,'Base stats'!AL:AL)/3.6)/I166,0.1))</f>
        <v>No</v>
      </c>
      <c r="BN166" s="25" t="str">
        <f t="shared" si="24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stats'!AC:AC)&lt;&gt;"No",_xlfn.XLOOKUP(B166,'Base stats'!B:B,'Base stats'!AC:AC),"")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stats'!AC:AC)&lt;&gt;"No",_xlfn.XLOOKUP(B166,'Base stats'!B:B,'Base stats'!AC:AC),"")
  )
)</f>
        <v>Comfort</v>
      </c>
      <c r="BQ166" s="25" t="str">
        <f>IF(
   AND(
      'Base stats'!AL166="Standard",_xlfn.XLOOKUP(_xlfn.XLOOKUP(B166,'Base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stats'!AT:AT) * 1.8) * 2) * 2.5 + 10 + I166 * 2,5)+IF(_xlfn.XLOOKUP(B166,'Base stats'!B:B,'Base stats'!AI:AI)=1,50,0)</f>
        <v>40</v>
      </c>
      <c r="BS166" s="8">
        <f t="shared" si="25"/>
        <v>0.25</v>
      </c>
      <c r="BT166" s="8" t="str">
        <f>_xlfn.XLOOKUP(B166,'Base stats'!B:B,'Base stats'!AD:AD)</f>
        <v>3~8</v>
      </c>
      <c r="BU166" s="2" t="str">
        <f>IF(AND(J166&lt;=0.95,OR(_xlfn.XLOOKUP(B166,'Base stats'!B:B,'Base stats'!AI:AI)=1,_xlfn.XLOOKUP(B166,'Base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stats'!AG:AG)=1,"true","false")</f>
        <v>false</v>
      </c>
      <c r="BW166" s="25" t="str">
        <f>IF(E166="BaseInsect","AnimalInsect",
IF(J166&gt;0.95,"AnimalExotic",
_xlfn.TEXTJOIN(", ",TRUE,
IF(OR(_xlfn.XLOOKUP(B166,'Base stats'!B:B,'Base stats'!AK:AK)=1,AND(_xlfn.XLOOKUP(B166,'Base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stats'!AI:AI)=1,AND(BI166&lt;&gt;"None",BR166&gt;=60),ISNUMBER(SEARCH("Attack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stats'!AH:AH)=1,"true","false")</f>
        <v>false</v>
      </c>
      <c r="BZ166" s="25">
        <f>IF(_xlfn.XLOOKUP(B166,'Base stats'!B:B,'Base stats'!N:N)=1,"No",MAX(0.01,MIN(MROUND(IF(OR(_xlfn.XLOOKUP(B166,'Base stats'!B:B,'Base stats'!AK:AK)=1,AND(BJ166="True",CC166="False")),POWER(10,3.47*LOG10(_xlfn.XLOOKUP(B166,'Base stats'!B:B,'Base stats'!C:C)*1000)^-0.96),POWER(10,4.15*LOG10(_xlfn.XLOOKUP(B166,'Base stats'!B:B,'Base stats'!C:C)*1000)^-0.73))*IF(OR(_xlfn.XLOOKUP(B166,'Base stats'!B:B,'Base stats'!AK:AK)=1,_xlfn.XLOOKUP(B166,'Base stats'!B:B,'Base stats'!AI:AI)=1),0.5,1)/100,0.025),1)))</f>
        <v>0.05</v>
      </c>
      <c r="CA166" s="25" t="str">
        <f>IF(P166="Standard","No",MAX(0.01,IF(_xlfn.XLOOKUP(B166,'Base stats'!B:B,'Base stats'!N:N)=0,MROUND(BZ166*P166,0.05),MIN(1,MAX(0.025,MROUND(IF(OR(CC166="true",AND(BJ166="false",BO166="false")),POWER(10,4.15*LOG10(_xlfn.XLOOKUP(B166,'Base stats'!B:B,'Base stats'!C:C)*1000)^-0.73),POWER(10,3.47*LOG10(_xlfn.XLOOKUP(B166,'Base stats'!B:B,'Base stats'!C:C)*1000)^-0.96))*IF(_xlfn.XLOOKUP(B166,'Base stats'!B:B,'Base stats'!AI:AI)=1,0.5,1)/100,0.025))))))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6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1213</v>
      </c>
      <c r="C167" s="28" t="s">
        <v>1215</v>
      </c>
      <c r="D167" s="28" t="s">
        <v>1216</v>
      </c>
      <c r="E167" s="28" t="s">
        <v>1218</v>
      </c>
      <c r="F167" s="28" t="s">
        <v>1219</v>
      </c>
      <c r="G167" s="28" t="s">
        <v>685</v>
      </c>
      <c r="H167" s="2">
        <f>MROUND((
  (IF(AND(_xlfn.XLOOKUP(B167,'Base stats'!B:B,'Base stats'!AJ:AJ)=0,BI167="None",_xlfn.XLOOKUP(_xlfn.XLOOKUP(B167,'Base stats'!B:B,'Base stats'!E:E),Groups!A:A,Groups!B:B)=0), (18 + BR167 * 2.7) * 0.5,
    IF(AND(_xlfn.XLOOKUP(B167,'Base stats'!B:B,'Base stats'!AJ:AJ)=0,OR(AO167&lt;0.55,AND(BI167="Intermediate",_xlfn.XLOOKUP(_xlfn.XLOOKUP(B167,'Base stats'!B:B,'Base stats'!E:E),Groups!A:A,Groups!B:B)&lt;2))), (18 + BR167 * 2.7),
      IF(OR(BI167="Advanced",_xlfn.XLOOKUP(B167,'Base stats'!B:B,'Base stats'!AJ:AJ)=1,_xlfn.XLOOKUP(_xlfn.XLOOKUP(B167,'Base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9700</v>
      </c>
      <c r="I167" s="2">
        <f>MROUND(ROUNDDOWN(_xlfn.XLOOKUP(B167,'Base stats'!B:B,'Base stats'!L:L)/3.6/(23.3/11),1),0.5)</f>
        <v>14</v>
      </c>
      <c r="J167" s="2">
        <f>IF(_xlfn.XLOOKUP(_xlfn.XLOOKUP(B167,'Base stats'!B:B,'Base stats'!E:E),Groups!A:A,Groups!C:C)="Untamable",1,IF(_xlfn.XLOOKUP(B167,'Base stats'!B:B,'Base stats'!AJ:AJ)=1,0.99,MIN(MROUND((1-0.6282*EXP(-0.459*AO167))*_xlfn.XLOOKUP(_xlfn.XLOOKUP(B167,'Base stats'!B:B,'Base stats'!E:E),Groups!A:A,Groups!C:C)*IF(_xlfn.XLOOKUP(B167,'Base stats'!B:B,'Base stats'!O:O)=1,0.5,IF(_xlfn.XLOOKUP(B167,'Base stats'!B:B,'Base stats'!O:O)=2,0,1)),0.05),0.985)))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IF(_xlfn.XLOOKUP(_xlfn.XLOOKUP(B167,'Base stats'!B:B,'Base stats'!E:E),Groups!A:A,Groups!L:L)=1,MIN(MROUND(_xlfn.XLOOKUP(B167,'Animals CE'!B:B,'Animals CE'!Z:Z)/2+0.05,0.05),200%),"No")</f>
        <v>2</v>
      </c>
      <c r="O167" s="8">
        <f>IF(_xlfn.XLOOKUP(_xlfn.XLOOKUP(B167,'Base stats'!B:B,'Base stats'!E:E),Groups!A:A,Groups!L:L)=1,MIN(MROUND(_xlfn.XLOOKUP(B167,'Animals CE'!B:B,'Animals CE'!AA:AA)/2+0.05,0.05),200%),"No")</f>
        <v>2</v>
      </c>
      <c r="P167" s="2">
        <f>_xlfn.XLOOKUP(B167,'Base stats'!B:B,'Base stats'!R:R)</f>
        <v>1</v>
      </c>
      <c r="Q167" s="13">
        <f>MROUND((LOG10(_xlfn.XLOOKUP(B167,'Base stats'!B:B,'Base stats'!AP:AP))*(AO167^0.5)+(_xlfn.XLOOKUP(B167,'Base stats'!B:B,'Base stats'!AP:AP)/1000)^(2/3)+_xlfn.XLOOKUP(B167,'Base stats'!B:B,'Base stats'!AY:AY)/2)+0.5,0.5)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stats'!AQ:AQ))*(AO167^0.5)+(_xlfn.XLOOKUP(B167,'Base stats'!B:B,'Base stats'!AQ:AQ)/1000)^(2/3)+_xlfn.XLOOKUP(B167,'Base stats'!B:B,'Base stats'!AY:AY))+_xlfn.XLOOKUP(B167,'Base stats'!B:B,'Base stats'!AW:AW)+0.5,0.5))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stats'!AS:AS))*(AO167^0.5)+(_xlfn.XLOOKUP(B167,'Base stats'!B:B,'Base stats'!AS:AS)/1000)^(2/3)+_xlfn.XLOOKUP(B167,'Base stats'!B:B,'Base stats'!AX:AX))+0.5+IF(_xlfn.XLOOKUP(_xlfn.XLOOKUP(B167,'Base stats'!B:B,'Base stats'!E:E),Groups!A:A,Groups!U:U)&lt;&gt;3,_xlfn.XLOOKUP(B167,'Base stats'!B:B,'Base stats'!AY:AY),0),0.5))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stats'!AR:AR)="No","No",MROUND((LOG10(_xlfn.XLOOKUP(B167,'Base stats'!B:B,'Base stats'!AR:AR))*(AO167^0.75)+(_xlfn.XLOOKUP(B167,'Base stats'!B:B,'Base stats'!AR:AR)/1000)^(2/3)+_xlfn.XLOOKUP(B167,'Base stats'!B:B,'Base stats'!AV:AV)+_xlfn.XLOOKUP(B167,'Base stats'!B:B,'Base stats'!AY:AY))+0.5,0.5))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stats'!AQ:AQ))*(AO167^0.75)+(_xlfn.XLOOKUP(B167,'Base stats'!B:B,'Base stats'!AQ:AQ)/1000)^(2/3)+_xlfn.XLOOKUP(B167,'Base stats'!B:B,'Base stats'!AW:AW)+_xlfn.XLOOKUP(B167,'Base stats'!B:B,'Base stats'!AY:AY))+0.5,0.5))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FrontRightPaw,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ref="AN167" si="27">IF(BJ167="false","No",MROUND(AO167*5+15*1,5))</f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IFERROR(IF(_xlfn.XLOOKUP(B167,'Base stats'!B:B,'Base stats'!F:F)="Lay eggs","Lay eggs",MIN(20,MAX(5.5,ROUND(((_xlfn.XLOOKUP(B167,'Base stats'!B:B,'Base stats'!F:F)-25)*(14.5/615) + 5.5)*2,0)/2))),"Cannot breed")</f>
        <v>Lay eggs</v>
      </c>
      <c r="AT167" s="8">
        <f>IF(OR(A167="Queen",A167="Larva",A167="Megachicken",A167="Megatardi",A167="Toxscorpion"),"No",IFERROR(MAX(IF(_xlfn.XLOOKUP(B167,'Base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4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ref="AW167" si="28">IF(BT167="No","false","true")</f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_xlfn.XLOOKUP(B167,'Base stats'!B:B,'Base stats'!AF:AF)</f>
        <v>No</v>
      </c>
      <c r="BB167" s="2" t="str">
        <f>_xlfn.XLOOKUP(B167,'Base stats'!B:B,'Base stats'!AE:AE)</f>
        <v>Leather_PhotonozoaM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stats'!Z:Z)=0),0,IF(OR(_xlfn.XLOOKUP(Animals!B167,'Base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stats'!AA:AA),0.005))</f>
        <v>1</v>
      </c>
      <c r="BE167" s="23">
        <f>MIN(1,MROUND(IF(AND(AO167&lt;0.5,_xlfn.XLOOKUP(B167,'Base stats'!B:B,'Base stats'!Z:Z)=0),0,IF(_xlfn.XLOOKUP(_xlfn.XLOOKUP(B167,'Base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stats'!AB:AB),0.005))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Intermediate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ref="BL167" si="29">IF(BI167&lt;&gt;"None",1,0)</f>
        <v>1</v>
      </c>
      <c r="BM167" s="25" t="str">
        <f>IF(_xlfn.XLOOKUP(B167,'Base stats'!B:B,'Base stats'!AL:AL)="Standard","No",MROUND((_xlfn.XLOOKUP(B167,'Base stats'!B:B,'Base stats'!AL:AL)/3.6)/I167,0.1))</f>
        <v>No</v>
      </c>
      <c r="BN167" s="25" t="str">
        <f t="shared" ref="BN167" si="30">IF(OR(BM167&lt;&gt;"No",BQ167=1),"true","false")</f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stats'!AC:AC)&lt;&gt;"No",_xlfn.XLOOKUP(B167,'Base stats'!B:B,'Base stats'!AC:AC),"")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stats'!AC:AC)&lt;&gt;"No",_xlfn.XLOOKUP(B167,'Base stats'!B:B,'Base stats'!AC:AC),"")
  )
)</f>
        <v>AttackTarget</v>
      </c>
      <c r="BQ167" s="25">
        <f>IF(
   AND(
      'Base stats'!AL167="Standard",_xlfn.XLOOKUP(_xlfn.XLOOKUP(B167,'Base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stats'!AT:AT) * 1.8) * 2) * 2.5 + 10 + I167 * 2,5)+IF(_xlfn.XLOOKUP(B167,'Base stats'!B:B,'Base stats'!AI:AI)=1,50,0)</f>
        <v>3710</v>
      </c>
      <c r="BS167" s="8">
        <f t="shared" ref="BS167" si="31">MROUND(AO167 * 0.2 + AQ167 * 0.8,0.05)</f>
        <v>3.6500000000000004</v>
      </c>
      <c r="BT167" s="8" t="str">
        <f>_xlfn.XLOOKUP(B167,'Base stats'!B:B,'Base stats'!AD:AD)</f>
        <v>No</v>
      </c>
      <c r="BU167" s="2" t="str">
        <f>IF(AND(J167&lt;=0.95,OR(_xlfn.XLOOKUP(B167,'Base stats'!B:B,'Base stats'!AI:AI)=1,_xlfn.XLOOKUP(B167,'Base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stats'!AG:AG)=1,"true","false")</f>
        <v>false</v>
      </c>
      <c r="BW167" s="25" t="str">
        <f>IF(E167="BaseInsect","AnimalInsect",
IF(J167&gt;0.95,"AnimalExotic",
_xlfn.TEXTJOIN(", ",TRUE,
IF(OR(_xlfn.XLOOKUP(B167,'Base stats'!B:B,'Base stats'!AK:AK)=1,AND(_xlfn.XLOOKUP(B167,'Base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stats'!AI:AI)=1,AND(BI167&lt;&gt;"None",BR167&gt;=60),ISNUMBER(SEARCH("Attack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stats'!AH:AH)=1,"true","false")</f>
        <v>false</v>
      </c>
      <c r="BZ167" s="25">
        <f>IF(_xlfn.XLOOKUP(B167,'Base stats'!B:B,'Base stats'!N:N)=1,"No",MAX(0.01,MIN(MROUND(IF(OR(_xlfn.XLOOKUP(B167,'Base stats'!B:B,'Base stats'!AK:AK)=1,AND(BJ167="True",CC167="False")),POWER(10,3.47*LOG10(_xlfn.XLOOKUP(B167,'Base stats'!B:B,'Base stats'!C:C)*1000)^-0.96),POWER(10,4.15*LOG10(_xlfn.XLOOKUP(B167,'Base stats'!B:B,'Base stats'!C:C)*1000)^-0.73))*IF(OR(_xlfn.XLOOKUP(B167,'Base stats'!B:B,'Base stats'!AK:AK)=1,_xlfn.XLOOKUP(B167,'Base stats'!B:B,'Base stats'!AI:AI)=1),0.5,1)/100,0.025),1)))</f>
        <v>2.5000000000000001E-2</v>
      </c>
      <c r="CA167" s="25">
        <f>IF(P167="Standard","No",MAX(0.01,IF(_xlfn.XLOOKUP(B167,'Base stats'!B:B,'Base stats'!N:N)=0,MROUND(BZ167*P167,0.05),MIN(1,MAX(0.025,MROUND(IF(OR(CC167="true",AND(BJ167="false",BO167="false")),POWER(10,4.15*LOG10(_xlfn.XLOOKUP(B167,'Base stats'!B:B,'Base stats'!C:C)*1000)^-0.73),POWER(10,3.47*LOG10(_xlfn.XLOOKUP(B167,'Base stats'!B:B,'Base stats'!C:C)*1000)^-0.96))*IF(_xlfn.XLOOKUP(B167,'Base stats'!B:B,'Base stats'!AI:AI)=1,0.5,1)/100,0.025))))))</f>
        <v>0.05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ref="CD167" si="32">IF(J167&gt;0.95,"True","False")</f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ht="16.5" thickTop="1" thickBot="1" x14ac:dyDescent="0.3">
      <c r="A168" s="26" t="str">
        <f>_xlfn.XLOOKUP(B168,'Base stats'!B:B,'Base stats'!A:A)</f>
        <v>Asciotaurus</v>
      </c>
      <c r="B168" s="6" t="s">
        <v>1236</v>
      </c>
      <c r="C168" s="28" t="s">
        <v>1237</v>
      </c>
      <c r="D168" s="28" t="s">
        <v>1216</v>
      </c>
      <c r="E168" s="28" t="s">
        <v>1218</v>
      </c>
      <c r="F168" s="28" t="s">
        <v>1219</v>
      </c>
      <c r="G168" s="28" t="s">
        <v>685</v>
      </c>
      <c r="H168" s="2">
        <f>MROUND((
  (IF(AND(_xlfn.XLOOKUP(B168,'Base stats'!B:B,'Base stats'!AJ:AJ)=0,BI168="None",_xlfn.XLOOKUP(_xlfn.XLOOKUP(B168,'Base stats'!B:B,'Base stats'!E:E),Groups!A:A,Groups!B:B)=0), (18 + BR168 * 2.7) * 0.5,
    IF(AND(_xlfn.XLOOKUP(B168,'Base stats'!B:B,'Base stats'!AJ:AJ)=0,OR(AO168&lt;0.55,AND(BI168="Intermediate",_xlfn.XLOOKUP(_xlfn.XLOOKUP(B168,'Base stats'!B:B,'Base stats'!E:E),Groups!A:A,Groups!B:B)&lt;2))), (18 + BR168 * 2.7),
      IF(OR(BI168="Advanced",_xlfn.XLOOKUP(B168,'Base stats'!B:B,'Base stats'!AJ:AJ)=1,_xlfn.XLOOKUP(_xlfn.XLOOKUP(B168,'Base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2775</v>
      </c>
      <c r="I168" s="2">
        <f>MROUND(ROUNDDOWN(_xlfn.XLOOKUP(B168,'Base stats'!B:B,'Base stats'!L:L)/3.6/(23.3/11),1),0.5)</f>
        <v>10.5</v>
      </c>
      <c r="J168" s="2">
        <f>IF(_xlfn.XLOOKUP(_xlfn.XLOOKUP(B168,'Base stats'!B:B,'Base stats'!E:E),Groups!A:A,Groups!C:C)="Untamable",1,IF(_xlfn.XLOOKUP(B168,'Base stats'!B:B,'Base stats'!AJ:AJ)=1,0.99,MIN(MROUND((1-0.6282*EXP(-0.459*AO168))*_xlfn.XLOOKUP(_xlfn.XLOOKUP(B168,'Base stats'!B:B,'Base stats'!E:E),Groups!A:A,Groups!C:C)*IF(_xlfn.XLOOKUP(B168,'Base stats'!B:B,'Base stats'!O:O)=1,0.5,IF(_xlfn.XLOOKUP(B168,'Base stats'!B:B,'Base stats'!O:O)=2,0,1)),0.05),0.985)))</f>
        <v>1</v>
      </c>
      <c r="K168" s="2">
        <f>ROUNDUP(AO168*_xlfn.XLOOKUP(_xlfn.XLOOKUP(B168,'Base stats'!B:B,'Base stats'!E:E),Groups!A:A,Groups!E:E),0)</f>
        <v>25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-175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IF(_xlfn.XLOOKUP(_xlfn.XLOOKUP(B168,'Base stats'!B:B,'Base stats'!E:E),Groups!A:A,Groups!L:L)=1,MIN(MROUND(_xlfn.XLOOKUP(B168,'Animals CE'!B:B,'Animals CE'!Z:Z)/2+0.05,0.05),200%),"No")</f>
        <v>2</v>
      </c>
      <c r="O168" s="8">
        <f>IF(_xlfn.XLOOKUP(_xlfn.XLOOKUP(B168,'Base stats'!B:B,'Base stats'!E:E),Groups!A:A,Groups!L:L)=1,MIN(MROUND(_xlfn.XLOOKUP(B168,'Animals CE'!B:B,'Animals CE'!AA:AA)/2+0.05,0.05),200%),"No")</f>
        <v>2</v>
      </c>
      <c r="P168" s="2">
        <f>_xlfn.XLOOKUP(B168,'Base stats'!B:B,'Base stats'!R:R)</f>
        <v>1</v>
      </c>
      <c r="Q168" s="13">
        <f>MROUND((LOG10(_xlfn.XLOOKUP(B168,'Base stats'!B:B,'Base stats'!AP:AP))*(AO168^0.5)+(_xlfn.XLOOKUP(B168,'Base stats'!B:B,'Base stats'!AP:AP)/1000)^(2/3)+_xlfn.XLOOKUP(B168,'Base stats'!B:B,'Base stats'!AY:AY)/2)+0.5,0.5)</f>
        <v>37</v>
      </c>
      <c r="R168" s="7">
        <f>IF(Q168="No","No",MAX(1,MROUND(_xlfn.XLOOKUP(B168,'Base stats'!B:B,'Base stats'!C:C)^0.165,0.05)))</f>
        <v>4.1000000000000005</v>
      </c>
      <c r="S168" s="13">
        <f>IF(_xlfn.XLOOKUP(_xlfn.XLOOKUP(B168,'Base stats'!B:B,'Base stats'!E:E),Groups!A:A,Groups!P:P)=0,"No",MROUND((LOG10(_xlfn.XLOOKUP(B168,'Base stats'!B:B,'Base stats'!AQ:AQ))*(AO168^0.5)+(_xlfn.XLOOKUP(B168,'Base stats'!B:B,'Base stats'!AQ:AQ)/1000)^(2/3)+_xlfn.XLOOKUP(B168,'Base stats'!B:B,'Base stats'!AY:AY))+_xlfn.XLOOKUP(B168,'Base stats'!B:B,'Base stats'!AW:AW)+0.5,0.5))</f>
        <v>43.5</v>
      </c>
      <c r="T168" s="7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3.25</v>
      </c>
      <c r="U168" s="7" t="str">
        <f>IF(S168="No","No",_xlfn.XLOOKUP(_xlfn.XLOOKUP(B168,'Base stats'!B:B,'Base stats'!E:E),Groups!A:A,Groups!R:R))</f>
        <v>FrontLeftLeg, FrontRightLeg</v>
      </c>
      <c r="V168" s="7" t="str">
        <f>IF(S168="No","No",_xlfn.XLOOKUP(_xlfn.XLOOKUP(B168,'Base stats'!B:B,'Base stats'!E:E),Groups!A:A,Groups!S:S))</f>
        <v>left hoof, right hoof</v>
      </c>
      <c r="W168" s="7" t="str">
        <f>IF(S168="No","No",_xlfn.XLOOKUP(_xlfn.XLOOKUP(B168,'Base stats'!B:B,'Base stats'!E:E),Groups!A:A,Groups!T:T))</f>
        <v>Blunt</v>
      </c>
      <c r="X168" s="13">
        <f>IF(_xlfn.XLOOKUP(B168,'Base stats'!B:B,'Base stats'!W:W)="No","No",MROUND((LOG10(_xlfn.XLOOKUP(B168,'Base stats'!B:B,'Base stats'!AS:AS))*(AO168^0.5)+(_xlfn.XLOOKUP(B168,'Base stats'!B:B,'Base stats'!AS:AS)/1000)^(2/3)+_xlfn.XLOOKUP(B168,'Base stats'!B:B,'Base stats'!AX:AX))+0.5+IF(_xlfn.XLOOKUP(_xlfn.XLOOKUP(B168,'Base stats'!B:B,'Base stats'!E:E),Groups!A:A,Groups!U:U)&lt;&gt;3,_xlfn.XLOOKUP(B168,'Base stats'!B:B,'Base stats'!AY:AY),0),0.5))</f>
        <v>50.5</v>
      </c>
      <c r="Y168" s="7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2.85</v>
      </c>
      <c r="Z168" s="7" t="str">
        <f>IF(X168="No","No",_xlfn.XLOOKUP(_xlfn.XLOOKUP(B168,'Base stats'!B:B,'Base stats'!E:E),Groups!A:A,Groups!W:W))</f>
        <v>HeadAttackTool</v>
      </c>
      <c r="AA168" s="7" t="str">
        <f>IF(X168="No","No",_xlfn.XLOOKUP(_xlfn.XLOOKUP(B168,'Base stats'!B:B,'Base stats'!E:E),Groups!A:A,Groups!X:X))</f>
        <v>horn</v>
      </c>
      <c r="AB168" s="7" t="str">
        <f>IF(X168="No","No",_xlfn.XLOOKUP(_xlfn.XLOOKUP(B168,'Base stats'!B:B,'Base stats'!E:E),Groups!A:A,Groups!Y:Y))</f>
        <v>Scratch</v>
      </c>
      <c r="AC168" s="7" t="str">
        <f>_xlfn.XLOOKUP(Animals!B168,'Base stats'!B:B,'Base stats'!X:X)</f>
        <v>False</v>
      </c>
      <c r="AD168" s="13" t="str">
        <f>IF(_xlfn.XLOOKUP(B168,'Base stats'!B:B,'Base stats'!AR:AR)="No","No",MROUND((LOG10(_xlfn.XLOOKUP(B168,'Base stats'!B:B,'Base stats'!AR:AR))*(AO168^0.75)+(_xlfn.XLOOKUP(B168,'Base stats'!B:B,'Base stats'!AR:AR)/1000)^(2/3)+_xlfn.XLOOKUP(B168,'Base stats'!B:B,'Base stats'!AV:AV)+_xlfn.XLOOKUP(B168,'Base stats'!B:B,'Base stats'!AY:AY))+0.5,0.5))</f>
        <v>No</v>
      </c>
      <c r="AE168" s="7" t="str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No</v>
      </c>
      <c r="AF168" s="7" t="str">
        <f>IF(AD168="No","No",_xlfn.XLOOKUP(_xlfn.XLOOKUP(B168,'Base stats'!B:B,'Base stats'!E:E),Groups!A:A,Groups!AA:AA))</f>
        <v>No</v>
      </c>
      <c r="AG168" s="7" t="str">
        <f>IF(AD168="No","No",_xlfn.XLOOKUP(_xlfn.XLOOKUP(B168,'Base stats'!B:B,'Base stats'!E:E),Groups!A:A,Groups!AB:AB))</f>
        <v>No</v>
      </c>
      <c r="AH168" s="7" t="str">
        <f>IF(AD168="No","No",_xlfn.XLOOKUP(_xlfn.XLOOKUP(B168,'Base stats'!B:B,'Base stats'!E:E),Groups!A:A,Groups!AC:AC))</f>
        <v>No</v>
      </c>
      <c r="AI168" s="13" t="str">
        <f>IF(_xlfn.XLOOKUP(_xlfn.XLOOKUP(B168,'Base stats'!B:B,'Base stats'!E:E),Groups!A:A,Groups!AD:AD)=0,"No",MROUND((LOG10(_xlfn.XLOOKUP(B168,'Base stats'!B:B,'Base stats'!AQ:AQ))*(AO168^0.75)+(_xlfn.XLOOKUP(B168,'Base stats'!B:B,'Base stats'!AQ:AQ)/1000)^(2/3)+_xlfn.XLOOKUP(B168,'Base stats'!B:B,'Base stats'!AW:AW)+_xlfn.XLOOKUP(B168,'Base stats'!B:B,'Base stats'!AY:AY))+0.5,0.5))</f>
        <v>No</v>
      </c>
      <c r="AJ168" s="7" t="str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No</v>
      </c>
      <c r="AK168" s="7" t="str">
        <f>IF(AI168="No","No",_xlfn.XLOOKUP(_xlfn.XLOOKUP(B168,'Base stats'!B:B,'Base stats'!E:E),Groups!A:A,Groups!AF:AF))</f>
        <v>No</v>
      </c>
      <c r="AL168" s="7" t="str">
        <f>IF(AI168="No","No",_xlfn.XLOOKUP(_xlfn.XLOOKUP(B168,'Base stats'!B:B,'Base stats'!E:E),Groups!A:A,Groups!AG:AG))</f>
        <v>No</v>
      </c>
      <c r="AM168" s="7" t="str">
        <f>IF(AI168="No","No",_xlfn.XLOOKUP(_xlfn.XLOOKUP(B168,'Base stats'!B:B,'Base stats'!E:E),Groups!A:A,Groups!AH:AH))</f>
        <v>No</v>
      </c>
      <c r="AN168" s="2" t="str">
        <f t="shared" ref="AN168:AN170" si="33">IF(BJ168="false","No",MROUND(AO168*5+15*1,5))</f>
        <v>No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5</v>
      </c>
      <c r="AP168" s="8">
        <f>MROUND(AO168*_xlfn.XLOOKUP(_xlfn.XLOOKUP(B168,'Base stats'!B:B,'Base stats'!E:E),Groups!A:A,Groups!AI:AI),0.05)</f>
        <v>5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2.7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IFERROR(IF(_xlfn.XLOOKUP(B168,'Base stats'!B:B,'Base stats'!F:F)="Lay eggs","Lay eggs",MIN(20,MAX(5.5,ROUND(((_xlfn.XLOOKUP(B168,'Base stats'!B:B,'Base stats'!F:F)-25)*(14.5/615) + 5.5)*2,0)/2))),"Cannot breed")</f>
        <v>Lay eggs</v>
      </c>
      <c r="AT168" s="8">
        <f>IF(OR(A168="Queen",A168="Larva",A168="Megachicken",A168="Megatardi",A168="Toxscorpion"),"No",IFERROR(MAX(IF(_xlfn.XLOOKUP(B168,'Base stats'!B:B,'Base stats'!G:G)&lt;0.5,0.2,0.3),MROUND(_xlfn.XLOOKUP(B168,'Base stats'!B:B,'Base stats'!G:G)/(365/60),0.2)),"Unknown"))</f>
        <v>1.6</v>
      </c>
      <c r="AU168" s="8">
        <f t="shared" si="14"/>
        <v>0.8</v>
      </c>
      <c r="AV168" s="8" t="str">
        <f>IFERROR(IFERROR(MROUND(_xlfn.XLOOKUP(B168,'Base stats'!B:B,'Base stats'!J:J),0.1),"Lay eggs"),"Cannot breed")</f>
        <v>Lay eggs</v>
      </c>
      <c r="AW168" s="2" t="str">
        <f t="shared" ref="AW168:AW170" si="34">IF(BT168="No","false","true")</f>
        <v>true</v>
      </c>
      <c r="AX168" s="2" t="str">
        <f>IF(_xlfn.XLOOKUP(_xlfn.XLOOKUP(Animals!B168,'Base stats'!B:B,'Base stats'!E:E),Groups!A:A,Groups!AK:AK)=1,"true","false")</f>
        <v>false</v>
      </c>
      <c r="AY168" s="25" t="str">
        <f>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</f>
        <v>OmnivoreRoughAnimal,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_xlfn.XLOOKUP(B168,'Base stats'!B:B,'Base stats'!AF:AF)</f>
        <v>No</v>
      </c>
      <c r="BB168" s="2" t="str">
        <f>_xlfn.XLOOKUP(B168,'Base stats'!B:B,'Base stats'!AE:AE)</f>
        <v>Leather_PhotonozoaM</v>
      </c>
      <c r="BC168" s="23" t="str">
        <f>_xlfn.XLOOKUP(_xlfn.XLOOKUP(B168,'Base stats'!B:B,'Base stats'!E:E),Groups!A:A,Groups!AL:AL)</f>
        <v>Xenobovid</v>
      </c>
      <c r="BD168" s="23">
        <f>MIN(1,MROUND(IF(AND(AO168&lt;0.5,_xlfn.XLOOKUP(B168,'Base stats'!B:B,'Base stats'!Z:Z)=0),0,IF(OR(_xlfn.XLOOKUP(Animals!B168,'Base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stats'!AA:AA),0.005))</f>
        <v>0.1</v>
      </c>
      <c r="BE168" s="23">
        <f>MIN(1,MROUND(IF(AND(AO168&lt;0.5,_xlfn.XLOOKUP(B168,'Base stats'!B:B,'Base stats'!Z:Z)=0),0,IF(_xlfn.XLOOKUP(_xlfn.XLOOKUP(B168,'Base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stats'!AB:AB),0.005))</f>
        <v>0.3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None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false</v>
      </c>
      <c r="BK168" s="2" t="str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No</v>
      </c>
      <c r="BL168" s="2">
        <f t="shared" ref="BL168:BL170" si="35">IF(BI168&lt;&gt;"None",1,0)</f>
        <v>0</v>
      </c>
      <c r="BM168" s="25" t="str">
        <f>IF(_xlfn.XLOOKUP(B168,'Base stats'!B:B,'Base stats'!AL:AL)="Standard","No",MROUND((_xlfn.XLOOKUP(B168,'Base stats'!B:B,'Base stats'!AL:AL)/3.6)/I168,0.1))</f>
        <v>No</v>
      </c>
      <c r="BN168" s="25" t="str">
        <f t="shared" ref="BN168:BN170" si="36">IF(OR(BM168&lt;&gt;"No",BQ168=1),"true","false")</f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false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stats'!AC:AC)&lt;&gt;"No",_xlfn.XLOOKUP(B168,'Base stats'!B:B,'Base stats'!AC:AC),"")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stats'!AC:AC)&lt;&gt;"No",_xlfn.XLOOKUP(B168,'Base stats'!B:B,'Base stats'!AC:AC),"")
  )
)</f>
        <v>No</v>
      </c>
      <c r="BQ168" s="25" t="str">
        <f>IF(
   AND(
      'Base stats'!AL168="Standard",_xlfn.XLOOKUP(_xlfn.XLOOKUP(B168,'Base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No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stats'!AT:AT) * 1.8) * 2) * 2.5 + 10 + I168 * 2,5)+IF(_xlfn.XLOOKUP(B168,'Base stats'!B:B,'Base stats'!AI:AI)=1,50,0)</f>
        <v>895</v>
      </c>
      <c r="BS168" s="8">
        <f t="shared" ref="BS168:BS170" si="37">MROUND(AO168 * 0.2 + AQ168 * 0.8,0.05)</f>
        <v>3.1500000000000004</v>
      </c>
      <c r="BT168" s="8" t="str">
        <f>_xlfn.XLOOKUP(B168,'Base stats'!B:B,'Base stats'!AD:AD)</f>
        <v>3~10</v>
      </c>
      <c r="BU168" s="2" t="str">
        <f>IF(AND(J168&lt;=0.95,OR(_xlfn.XLOOKUP(B168,'Base stats'!B:B,'Base stats'!AI:AI)=1,_xlfn.XLOOKUP(B168,'Base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stats'!AG:AG)=1,"true","false")</f>
        <v>false</v>
      </c>
      <c r="BW168" s="25" t="str">
        <f>IF(E168="BaseInsect","AnimalInsect",
IF(J168&gt;0.95,"AnimalExotic",
_xlfn.TEXTJOIN(", ",TRUE,
IF(OR(_xlfn.XLOOKUP(B168,'Base stats'!B:B,'Base stats'!AK:AK)=1,AND(_xlfn.XLOOKUP(B168,'Base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stats'!AI:AI)=1,AND(BI168&lt;&gt;"None",BR168&gt;=60),ISNUMBER(SEARCH("Attack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stats'!AH:AH)=1,"true","false")</f>
        <v>false</v>
      </c>
      <c r="BZ168" s="25">
        <f>IF(_xlfn.XLOOKUP(B168,'Base stats'!B:B,'Base stats'!N:N)=1,"No",MAX(0.01,MIN(MROUND(IF(OR(_xlfn.XLOOKUP(B168,'Base stats'!B:B,'Base stats'!AK:AK)=1,AND(BJ168="True",CC168="False")),POWER(10,3.47*LOG10(_xlfn.XLOOKUP(B168,'Base stats'!B:B,'Base stats'!C:C)*1000)^-0.96),POWER(10,4.15*LOG10(_xlfn.XLOOKUP(B168,'Base stats'!B:B,'Base stats'!C:C)*1000)^-0.73))*IF(OR(_xlfn.XLOOKUP(B168,'Base stats'!B:B,'Base stats'!AK:AK)=1,_xlfn.XLOOKUP(B168,'Base stats'!B:B,'Base stats'!AI:AI)=1),0.5,1)/100,0.025),1)))</f>
        <v>0.1</v>
      </c>
      <c r="CA168" s="25">
        <f>IF(P168="Standard","No",MAX(0.01,IF(_xlfn.XLOOKUP(B168,'Base stats'!B:B,'Base stats'!N:N)=0,MROUND(BZ168*P168,0.05),MIN(1,MAX(0.025,MROUND(IF(OR(CC168="true",AND(BJ168="false",BO168="false")),POWER(10,4.15*LOG10(_xlfn.XLOOKUP(B168,'Base stats'!B:B,'Base stats'!C:C)*1000)^-0.73),POWER(10,3.47*LOG10(_xlfn.XLOOKUP(B168,'Base stats'!B:B,'Base stats'!C:C)*1000)^-0.96))*IF(_xlfn.XLOOKUP(B168,'Base stats'!B:B,'Base stats'!AI:AI)=1,0.5,1)/100,0.025))))))</f>
        <v>0.1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ref="CD168:CD170" si="38">IF(J168&gt;0.95,"True","False")</f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Arthropython</v>
      </c>
      <c r="B169" s="6" t="s">
        <v>1221</v>
      </c>
      <c r="C169" s="28" t="s">
        <v>1224</v>
      </c>
      <c r="D169" s="28" t="s">
        <v>1216</v>
      </c>
      <c r="E169" s="28" t="s">
        <v>1218</v>
      </c>
      <c r="F169" s="28" t="s">
        <v>1219</v>
      </c>
      <c r="G169" s="28" t="s">
        <v>685</v>
      </c>
      <c r="H169" s="2">
        <f>MROUND((
  (IF(AND(_xlfn.XLOOKUP(B169,'Base stats'!B:B,'Base stats'!AJ:AJ)=0,BI169="None",_xlfn.XLOOKUP(_xlfn.XLOOKUP(B169,'Base stats'!B:B,'Base stats'!E:E),Groups!A:A,Groups!B:B)=0), (18 + BR169 * 2.7) * 0.5,
    IF(AND(_xlfn.XLOOKUP(B169,'Base stats'!B:B,'Base stats'!AJ:AJ)=0,OR(AO169&lt;0.55,AND(BI169="Intermediate",_xlfn.XLOOKUP(_xlfn.XLOOKUP(B169,'Base stats'!B:B,'Base stats'!E:E),Groups!A:A,Groups!B:B)&lt;2))), (18 + BR169 * 2.7),
      IF(OR(BI169="Advanced",_xlfn.XLOOKUP(B169,'Base stats'!B:B,'Base stats'!AJ:AJ)=1,_xlfn.XLOOKUP(_xlfn.XLOOKUP(B169,'Base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1250</v>
      </c>
      <c r="I169" s="2">
        <f>MROUND(ROUNDDOWN(_xlfn.XLOOKUP(B169,'Base stats'!B:B,'Base stats'!L:L)/3.6/(23.3/11),1),0.5)</f>
        <v>3</v>
      </c>
      <c r="J169" s="2">
        <f>IF(_xlfn.XLOOKUP(_xlfn.XLOOKUP(B169,'Base stats'!B:B,'Base stats'!E:E),Groups!A:A,Groups!C:C)="Untamable",1,IF(_xlfn.XLOOKUP(B169,'Base stats'!B:B,'Base stats'!AJ:AJ)=1,0.99,MIN(MROUND((1-0.6282*EXP(-0.459*AO169))*_xlfn.XLOOKUP(_xlfn.XLOOKUP(B169,'Base stats'!B:B,'Base stats'!E:E),Groups!A:A,Groups!C:C)*IF(_xlfn.XLOOKUP(B169,'Base stats'!B:B,'Base stats'!O:O)=1,0.5,IF(_xlfn.XLOOKUP(B169,'Base stats'!B:B,'Base stats'!O:O)=2,0,1)),0.05),0.985)))</f>
        <v>1</v>
      </c>
      <c r="K169" s="2">
        <f>ROUNDUP(AO169*_xlfn.XLOOKUP(_xlfn.XLOOKUP(B169,'Base stats'!B:B,'Base stats'!E:E),Groups!A:A,Groups!E:E),0)</f>
        <v>1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-160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IF(_xlfn.XLOOKUP(_xlfn.XLOOKUP(B169,'Base stats'!B:B,'Base stats'!E:E),Groups!A:A,Groups!L:L)=1,MIN(MROUND(_xlfn.XLOOKUP(B169,'Animals CE'!B:B,'Animals CE'!Z:Z)/2+0.05,0.05),200%),"No")</f>
        <v>0.2</v>
      </c>
      <c r="O169" s="8">
        <f>IF(_xlfn.XLOOKUP(_xlfn.XLOOKUP(B169,'Base stats'!B:B,'Base stats'!E:E),Groups!A:A,Groups!L:L)=1,MIN(MROUND(_xlfn.XLOOKUP(B169,'Animals CE'!B:B,'Animals CE'!AA:AA)/2+0.05,0.05),200%),"No")</f>
        <v>0.8</v>
      </c>
      <c r="P169" s="2">
        <f>_xlfn.XLOOKUP(B169,'Base stats'!B:B,'Base stats'!R:R)</f>
        <v>1</v>
      </c>
      <c r="Q169" s="13">
        <f>MROUND((LOG10(_xlfn.XLOOKUP(B169,'Base stats'!B:B,'Base stats'!AP:AP))*(AO169^0.5)+(_xlfn.XLOOKUP(B169,'Base stats'!B:B,'Base stats'!AP:AP)/1000)^(2/3)+_xlfn.XLOOKUP(B169,'Base stats'!B:B,'Base stats'!AY:AY)/2)+0.5,0.5)</f>
        <v>6.5</v>
      </c>
      <c r="R169" s="7">
        <f>IF(Q169="No","No",MAX(1,MROUND(_xlfn.XLOOKUP(B169,'Base stats'!B:B,'Base stats'!C:C)^0.165,0.05)))</f>
        <v>1.9000000000000001</v>
      </c>
      <c r="S169" s="13" t="str">
        <f>IF(_xlfn.XLOOKUP(_xlfn.XLOOKUP(B169,'Base stats'!B:B,'Base stats'!E:E),Groups!A:A,Groups!P:P)=0,"No",MROUND((LOG10(_xlfn.XLOOKUP(B169,'Base stats'!B:B,'Base stats'!AQ:AQ))*(AO169^0.5)+(_xlfn.XLOOKUP(B169,'Base stats'!B:B,'Base stats'!AQ:AQ)/1000)^(2/3)+_xlfn.XLOOKUP(B169,'Base stats'!B:B,'Base stats'!AY:AY))+_xlfn.XLOOKUP(B169,'Base stats'!B:B,'Base stats'!AW:AW)+0.5,0.5))</f>
        <v>No</v>
      </c>
      <c r="T169" s="7" t="str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No</v>
      </c>
      <c r="U169" s="7" t="str">
        <f>IF(S169="No","No",_xlfn.XLOOKUP(_xlfn.XLOOKUP(B169,'Base stats'!B:B,'Base stats'!E:E),Groups!A:A,Groups!R:R))</f>
        <v>No</v>
      </c>
      <c r="V169" s="7" t="str">
        <f>IF(S169="No","No",_xlfn.XLOOKUP(_xlfn.XLOOKUP(B169,'Base stats'!B:B,'Base stats'!E:E),Groups!A:A,Groups!S:S))</f>
        <v>No</v>
      </c>
      <c r="W169" s="7" t="str">
        <f>IF(S169="No","No",_xlfn.XLOOKUP(_xlfn.XLOOKUP(B169,'Base stats'!B:B,'Base stats'!E:E),Groups!A:A,Groups!T:T))</f>
        <v>No</v>
      </c>
      <c r="X169" s="13" t="str">
        <f>IF(_xlfn.XLOOKUP(B169,'Base stats'!B:B,'Base stats'!W:W)="No","No",MROUND((LOG10(_xlfn.XLOOKUP(B169,'Base stats'!B:B,'Base stats'!AS:AS))*(AO169^0.5)+(_xlfn.XLOOKUP(B169,'Base stats'!B:B,'Base stats'!AS:AS)/1000)^(2/3)+_xlfn.XLOOKUP(B169,'Base stats'!B:B,'Base stats'!AX:AX))+0.5+IF(_xlfn.XLOOKUP(_xlfn.XLOOKUP(B169,'Base stats'!B:B,'Base stats'!E:E),Groups!A:A,Groups!U:U)&lt;&gt;3,_xlfn.XLOOKUP(B169,'Base stats'!B:B,'Base stats'!AY:AY),0),0.5))</f>
        <v>No</v>
      </c>
      <c r="Y169" s="7" t="str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No</v>
      </c>
      <c r="Z169" s="7" t="str">
        <f>IF(X169="No","No",_xlfn.XLOOKUP(_xlfn.XLOOKUP(B169,'Base stats'!B:B,'Base stats'!E:E),Groups!A:A,Groups!W:W))</f>
        <v>No</v>
      </c>
      <c r="AA169" s="7" t="str">
        <f>IF(X169="No","No",_xlfn.XLOOKUP(_xlfn.XLOOKUP(B169,'Base stats'!B:B,'Base stats'!E:E),Groups!A:A,Groups!X:X))</f>
        <v>No</v>
      </c>
      <c r="AB169" s="7" t="str">
        <f>IF(X169="No","No",_xlfn.XLOOKUP(_xlfn.XLOOKUP(B169,'Base stats'!B:B,'Base stats'!E:E),Groups!A:A,Groups!Y:Y))</f>
        <v>No</v>
      </c>
      <c r="AC169" s="7" t="str">
        <f>_xlfn.XLOOKUP(Animals!B169,'Base stats'!B:B,'Base stats'!X:X)</f>
        <v>False</v>
      </c>
      <c r="AD169" s="13">
        <f>IF(_xlfn.XLOOKUP(B169,'Base stats'!B:B,'Base stats'!AR:AR)="No","No",MROUND((LOG10(_xlfn.XLOOKUP(B169,'Base stats'!B:B,'Base stats'!AR:AR))*(AO169^0.75)+(_xlfn.XLOOKUP(B169,'Base stats'!B:B,'Base stats'!AR:AR)/1000)^(2/3)+_xlfn.XLOOKUP(B169,'Base stats'!B:B,'Base stats'!AV:AV)+_xlfn.XLOOKUP(B169,'Base stats'!B:B,'Base stats'!AY:AY))+0.5,0.5))</f>
        <v>15</v>
      </c>
      <c r="AE169" s="7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1.1500000000000001</v>
      </c>
      <c r="AF169" s="7" t="str">
        <f>IF(AD169="No","No",_xlfn.XLOOKUP(_xlfn.XLOOKUP(B169,'Base stats'!B:B,'Base stats'!E:E),Groups!A:A,Groups!AA:AA))</f>
        <v>Teeth</v>
      </c>
      <c r="AG169" s="7" t="str">
        <f>IF(AD169="No","No",_xlfn.XLOOKUP(_xlfn.XLOOKUP(B169,'Base stats'!B:B,'Base stats'!E:E),Groups!A:A,Groups!AB:AB))</f>
        <v>teeth</v>
      </c>
      <c r="AH169" s="7" t="str">
        <f>IF(AD169="No","No",_xlfn.XLOOKUP(_xlfn.XLOOKUP(B169,'Base stats'!B:B,'Base stats'!E:E),Groups!A:A,Groups!AC:AC))</f>
        <v>Bite</v>
      </c>
      <c r="AI169" s="13">
        <f>IF(_xlfn.XLOOKUP(_xlfn.XLOOKUP(B169,'Base stats'!B:B,'Base stats'!E:E),Groups!A:A,Groups!AD:AD)=0,"No",MROUND((LOG10(_xlfn.XLOOKUP(B169,'Base stats'!B:B,'Base stats'!AQ:AQ))*(AO169^0.75)+(_xlfn.XLOOKUP(B169,'Base stats'!B:B,'Base stats'!AQ:AQ)/1000)^(2/3)+_xlfn.XLOOKUP(B169,'Base stats'!B:B,'Base stats'!AW:AW)+_xlfn.XLOOKUP(B169,'Base stats'!B:B,'Base stats'!AY:AY))+0.5,0.5))</f>
        <v>16</v>
      </c>
      <c r="AJ169" s="7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0.5</v>
      </c>
      <c r="AK169" s="7" t="str">
        <f>IF(AI169="No","No",_xlfn.XLOOKUP(_xlfn.XLOOKUP(B169,'Base stats'!B:B,'Base stats'!E:E),Groups!A:A,Groups!AF:AF))</f>
        <v>FrontRightPaw, FrontRightPaw</v>
      </c>
      <c r="AL169" s="7" t="str">
        <f>IF(AI169="No","No",_xlfn.XLOOKUP(_xlfn.XLOOKUP(B169,'Base stats'!B:B,'Base stats'!E:E),Groups!A:A,Groups!AG:AG))</f>
        <v>left claw, right claw</v>
      </c>
      <c r="AM169" s="7" t="str">
        <f>IF(AI169="No","No",_xlfn.XLOOKUP(_xlfn.XLOOKUP(B169,'Base stats'!B:B,'Base stats'!E:E),Groups!A:A,Groups!AH:AH))</f>
        <v>Scratch</v>
      </c>
      <c r="AN169" s="2">
        <f t="shared" si="33"/>
        <v>20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0.85000000000000009</v>
      </c>
      <c r="AP169" s="8">
        <f>MROUND(AO169*_xlfn.XLOOKUP(_xlfn.XLOOKUP(B169,'Base stats'!B:B,'Base stats'!E:E),Groups!A:A,Groups!AI:AI),0.05)</f>
        <v>1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0.5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5</v>
      </c>
      <c r="AS169" s="35" t="str">
        <f>IFERROR(IF(_xlfn.XLOOKUP(B169,'Base stats'!B:B,'Base stats'!F:F)="Lay eggs","Lay eggs",MIN(20,MAX(5.5,ROUND(((_xlfn.XLOOKUP(B169,'Base stats'!B:B,'Base stats'!F:F)-25)*(14.5/615) + 5.5)*2,0)/2))),"Cannot breed")</f>
        <v>Lay eggs</v>
      </c>
      <c r="AT169" s="8">
        <f>IF(OR(A169="Queen",A169="Larva",A169="Megachicken",A169="Megatardi",A169="Toxscorpion"),"No",IFERROR(MAX(IF(_xlfn.XLOOKUP(B169,'Base stats'!B:B,'Base stats'!G:G)&lt;0.5,0.2,0.3),MROUND(_xlfn.XLOOKUP(B169,'Base stats'!B:B,'Base stats'!G:G)/(365/60),0.2)),"Unknown"))</f>
        <v>0.4</v>
      </c>
      <c r="AU169" s="8">
        <f t="shared" si="14"/>
        <v>0.2</v>
      </c>
      <c r="AV169" s="8" t="str">
        <f>IFERROR(IFERROR(MROUND(_xlfn.XLOOKUP(B169,'Base stats'!B:B,'Base stats'!J:J),0.1),"Lay eggs"),"Cannot breed")</f>
        <v>Lay eggs</v>
      </c>
      <c r="AW169" s="2" t="str">
        <f t="shared" si="34"/>
        <v>false</v>
      </c>
      <c r="AX169" s="2" t="str">
        <f>IF(_xlfn.XLOOKUP(_xlfn.XLOOKUP(Animals!B169,'Base stats'!B:B,'Base stats'!E:E),Groups!A:A,Groups!AK:AK)=1,"true","false")</f>
        <v>false</v>
      </c>
      <c r="AY169" s="25" t="str">
        <f>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</f>
        <v>CarnivoreAnimalStrict,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_xlfn.XLOOKUP(B169,'Base stats'!B:B,'Base stats'!AF:AF)</f>
        <v>No</v>
      </c>
      <c r="BB169" s="2" t="str">
        <f>_xlfn.XLOOKUP(B169,'Base stats'!B:B,'Base stats'!AE:AE)</f>
        <v>Leather_PhotonozoaM</v>
      </c>
      <c r="BC169" s="23" t="str">
        <f>_xlfn.XLOOKUP(_xlfn.XLOOKUP(B169,'Base stats'!B:B,'Base stats'!E:E),Groups!A:A,Groups!AL:AL)</f>
        <v>Xenosnake</v>
      </c>
      <c r="BD169" s="23">
        <f>MIN(1,MROUND(IF(AND(AO169&lt;0.5,_xlfn.XLOOKUP(B169,'Base stats'!B:B,'Base stats'!Z:Z)=0),0,IF(OR(_xlfn.XLOOKUP(Animals!B169,'Base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stats'!AA:AA),0.005))</f>
        <v>1</v>
      </c>
      <c r="BE169" s="23">
        <f>MIN(1,MROUND(IF(AND(AO169&lt;0.5,_xlfn.XLOOKUP(B169,'Base stats'!B:B,'Base stats'!Z:Z)=0),0,IF(_xlfn.XLOOKUP(_xlfn.XLOOKUP(B169,'Base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stats'!AB:AB),0.005))</f>
        <v>1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None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true</v>
      </c>
      <c r="BK169" s="2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1.5</v>
      </c>
      <c r="BL169" s="2">
        <f t="shared" si="35"/>
        <v>0</v>
      </c>
      <c r="BM169" s="25" t="str">
        <f>IF(_xlfn.XLOOKUP(B169,'Base stats'!B:B,'Base stats'!AL:AL)="Standard","No",MROUND((_xlfn.XLOOKUP(B169,'Base stats'!B:B,'Base stats'!AL:AL)/3.6)/I169,0.1))</f>
        <v>No</v>
      </c>
      <c r="BN169" s="25" t="str">
        <f t="shared" si="36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true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stats'!AC:AC)&lt;&gt;"No",_xlfn.XLOOKUP(B169,'Base stats'!B:B,'Base stats'!AC:AC),"")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stats'!AC:AC)&lt;&gt;"No",_xlfn.XLOOKUP(B169,'Base stats'!B:B,'Base stats'!AC:AC),"")
  )
)</f>
        <v>Dig</v>
      </c>
      <c r="BQ169" s="25">
        <f>IF(
   AND(
      'Base stats'!AL169="Standard",_xlfn.XLOOKUP(_xlfn.XLOOKUP(B169,'Base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10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stats'!AT:AT) * 1.8) * 2) * 2.5 + 10 + I169 * 2,5)+IF(_xlfn.XLOOKUP(B169,'Base stats'!B:B,'Base stats'!AI:AI)=1,50,0)</f>
        <v>390</v>
      </c>
      <c r="BS169" s="8">
        <f t="shared" si="37"/>
        <v>0.55000000000000004</v>
      </c>
      <c r="BT169" s="8" t="str">
        <f>_xlfn.XLOOKUP(B169,'Base stats'!B:B,'Base stats'!AD:AD)</f>
        <v>No</v>
      </c>
      <c r="BU169" s="2" t="str">
        <f>IF(AND(J169&lt;=0.95,OR(_xlfn.XLOOKUP(B169,'Base stats'!B:B,'Base stats'!AI:AI)=1,_xlfn.XLOOKUP(B169,'Base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stats'!AG:AG)=1,"true","false")</f>
        <v>false</v>
      </c>
      <c r="BW169" s="25" t="str">
        <f>IF(E169="BaseInsect","AnimalInsect",
IF(J169&gt;0.95,"AnimalExotic",
_xlfn.TEXTJOIN(", ",TRUE,
IF(OR(_xlfn.XLOOKUP(B169,'Base stats'!B:B,'Base stats'!AK:AK)=1,AND(_xlfn.XLOOKUP(B169,'Base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stats'!AI:AI)=1,AND(BI169&lt;&gt;"None",BR169&gt;=60),ISNUMBER(SEARCH("Attack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stats'!AH:AH)=1,"true","false")</f>
        <v>false</v>
      </c>
      <c r="BZ169" s="25">
        <f>IF(_xlfn.XLOOKUP(B169,'Base stats'!B:B,'Base stats'!N:N)=1,"No",MAX(0.01,MIN(MROUND(IF(OR(_xlfn.XLOOKUP(B169,'Base stats'!B:B,'Base stats'!AK:AK)=1,AND(BJ169="True",CC169="False")),POWER(10,3.47*LOG10(_xlfn.XLOOKUP(B169,'Base stats'!B:B,'Base stats'!C:C)*1000)^-0.96),POWER(10,4.15*LOG10(_xlfn.XLOOKUP(B169,'Base stats'!B:B,'Base stats'!C:C)*1000)^-0.73))*IF(OR(_xlfn.XLOOKUP(B169,'Base stats'!B:B,'Base stats'!AK:AK)=1,_xlfn.XLOOKUP(B169,'Base stats'!B:B,'Base stats'!AI:AI)=1),0.5,1)/100,0.025),1)))</f>
        <v>0.05</v>
      </c>
      <c r="CA169" s="25">
        <f>IF(P169="Standard","No",MAX(0.01,IF(_xlfn.XLOOKUP(B169,'Base stats'!B:B,'Base stats'!N:N)=0,MROUND(BZ169*P169,0.05),MIN(1,MAX(0.025,MROUND(IF(OR(CC169="true",AND(BJ169="false",BO169="false")),POWER(10,4.15*LOG10(_xlfn.XLOOKUP(B169,'Base stats'!B:B,'Base stats'!C:C)*1000)^-0.73),POWER(10,3.47*LOG10(_xlfn.XLOOKUP(B169,'Base stats'!B:B,'Base stats'!C:C)*1000)^-0.96))*IF(_xlfn.XLOOKUP(B169,'Base stats'!B:B,'Base stats'!AI:AI)=1,0.5,1)/100,0.025))))))</f>
        <v>0.05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38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Paragnathus</v>
      </c>
      <c r="B170" s="6" t="s">
        <v>1223</v>
      </c>
      <c r="C170" s="28" t="s">
        <v>1225</v>
      </c>
      <c r="D170" s="28" t="s">
        <v>1216</v>
      </c>
      <c r="E170" s="28" t="s">
        <v>1218</v>
      </c>
      <c r="F170" s="28" t="s">
        <v>1219</v>
      </c>
      <c r="G170" s="28" t="s">
        <v>685</v>
      </c>
      <c r="H170" s="2">
        <f>MROUND((
  (IF(AND(_xlfn.XLOOKUP(B170,'Base stats'!B:B,'Base stats'!AJ:AJ)=0,BI170="None",_xlfn.XLOOKUP(_xlfn.XLOOKUP(B170,'Base stats'!B:B,'Base stats'!E:E),Groups!A:A,Groups!B:B)=0), (18 + BR170 * 2.7) * 0.5,
    IF(AND(_xlfn.XLOOKUP(B170,'Base stats'!B:B,'Base stats'!AJ:AJ)=0,OR(AO170&lt;0.55,AND(BI170="Intermediate",_xlfn.XLOOKUP(_xlfn.XLOOKUP(B170,'Base stats'!B:B,'Base stats'!E:E),Groups!A:A,Groups!B:B)&lt;2))), (18 + BR170 * 2.7),
      IF(OR(BI170="Advanced",_xlfn.XLOOKUP(B170,'Base stats'!B:B,'Base stats'!AJ:AJ)=1,_xlfn.XLOOKUP(_xlfn.XLOOKUP(B170,'Base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900</v>
      </c>
      <c r="I170" s="2">
        <f>MROUND(ROUNDDOWN(_xlfn.XLOOKUP(B170,'Base stats'!B:B,'Base stats'!L:L)/3.6/(23.3/11),1),0.5)</f>
        <v>4.5</v>
      </c>
      <c r="J170" s="2">
        <f>IF(_xlfn.XLOOKUP(_xlfn.XLOOKUP(B170,'Base stats'!B:B,'Base stats'!E:E),Groups!A:A,Groups!C:C)="Untamable",1,IF(_xlfn.XLOOKUP(B170,'Base stats'!B:B,'Base stats'!AJ:AJ)=1,0.99,MIN(MROUND((1-0.6282*EXP(-0.459*AO170))*_xlfn.XLOOKUP(_xlfn.XLOOKUP(B170,'Base stats'!B:B,'Base stats'!E:E),Groups!A:A,Groups!C:C)*IF(_xlfn.XLOOKUP(B170,'Base stats'!B:B,'Base stats'!O:O)=1,0.5,IF(_xlfn.XLOOKUP(B170,'Base stats'!B:B,'Base stats'!O:O)=2,0,1)),0.05),0.985)))</f>
        <v>1</v>
      </c>
      <c r="K170" s="2">
        <f>ROUNDUP(AO170*_xlfn.XLOOKUP(_xlfn.XLOOKUP(B170,'Base stats'!B:B,'Base stats'!E:E),Groups!A:A,Groups!E:E),0)</f>
        <v>7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-165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IF(_xlfn.XLOOKUP(_xlfn.XLOOKUP(B170,'Base stats'!B:B,'Base stats'!E:E),Groups!A:A,Groups!L:L)=1,MIN(MROUND(_xlfn.XLOOKUP(B170,'Animals CE'!B:B,'Animals CE'!Z:Z)/2+0.05,0.05),200%),"No")</f>
        <v>0.30000000000000004</v>
      </c>
      <c r="O170" s="8">
        <f>IF(_xlfn.XLOOKUP(_xlfn.XLOOKUP(B170,'Base stats'!B:B,'Base stats'!E:E),Groups!A:A,Groups!L:L)=1,MIN(MROUND(_xlfn.XLOOKUP(B170,'Animals CE'!B:B,'Animals CE'!AA:AA)/2+0.05,0.05),200%),"No")</f>
        <v>1.6</v>
      </c>
      <c r="P170" s="2">
        <f>_xlfn.XLOOKUP(B170,'Base stats'!B:B,'Base stats'!R:R)</f>
        <v>1</v>
      </c>
      <c r="Q170" s="13">
        <f>MROUND((LOG10(_xlfn.XLOOKUP(B170,'Base stats'!B:B,'Base stats'!AP:AP))*(AO170^0.5)+(_xlfn.XLOOKUP(B170,'Base stats'!B:B,'Base stats'!AP:AP)/1000)^(2/3)+_xlfn.XLOOKUP(B170,'Base stats'!B:B,'Base stats'!AY:AY)/2)+0.5,0.5)</f>
        <v>8.5</v>
      </c>
      <c r="R170" s="7">
        <f>IF(Q170="No","No",MAX(1,MROUND(_xlfn.XLOOKUP(B170,'Base stats'!B:B,'Base stats'!C:C)^0.165,0.05)))</f>
        <v>2.15</v>
      </c>
      <c r="S170" s="13" t="str">
        <f>IF(_xlfn.XLOOKUP(_xlfn.XLOOKUP(B170,'Base stats'!B:B,'Base stats'!E:E),Groups!A:A,Groups!P:P)=0,"No",MROUND((LOG10(_xlfn.XLOOKUP(B170,'Base stats'!B:B,'Base stats'!AQ:AQ))*(AO170^0.5)+(_xlfn.XLOOKUP(B170,'Base stats'!B:B,'Base stats'!AQ:AQ)/1000)^(2/3)+_xlfn.XLOOKUP(B170,'Base stats'!B:B,'Base stats'!AY:AY))+_xlfn.XLOOKUP(B170,'Base stats'!B:B,'Base stats'!AW:AW)+0.5,0.5))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stats'!AS:AS))*(AO170^0.5)+(_xlfn.XLOOKUP(B170,'Base stats'!B:B,'Base stats'!AS:AS)/1000)^(2/3)+_xlfn.XLOOKUP(B170,'Base stats'!B:B,'Base stats'!AX:AX))+0.5+IF(_xlfn.XLOOKUP(_xlfn.XLOOKUP(B170,'Base stats'!B:B,'Base stats'!E:E),Groups!A:A,Groups!U:U)&lt;&gt;3,_xlfn.XLOOKUP(B170,'Base stats'!B:B,'Base stats'!AY:AY),0),0.5))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stats'!AR:AR)="No","No",MROUND((LOG10(_xlfn.XLOOKUP(B170,'Base stats'!B:B,'Base stats'!AR:AR))*(AO170^0.75)+(_xlfn.XLOOKUP(B170,'Base stats'!B:B,'Base stats'!AR:AR)/1000)^(2/3)+_xlfn.XLOOKUP(B170,'Base stats'!B:B,'Base stats'!AV:AV)+_xlfn.XLOOKUP(B170,'Base stats'!B:B,'Base stats'!AY:AY))+0.5,0.5))</f>
        <v>17.5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1.7000000000000002</v>
      </c>
      <c r="AF170" s="7" t="str">
        <f>IF(AD170="No","No",_xlfn.XLOOKUP(_xlfn.XLOOKUP(B170,'Base stats'!B:B,'Base stats'!E:E),Groups!A:A,Groups!AA:AA))</f>
        <v>TongueAttackTool</v>
      </c>
      <c r="AG170" s="7" t="str">
        <f>IF(AD170="No","No",_xlfn.XLOOKUP(_xlfn.XLOOKUP(B170,'Base stats'!B:B,'Base stats'!E:E),Groups!A:A,Groups!AB:AB))</f>
        <v>tongue</v>
      </c>
      <c r="AH170" s="7" t="str">
        <f>IF(AD170="No","No",_xlfn.XLOOKUP(_xlfn.XLOOKUP(B170,'Base stats'!B:B,'Base stats'!E:E),Groups!A:A,Groups!AC:AC))</f>
        <v>Scratch</v>
      </c>
      <c r="AI170" s="13" t="str">
        <f>IF(_xlfn.XLOOKUP(_xlfn.XLOOKUP(B170,'Base stats'!B:B,'Base stats'!E:E),Groups!A:A,Groups!AD:AD)=0,"No",MROUND((LOG10(_xlfn.XLOOKUP(B170,'Base stats'!B:B,'Base stats'!AQ:AQ))*(AO170^0.75)+(_xlfn.XLOOKUP(B170,'Base stats'!B:B,'Base stats'!AQ:AQ)/1000)^(2/3)+_xlfn.XLOOKUP(B170,'Base stats'!B:B,'Base stats'!AW:AW)+_xlfn.XLOOKUP(B170,'Base stats'!B:B,'Base stats'!AY:AY))+0.5,0.5))</f>
        <v>No</v>
      </c>
      <c r="AJ170" s="7" t="str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No</v>
      </c>
      <c r="AK170" s="7" t="str">
        <f>IF(AI170="No","No",_xlfn.XLOOKUP(_xlfn.XLOOKUP(B170,'Base stats'!B:B,'Base stats'!E:E),Groups!A:A,Groups!AF:AF))</f>
        <v>No</v>
      </c>
      <c r="AL170" s="7" t="str">
        <f>IF(AI170="No","No",_xlfn.XLOOKUP(_xlfn.XLOOKUP(B170,'Base stats'!B:B,'Base stats'!E:E),Groups!A:A,Groups!AG:AG))</f>
        <v>No</v>
      </c>
      <c r="AM170" s="7" t="str">
        <f>IF(AI170="No","No",_xlfn.XLOOKUP(_xlfn.XLOOKUP(B170,'Base stats'!B:B,'Base stats'!E:E),Groups!A:A,Groups!AH:AH))</f>
        <v>No</v>
      </c>
      <c r="AN170" s="2" t="str">
        <f t="shared" si="33"/>
        <v>No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1.25</v>
      </c>
      <c r="AP170" s="8">
        <f>MROUND(AO170*_xlfn.XLOOKUP(_xlfn.XLOOKUP(B170,'Base stats'!B:B,'Base stats'!E:E),Groups!A:A,Groups!AI:AI),0.05)</f>
        <v>1.25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0.65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3</v>
      </c>
      <c r="AS170" s="35" t="str">
        <f>IFERROR(IF(_xlfn.XLOOKUP(B170,'Base stats'!B:B,'Base stats'!F:F)="Lay eggs","Lay eggs",MIN(20,MAX(5.5,ROUND(((_xlfn.XLOOKUP(B170,'Base stats'!B:B,'Base stats'!F:F)-25)*(14.5/615) + 5.5)*2,0)/2))),"Cannot breed")</f>
        <v>Lay eggs</v>
      </c>
      <c r="AT170" s="8">
        <f>IF(OR(A170="Queen",A170="Larva",A170="Megachicken",A170="Megatardi",A170="Toxscorpion"),"No",IFERROR(MAX(IF(_xlfn.XLOOKUP(B170,'Base stats'!B:B,'Base stats'!G:G)&lt;0.5,0.2,0.3),MROUND(_xlfn.XLOOKUP(B170,'Base stats'!B:B,'Base stats'!G:G)/(365/60),0.2)),"Unknown"))</f>
        <v>0.4</v>
      </c>
      <c r="AU170" s="8">
        <f t="shared" si="14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34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</f>
        <v>OmnivoreRoughAnimal,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_xlfn.XLOOKUP(B170,'Base stats'!B:B,'Base stats'!AF:AF)</f>
        <v>No</v>
      </c>
      <c r="BB170" s="2" t="str">
        <f>_xlfn.XLOOKUP(B170,'Base stats'!B:B,'Base stats'!AE:AE)</f>
        <v>Leather_PhotonozoaS</v>
      </c>
      <c r="BC170" s="23" t="str">
        <f>_xlfn.XLOOKUP(_xlfn.XLOOKUP(B170,'Base stats'!B:B,'Base stats'!E:E),Groups!A:A,Groups!AL:AL)</f>
        <v>Paragnathus</v>
      </c>
      <c r="BD170" s="23">
        <f>MIN(1,MROUND(IF(AND(AO170&lt;0.5,_xlfn.XLOOKUP(B170,'Base stats'!B:B,'Base stats'!Z:Z)=0),0,IF(OR(_xlfn.XLOOKUP(Animals!B170,'Base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stats'!AA:AA),0.005))</f>
        <v>2.5000000000000001E-2</v>
      </c>
      <c r="BE170" s="23">
        <f>MIN(1,MROUND(IF(AND(AO170&lt;0.5,_xlfn.XLOOKUP(B170,'Base stats'!B:B,'Base stats'!Z:Z)=0),0,IF(_xlfn.XLOOKUP(_xlfn.XLOOKUP(B170,'Base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stats'!AB:AB),0.005))</f>
        <v>0.1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None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false</v>
      </c>
      <c r="BK170" s="2" t="str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No</v>
      </c>
      <c r="BL170" s="2">
        <f t="shared" si="35"/>
        <v>0</v>
      </c>
      <c r="BM170" s="25" t="str">
        <f>IF(_xlfn.XLOOKUP(B170,'Base stats'!B:B,'Base stats'!AL:AL)="Standard","No",MROUND((_xlfn.XLOOKUP(B170,'Base stats'!B:B,'Base stats'!AL:AL)/3.6)/I170,0.1))</f>
        <v>No</v>
      </c>
      <c r="BN170" s="25" t="str">
        <f t="shared" si="36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false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stats'!AC:AC)&lt;&gt;"No",_xlfn.XLOOKUP(B170,'Base stats'!B:B,'Base stats'!AC:AC),"")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stats'!AC:AC)&lt;&gt;"No",_xlfn.XLOOKUP(B170,'Base stats'!B:B,'Base stats'!AC:AC),"")
  )
)</f>
        <v>Forage</v>
      </c>
      <c r="BQ170" s="25" t="str">
        <f>IF(
   AND(
      'Base stats'!AL170="Standard",_xlfn.XLOOKUP(_xlfn.XLOOKUP(B170,'Base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No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stats'!AT:AT) * 1.8) * 2) * 2.5 + 10 + I170 * 2,5)+IF(_xlfn.XLOOKUP(B170,'Base stats'!B:B,'Base stats'!AI:AI)=1,50,0)</f>
        <v>235</v>
      </c>
      <c r="BS170" s="8">
        <f t="shared" si="37"/>
        <v>0.75</v>
      </c>
      <c r="BT170" s="8" t="str">
        <f>_xlfn.XLOOKUP(B170,'Base stats'!B:B,'Base stats'!AD:AD)</f>
        <v>No</v>
      </c>
      <c r="BU170" s="2" t="str">
        <f>IF(AND(J170&lt;=0.95,OR(_xlfn.XLOOKUP(B170,'Base stats'!B:B,'Base stats'!AI:AI)=1,_xlfn.XLOOKUP(B170,'Base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stats'!AG:AG)=1,"true","false")</f>
        <v>false</v>
      </c>
      <c r="BW170" s="25" t="str">
        <f>IF(E170="BaseInsect","AnimalInsect",
IF(J170&gt;0.95,"AnimalExotic",
_xlfn.TEXTJOIN(", ",TRUE,
IF(OR(_xlfn.XLOOKUP(B170,'Base stats'!B:B,'Base stats'!AK:AK)=1,AND(_xlfn.XLOOKUP(B170,'Base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stats'!AI:AI)=1,AND(BI170&lt;&gt;"None",BR170&gt;=60),ISNUMBER(SEARCH("Attack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stats'!AH:AH)=1,"true","false")</f>
        <v>false</v>
      </c>
      <c r="BZ170" s="25">
        <f>IF(_xlfn.XLOOKUP(B170,'Base stats'!B:B,'Base stats'!N:N)=1,"No",MAX(0.01,MIN(MROUND(IF(OR(_xlfn.XLOOKUP(B170,'Base stats'!B:B,'Base stats'!AK:AK)=1,AND(BJ170="True",CC170="False")),POWER(10,3.47*LOG10(_xlfn.XLOOKUP(B170,'Base stats'!B:B,'Base stats'!C:C)*1000)^-0.96),POWER(10,4.15*LOG10(_xlfn.XLOOKUP(B170,'Base stats'!B:B,'Base stats'!C:C)*1000)^-0.73))*IF(OR(_xlfn.XLOOKUP(B170,'Base stats'!B:B,'Base stats'!AK:AK)=1,_xlfn.XLOOKUP(B170,'Base stats'!B:B,'Base stats'!AI:AI)=1),0.5,1)/100,0.025),1)))</f>
        <v>0.2</v>
      </c>
      <c r="CA170" s="25">
        <f>IF(P170="Standard","No",MAX(0.01,IF(_xlfn.XLOOKUP(B170,'Base stats'!B:B,'Base stats'!N:N)=0,MROUND(BZ170*P170,0.05),MIN(1,MAX(0.025,MROUND(IF(OR(CC170="true",AND(BJ170="false",BO170="false")),POWER(10,4.15*LOG10(_xlfn.XLOOKUP(B170,'Base stats'!B:B,'Base stats'!C:C)*1000)^-0.73),POWER(10,3.47*LOG10(_xlfn.XLOOKUP(B170,'Base stats'!B:B,'Base stats'!C:C)*1000)^-0.96))*IF(_xlfn.XLOOKUP(B170,'Base stats'!B:B,'Base stats'!AI:AI)=1,0.5,1)/100,0.025))))))</f>
        <v>0.2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38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ht="16.5" thickTop="1" thickBot="1" x14ac:dyDescent="0.3">
      <c r="A171" s="26" t="str">
        <f>_xlfn.XLOOKUP(B171,'Base stats'!B:B,'Base stats'!A:A)</f>
        <v>BlackFootedFerret</v>
      </c>
      <c r="B171" s="6" t="s">
        <v>1241</v>
      </c>
      <c r="C171" s="28" t="s">
        <v>1243</v>
      </c>
      <c r="D171" s="28" t="s">
        <v>1244</v>
      </c>
      <c r="E171" s="28" t="s">
        <v>685</v>
      </c>
      <c r="F171" s="28" t="s">
        <v>685</v>
      </c>
      <c r="G171" s="28" t="s">
        <v>685</v>
      </c>
      <c r="H171" s="2">
        <f>MROUND((
  (IF(AND(_xlfn.XLOOKUP(B171,'Base stats'!B:B,'Base stats'!AJ:AJ)=0,BI171="None",_xlfn.XLOOKUP(_xlfn.XLOOKUP(B171,'Base stats'!B:B,'Base stats'!E:E),Groups!A:A,Groups!B:B)=0), (18 + BR171 * 2.7) * 0.5,
    IF(AND(_xlfn.XLOOKUP(B171,'Base stats'!B:B,'Base stats'!AJ:AJ)=0,OR(AO171&lt;0.55,AND(BI171="Intermediate",_xlfn.XLOOKUP(_xlfn.XLOOKUP(B171,'Base stats'!B:B,'Base stats'!E:E),Groups!A:A,Groups!B:B)&lt;2))), (18 + BR171 * 2.7),
      IF(OR(BI171="Advanced",_xlfn.XLOOKUP(B171,'Base stats'!B:B,'Base stats'!AJ:AJ)=1,_xlfn.XLOOKUP(_xlfn.XLOOKUP(B171,'Base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75</v>
      </c>
      <c r="I171" s="2">
        <f>MROUND(ROUNDDOWN(_xlfn.XLOOKUP(B171,'Base stats'!B:B,'Base stats'!L:L)/3.6/(23.3/11),1),0.5)</f>
        <v>2.5</v>
      </c>
      <c r="J171" s="2">
        <f>IF(_xlfn.XLOOKUP(_xlfn.XLOOKUP(B171,'Base stats'!B:B,'Base stats'!E:E),Groups!A:A,Groups!C:C)="Untamable",1,IF(_xlfn.XLOOKUP(B171,'Base stats'!B:B,'Base stats'!AJ:AJ)=1,0.99,MIN(MROUND((1-0.6282*EXP(-0.459*AO171))*_xlfn.XLOOKUP(_xlfn.XLOOKUP(B171,'Base stats'!B:B,'Base stats'!E:E),Groups!A:A,Groups!C:C)*IF(_xlfn.XLOOKUP(B171,'Base stats'!B:B,'Base stats'!O:O)=1,0.5,IF(_xlfn.XLOOKUP(B171,'Base stats'!B:B,'Base stats'!O:O)=2,0,1)),0.05),0.985)))</f>
        <v>0.60000000000000009</v>
      </c>
      <c r="K171" s="2">
        <f>ROUNDUP(AO171*_xlfn.XLOOKUP(_xlfn.XLOOKUP(B171,'Base stats'!B:B,'Base stats'!E:E),Groups!A:A,Groups!E:E),0)</f>
        <v>1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-20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50</v>
      </c>
      <c r="N171" s="8" t="str">
        <f>IF(_xlfn.XLOOKUP(_xlfn.XLOOKUP(B171,'Base stats'!B:B,'Base stats'!E:E),Groups!A:A,Groups!L:L)=1,MIN(MROUND(_xlfn.XLOOKUP(B171,'Animals CE'!B:B,'Animals CE'!Z:Z)/2+0.05,0.05),200%),"No")</f>
        <v>No</v>
      </c>
      <c r="O171" s="8" t="str">
        <f>IF(_xlfn.XLOOKUP(_xlfn.XLOOKUP(B171,'Base stats'!B:B,'Base stats'!E:E),Groups!A:A,Groups!L:L)=1,MIN(MROUND(_xlfn.XLOOKUP(B171,'Animals CE'!B:B,'Animals CE'!AA:AA)/2+0.05,0.05),200%),"No")</f>
        <v>No</v>
      </c>
      <c r="P171" s="2" t="str">
        <f>_xlfn.XLOOKUP(B171,'Base stats'!B:B,'Base stats'!R:R)</f>
        <v>Standard</v>
      </c>
      <c r="Q171" s="13">
        <f>MROUND((LOG10(_xlfn.XLOOKUP(B171,'Base stats'!B:B,'Base stats'!AP:AP))*(AO171^0.5)+(_xlfn.XLOOKUP(B171,'Base stats'!B:B,'Base stats'!AP:AP)/1000)^(2/3)+_xlfn.XLOOKUP(B171,'Base stats'!B:B,'Base stats'!AY:AY)/2)+0.5,0.5)</f>
        <v>1.5</v>
      </c>
      <c r="R171" s="7">
        <f>IF(Q171="No","No",MAX(1,MROUND(_xlfn.XLOOKUP(B171,'Base stats'!B:B,'Base stats'!C:C)^0.165,0.05)))</f>
        <v>1</v>
      </c>
      <c r="S171" s="13" t="str">
        <f>IF(_xlfn.XLOOKUP(_xlfn.XLOOKUP(B171,'Base stats'!B:B,'Base stats'!E:E),Groups!A:A,Groups!P:P)=0,"No",MROUND((LOG10(_xlfn.XLOOKUP(B171,'Base stats'!B:B,'Base stats'!AQ:AQ))*(AO171^0.5)+(_xlfn.XLOOKUP(B171,'Base stats'!B:B,'Base stats'!AQ:AQ)/1000)^(2/3)+_xlfn.XLOOKUP(B171,'Base stats'!B:B,'Base stats'!AY:AY))+_xlfn.XLOOKUP(B171,'Base stats'!B:B,'Base stats'!AW:AW)+0.5,0.5))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stats'!AS:AS))*(AO171^0.5)+(_xlfn.XLOOKUP(B171,'Base stats'!B:B,'Base stats'!AS:AS)/1000)^(2/3)+_xlfn.XLOOKUP(B171,'Base stats'!B:B,'Base stats'!AX:AX))+0.5+IF(_xlfn.XLOOKUP(_xlfn.XLOOKUP(B171,'Base stats'!B:B,'Base stats'!E:E),Groups!A:A,Groups!U:U)&lt;&gt;3,_xlfn.XLOOKUP(B171,'Base stats'!B:B,'Base stats'!AY:AY),0),0.5))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stats'!AR:AR)="No","No",MROUND((LOG10(_xlfn.XLOOKUP(B171,'Base stats'!B:B,'Base stats'!AR:AR))*(AO171^0.75)+(_xlfn.XLOOKUP(B171,'Base stats'!B:B,'Base stats'!AR:AR)/1000)^(2/3)+_xlfn.XLOOKUP(B171,'Base stats'!B:B,'Base stats'!AV:AV)+_xlfn.XLOOKUP(B171,'Base stats'!B:B,'Base stats'!AY:AY))+0.5,0.5))</f>
        <v>1.5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0.8</v>
      </c>
      <c r="AF171" s="7" t="str">
        <f>IF(AD171="No","No",_xlfn.XLOOKUP(_xlfn.XLOOKUP(B171,'Base stats'!B:B,'Base stats'!E:E),Groups!A:A,Groups!AA:AA))</f>
        <v>Teeth</v>
      </c>
      <c r="AG171" s="7" t="str">
        <f>IF(AD171="No","No",_xlfn.XLOOKUP(_xlfn.XLOOKUP(B171,'Base stats'!B:B,'Base stats'!E:E),Groups!A:A,Groups!AB:AB))</f>
        <v>canines</v>
      </c>
      <c r="AH171" s="7" t="str">
        <f>IF(AD171="No","No",_xlfn.XLOOKUP(_xlfn.XLOOKUP(B171,'Base stats'!B:B,'Base stats'!E:E),Groups!A:A,Groups!AC:AC))</f>
        <v>Bite</v>
      </c>
      <c r="AI171" s="13">
        <f>IF(_xlfn.XLOOKUP(_xlfn.XLOOKUP(B171,'Base stats'!B:B,'Base stats'!E:E),Groups!A:A,Groups!AD:AD)=0,"No",MROUND((LOG10(_xlfn.XLOOKUP(B171,'Base stats'!B:B,'Base stats'!AQ:AQ))*(AO171^0.75)+(_xlfn.XLOOKUP(B171,'Base stats'!B:B,'Base stats'!AQ:AQ)/1000)^(2/3)+_xlfn.XLOOKUP(B171,'Base stats'!B:B,'Base stats'!AW:AW)+_xlfn.XLOOKUP(B171,'Base stats'!B:B,'Base stats'!AY:AY))+0.5,0.5))</f>
        <v>1.5</v>
      </c>
      <c r="AJ171" s="7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0.65</v>
      </c>
      <c r="AK171" s="7" t="str">
        <f>IF(AI171="No","No",_xlfn.XLOOKUP(_xlfn.XLOOKUP(B171,'Base stats'!B:B,'Base stats'!E:E),Groups!A:A,Groups!AF:AF))</f>
        <v>FrontRightPaw, FrontRightPaw</v>
      </c>
      <c r="AL171" s="7" t="str">
        <f>IF(AI171="No","No",_xlfn.XLOOKUP(_xlfn.XLOOKUP(B171,'Base stats'!B:B,'Base stats'!E:E),Groups!A:A,Groups!AG:AG))</f>
        <v>left claw, right claw</v>
      </c>
      <c r="AM171" s="7" t="str">
        <f>IF(AI171="No","No",_xlfn.XLOOKUP(_xlfn.XLOOKUP(B171,'Base stats'!B:B,'Base stats'!E:E),Groups!A:A,Groups!AH:AH))</f>
        <v>Scratch</v>
      </c>
      <c r="AN171" s="2">
        <f t="shared" ref="AN171" si="39">IF(BJ171="false","No",MROUND(AO171*5+15*1,5))</f>
        <v>15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0.15000000000000002</v>
      </c>
      <c r="AP171" s="8">
        <f>MROUND(AO171*_xlfn.XLOOKUP(_xlfn.XLOOKUP(B171,'Base stats'!B:B,'Base stats'!E:E),Groups!A:A,Groups!AI:AI),0.05)</f>
        <v>0.2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0.25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>
        <f>IFERROR(IF(_xlfn.XLOOKUP(B171,'Base stats'!B:B,'Base stats'!F:F)="Lay eggs","Lay eggs",MIN(20,MAX(5.5,ROUND(((_xlfn.XLOOKUP(B171,'Base stats'!B:B,'Base stats'!F:F)-25)*(14.5/615) + 5.5)*2,0)/2))),"Cannot breed")</f>
        <v>6</v>
      </c>
      <c r="AT171" s="8">
        <f>IF(OR(A171="Queen",A171="Larva",A171="Megachicken",A171="Megatardi",A171="Toxscorpion"),"No",IFERROR(MAX(IF(_xlfn.XLOOKUP(B171,'Base stats'!B:B,'Base stats'!G:G)&lt;0.5,0.2,0.3),MROUND(_xlfn.XLOOKUP(B171,'Base stats'!B:B,'Base stats'!G:G)/(365/60),0.2)),"Unknown"))</f>
        <v>0.3</v>
      </c>
      <c r="AU171" s="8">
        <f t="shared" si="14"/>
        <v>0.15000000000000002</v>
      </c>
      <c r="AV171" s="8">
        <f>IFERROR(IFERROR(MROUND(_xlfn.XLOOKUP(B171,'Base stats'!B:B,'Base stats'!J:J),0.1),"Lay eggs"),"Cannot breed")</f>
        <v>3</v>
      </c>
      <c r="AW171" s="2" t="str">
        <f t="shared" ref="AW171" si="40">IF(BT171="No","false","true")</f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</f>
        <v>CarnivoreAnimal,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_xlfn.XLOOKUP(B171,'Base stats'!B:B,'Base stats'!AF:AF)</f>
        <v>No</v>
      </c>
      <c r="BB171" s="2" t="str">
        <f>_xlfn.XLOOKUP(B171,'Base stats'!B:B,'Base stats'!AE:AE)</f>
        <v>Leather_Light</v>
      </c>
      <c r="BC171" s="23" t="str">
        <f>_xlfn.XLOOKUP(_xlfn.XLOOKUP(B171,'Base stats'!B:B,'Base stats'!E:E),Groups!A:A,Groups!AL:AL)</f>
        <v>QuadrupedAnimalWithPawsAndTail</v>
      </c>
      <c r="BD171" s="23">
        <f>MIN(1,MROUND(IF(AND(AO171&lt;0.5,_xlfn.XLOOKUP(B171,'Base stats'!B:B,'Base stats'!Z:Z)=0),0,IF(OR(_xlfn.XLOOKUP(Animals!B171,'Base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stats'!AA:AA),0.005))</f>
        <v>0.1</v>
      </c>
      <c r="BE171" s="23">
        <f>MIN(1,MROUND(IF(AND(AO171&lt;0.5,_xlfn.XLOOKUP(B171,'Base stats'!B:B,'Base stats'!Z:Z)=0),0,IF(_xlfn.XLOOKUP(_xlfn.XLOOKUP(B171,'Base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stats'!AB:AB),0.005))</f>
        <v>0.3</v>
      </c>
      <c r="BF171" s="2" t="str">
        <f>IF(J171&gt;0.3,"No",_xlfn.XLOOKUP(_xlfn.XLOOKUP(Animals!B171,'Base stats'!B:B,'Base stats'!E:E),Groups!A:A,Groups!AP:AP))</f>
        <v>No</v>
      </c>
      <c r="BG171" s="2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36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true</v>
      </c>
      <c r="BK171" s="2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0.1</v>
      </c>
      <c r="BL171" s="2">
        <f t="shared" ref="BL171" si="41">IF(BI171&lt;&gt;"None",1,0)</f>
        <v>1</v>
      </c>
      <c r="BM171" s="25" t="str">
        <f>IF(_xlfn.XLOOKUP(B171,'Base stats'!B:B,'Base stats'!AL:AL)="Standard","No",MROUND((_xlfn.XLOOKUP(B171,'Base stats'!B:B,'Base stats'!AL:AL)/3.6)/I171,0.1))</f>
        <v>No</v>
      </c>
      <c r="BN171" s="25" t="str">
        <f t="shared" ref="BN171" si="42">IF(OR(BM171&lt;&gt;"No",BQ171=1),"true","false")</f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stats'!AC:AC)&lt;&gt;"No",_xlfn.XLOOKUP(B171,'Base stats'!B:B,'Base stats'!AC:AC),"")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stats'!AC:AC)&lt;&gt;"No",_xlfn.XLOOKUP(B171,'Base stats'!B:B,'Base stats'!AC:AC),"")
  )
)</f>
        <v>Comfort</v>
      </c>
      <c r="BQ171" s="25" t="str">
        <f>IF(
   AND(
      'Base stats'!AL171="Standard",_xlfn.XLOOKUP(_xlfn.XLOOKUP(B171,'Base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stats'!AT:AT) * 1.8) * 2) * 2.5 + 10 + I171 * 2,5)+IF(_xlfn.XLOOKUP(B171,'Base stats'!B:B,'Base stats'!AI:AI)=1,50,0)</f>
        <v>30</v>
      </c>
      <c r="BS171" s="8">
        <f t="shared" ref="BS171" si="43">MROUND(AO171 * 0.2 + AQ171 * 0.8,0.05)</f>
        <v>0.25</v>
      </c>
      <c r="BT171" s="8" t="str">
        <f>_xlfn.XLOOKUP(B171,'Base stats'!B:B,'Base stats'!AD:AD)</f>
        <v>No</v>
      </c>
      <c r="BU171" s="2" t="str">
        <f>IF(AND(J171&lt;=0.95,OR(_xlfn.XLOOKUP(B171,'Base stats'!B:B,'Base stats'!AI:AI)=1,_xlfn.XLOOKUP(B171,'Base stats'!B:B,'Base stats'!Y:Y)="Carnivore",_xlfn.XLOOKUP(B171,'Base stats'!B:B,'Base stats'!Y:Y)="Omnivore",BE171&gt;0.1)),"true","false")</f>
        <v>true</v>
      </c>
      <c r="BV171" s="2" t="str">
        <f>IF(_xlfn.XLOOKUP(B171,'Base stats'!B:B,'Base stats'!AG:AG)=1,"true","false")</f>
        <v>false</v>
      </c>
      <c r="BW171" s="25" t="str">
        <f>IF(E171="BaseInsect","AnimalInsect",
IF(J171&gt;0.95,"AnimalExotic",
_xlfn.TEXTJOIN(", ",TRUE,
IF(OR(_xlfn.XLOOKUP(B171,'Base stats'!B:B,'Base stats'!AK:AK)=1,AND(_xlfn.XLOOKUP(B171,'Base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stats'!AI:AI)=1,AND(BI171&lt;&gt;"None",BR171&gt;=60),ISNUMBER(SEARCH("Attack target",BP171))),"AnimalFighter","")
)))</f>
        <v>AnimalUncommon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>AridShrubland Grasslands LavaField</v>
      </c>
      <c r="BY171" s="25" t="str">
        <f>IF(_xlfn.XLOOKUP(B171,'Base stats'!B:B,'Base stats'!AH:AH)=1,"true","false")</f>
        <v>false</v>
      </c>
      <c r="BZ171" s="25">
        <f>IF(_xlfn.XLOOKUP(B171,'Base stats'!B:B,'Base stats'!N:N)=1,"No",MAX(0.01,MIN(MROUND(IF(OR(_xlfn.XLOOKUP(B171,'Base stats'!B:B,'Base stats'!AK:AK)=1,AND(BJ171="True",CC171="False")),POWER(10,3.47*LOG10(_xlfn.XLOOKUP(B171,'Base stats'!B:B,'Base stats'!C:C)*1000)^-0.96),POWER(10,4.15*LOG10(_xlfn.XLOOKUP(B171,'Base stats'!B:B,'Base stats'!C:C)*1000)^-0.73))*IF(OR(_xlfn.XLOOKUP(B171,'Base stats'!B:B,'Base stats'!AK:AK)=1,_xlfn.XLOOKUP(B171,'Base stats'!B:B,'Base stats'!AI:AI)=1),0.5,1)/100,0.025),1)))</f>
        <v>7.5000000000000011E-2</v>
      </c>
      <c r="CA171" s="25" t="str">
        <f>IF(P171="Standard","No",MAX(0.01,IF(_xlfn.XLOOKUP(B171,'Base stats'!B:B,'Base stats'!N:N)=0,MROUND(BZ171*P171,0.05),MIN(1,MAX(0.025,MROUND(IF(OR(CC171="true",AND(BJ171="false",BO171="false")),POWER(10,4.15*LOG10(_xlfn.XLOOKUP(B171,'Base stats'!B:B,'Base stats'!C:C)*1000)^-0.73),POWER(10,3.47*LOG10(_xlfn.XLOOKUP(B171,'Base stats'!B:B,'Base stats'!C:C)*1000)^-0.96))*IF(_xlfn.XLOOKUP(B171,'Base stats'!B:B,'Base stats'!AI:AI)=1,0.5,1)/100,0.025))))))</f>
        <v>No</v>
      </c>
      <c r="CB171" s="25" t="str">
        <f>IF(_xlfn.XLOOKUP(_xlfn.XLOOKUP(B171,'Base stats'!B:B,'Base stats'!E:E),Groups!A:A,Groups!AJ:AJ)="Mammal","True","False")</f>
        <v>True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ref="CD171" si="44">IF(J171&gt;0.95,"True","False")</f>
        <v>False</v>
      </c>
      <c r="CE171" s="25" t="str">
        <f>IF(_xlfn.XLOOKUP(_xlfn.XLOOKUP(B171,'Base stats'!B:B,'Base stats'!E:E),Groups!A:A,Groups!AX:AX),"True","False")</f>
        <v>False</v>
      </c>
      <c r="CF171" s="25" t="str">
        <f>IF(_xlfn.XLOOKUP(_xlfn.XLOOKUP(B171,'Base stats'!B:B,'Base stats'!E:E),Groups!A:A,Groups!AY:AY),"True","False")</f>
        <v>False</v>
      </c>
      <c r="CG171" s="25" t="str">
        <f>IF(_xlfn.XLOOKUP(_xlfn.XLOOKUP(B171,'Base stats'!B:B,'Base stats'!E:E),Groups!A:A,Groups!AW:AW),"True","False")</f>
        <v>False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No</v>
      </c>
      <c r="CI171" s="25" t="str">
        <f>IF(_xlfn.XLOOKUP(_xlfn.XLOOKUP(B171,'Base stats'!B:B,'Base stats'!E:E),Groups!A:A,Groups!BB:BB),"True","False")</f>
        <v>True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">
        <v>1254</v>
      </c>
      <c r="B172" s="6" t="s">
        <v>1263</v>
      </c>
      <c r="C172" s="28" t="s">
        <v>1245</v>
      </c>
      <c r="D172" s="28" t="s">
        <v>1244</v>
      </c>
      <c r="E172" s="28" t="s">
        <v>685</v>
      </c>
      <c r="F172" s="28" t="s">
        <v>685</v>
      </c>
      <c r="G172" s="28" t="s">
        <v>685</v>
      </c>
      <c r="H172" s="2">
        <f>MROUND((
  (IF(AND(_xlfn.XLOOKUP(B172,'Base stats'!B:B,'Base stats'!AJ:AJ)=0,BI172="None",_xlfn.XLOOKUP(_xlfn.XLOOKUP(B172,'Base stats'!B:B,'Base stats'!E:E),Groups!A:A,Groups!B:B)=0), (18 + BR172 * 2.7) * 0.5,
    IF(AND(_xlfn.XLOOKUP(B172,'Base stats'!B:B,'Base stats'!AJ:AJ)=0,OR(AO172&lt;0.55,AND(BI172="Intermediate",_xlfn.XLOOKUP(_xlfn.XLOOKUP(B172,'Base stats'!B:B,'Base stats'!E:E),Groups!A:A,Groups!B:B)&lt;2))), (18 + BR172 * 2.7),
      IF(OR(BI172="Advanced",_xlfn.XLOOKUP(B172,'Base stats'!B:B,'Base stats'!AJ:AJ)=1,_xlfn.XLOOKUP(_xlfn.XLOOKUP(B172,'Base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1325</v>
      </c>
      <c r="I172" s="2">
        <f>MROUND(ROUNDDOWN(_xlfn.XLOOKUP(B172,'Base stats'!B:B,'Base stats'!L:L)/3.6/(23.3/11),1),0.5)</f>
        <v>6</v>
      </c>
      <c r="J172" s="2">
        <f>IF(_xlfn.XLOOKUP(_xlfn.XLOOKUP(B172,'Base stats'!B:B,'Base stats'!E:E),Groups!A:A,Groups!C:C)="Untamable",1,IF(_xlfn.XLOOKUP(B172,'Base stats'!B:B,'Base stats'!AJ:AJ)=1,0.99,MIN(MROUND((1-0.6282*EXP(-0.459*AO172))*_xlfn.XLOOKUP(_xlfn.XLOOKUP(B172,'Base stats'!B:B,'Base stats'!E:E),Groups!A:A,Groups!C:C)*IF(_xlfn.XLOOKUP(B172,'Base stats'!B:B,'Base stats'!O:O)=1,0.5,IF(_xlfn.XLOOKUP(B172,'Base stats'!B:B,'Base stats'!O:O)=2,0,1)),0.05),0.985)))</f>
        <v>0.85000000000000009</v>
      </c>
      <c r="K172" s="2">
        <f>ROUNDUP(AO172*_xlfn.XLOOKUP(_xlfn.XLOOKUP(B172,'Base stats'!B:B,'Base stats'!E:E),Groups!A:A,Groups!E:E),0)</f>
        <v>18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-10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45</v>
      </c>
      <c r="N172" s="8" t="str">
        <f>IF(_xlfn.XLOOKUP(_xlfn.XLOOKUP(B172,'Base stats'!B:B,'Base stats'!E:E),Groups!A:A,Groups!L:L)=1,MIN(MROUND(_xlfn.XLOOKUP(B172,'Animals CE'!B:B,'Animals CE'!Z:Z)/2+0.05,0.05),200%),"No")</f>
        <v>No</v>
      </c>
      <c r="O172" s="8" t="str">
        <f>IF(_xlfn.XLOOKUP(_xlfn.XLOOKUP(B172,'Base stats'!B:B,'Base stats'!E:E),Groups!A:A,Groups!L:L)=1,MIN(MROUND(_xlfn.XLOOKUP(B172,'Animals CE'!B:B,'Animals CE'!AA:AA)/2+0.05,0.05),200%),"No")</f>
        <v>No</v>
      </c>
      <c r="P172" s="2" t="str">
        <f>_xlfn.XLOOKUP(B172,'Base stats'!B:B,'Base stats'!R:R)</f>
        <v>Standard</v>
      </c>
      <c r="Q172" s="13">
        <f>MROUND((LOG10(_xlfn.XLOOKUP(B172,'Base stats'!B:B,'Base stats'!AP:AP))*(AO172^0.5)+(_xlfn.XLOOKUP(B172,'Base stats'!B:B,'Base stats'!AP:AP)/1000)^(2/3)+_xlfn.XLOOKUP(B172,'Base stats'!B:B,'Base stats'!AY:AY)/2)+0.5,0.5)</f>
        <v>21</v>
      </c>
      <c r="R172" s="7">
        <f>IF(Q172="No","No",MAX(1,MROUND(_xlfn.XLOOKUP(B172,'Base stats'!B:B,'Base stats'!C:C)^0.165,0.05)))</f>
        <v>3.2</v>
      </c>
      <c r="S172" s="13" t="str">
        <f>IF(_xlfn.XLOOKUP(_xlfn.XLOOKUP(B172,'Base stats'!B:B,'Base stats'!E:E),Groups!A:A,Groups!P:P)=0,"No",MROUND((LOG10(_xlfn.XLOOKUP(B172,'Base stats'!B:B,'Base stats'!AQ:AQ))*(AO172^0.5)+(_xlfn.XLOOKUP(B172,'Base stats'!B:B,'Base stats'!AQ:AQ)/1000)^(2/3)+_xlfn.XLOOKUP(B172,'Base stats'!B:B,'Base stats'!AY:AY))+_xlfn.XLOOKUP(B172,'Base stats'!B:B,'Base stats'!AW:AW)+0.5,0.5))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>
        <f>IF(_xlfn.XLOOKUP(B172,'Base stats'!B:B,'Base stats'!W:W)="No","No",MROUND((LOG10(_xlfn.XLOOKUP(B172,'Base stats'!B:B,'Base stats'!AS:AS))*(AO172^0.5)+(_xlfn.XLOOKUP(B172,'Base stats'!B:B,'Base stats'!AS:AS)/1000)^(2/3)+_xlfn.XLOOKUP(B172,'Base stats'!B:B,'Base stats'!AX:AX))+0.5+IF(_xlfn.XLOOKUP(_xlfn.XLOOKUP(B172,'Base stats'!B:B,'Base stats'!E:E),Groups!A:A,Groups!U:U)&lt;&gt;3,_xlfn.XLOOKUP(B172,'Base stats'!B:B,'Base stats'!AY:AY),0),0.5))</f>
        <v>32.5</v>
      </c>
      <c r="Y172" s="7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2.2000000000000002</v>
      </c>
      <c r="Z172" s="7" t="str">
        <f>IF(X172="No","No",_xlfn.XLOOKUP(_xlfn.XLOOKUP(B172,'Base stats'!B:B,'Base stats'!E:E),Groups!A:A,Groups!W:W))</f>
        <v>HeadAttackTool</v>
      </c>
      <c r="AA172" s="7" t="str">
        <f>IF(X172="No","No",_xlfn.XLOOKUP(_xlfn.XLOOKUP(B172,'Base stats'!B:B,'Base stats'!E:E),Groups!A:A,Groups!X:X))</f>
        <v>horn</v>
      </c>
      <c r="AB172" s="7" t="str">
        <f>IF(X172="No","No",_xlfn.XLOOKUP(_xlfn.XLOOKUP(B172,'Base stats'!B:B,'Base stats'!E:E),Groups!A:A,Groups!Y:Y))</f>
        <v>Scratch</v>
      </c>
      <c r="AC172" s="7" t="str">
        <f>_xlfn.XLOOKUP(Animals!B172,'Base stats'!B:B,'Base stats'!X:X)</f>
        <v>False</v>
      </c>
      <c r="AD172" s="13">
        <f>IF(_xlfn.XLOOKUP(B172,'Base stats'!B:B,'Base stats'!AR:AR)="No","No",MROUND((LOG10(_xlfn.XLOOKUP(B172,'Base stats'!B:B,'Base stats'!AR:AR))*(AO172^0.75)+(_xlfn.XLOOKUP(B172,'Base stats'!B:B,'Base stats'!AR:AR)/1000)^(2/3)+_xlfn.XLOOKUP(B172,'Base stats'!B:B,'Base stats'!AV:AV)+_xlfn.XLOOKUP(B172,'Base stats'!B:B,'Base stats'!AY:AY))+0.5,0.5))</f>
        <v>27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3.2</v>
      </c>
      <c r="AF172" s="7" t="str">
        <f>IF(AD172="No","No",_xlfn.XLOOKUP(_xlfn.XLOOKUP(B172,'Base stats'!B:B,'Base stats'!E:E),Groups!A:A,Groups!AA:AA))</f>
        <v>Teeth</v>
      </c>
      <c r="AG172" s="7" t="str">
        <f>IF(AD172="No","No",_xlfn.XLOOKUP(_xlfn.XLOOKUP(B172,'Base stats'!B:B,'Base stats'!E:E),Groups!A:A,Groups!AB:AB))</f>
        <v>teeth</v>
      </c>
      <c r="AH172" s="7" t="str">
        <f>IF(AD172="No","No",_xlfn.XLOOKUP(_xlfn.XLOOKUP(B172,'Base stats'!B:B,'Base stats'!E:E),Groups!A:A,Groups!AC:AC))</f>
        <v>Bite</v>
      </c>
      <c r="AI172" s="13" t="str">
        <f>IF(_xlfn.XLOOKUP(_xlfn.XLOOKUP(B172,'Base stats'!B:B,'Base stats'!E:E),Groups!A:A,Groups!AD:AD)=0,"No",MROUND((LOG10(_xlfn.XLOOKUP(B172,'Base stats'!B:B,'Base stats'!AQ:AQ))*(AO172^0.75)+(_xlfn.XLOOKUP(B172,'Base stats'!B:B,'Base stats'!AQ:AQ)/1000)^(2/3)+_xlfn.XLOOKUP(B172,'Base stats'!B:B,'Base stats'!AW:AW)+_xlfn.XLOOKUP(B172,'Base stats'!B:B,'Base stats'!AY:AY))+0.5,0.5))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ref="AN172:AN180" si="45">IF(BJ172="false","No",MROUND(AO172*5+15*1,5))</f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3.5</v>
      </c>
      <c r="AP172" s="8">
        <f>MROUND(AO172*_xlfn.XLOOKUP(_xlfn.XLOOKUP(B172,'Base stats'!B:B,'Base stats'!E:E),Groups!A:A,Groups!AI:AI),0.05)</f>
        <v>4.2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1.75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50</v>
      </c>
      <c r="AS172" s="35">
        <f>IFERROR(IF(_xlfn.XLOOKUP(B172,'Base stats'!B:B,'Base stats'!F:F)="Lay eggs","Lay eggs",MIN(20,MAX(5.5,ROUND(((_xlfn.XLOOKUP(B172,'Base stats'!B:B,'Base stats'!F:F)-25)*(14.5/615) + 5.5)*2,0)/2))),"Cannot breed")</f>
        <v>16</v>
      </c>
      <c r="AT172" s="8">
        <f>IF(OR(A172="Queen",A172="Larva",A172="Megachicken",A172="Megatardi",A172="Toxscorpion"),"No",IFERROR(MAX(IF(_xlfn.XLOOKUP(B172,'Base stats'!B:B,'Base stats'!G:G)&lt;0.5,0.2,0.3),MROUND(_xlfn.XLOOKUP(B172,'Base stats'!B:B,'Base stats'!G:G)/(365/60),0.2)),"Unknown"))</f>
        <v>0.8</v>
      </c>
      <c r="AU172" s="8">
        <f t="shared" si="14"/>
        <v>0.4</v>
      </c>
      <c r="AV172" s="8">
        <f>IFERROR(IFERROR(MROUND(_xlfn.XLOOKUP(B172,'Base stats'!B:B,'Base stats'!J:J),0.1),"Lay eggs"),"Cannot breed")</f>
        <v>1</v>
      </c>
      <c r="AW172" s="2" t="str">
        <f t="shared" ref="AW172:AW180" si="46">IF(BT172="No","false","true")</f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</f>
        <v>VegetarianRoughAnimal</v>
      </c>
      <c r="AZ172" s="2">
        <f>IF(_xlfn.XLOOKUP(_xlfn.XLOOKUP(B172,'Base stats'!B:B,'Base stats'!E:E),Groups!A:A,Groups!D:D)=1,MROUND((1-J172)*5+1,2)*IF(J172&lt;=0.4,2,1),"No")</f>
        <v>2</v>
      </c>
      <c r="BA172" s="2" t="str">
        <f>_xlfn.XLOOKUP(B172,'Base stats'!B:B,'Base stats'!AF:AF)</f>
        <v>&lt;li&gt;Rhinoceros&lt;/li&gt;</v>
      </c>
      <c r="BB172" s="2" t="str">
        <f>_xlfn.XLOOKUP(B172,'Base stats'!B:B,'Base stats'!AE:AE)</f>
        <v>Leather_Rhinoceros</v>
      </c>
      <c r="BC172" s="23" t="str">
        <f>_xlfn.XLOOKUP(_xlfn.XLOOKUP(B172,'Base stats'!B:B,'Base stats'!E:E),Groups!A:A,Groups!AL:AL)</f>
        <v>QuadrupedAnimalWithHoovesAndHorn</v>
      </c>
      <c r="BD172" s="23">
        <f>MIN(1,MROUND(IF(AND(AO172&lt;0.5,_xlfn.XLOOKUP(B172,'Base stats'!B:B,'Base stats'!Z:Z)=0),0,IF(OR(_xlfn.XLOOKUP(Animals!B172,'Base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stats'!AA:AA),0.005))</f>
        <v>0.05</v>
      </c>
      <c r="BE172" s="23">
        <f>MIN(1,MROUND(IF(AND(AO172&lt;0.5,_xlfn.XLOOKUP(B172,'Base stats'!B:B,'Base stats'!Z:Z)=0),0,IF(_xlfn.XLOOKUP(_xlfn.XLOOKUP(B172,'Base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stats'!AB:AB),0.005))</f>
        <v>0.3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None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ref="BL172:BL180" si="47">IF(BI172&lt;&gt;"None",1,0)</f>
        <v>0</v>
      </c>
      <c r="BM172" s="25" t="str">
        <f>IF(_xlfn.XLOOKUP(B172,'Base stats'!B:B,'Base stats'!AL:AL)="Standard","No",MROUND((_xlfn.XLOOKUP(B172,'Base stats'!B:B,'Base stats'!AL:AL)/3.6)/I172,0.1))</f>
        <v>No</v>
      </c>
      <c r="BN172" s="25" t="str">
        <f t="shared" ref="BN172:BN180" si="48">IF(OR(BM172&lt;&gt;"No",BQ172=1),"true","false")</f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stats'!AC:AC)&lt;&gt;"No",_xlfn.XLOOKUP(B172,'Base stats'!B:B,'Base stats'!AC:AC),"")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stats'!AC:AC)&lt;&gt;"No",_xlfn.XLOOKUP(B172,'Base stats'!B:B,'Base stats'!AC:AC),"")
  )
)</f>
        <v>No</v>
      </c>
      <c r="BQ172" s="25" t="str">
        <f>IF(
   AND(
      'Base stats'!AL172="Standard",_xlfn.XLOOKUP(_xlfn.XLOOKUP(B172,'Base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stats'!AT:AT) * 1.8) * 2) * 2.5 + 10 + I172 * 2,5)+IF(_xlfn.XLOOKUP(B172,'Base stats'!B:B,'Base stats'!AI:AI)=1,50,0)</f>
        <v>370</v>
      </c>
      <c r="BS172" s="8">
        <f t="shared" ref="BS172:BS180" si="49">MROUND(AO172 * 0.2 + AQ172 * 0.8,0.05)</f>
        <v>2.1</v>
      </c>
      <c r="BT172" s="8" t="str">
        <f>_xlfn.XLOOKUP(B172,'Base stats'!B:B,'Base stats'!AD:AD)</f>
        <v>No</v>
      </c>
      <c r="BU172" s="2" t="str">
        <f>IF(AND(J172&lt;=0.95,OR(_xlfn.XLOOKUP(B172,'Base stats'!B:B,'Base stats'!AI:AI)=1,_xlfn.XLOOKUP(B172,'Base stats'!B:B,'Base stats'!Y:Y)="Carnivore",_xlfn.XLOOKUP(B172,'Base stats'!B:B,'Base stats'!Y:Y)="Omnivore",BE172&gt;0.1)),"true","false")</f>
        <v>true</v>
      </c>
      <c r="BV172" s="2" t="str">
        <f>IF(_xlfn.XLOOKUP(B172,'Base stats'!B:B,'Base stats'!AG:AG)=1,"true","false")</f>
        <v>false</v>
      </c>
      <c r="BW172" s="25" t="str">
        <f>IF(E172="BaseInsect","AnimalInsect",
IF(J172&gt;0.95,"AnimalExotic",
_xlfn.TEXTJOIN(", ",TRUE,
IF(OR(_xlfn.XLOOKUP(B172,'Base stats'!B:B,'Base stats'!AK:AK)=1,AND(_xlfn.XLOOKUP(B172,'Base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stats'!AI:AI)=1,AND(BI172&lt;&gt;"None",BR172&gt;=60),ISNUMBER(SEARCH("Attack target",BP172))),"AnimalFighter","")
)))</f>
        <v>AnimalUncommon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>AridShrubland Grasslands</v>
      </c>
      <c r="BY172" s="25" t="str">
        <f>IF(_xlfn.XLOOKUP(B172,'Base stats'!B:B,'Base stats'!AH:AH)=1,"true","false")</f>
        <v>false</v>
      </c>
      <c r="BZ172" s="25">
        <f>IF(_xlfn.XLOOKUP(B172,'Base stats'!B:B,'Base stats'!N:N)=1,"No",MAX(0.01,MIN(MROUND(IF(OR(_xlfn.XLOOKUP(B172,'Base stats'!B:B,'Base stats'!AK:AK)=1,AND(BJ172="True",CC172="False")),POWER(10,3.47*LOG10(_xlfn.XLOOKUP(B172,'Base stats'!B:B,'Base stats'!C:C)*1000)^-0.96),POWER(10,4.15*LOG10(_xlfn.XLOOKUP(B172,'Base stats'!B:B,'Base stats'!C:C)*1000)^-0.73))*IF(OR(_xlfn.XLOOKUP(B172,'Base stats'!B:B,'Base stats'!AK:AK)=1,_xlfn.XLOOKUP(B172,'Base stats'!B:B,'Base stats'!AI:AI)=1),0.5,1)/100,0.025),1)))</f>
        <v>2.5000000000000001E-2</v>
      </c>
      <c r="CA172" s="25" t="str">
        <f>IF(P172="Standard","No",MAX(0.01,IF(_xlfn.XLOOKUP(B172,'Base stats'!B:B,'Base stats'!N:N)=0,MROUND(BZ172*P172,0.05),MIN(1,MAX(0.025,MROUND(IF(OR(CC172="true",AND(BJ172="false",BO172="false")),POWER(10,4.15*LOG10(_xlfn.XLOOKUP(B172,'Base stats'!B:B,'Base stats'!C:C)*1000)^-0.73),POWER(10,3.47*LOG10(_xlfn.XLOOKUP(B172,'Base stats'!B:B,'Base stats'!C:C)*1000)^-0.96))*IF(_xlfn.XLOOKUP(B172,'Base stats'!B:B,'Base stats'!AI:AI)=1,0.5,1)/100,0.025))))))</f>
        <v>No</v>
      </c>
      <c r="CB172" s="25" t="str">
        <f>IF(_xlfn.XLOOKUP(_xlfn.XLOOKUP(B172,'Base stats'!B:B,'Base stats'!E:E),Groups!A:A,Groups!AJ:AJ)="Mammal","True","False")</f>
        <v>True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ref="CD172:CD180" si="50">IF(J172&gt;0.95,"True","False")</f>
        <v>False</v>
      </c>
      <c r="CE172" s="25" t="str">
        <f>IF(_xlfn.XLOOKUP(_xlfn.XLOOKUP(B172,'Base stats'!B:B,'Base stats'!E:E),Groups!A:A,Groups!AX:AX),"True","False")</f>
        <v>False</v>
      </c>
      <c r="CF172" s="25" t="str">
        <f>IF(_xlfn.XLOOKUP(_xlfn.XLOOKUP(B172,'Base stats'!B:B,'Base stats'!E:E),Groups!A:A,Groups!AY:AY),"True","False")</f>
        <v>False</v>
      </c>
      <c r="CG172" s="25" t="str">
        <f>IF(_xlfn.XLOOKUP(_xlfn.XLOOKUP(B172,'Base stats'!B:B,'Base stats'!E:E),Groups!A:A,Groups!AW:AW),"True","False")</f>
        <v>False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No</v>
      </c>
      <c r="CI172" s="25" t="str">
        <f>IF(_xlfn.XLOOKUP(_xlfn.XLOOKUP(B172,'Base stats'!B:B,'Base stats'!E:E),Groups!A:A,Groups!BB:BB),"True","False")</f>
        <v>True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">
        <v>1255</v>
      </c>
      <c r="B173" s="6" t="s">
        <v>1264</v>
      </c>
      <c r="C173" s="28" t="s">
        <v>1246</v>
      </c>
      <c r="D173" s="28" t="s">
        <v>1244</v>
      </c>
      <c r="E173" s="28" t="s">
        <v>685</v>
      </c>
      <c r="F173" s="28" t="s">
        <v>685</v>
      </c>
      <c r="G173" s="28" t="s">
        <v>685</v>
      </c>
      <c r="H173" s="2">
        <f>MROUND((
  (IF(AND(_xlfn.XLOOKUP(B173,'Base stats'!B:B,'Base stats'!AJ:AJ)=0,BI173="None",_xlfn.XLOOKUP(_xlfn.XLOOKUP(B173,'Base stats'!B:B,'Base stats'!E:E),Groups!A:A,Groups!B:B)=0), (18 + BR173 * 2.7) * 0.5,
    IF(AND(_xlfn.XLOOKUP(B173,'Base stats'!B:B,'Base stats'!AJ:AJ)=0,OR(AO173&lt;0.55,AND(BI173="Intermediate",_xlfn.XLOOKUP(_xlfn.XLOOKUP(B173,'Base stats'!B:B,'Base stats'!E:E),Groups!A:A,Groups!B:B)&lt;2))), (18 + BR173 * 2.7),
      IF(OR(BI173="Advanced",_xlfn.XLOOKUP(B173,'Base stats'!B:B,'Base stats'!AJ:AJ)=1,_xlfn.XLOOKUP(_xlfn.XLOOKUP(B173,'Base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450</v>
      </c>
      <c r="I173" s="2">
        <f>MROUND(ROUNDDOWN(_xlfn.XLOOKUP(B173,'Base stats'!B:B,'Base stats'!L:L)/3.6/(23.3/11),1),0.5)</f>
        <v>4</v>
      </c>
      <c r="J173" s="2">
        <f>IF(_xlfn.XLOOKUP(_xlfn.XLOOKUP(B173,'Base stats'!B:B,'Base stats'!E:E),Groups!A:A,Groups!C:C)="Untamable",1,IF(_xlfn.XLOOKUP(B173,'Base stats'!B:B,'Base stats'!AJ:AJ)=1,0.99,MIN(MROUND((1-0.6282*EXP(-0.459*AO173))*_xlfn.XLOOKUP(_xlfn.XLOOKUP(B173,'Base stats'!B:B,'Base stats'!E:E),Groups!A:A,Groups!C:C)*IF(_xlfn.XLOOKUP(B173,'Base stats'!B:B,'Base stats'!O:O)=1,0.5,IF(_xlfn.XLOOKUP(B173,'Base stats'!B:B,'Base stats'!O:O)=2,0,1)),0.05),0.985)))</f>
        <v>0.75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40</v>
      </c>
      <c r="N173" s="8" t="str">
        <f>IF(_xlfn.XLOOKUP(_xlfn.XLOOKUP(B173,'Base stats'!B:B,'Base stats'!E:E),Groups!A:A,Groups!L:L)=1,MIN(MROUND(_xlfn.XLOOKUP(B173,'Animals CE'!B:B,'Animals CE'!Z:Z)/2+0.05,0.05),200%),"No")</f>
        <v>No</v>
      </c>
      <c r="O173" s="8" t="str">
        <f>IF(_xlfn.XLOOKUP(_xlfn.XLOOKUP(B173,'Base stats'!B:B,'Base stats'!E:E),Groups!A:A,Groups!L:L)=1,MIN(MROUND(_xlfn.XLOOKUP(B173,'Animals CE'!B:B,'Animals CE'!AA:AA)/2+0.05,0.05),200%),"No")</f>
        <v>No</v>
      </c>
      <c r="P173" s="2" t="str">
        <f>_xlfn.XLOOKUP(B173,'Base stats'!B:B,'Base stats'!R:R)</f>
        <v>Standard</v>
      </c>
      <c r="Q173" s="13">
        <f>MROUND((LOG10(_xlfn.XLOOKUP(B173,'Base stats'!B:B,'Base stats'!AP:AP))*(AO173^0.5)+(_xlfn.XLOOKUP(B173,'Base stats'!B:B,'Base stats'!AP:AP)/1000)^(2/3)+_xlfn.XLOOKUP(B173,'Base stats'!B:B,'Base stats'!AY:AY)/2)+0.5,0.5)</f>
        <v>6</v>
      </c>
      <c r="R173" s="7">
        <f>IF(Q173="No","No",MAX(1,MROUND(_xlfn.XLOOKUP(B173,'Base stats'!B:B,'Base stats'!C:C)^0.165,0.05)))</f>
        <v>1.85</v>
      </c>
      <c r="S173" s="13" t="str">
        <f>IF(_xlfn.XLOOKUP(_xlfn.XLOOKUP(B173,'Base stats'!B:B,'Base stats'!E:E),Groups!A:A,Groups!P:P)=0,"No",MROUND((LOG10(_xlfn.XLOOKUP(B173,'Base stats'!B:B,'Base stats'!AQ:AQ))*(AO173^0.5)+(_xlfn.XLOOKUP(B173,'Base stats'!B:B,'Base stats'!AQ:AQ)/1000)^(2/3)+_xlfn.XLOOKUP(B173,'Base stats'!B:B,'Base stats'!AY:AY))+_xlfn.XLOOKUP(B173,'Base stats'!B:B,'Base stats'!AW:AW)+0.5,0.5))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stats'!AS:AS))*(AO173^0.5)+(_xlfn.XLOOKUP(B173,'Base stats'!B:B,'Base stats'!AS:AS)/1000)^(2/3)+_xlfn.XLOOKUP(B173,'Base stats'!B:B,'Base stats'!AX:AX))+0.5+IF(_xlfn.XLOOKUP(_xlfn.XLOOKUP(B173,'Base stats'!B:B,'Base stats'!E:E),Groups!A:A,Groups!U:U)&lt;&gt;3,_xlfn.XLOOKUP(B173,'Base stats'!B:B,'Base stats'!AY:AY),0),0.5))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stats'!AR:AR)="No","No",MROUND((LOG10(_xlfn.XLOOKUP(B173,'Base stats'!B:B,'Base stats'!AR:AR))*(AO173^0.75)+(_xlfn.XLOOKUP(B173,'Base stats'!B:B,'Base stats'!AR:AR)/1000)^(2/3)+_xlfn.XLOOKUP(B173,'Base stats'!B:B,'Base stats'!AV:AV)+_xlfn.XLOOKUP(B173,'Base stats'!B:B,'Base stats'!AY:AY))+0.5,0.5))</f>
        <v>9.5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1.55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stats'!AQ:AQ))*(AO173^0.75)+(_xlfn.XLOOKUP(B173,'Base stats'!B:B,'Base stats'!AQ:AQ)/1000)^(2/3)+_xlfn.XLOOKUP(B173,'Base stats'!B:B,'Base stats'!AW:AW)+_xlfn.XLOOKUP(B173,'Base stats'!B:B,'Base stats'!AY:AY))+0.5,0.5))</f>
        <v>7.5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1.2000000000000002</v>
      </c>
      <c r="AK173" s="7" t="str">
        <f>IF(AI173="No","No",_xlfn.XLOOKUP(_xlfn.XLOOKUP(B173,'Base stats'!B:B,'Base stats'!E:E),Groups!A:A,Groups!AF:AF))</f>
        <v>LeftHand, RightHand</v>
      </c>
      <c r="AL173" s="7" t="str">
        <f>IF(AI173="No","No",_xlfn.XLOOKUP(_xlfn.XLOOKUP(B173,'Base stats'!B:B,'Base stats'!E:E),Groups!A:A,Groups!AG:AG))</f>
        <v>left fist, right fist</v>
      </c>
      <c r="AM173" s="7" t="str">
        <f>IF(AI173="No","No",_xlfn.XLOOKUP(_xlfn.XLOOKUP(B173,'Base stats'!B:B,'Base stats'!E:E),Groups!A:A,Groups!AH:AH))</f>
        <v>Blunt</v>
      </c>
      <c r="AN173" s="2" t="str">
        <f t="shared" si="45"/>
        <v>No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0.8</v>
      </c>
      <c r="AP173" s="8">
        <f>MROUND(AO173*_xlfn.XLOOKUP(_xlfn.XLOOKUP(B173,'Base stats'!B:B,'Base stats'!E:E),Groups!A:A,Groups!AI:AI),0.05)</f>
        <v>0.8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45</v>
      </c>
      <c r="AS173" s="35">
        <f>IFERROR(IF(_xlfn.XLOOKUP(B173,'Base stats'!B:B,'Base stats'!F:F)="Lay eggs","Lay eggs",MIN(20,MAX(5.5,ROUND(((_xlfn.XLOOKUP(B173,'Base stats'!B:B,'Base stats'!F:F)-25)*(14.5/615) + 5.5)*2,0)/2))),"Cannot breed")</f>
        <v>10.5</v>
      </c>
      <c r="AT173" s="8">
        <f>IF(OR(A173="Queen",A173="Larva",A173="Megachicken",A173="Megatardi",A173="Toxscorpion"),"No",IFERROR(MAX(IF(_xlfn.XLOOKUP(B173,'Base stats'!B:B,'Base stats'!G:G)&lt;0.5,0.2,0.3),MROUND(_xlfn.XLOOKUP(B173,'Base stats'!B:B,'Base stats'!G:G)/(365/60),0.2)),"Unknown"))</f>
        <v>1.4000000000000001</v>
      </c>
      <c r="AU173" s="8">
        <f t="shared" si="14"/>
        <v>0.70000000000000007</v>
      </c>
      <c r="AV173" s="8">
        <f>IFERROR(IFERROR(MROUND(_xlfn.XLOOKUP(B173,'Base stats'!B:B,'Base stats'!J:J),0.1),"Lay eggs"),"Cannot breed")</f>
        <v>1</v>
      </c>
      <c r="AW173" s="2" t="str">
        <f t="shared" si="46"/>
        <v>true</v>
      </c>
      <c r="AX173" s="2" t="str">
        <f>IF(_xlfn.XLOOKUP(_xlfn.XLOOKUP(Animals!B173,'Base stats'!B:B,'Base stats'!E:E),Groups!A:A,Groups!AK:AK)=1,"true","false")</f>
        <v>false</v>
      </c>
      <c r="AY173" s="25" t="str">
        <f>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</f>
        <v>VegetarianRoughAnimal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_xlfn.XLOOKUP(B173,'Base stats'!B:B,'Base stats'!AF:AF)</f>
        <v>&lt;li&gt;Monkey&lt;/li&gt;</v>
      </c>
      <c r="BB173" s="2" t="str">
        <f>_xlfn.XLOOKUP(B173,'Base stats'!B:B,'Base stats'!AE:AE)</f>
        <v>Leather_Light</v>
      </c>
      <c r="BC173" s="23" t="str">
        <f>_xlfn.XLOOKUP(_xlfn.XLOOKUP(B173,'Base stats'!B:B,'Base stats'!E:E),Groups!A:A,Groups!AL:AL)</f>
        <v>Ape</v>
      </c>
      <c r="BD173" s="23">
        <f>MIN(1,MROUND(IF(AND(AO173&lt;0.5,_xlfn.XLOOKUP(B173,'Base stats'!B:B,'Base stats'!Z:Z)=0),0,IF(OR(_xlfn.XLOOKUP(Animals!B173,'Base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stats'!AA:AA),0.005))</f>
        <v>2.5000000000000001E-2</v>
      </c>
      <c r="BE173" s="23">
        <f>MIN(1,MROUND(IF(AND(AO173&lt;0.5,_xlfn.XLOOKUP(B173,'Base stats'!B:B,'Base stats'!Z:Z)=0),0,IF(_xlfn.XLOOKUP(_xlfn.XLOOKUP(B173,'Base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stats'!AB:AB),0.005))</f>
        <v>0.1</v>
      </c>
      <c r="BF173" s="2" t="str">
        <f>IF(J173&gt;0.3,"No",_xlfn.XLOOKUP(_xlfn.XLOOKUP(Animals!B173,'Base stats'!B:B,'Base stats'!E:E),Groups!A:A,Groups!AP:AP))</f>
        <v>No</v>
      </c>
      <c r="BG173" s="2" t="str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No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Advanced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false</v>
      </c>
      <c r="BK173" s="2" t="str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No</v>
      </c>
      <c r="BL173" s="2">
        <f t="shared" si="47"/>
        <v>1</v>
      </c>
      <c r="BM173" s="25" t="str">
        <f>IF(_xlfn.XLOOKUP(B173,'Base stats'!B:B,'Base stats'!AL:AL)="Standard","No",MROUND((_xlfn.XLOOKUP(B173,'Base stats'!B:B,'Base stats'!AL:AL)/3.6)/I173,0.1))</f>
        <v>No</v>
      </c>
      <c r="BN173" s="25" t="str">
        <f t="shared" si="4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stats'!AC:AC)&lt;&gt;"No",_xlfn.XLOOKUP(B173,'Base stats'!B:B,'Base stats'!AC:AC),"")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stats'!AC:AC)&lt;&gt;"No",_xlfn.XLOOKUP(B173,'Base stats'!B:B,'Base stats'!AC:AC),"")
  )
)</f>
        <v>Forage</v>
      </c>
      <c r="BQ173" s="25" t="str">
        <f>IF(
   AND(
      'Base stats'!AL173="Standard",_xlfn.XLOOKUP(_xlfn.XLOOKUP(B173,'Base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stats'!AT:AT) * 1.8) * 2) * 2.5 + 10 + I173 * 2,5)+IF(_xlfn.XLOOKUP(B173,'Base stats'!B:B,'Base stats'!AI:AI)=1,50,0)</f>
        <v>75</v>
      </c>
      <c r="BS173" s="8">
        <f t="shared" si="49"/>
        <v>0.55000000000000004</v>
      </c>
      <c r="BT173" s="8" t="str">
        <f>_xlfn.XLOOKUP(B173,'Base stats'!B:B,'Base stats'!AD:AD)</f>
        <v>3~10</v>
      </c>
      <c r="BU173" s="2" t="str">
        <f>IF(AND(J173&lt;=0.95,OR(_xlfn.XLOOKUP(B173,'Base stats'!B:B,'Base stats'!AI:AI)=1,_xlfn.XLOOKUP(B173,'Base stats'!B:B,'Base stats'!Y:Y)="Carnivore",_xlfn.XLOOKUP(B173,'Base stats'!B:B,'Base stats'!Y:Y)="Omnivore",BE173&gt;0.1)),"true","false")</f>
        <v>false</v>
      </c>
      <c r="BV173" s="2" t="str">
        <f>IF(_xlfn.XLOOKUP(B173,'Base stats'!B:B,'Base stats'!AG:AG)=1,"true","false")</f>
        <v>false</v>
      </c>
      <c r="BW173" s="25" t="str">
        <f>IF(E173="BaseInsect","AnimalInsect",
IF(J173&gt;0.95,"AnimalExotic",
_xlfn.TEXTJOIN(", ",TRUE,
IF(OR(_xlfn.XLOOKUP(B173,'Base stats'!B:B,'Base stats'!AK:AK)=1,AND(_xlfn.XLOOKUP(B173,'Base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stats'!AI:AI)=1,AND(BI173&lt;&gt;"None",BR173&gt;=60),ISNUMBER(SEARCH("Attack target",BP173))),"AnimalFighter","")
)))</f>
        <v>AnimalUncommon, AnimalFighter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TropicalRainforest TropicalSwamp Glowforest</v>
      </c>
      <c r="BY173" s="25" t="str">
        <f>IF(_xlfn.XLOOKUP(B173,'Base stats'!B:B,'Base stats'!AH:AH)=1,"true","false")</f>
        <v>false</v>
      </c>
      <c r="BZ173" s="25">
        <f>IF(_xlfn.XLOOKUP(B173,'Base stats'!B:B,'Base stats'!N:N)=1,"No",MAX(0.01,MIN(MROUND(IF(OR(_xlfn.XLOOKUP(B173,'Base stats'!B:B,'Base stats'!AK:AK)=1,AND(BJ173="True",CC173="False")),POWER(10,3.47*LOG10(_xlfn.XLOOKUP(B173,'Base stats'!B:B,'Base stats'!C:C)*1000)^-0.96),POWER(10,4.15*LOG10(_xlfn.XLOOKUP(B173,'Base stats'!B:B,'Base stats'!C:C)*1000)^-0.73))*IF(OR(_xlfn.XLOOKUP(B173,'Base stats'!B:B,'Base stats'!AK:AK)=1,_xlfn.XLOOKUP(B173,'Base stats'!B:B,'Base stats'!AI:AI)=1),0.5,1)/100,0.025),1)))</f>
        <v>2.5000000000000001E-2</v>
      </c>
      <c r="CA173" s="25" t="str">
        <f>IF(P173="Standard","No",MAX(0.01,IF(_xlfn.XLOOKUP(B173,'Base stats'!B:B,'Base stats'!N:N)=0,MROUND(BZ173*P173,0.05),MIN(1,MAX(0.025,MROUND(IF(OR(CC173="true",AND(BJ173="false",BO173="false")),POWER(10,4.15*LOG10(_xlfn.XLOOKUP(B173,'Base stats'!B:B,'Base stats'!C:C)*1000)^-0.73),POWER(10,3.47*LOG10(_xlfn.XLOOKUP(B173,'Base stats'!B:B,'Base stats'!C:C)*1000)^-0.96))*IF(_xlfn.XLOOKUP(B173,'Base stats'!B:B,'Base stats'!AI:AI)=1,0.5,1)/100,0.025))))))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5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1256</v>
      </c>
      <c r="B174" s="6" t="s">
        <v>1265</v>
      </c>
      <c r="C174" s="28" t="s">
        <v>1247</v>
      </c>
      <c r="D174" s="28" t="s">
        <v>1244</v>
      </c>
      <c r="E174" s="28" t="s">
        <v>687</v>
      </c>
      <c r="F174" s="28" t="s">
        <v>688</v>
      </c>
      <c r="G174" s="28" t="s">
        <v>685</v>
      </c>
      <c r="H174" s="2">
        <f>MROUND((
  (IF(AND(_xlfn.XLOOKUP(B174,'Base stats'!B:B,'Base stats'!AJ:AJ)=0,BI174="None",_xlfn.XLOOKUP(_xlfn.XLOOKUP(B174,'Base stats'!B:B,'Base stats'!E:E),Groups!A:A,Groups!B:B)=0), (18 + BR174 * 2.7) * 0.5,
    IF(AND(_xlfn.XLOOKUP(B174,'Base stats'!B:B,'Base stats'!AJ:AJ)=0,OR(AO174&lt;0.55,AND(BI174="Intermediate",_xlfn.XLOOKUP(_xlfn.XLOOKUP(B174,'Base stats'!B:B,'Base stats'!E:E),Groups!A:A,Groups!B:B)&lt;2))), (18 + BR174 * 2.7),
      IF(OR(BI174="Advanced",_xlfn.XLOOKUP(B174,'Base stats'!B:B,'Base stats'!AJ:AJ)=1,_xlfn.XLOOKUP(_xlfn.XLOOKUP(B174,'Base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325</v>
      </c>
      <c r="I174" s="2">
        <f>MROUND(ROUNDDOWN(_xlfn.XLOOKUP(B174,'Base stats'!B:B,'Base stats'!L:L)/3.6/(23.3/11),1),0.5)</f>
        <v>8</v>
      </c>
      <c r="J174" s="2">
        <f>IF(_xlfn.XLOOKUP(_xlfn.XLOOKUP(B174,'Base stats'!B:B,'Base stats'!E:E),Groups!A:A,Groups!C:C)="Untamable",1,IF(_xlfn.XLOOKUP(B174,'Base stats'!B:B,'Base stats'!AJ:AJ)=1,0.99,MIN(MROUND((1-0.6282*EXP(-0.459*AO174))*_xlfn.XLOOKUP(_xlfn.XLOOKUP(B174,'Base stats'!B:B,'Base stats'!E:E),Groups!A:A,Groups!C:C)*IF(_xlfn.XLOOKUP(B174,'Base stats'!B:B,'Base stats'!O:O)=1,0.5,IF(_xlfn.XLOOKUP(B174,'Base stats'!B:B,'Base stats'!O:O)=2,0,1)),0.05),0.985)))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-35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35</v>
      </c>
      <c r="N174" s="8" t="str">
        <f>IF(_xlfn.XLOOKUP(_xlfn.XLOOKUP(B174,'Base stats'!B:B,'Base stats'!E:E),Groups!A:A,Groups!L:L)=1,MIN(MROUND(_xlfn.XLOOKUP(B174,'Animals CE'!B:B,'Animals CE'!Z:Z)/2+0.05,0.05),200%),"No")</f>
        <v>No</v>
      </c>
      <c r="O174" s="8" t="str">
        <f>IF(_xlfn.XLOOKUP(_xlfn.XLOOKUP(B174,'Base stats'!B:B,'Base stats'!E:E),Groups!A:A,Groups!L:L)=1,MIN(MROUND(_xlfn.XLOOKUP(B174,'Animals CE'!B:B,'Animals CE'!AA:AA)/2+0.05,0.05),200%),"No")</f>
        <v>No</v>
      </c>
      <c r="P174" s="2" t="str">
        <f>_xlfn.XLOOKUP(B174,'Base stats'!B:B,'Base stats'!R:R)</f>
        <v>Standard</v>
      </c>
      <c r="Q174" s="13">
        <f>MROUND((LOG10(_xlfn.XLOOKUP(B174,'Base stats'!B:B,'Base stats'!AP:AP))*(AO174^0.5)+(_xlfn.XLOOKUP(B174,'Base stats'!B:B,'Base stats'!AP:AP)/1000)^(2/3)+_xlfn.XLOOKUP(B174,'Base stats'!B:B,'Base stats'!AY:AY)/2)+0.5,0.5)</f>
        <v>10</v>
      </c>
      <c r="R174" s="7">
        <f>IF(Q174="No","No",MAX(1,MROUND(_xlfn.XLOOKUP(B174,'Base stats'!B:B,'Base stats'!C:C)^0.165,0.05)))</f>
        <v>2.3000000000000003</v>
      </c>
      <c r="S174" s="13">
        <f>IF(_xlfn.XLOOKUP(_xlfn.XLOOKUP(B174,'Base stats'!B:B,'Base stats'!E:E),Groups!A:A,Groups!P:P)=0,"No",MROUND((LOG10(_xlfn.XLOOKUP(B174,'Base stats'!B:B,'Base stats'!AQ:AQ))*(AO174^0.5)+(_xlfn.XLOOKUP(B174,'Base stats'!B:B,'Base stats'!AQ:AQ)/1000)^(2/3)+_xlfn.XLOOKUP(B174,'Base stats'!B:B,'Base stats'!AY:AY))+_xlfn.XLOOKUP(B174,'Base stats'!B:B,'Base stats'!AW:AW)+0.5,0.5))</f>
        <v>14.5</v>
      </c>
      <c r="T174" s="7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2.3000000000000003</v>
      </c>
      <c r="U174" s="7" t="str">
        <f>IF(S174="No","No",_xlfn.XLOOKUP(_xlfn.XLOOKUP(B174,'Base stats'!B:B,'Base stats'!E:E),Groups!A:A,Groups!R:R))</f>
        <v>Feet</v>
      </c>
      <c r="V174" s="7" t="str">
        <f>IF(S174="No","No",_xlfn.XLOOKUP(_xlfn.XLOOKUP(B174,'Base stats'!B:B,'Base stats'!E:E),Groups!A:A,Groups!S:S))</f>
        <v>rear left claw, rear  right claw</v>
      </c>
      <c r="W174" s="7" t="str">
        <f>IF(S174="No","No",_xlfn.XLOOKUP(_xlfn.XLOOKUP(B174,'Base stats'!B:B,'Base stats'!E:E),Groups!A:A,Groups!T:T))</f>
        <v>Scratch</v>
      </c>
      <c r="X174" s="13" t="str">
        <f>IF(_xlfn.XLOOKUP(B174,'Base stats'!B:B,'Base stats'!W:W)="No","No",MROUND((LOG10(_xlfn.XLOOKUP(B174,'Base stats'!B:B,'Base stats'!AS:AS))*(AO174^0.5)+(_xlfn.XLOOKUP(B174,'Base stats'!B:B,'Base stats'!AS:AS)/1000)^(2/3)+_xlfn.XLOOKUP(B174,'Base stats'!B:B,'Base stats'!AX:AX))+0.5+IF(_xlfn.XLOOKUP(_xlfn.XLOOKUP(B174,'Base stats'!B:B,'Base stats'!E:E),Groups!A:A,Groups!U:U)&lt;&gt;3,_xlfn.XLOOKUP(B174,'Base stats'!B:B,'Base stats'!AY:AY),0),0.5))</f>
        <v>No</v>
      </c>
      <c r="Y174" s="7" t="str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No</v>
      </c>
      <c r="Z174" s="7" t="str">
        <f>IF(X174="No","No",_xlfn.XLOOKUP(_xlfn.XLOOKUP(B174,'Base stats'!B:B,'Base stats'!E:E),Groups!A:A,Groups!W:W))</f>
        <v>No</v>
      </c>
      <c r="AA174" s="7" t="str">
        <f>IF(X174="No","No",_xlfn.XLOOKUP(_xlfn.XLOOKUP(B174,'Base stats'!B:B,'Base stats'!E:E),Groups!A:A,Groups!X:X))</f>
        <v>No</v>
      </c>
      <c r="AB174" s="7" t="str">
        <f>IF(X174="No","No",_xlfn.XLOOKUP(_xlfn.XLOOKUP(B174,'Base stats'!B:B,'Base stats'!E:E),Groups!A:A,Groups!Y:Y))</f>
        <v>No</v>
      </c>
      <c r="AC174" s="7" t="str">
        <f>_xlfn.XLOOKUP(Animals!B174,'Base stats'!B:B,'Base stats'!X:X)</f>
        <v>False</v>
      </c>
      <c r="AD174" s="13">
        <f>IF(_xlfn.XLOOKUP(B174,'Base stats'!B:B,'Base stats'!AR:AR)="No","No",MROUND((LOG10(_xlfn.XLOOKUP(B174,'Base stats'!B:B,'Base stats'!AR:AR))*(AO174^0.75)+(_xlfn.XLOOKUP(B174,'Base stats'!B:B,'Base stats'!AR:AR)/1000)^(2/3)+_xlfn.XLOOKUP(B174,'Base stats'!B:B,'Base stats'!AV:AV)+_xlfn.XLOOKUP(B174,'Base stats'!B:B,'Base stats'!AY:AY))+0.5,0.5))</f>
        <v>10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2.3000000000000003</v>
      </c>
      <c r="AF174" s="7" t="str">
        <f>IF(AD174="No","No",_xlfn.XLOOKUP(_xlfn.XLOOKUP(B174,'Base stats'!B:B,'Base stats'!E:E),Groups!A:A,Groups!AA:AA))</f>
        <v>Beak</v>
      </c>
      <c r="AG174" s="7" t="str">
        <f>IF(AD174="No","No",_xlfn.XLOOKUP(_xlfn.XLOOKUP(B174,'Base stats'!B:B,'Base stats'!E:E),Groups!A:A,Groups!AB:AB))</f>
        <v>beak</v>
      </c>
      <c r="AH174" s="7" t="str">
        <f>IF(AD174="No","No",_xlfn.XLOOKUP(_xlfn.XLOOKUP(B174,'Base stats'!B:B,'Base stats'!E:E),Groups!A:A,Groups!AC:AC))</f>
        <v>Blunt</v>
      </c>
      <c r="AI174" s="13" t="str">
        <f>IF(_xlfn.XLOOKUP(_xlfn.XLOOKUP(B174,'Base stats'!B:B,'Base stats'!E:E),Groups!A:A,Groups!AD:AD)=0,"No",MROUND((LOG10(_xlfn.XLOOKUP(B174,'Base stats'!B:B,'Base stats'!AQ:AQ))*(AO174^0.75)+(_xlfn.XLOOKUP(B174,'Base stats'!B:B,'Base stats'!AQ:AQ)/1000)^(2/3)+_xlfn.XLOOKUP(B174,'Base stats'!B:B,'Base stats'!AW:AW)+_xlfn.XLOOKUP(B174,'Base stats'!B:B,'Base stats'!AY:AY))+0.5,0.5))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45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1.6</v>
      </c>
      <c r="AP174" s="8">
        <f>MROUND(AO174*_xlfn.XLOOKUP(_xlfn.XLOOKUP(B174,'Base stats'!B:B,'Base stats'!E:E),Groups!A:A,Groups!AI:AI),0.05)</f>
        <v>1.6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0.9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30</v>
      </c>
      <c r="AS174" s="35" t="str">
        <f>IFERROR(IF(_xlfn.XLOOKUP(B174,'Base stats'!B:B,'Base stats'!F:F)="Lay eggs","Lay eggs",MIN(20,MAX(5.5,ROUND(((_xlfn.XLOOKUP(B174,'Base stats'!B:B,'Base stats'!F:F)-25)*(14.5/615) + 5.5)*2,0)/2))),"Cannot breed")</f>
        <v>Lay eggs</v>
      </c>
      <c r="AT174" s="8">
        <f>IF(OR(A174="Queen",A174="Larva",A174="Megachicken",A174="Megatardi",A174="Toxscorpion"),"No",IFERROR(MAX(IF(_xlfn.XLOOKUP(B174,'Base stats'!B:B,'Base stats'!G:G)&lt;0.5,0.2,0.3),MROUND(_xlfn.XLOOKUP(B174,'Base stats'!B:B,'Base stats'!G:G)/(365/60),0.2)),"Unknown"))</f>
        <v>0.8</v>
      </c>
      <c r="AU174" s="8">
        <f t="shared" si="14"/>
        <v>0.4</v>
      </c>
      <c r="AV174" s="8" t="str">
        <f>IFERROR(IFERROR(MROUND(_xlfn.XLOOKUP(B174,'Base stats'!B:B,'Base stats'!J:J),0.1),"Lay eggs"),"Cannot breed")</f>
        <v>Lay eggs</v>
      </c>
      <c r="AW174" s="2" t="str">
        <f t="shared" si="46"/>
        <v>true</v>
      </c>
      <c r="AX174" s="2" t="str">
        <f>IF(_xlfn.XLOOKUP(_xlfn.XLOOKUP(Animals!B174,'Base stats'!B:B,'Base stats'!E:E),Groups!A:A,Groups!AK:AK)=1,"true","false")</f>
        <v>false</v>
      </c>
      <c r="AY174" s="25" t="str">
        <f>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_xlfn.XLOOKUP(B174,'Base stats'!B:B,'Base stats'!AF:AF)</f>
        <v>&lt;li&gt;Cassowary&lt;/li&gt;</v>
      </c>
      <c r="BB174" s="2" t="str">
        <f>_xlfn.XLOOKUP(B174,'Base stats'!B:B,'Base stats'!AE:AE)</f>
        <v>Leather_Bird</v>
      </c>
      <c r="BC174" s="23" t="str">
        <f>_xlfn.XLOOKUP(_xlfn.XLOOKUP(B174,'Base stats'!B:B,'Base stats'!E:E),Groups!A:A,Groups!AL:AL)</f>
        <v>Bird</v>
      </c>
      <c r="BD174" s="23">
        <f>MIN(1,MROUND(IF(AND(AO174&lt;0.5,_xlfn.XLOOKUP(B174,'Base stats'!B:B,'Base stats'!Z:Z)=0),0,IF(OR(_xlfn.XLOOKUP(Animals!B174,'Base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stats'!AA:AA),0.005))</f>
        <v>0</v>
      </c>
      <c r="BE174" s="23">
        <f>MIN(1,MROUND(IF(AND(AO174&lt;0.5,_xlfn.XLOOKUP(B174,'Base stats'!B:B,'Base stats'!Z:Z)=0),0,IF(_xlfn.XLOOKUP(_xlfn.XLOOKUP(B174,'Base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stats'!AB:AB),0.005))</f>
        <v>0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47"/>
        <v>0</v>
      </c>
      <c r="BM174" s="25" t="str">
        <f>IF(_xlfn.XLOOKUP(B174,'Base stats'!B:B,'Base stats'!AL:AL)="Standard","No",MROUND((_xlfn.XLOOKUP(B174,'Base stats'!B:B,'Base stats'!AL:AL)/3.6)/I174,0.1))</f>
        <v>No</v>
      </c>
      <c r="BN174" s="25" t="str">
        <f t="shared" si="4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stats'!AC:AC)&lt;&gt;"No",_xlfn.XLOOKUP(B174,'Base stats'!B:B,'Base stats'!AC:AC),"")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stats'!AC:AC)&lt;&gt;"No",_xlfn.XLOOKUP(B174,'Base stats'!B:B,'Base stats'!AC:AC),"")
  )
)</f>
        <v>No</v>
      </c>
      <c r="BQ174" s="25" t="str">
        <f>IF(
   AND(
      'Base stats'!AL174="Standard",_xlfn.XLOOKUP(_xlfn.XLOOKUP(B174,'Base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stats'!AT:AT) * 1.8) * 2) * 2.5 + 10 + I174 * 2,5)+IF(_xlfn.XLOOKUP(B174,'Base stats'!B:B,'Base stats'!AI:AI)=1,50,0)</f>
        <v>110</v>
      </c>
      <c r="BS174" s="8">
        <f t="shared" si="49"/>
        <v>1.05</v>
      </c>
      <c r="BT174" s="8" t="str">
        <f>_xlfn.XLOOKUP(B174,'Base stats'!B:B,'Base stats'!AD:AD)</f>
        <v>2~6</v>
      </c>
      <c r="BU174" s="2" t="str">
        <f>IF(AND(J174&lt;=0.95,OR(_xlfn.XLOOKUP(B174,'Base stats'!B:B,'Base stats'!AI:AI)=1,_xlfn.XLOOKUP(B174,'Base stats'!B:B,'Base stats'!Y:Y)="Carnivore",_xlfn.XLOOKUP(B174,'Base stats'!B:B,'Base stats'!Y:Y)="Omnivore",BE174&gt;0.1)),"true","false")</f>
        <v>false</v>
      </c>
      <c r="BV174" s="2" t="str">
        <f>IF(_xlfn.XLOOKUP(B174,'Base stats'!B:B,'Base stats'!AG:AG)=1,"true","false")</f>
        <v>false</v>
      </c>
      <c r="BW174" s="25" t="str">
        <f>IF(E174="BaseInsect","AnimalInsect",
IF(J174&gt;0.95,"AnimalExotic",
_xlfn.TEXTJOIN(", ",TRUE,
IF(OR(_xlfn.XLOOKUP(B174,'Base stats'!B:B,'Base stats'!AK:AK)=1,AND(_xlfn.XLOOKUP(B174,'Base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stats'!AI:AI)=1,AND(BI174&lt;&gt;"None",BR174&gt;=60),ISNUMBER(SEARCH("Attack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TemperateForest TemperateSwamp</v>
      </c>
      <c r="BY174" s="25" t="str">
        <f>IF(_xlfn.XLOOKUP(B174,'Base stats'!B:B,'Base stats'!AH:AH)=1,"true","false")</f>
        <v>false</v>
      </c>
      <c r="BZ174" s="25">
        <f>IF(_xlfn.XLOOKUP(B174,'Base stats'!B:B,'Base stats'!N:N)=1,"No",MAX(0.01,MIN(MROUND(IF(OR(_xlfn.XLOOKUP(B174,'Base stats'!B:B,'Base stats'!AK:AK)=1,AND(BJ174="True",CC174="False")),POWER(10,3.47*LOG10(_xlfn.XLOOKUP(B174,'Base stats'!B:B,'Base stats'!C:C)*1000)^-0.96),POWER(10,4.15*LOG10(_xlfn.XLOOKUP(B174,'Base stats'!B:B,'Base stats'!C:C)*1000)^-0.73))*IF(OR(_xlfn.XLOOKUP(B174,'Base stats'!B:B,'Base stats'!AK:AK)=1,_xlfn.XLOOKUP(B174,'Base stats'!B:B,'Base stats'!AI:AI)=1),0.5,1)/100,0.025),1)))</f>
        <v>2.5000000000000001E-2</v>
      </c>
      <c r="CA174" s="25" t="str">
        <f>IF(P174="Standard","No",MAX(0.01,IF(_xlfn.XLOOKUP(B174,'Base stats'!B:B,'Base stats'!N:N)=0,MROUND(BZ174*P174,0.05),MIN(1,MAX(0.025,MROUND(IF(OR(CC174="true",AND(BJ174="false",BO174="false")),POWER(10,4.15*LOG10(_xlfn.XLOOKUP(B174,'Base stats'!B:B,'Base stats'!C:C)*1000)^-0.73),POWER(10,3.47*LOG10(_xlfn.XLOOKUP(B174,'Base stats'!B:B,'Base stats'!C:C)*1000)^-0.96))*IF(_xlfn.XLOOKUP(B174,'Base stats'!B:B,'Base stats'!AI:AI)=1,0.5,1)/100,0.025))))))</f>
        <v>No</v>
      </c>
      <c r="CB174" s="25" t="str">
        <f>IF(_xlfn.XLOOKUP(_xlfn.XLOOKUP(B174,'Base stats'!B:B,'Base stats'!E:E),Groups!A:A,Groups!AJ:AJ)="Mammal","True","False")</f>
        <v>False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5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1257</v>
      </c>
      <c r="B175" s="6" t="s">
        <v>1266</v>
      </c>
      <c r="C175" s="28" t="s">
        <v>1248</v>
      </c>
      <c r="D175" s="28" t="s">
        <v>1244</v>
      </c>
      <c r="E175" s="28" t="s">
        <v>685</v>
      </c>
      <c r="F175" s="28" t="s">
        <v>685</v>
      </c>
      <c r="G175" s="28" t="s">
        <v>685</v>
      </c>
      <c r="H175" s="2">
        <f>MROUND((
  (IF(AND(_xlfn.XLOOKUP(B175,'Base stats'!B:B,'Base stats'!AJ:AJ)=0,BI175="None",_xlfn.XLOOKUP(_xlfn.XLOOKUP(B175,'Base stats'!B:B,'Base stats'!E:E),Groups!A:A,Groups!B:B)=0), (18 + BR175 * 2.7) * 0.5,
    IF(AND(_xlfn.XLOOKUP(B175,'Base stats'!B:B,'Base stats'!AJ:AJ)=0,OR(AO175&lt;0.55,AND(BI175="Intermediate",_xlfn.XLOOKUP(_xlfn.XLOOKUP(B175,'Base stats'!B:B,'Base stats'!E:E),Groups!A:A,Groups!B:B)&lt;2))), (18 + BR175 * 2.7),
      IF(OR(BI175="Advanced",_xlfn.XLOOKUP(B175,'Base stats'!B:B,'Base stats'!AJ:AJ)=1,_xlfn.XLOOKUP(_xlfn.XLOOKUP(B175,'Base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325</v>
      </c>
      <c r="I175" s="2">
        <f>MROUND(ROUNDDOWN(_xlfn.XLOOKUP(B175,'Base stats'!B:B,'Base stats'!L:L)/3.6/(23.3/11),1),0.5)</f>
        <v>9</v>
      </c>
      <c r="J175" s="2">
        <f>IF(_xlfn.XLOOKUP(_xlfn.XLOOKUP(B175,'Base stats'!B:B,'Base stats'!E:E),Groups!A:A,Groups!C:C)="Untamable",1,IF(_xlfn.XLOOKUP(B175,'Base stats'!B:B,'Base stats'!AJ:AJ)=1,0.99,MIN(MROUND((1-0.6282*EXP(-0.459*AO175))*_xlfn.XLOOKUP(_xlfn.XLOOKUP(B175,'Base stats'!B:B,'Base stats'!E:E),Groups!A:A,Groups!C:C)*IF(_xlfn.XLOOKUP(B175,'Base stats'!B:B,'Base stats'!O:O)=1,0.5,IF(_xlfn.XLOOKUP(B175,'Base stats'!B:B,'Base stats'!O:O)=2,0,1)),0.05),0.985)))</f>
        <v>0.8</v>
      </c>
      <c r="K175" s="2">
        <f>ROUNDUP(AO175*_xlfn.XLOOKUP(_xlfn.XLOOKUP(B175,'Base stats'!B:B,'Base stats'!E:E),Groups!A:A,Groups!E:E),0)</f>
        <v>12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-30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50</v>
      </c>
      <c r="N175" s="8" t="str">
        <f>IF(_xlfn.XLOOKUP(_xlfn.XLOOKUP(B175,'Base stats'!B:B,'Base stats'!E:E),Groups!A:A,Groups!L:L)=1,MIN(MROUND(_xlfn.XLOOKUP(B175,'Animals CE'!B:B,'Animals CE'!Z:Z)/2+0.05,0.05),200%),"No")</f>
        <v>No</v>
      </c>
      <c r="O175" s="8" t="str">
        <f>IF(_xlfn.XLOOKUP(_xlfn.XLOOKUP(B175,'Base stats'!B:B,'Base stats'!E:E),Groups!A:A,Groups!L:L)=1,MIN(MROUND(_xlfn.XLOOKUP(B175,'Animals CE'!B:B,'Animals CE'!AA:AA)/2+0.05,0.05),200%),"No")</f>
        <v>No</v>
      </c>
      <c r="P175" s="2" t="str">
        <f>_xlfn.XLOOKUP(B175,'Base stats'!B:B,'Base stats'!R:R)</f>
        <v>Standard</v>
      </c>
      <c r="Q175" s="13">
        <f>MROUND((LOG10(_xlfn.XLOOKUP(B175,'Base stats'!B:B,'Base stats'!AP:AP))*(AO175^0.5)+(_xlfn.XLOOKUP(B175,'Base stats'!B:B,'Base stats'!AP:AP)/1000)^(2/3)+_xlfn.XLOOKUP(B175,'Base stats'!B:B,'Base stats'!AY:AY)/2)+0.5,0.5)</f>
        <v>12.5</v>
      </c>
      <c r="R175" s="7">
        <f>IF(Q175="No","No",MAX(1,MROUND(_xlfn.XLOOKUP(B175,'Base stats'!B:B,'Base stats'!C:C)^0.165,0.05)))</f>
        <v>2.5500000000000003</v>
      </c>
      <c r="S175" s="13">
        <f>IF(_xlfn.XLOOKUP(_xlfn.XLOOKUP(B175,'Base stats'!B:B,'Base stats'!E:E),Groups!A:A,Groups!P:P)=0,"No",MROUND((LOG10(_xlfn.XLOOKUP(B175,'Base stats'!B:B,'Base stats'!AQ:AQ))*(AO175^0.5)+(_xlfn.XLOOKUP(B175,'Base stats'!B:B,'Base stats'!AQ:AQ)/1000)^(2/3)+_xlfn.XLOOKUP(B175,'Base stats'!B:B,'Base stats'!AY:AY))+_xlfn.XLOOKUP(B175,'Base stats'!B:B,'Base stats'!AW:AW)+0.5,0.5))</f>
        <v>15.5</v>
      </c>
      <c r="T175" s="7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2.15</v>
      </c>
      <c r="U175" s="7" t="str">
        <f>IF(S175="No","No",_xlfn.XLOOKUP(_xlfn.XLOOKUP(B175,'Base stats'!B:B,'Base stats'!E:E),Groups!A:A,Groups!R:R))</f>
        <v>FrontLeftLeg, FrontRightLeg</v>
      </c>
      <c r="V175" s="7" t="str">
        <f>IF(S175="No","No",_xlfn.XLOOKUP(_xlfn.XLOOKUP(B175,'Base stats'!B:B,'Base stats'!E:E),Groups!A:A,Groups!S:S))</f>
        <v>left hoof, right hoof</v>
      </c>
      <c r="W175" s="7" t="str">
        <f>IF(S175="No","No",_xlfn.XLOOKUP(_xlfn.XLOOKUP(B175,'Base stats'!B:B,'Base stats'!E:E),Groups!A:A,Groups!T:T))</f>
        <v>Blunt</v>
      </c>
      <c r="X175" s="13" t="str">
        <f>IF(_xlfn.XLOOKUP(B175,'Base stats'!B:B,'Base stats'!W:W)="No","No",MROUND((LOG10(_xlfn.XLOOKUP(B175,'Base stats'!B:B,'Base stats'!AS:AS))*(AO175^0.5)+(_xlfn.XLOOKUP(B175,'Base stats'!B:B,'Base stats'!AS:AS)/1000)^(2/3)+_xlfn.XLOOKUP(B175,'Base stats'!B:B,'Base stats'!AX:AX))+0.5+IF(_xlfn.XLOOKUP(_xlfn.XLOOKUP(B175,'Base stats'!B:B,'Base stats'!E:E),Groups!A:A,Groups!U:U)&lt;&gt;3,_xlfn.XLOOKUP(B175,'Base stats'!B:B,'Base stats'!AY:AY),0),0.5))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stats'!AR:AR)="No","No",MROUND((LOG10(_xlfn.XLOOKUP(B175,'Base stats'!B:B,'Base stats'!AR:AR))*(AO175^0.75)+(_xlfn.XLOOKUP(B175,'Base stats'!B:B,'Base stats'!AR:AR)/1000)^(2/3)+_xlfn.XLOOKUP(B175,'Base stats'!B:B,'Base stats'!AV:AV)+_xlfn.XLOOKUP(B175,'Base stats'!B:B,'Base stats'!AY:AY))+0.5,0.5))</f>
        <v>16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2.5500000000000003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teeth</v>
      </c>
      <c r="AH175" s="7" t="str">
        <f>IF(AD175="No","No",_xlfn.XLOOKUP(_xlfn.XLOOKUP(B175,'Base stats'!B:B,'Base stats'!E:E),Groups!A:A,Groups!AC:AC))</f>
        <v>Bite</v>
      </c>
      <c r="AI175" s="13" t="str">
        <f>IF(_xlfn.XLOOKUP(_xlfn.XLOOKUP(B175,'Base stats'!B:B,'Base stats'!E:E),Groups!A:A,Groups!AD:AD)=0,"No",MROUND((LOG10(_xlfn.XLOOKUP(B175,'Base stats'!B:B,'Base stats'!AQ:AQ))*(AO175^0.75)+(_xlfn.XLOOKUP(B175,'Base stats'!B:B,'Base stats'!AQ:AQ)/1000)^(2/3)+_xlfn.XLOOKUP(B175,'Base stats'!B:B,'Base stats'!AW:AW)+_xlfn.XLOOKUP(B175,'Base stats'!B:B,'Base stats'!AY:AY))+0.5,0.5))</f>
        <v>No</v>
      </c>
      <c r="AJ175" s="7" t="str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No</v>
      </c>
      <c r="AK175" s="7" t="str">
        <f>IF(AI175="No","No",_xlfn.XLOOKUP(_xlfn.XLOOKUP(B175,'Base stats'!B:B,'Base stats'!E:E),Groups!A:A,Groups!AF:AF))</f>
        <v>No</v>
      </c>
      <c r="AL175" s="7" t="str">
        <f>IF(AI175="No","No",_xlfn.XLOOKUP(_xlfn.XLOOKUP(B175,'Base stats'!B:B,'Base stats'!E:E),Groups!A:A,Groups!AG:AG))</f>
        <v>No</v>
      </c>
      <c r="AM175" s="7" t="str">
        <f>IF(AI175="No","No",_xlfn.XLOOKUP(_xlfn.XLOOKUP(B175,'Base stats'!B:B,'Base stats'!E:E),Groups!A:A,Groups!AH:AH))</f>
        <v>No</v>
      </c>
      <c r="AN175" s="2" t="str">
        <f t="shared" si="45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2.25</v>
      </c>
      <c r="AP175" s="8">
        <f>MROUND(AO175*_xlfn.XLOOKUP(_xlfn.XLOOKUP(B175,'Base stats'!B:B,'Base stats'!E:E),Groups!A:A,Groups!AI:AI),0.05)</f>
        <v>2.25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0.95000000000000007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30</v>
      </c>
      <c r="AS175" s="35">
        <f>IFERROR(IF(_xlfn.XLOOKUP(B175,'Base stats'!B:B,'Base stats'!F:F)="Lay eggs","Lay eggs",MIN(20,MAX(5.5,ROUND(((_xlfn.XLOOKUP(B175,'Base stats'!B:B,'Base stats'!F:F)-25)*(14.5/615) + 5.5)*2,0)/2))),"Cannot breed")</f>
        <v>13.5</v>
      </c>
      <c r="AT175" s="8">
        <f>IF(OR(A175="Queen",A175="Larva",A175="Megachicken",A175="Megatardi",A175="Toxscorpion"),"No",IFERROR(MAX(IF(_xlfn.XLOOKUP(B175,'Base stats'!B:B,'Base stats'!G:G)&lt;0.5,0.2,0.3),MROUND(_xlfn.XLOOKUP(B175,'Base stats'!B:B,'Base stats'!G:G)/(365/60),0.2)),"Unknown"))</f>
        <v>0.4</v>
      </c>
      <c r="AU175" s="8">
        <f t="shared" si="14"/>
        <v>0.2</v>
      </c>
      <c r="AV175" s="8">
        <f>IFERROR(IFERROR(MROUND(_xlfn.XLOOKUP(B175,'Base stats'!B:B,'Base stats'!J:J),0.1),"Lay eggs"),"Cannot breed")</f>
        <v>0</v>
      </c>
      <c r="AW175" s="2" t="str">
        <f t="shared" si="46"/>
        <v>true</v>
      </c>
      <c r="AX175" s="2" t="str">
        <f>IF(_xlfn.XLOOKUP(_xlfn.XLOOKUP(Animals!B175,'Base stats'!B:B,'Base stats'!E:E),Groups!A:A,Groups!AK:AK)=1,"true","false")</f>
        <v>true</v>
      </c>
      <c r="AY175" s="25" t="str">
        <f>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</f>
        <v>VegetarianRoughAnimal</v>
      </c>
      <c r="AZ175" s="2">
        <f>IF(_xlfn.XLOOKUP(_xlfn.XLOOKUP(B175,'Base stats'!B:B,'Base stats'!E:E),Groups!A:A,Groups!D:D)=1,MROUND((1-J175)*5+1,2)*IF(J175&lt;=0.4,2,1),"No")</f>
        <v>2</v>
      </c>
      <c r="BA175" s="2" t="str">
        <f>_xlfn.XLOOKUP(B175,'Base stats'!B:B,'Base stats'!AF:AF)</f>
        <v>&lt;li&gt;Horse&lt;/li&gt;</v>
      </c>
      <c r="BB175" s="2" t="str">
        <f>_xlfn.XLOOKUP(B175,'Base stats'!B:B,'Base stats'!AE:AE)</f>
        <v>Leather_Plain</v>
      </c>
      <c r="BC175" s="23" t="str">
        <f>_xlfn.XLOOKUP(_xlfn.XLOOKUP(B175,'Base stats'!B:B,'Base stats'!E:E),Groups!A:A,Groups!AL:AL)</f>
        <v>QuadrupedAnimalWithHooves</v>
      </c>
      <c r="BD175" s="23">
        <f>MIN(1,MROUND(IF(AND(AO175&lt;0.5,_xlfn.XLOOKUP(B175,'Base stats'!B:B,'Base stats'!Z:Z)=0),0,IF(OR(_xlfn.XLOOKUP(Animals!B175,'Base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stats'!AA:AA),0.005))</f>
        <v>0</v>
      </c>
      <c r="BE175" s="23">
        <f>MIN(1,MROUND(IF(AND(AO175&lt;0.5,_xlfn.XLOOKUP(B175,'Base stats'!B:B,'Base stats'!Z:Z)=0),0,IF(_xlfn.XLOOKUP(_xlfn.XLOOKUP(B175,'Base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stats'!AB:AB),0.005))</f>
        <v>0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None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47"/>
        <v>0</v>
      </c>
      <c r="BM175" s="25" t="str">
        <f>IF(_xlfn.XLOOKUP(B175,'Base stats'!B:B,'Base stats'!AL:AL)="Standard","No",MROUND((_xlfn.XLOOKUP(B175,'Base stats'!B:B,'Base stats'!AL:AL)/3.6)/I175,0.1))</f>
        <v>No</v>
      </c>
      <c r="BN175" s="25" t="str">
        <f t="shared" si="4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stats'!AC:AC)&lt;&gt;"No",_xlfn.XLOOKUP(B175,'Base stats'!B:B,'Base stats'!AC:AC),"")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stats'!AC:AC)&lt;&gt;"No",_xlfn.XLOOKUP(B175,'Base stats'!B:B,'Base stats'!AC:AC),"")
  )
)</f>
        <v>No</v>
      </c>
      <c r="BQ175" s="25" t="str">
        <f>IF(
   AND(
      'Base stats'!AL175="Standard",_xlfn.XLOOKUP(_xlfn.XLOOKUP(B175,'Base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stats'!AT:AT) * 1.8) * 2) * 2.5 + 10 + I175 * 2,5)+IF(_xlfn.XLOOKUP(B175,'Base stats'!B:B,'Base stats'!AI:AI)=1,50,0)</f>
        <v>155</v>
      </c>
      <c r="BS175" s="8">
        <f t="shared" si="49"/>
        <v>1.2000000000000002</v>
      </c>
      <c r="BT175" s="8" t="str">
        <f>_xlfn.XLOOKUP(B175,'Base stats'!B:B,'Base stats'!AD:AD)</f>
        <v>5~15</v>
      </c>
      <c r="BU175" s="2" t="str">
        <f>IF(AND(J175&lt;=0.95,OR(_xlfn.XLOOKUP(B175,'Base stats'!B:B,'Base stats'!AI:AI)=1,_xlfn.XLOOKUP(B175,'Base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stats'!AG:AG)=1,"true","false")</f>
        <v>false</v>
      </c>
      <c r="BW175" s="25" t="str">
        <f>IF(E175="BaseInsect","AnimalInsect",
IF(J175&gt;0.95,"AnimalExotic",
_xlfn.TEXTJOIN(", ",TRUE,
IF(OR(_xlfn.XLOOKUP(B175,'Base stats'!B:B,'Base stats'!AK:AK)=1,AND(_xlfn.XLOOKUP(B175,'Base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stats'!AI:AI)=1,AND(BI175&lt;&gt;"None",BR175&gt;=60),ISNUMBER(SEARCH("Attack target",BP175))),"AnimalFighter","")
)))</f>
        <v>AnimalUncommon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AridShrubland Grasslands LavaField</v>
      </c>
      <c r="BY175" s="25" t="str">
        <f>IF(_xlfn.XLOOKUP(B175,'Base stats'!B:B,'Base stats'!AH:AH)=1,"true","false")</f>
        <v>false</v>
      </c>
      <c r="BZ175" s="25">
        <f>IF(_xlfn.XLOOKUP(B175,'Base stats'!B:B,'Base stats'!N:N)=1,"No",MAX(0.01,MIN(MROUND(IF(OR(_xlfn.XLOOKUP(B175,'Base stats'!B:B,'Base stats'!AK:AK)=1,AND(BJ175="True",CC175="False")),POWER(10,3.47*LOG10(_xlfn.XLOOKUP(B175,'Base stats'!B:B,'Base stats'!C:C)*1000)^-0.96),POWER(10,4.15*LOG10(_xlfn.XLOOKUP(B175,'Base stats'!B:B,'Base stats'!C:C)*1000)^-0.73))*IF(OR(_xlfn.XLOOKUP(B175,'Base stats'!B:B,'Base stats'!AK:AK)=1,_xlfn.XLOOKUP(B175,'Base stats'!B:B,'Base stats'!AI:AI)=1),0.5,1)/100,0.025),1)))</f>
        <v>2.5000000000000001E-2</v>
      </c>
      <c r="CA175" s="25" t="str">
        <f>IF(P175="Standard","No",MAX(0.01,IF(_xlfn.XLOOKUP(B175,'Base stats'!B:B,'Base stats'!N:N)=0,MROUND(BZ175*P175,0.05),MIN(1,MAX(0.025,MROUND(IF(OR(CC175="true",AND(BJ175="false",BO175="false")),POWER(10,4.15*LOG10(_xlfn.XLOOKUP(B175,'Base stats'!B:B,'Base stats'!C:C)*1000)^-0.73),POWER(10,3.47*LOG10(_xlfn.XLOOKUP(B175,'Base stats'!B:B,'Base stats'!C:C)*1000)^-0.96))*IF(_xlfn.XLOOKUP(B175,'Base stats'!B:B,'Base stats'!AI:AI)=1,0.5,1)/100,0.025))))))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5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1258</v>
      </c>
      <c r="B176" s="6" t="s">
        <v>1267</v>
      </c>
      <c r="C176" s="28" t="s">
        <v>1249</v>
      </c>
      <c r="D176" s="28" t="s">
        <v>1244</v>
      </c>
      <c r="E176" s="28" t="s">
        <v>685</v>
      </c>
      <c r="F176" s="28" t="s">
        <v>688</v>
      </c>
      <c r="G176" s="28" t="s">
        <v>685</v>
      </c>
      <c r="H176" s="2">
        <f>MROUND((
  (IF(AND(_xlfn.XLOOKUP(B176,'Base stats'!B:B,'Base stats'!AJ:AJ)=0,BI176="None",_xlfn.XLOOKUP(_xlfn.XLOOKUP(B176,'Base stats'!B:B,'Base stats'!E:E),Groups!A:A,Groups!B:B)=0), (18 + BR176 * 2.7) * 0.5,
    IF(AND(_xlfn.XLOOKUP(B176,'Base stats'!B:B,'Base stats'!AJ:AJ)=0,OR(AO176&lt;0.55,AND(BI176="Intermediate",_xlfn.XLOOKUP(_xlfn.XLOOKUP(B176,'Base stats'!B:B,'Base stats'!E:E),Groups!A:A,Groups!B:B)&lt;2))), (18 + BR176 * 2.7),
      IF(OR(BI176="Advanced",_xlfn.XLOOKUP(B176,'Base stats'!B:B,'Base stats'!AJ:AJ)=1,_xlfn.XLOOKUP(_xlfn.XLOOKUP(B176,'Base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175</v>
      </c>
      <c r="I176" s="2">
        <f>MROUND(ROUNDDOWN(_xlfn.XLOOKUP(B176,'Base stats'!B:B,'Base stats'!L:L)/3.6/(23.3/11),1),0.5)</f>
        <v>1.5</v>
      </c>
      <c r="J176" s="2">
        <f>IF(_xlfn.XLOOKUP(_xlfn.XLOOKUP(B176,'Base stats'!B:B,'Base stats'!E:E),Groups!A:A,Groups!C:C)="Untamable",1,IF(_xlfn.XLOOKUP(B176,'Base stats'!B:B,'Base stats'!AJ:AJ)=1,0.99,MIN(MROUND((1-0.6282*EXP(-0.459*AO176))*_xlfn.XLOOKUP(_xlfn.XLOOKUP(B176,'Base stats'!B:B,'Base stats'!E:E),Groups!A:A,Groups!C:C)*IF(_xlfn.XLOOKUP(B176,'Base stats'!B:B,'Base stats'!O:O)=1,0.5,IF(_xlfn.XLOOKUP(B176,'Base stats'!B:B,'Base stats'!O:O)=2,0,1)),0.05),0.985)))</f>
        <v>0.55000000000000004</v>
      </c>
      <c r="K176" s="2">
        <f>ROUNDUP(AO176*_xlfn.XLOOKUP(_xlfn.XLOOKUP(B176,'Base stats'!B:B,'Base stats'!E:E),Groups!A:A,Groups!E:E),0)</f>
        <v>4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-55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10</v>
      </c>
      <c r="N176" s="8" t="str">
        <f>IF(_xlfn.XLOOKUP(_xlfn.XLOOKUP(B176,'Base stats'!B:B,'Base stats'!E:E),Groups!A:A,Groups!L:L)=1,MIN(MROUND(_xlfn.XLOOKUP(B176,'Animals CE'!B:B,'Animals CE'!Z:Z)/2+0.05,0.05),200%),"No")</f>
        <v>No</v>
      </c>
      <c r="O176" s="8" t="str">
        <f>IF(_xlfn.XLOOKUP(_xlfn.XLOOKUP(B176,'Base stats'!B:B,'Base stats'!E:E),Groups!A:A,Groups!L:L)=1,MIN(MROUND(_xlfn.XLOOKUP(B176,'Animals CE'!B:B,'Animals CE'!AA:AA)/2+0.05,0.05),200%),"No")</f>
        <v>No</v>
      </c>
      <c r="P176" s="2" t="str">
        <f>_xlfn.XLOOKUP(B176,'Base stats'!B:B,'Base stats'!R:R)</f>
        <v>Standard</v>
      </c>
      <c r="Q176" s="13">
        <f>MROUND((LOG10(_xlfn.XLOOKUP(B176,'Base stats'!B:B,'Base stats'!AP:AP))*(AO176^0.5)+(_xlfn.XLOOKUP(B176,'Base stats'!B:B,'Base stats'!AP:AP)/1000)^(2/3)+_xlfn.XLOOKUP(B176,'Base stats'!B:B,'Base stats'!AY:AY)/2)+0.5,0.5)</f>
        <v>2.5</v>
      </c>
      <c r="R176" s="7">
        <f>IF(Q176="No","No",MAX(1,MROUND(_xlfn.XLOOKUP(B176,'Base stats'!B:B,'Base stats'!C:C)^0.165,0.05)))</f>
        <v>1.3</v>
      </c>
      <c r="S176" s="13" t="str">
        <f>IF(_xlfn.XLOOKUP(_xlfn.XLOOKUP(B176,'Base stats'!B:B,'Base stats'!E:E),Groups!A:A,Groups!P:P)=0,"No",MROUND((LOG10(_xlfn.XLOOKUP(B176,'Base stats'!B:B,'Base stats'!AQ:AQ))*(AO176^0.5)+(_xlfn.XLOOKUP(B176,'Base stats'!B:B,'Base stats'!AQ:AQ)/1000)^(2/3)+_xlfn.XLOOKUP(B176,'Base stats'!B:B,'Base stats'!AY:AY))+_xlfn.XLOOKUP(B176,'Base stats'!B:B,'Base stats'!AW:AW)+0.5,0.5))</f>
        <v>No</v>
      </c>
      <c r="T176" s="7" t="str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No</v>
      </c>
      <c r="U176" s="7" t="str">
        <f>IF(S176="No","No",_xlfn.XLOOKUP(_xlfn.XLOOKUP(B176,'Base stats'!B:B,'Base stats'!E:E),Groups!A:A,Groups!R:R))</f>
        <v>No</v>
      </c>
      <c r="V176" s="7" t="str">
        <f>IF(S176="No","No",_xlfn.XLOOKUP(_xlfn.XLOOKUP(B176,'Base stats'!B:B,'Base stats'!E:E),Groups!A:A,Groups!S:S))</f>
        <v>No</v>
      </c>
      <c r="W176" s="7" t="str">
        <f>IF(S176="No","No",_xlfn.XLOOKUP(_xlfn.XLOOKUP(B176,'Base stats'!B:B,'Base stats'!E:E),Groups!A:A,Groups!T:T))</f>
        <v>No</v>
      </c>
      <c r="X176" s="13" t="str">
        <f>IF(_xlfn.XLOOKUP(B176,'Base stats'!B:B,'Base stats'!W:W)="No","No",MROUND((LOG10(_xlfn.XLOOKUP(B176,'Base stats'!B:B,'Base stats'!AS:AS))*(AO176^0.5)+(_xlfn.XLOOKUP(B176,'Base stats'!B:B,'Base stats'!AS:AS)/1000)^(2/3)+_xlfn.XLOOKUP(B176,'Base stats'!B:B,'Base stats'!AX:AX))+0.5+IF(_xlfn.XLOOKUP(_xlfn.XLOOKUP(B176,'Base stats'!B:B,'Base stats'!E:E),Groups!A:A,Groups!U:U)&lt;&gt;3,_xlfn.XLOOKUP(B176,'Base stats'!B:B,'Base stats'!AY:AY),0),0.5))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stats'!AR:AR)="No","No",MROUND((LOG10(_xlfn.XLOOKUP(B176,'Base stats'!B:B,'Base stats'!AR:AR))*(AO176^0.75)+(_xlfn.XLOOKUP(B176,'Base stats'!B:B,'Base stats'!AR:AR)/1000)^(2/3)+_xlfn.XLOOKUP(B176,'Base stats'!B:B,'Base stats'!AV:AV)+_xlfn.XLOOKUP(B176,'Base stats'!B:B,'Base stats'!AY:AY))+0.5,0.5))</f>
        <v>2.5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1.05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stats'!AQ:AQ))*(AO176^0.75)+(_xlfn.XLOOKUP(B176,'Base stats'!B:B,'Base stats'!AQ:AQ)/1000)^(2/3)+_xlfn.XLOOKUP(B176,'Base stats'!B:B,'Base stats'!AW:AW)+_xlfn.XLOOKUP(B176,'Base stats'!B:B,'Base stats'!AY:AY))+0.5,0.5))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45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0.30000000000000004</v>
      </c>
      <c r="AP176" s="8">
        <f>MROUND(AO176*_xlfn.XLOOKUP(_xlfn.XLOOKUP(B176,'Base stats'!B:B,'Base stats'!E:E),Groups!A:A,Groups!AI:AI),0.05)</f>
        <v>0.30000000000000004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0.35000000000000003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12</v>
      </c>
      <c r="AS176" s="35" t="str">
        <f>IFERROR(IF(_xlfn.XLOOKUP(B176,'Base stats'!B:B,'Base stats'!F:F)="Lay eggs","Lay eggs",MIN(20,MAX(5.5,ROUND(((_xlfn.XLOOKUP(B176,'Base stats'!B:B,'Base stats'!F:F)-25)*(14.5/615) + 5.5)*2,0)/2))),"Cannot breed")</f>
        <v>Lay eggs</v>
      </c>
      <c r="AT176" s="8">
        <f>IF(OR(A176="Queen",A176="Larva",A176="Megachicken",A176="Megatardi",A176="Toxscorpion"),"No",IFERROR(MAX(IF(_xlfn.XLOOKUP(B176,'Base stats'!B:B,'Base stats'!G:G)&lt;0.5,0.2,0.3),MROUND(_xlfn.XLOOKUP(B176,'Base stats'!B:B,'Base stats'!G:G)/(365/60),0.2)),"Unknown"))</f>
        <v>0.8</v>
      </c>
      <c r="AU176" s="8">
        <f t="shared" si="14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4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</f>
        <v>CarnivoreAnimal, OvivoreAnimal</v>
      </c>
      <c r="AZ176" s="2">
        <f>IF(_xlfn.XLOOKUP(_xlfn.XLOOKUP(B176,'Base stats'!B:B,'Base stats'!E:E),Groups!A:A,Groups!D:D)=1,MROUND((1-J176)*5+1,2)*IF(J176&lt;=0.4,2,1),"No")</f>
        <v>4</v>
      </c>
      <c r="BA176" s="2" t="str">
        <f>_xlfn.XLOOKUP(B176,'Base stats'!B:B,'Base stats'!AF:AF)</f>
        <v>&lt;li&gt;Cassowary&lt;/li&gt;</v>
      </c>
      <c r="BB176" s="2" t="str">
        <f>_xlfn.XLOOKUP(B176,'Base stats'!B:B,'Base stats'!AE:AE)</f>
        <v>No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stats'!Z:Z)=0),0,IF(OR(_xlfn.XLOOKUP(Animals!B176,'Base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stats'!AA:AA),0.005))</f>
        <v>0</v>
      </c>
      <c r="BE176" s="23">
        <f>MIN(1,MROUND(IF(AND(AO176&lt;0.5,_xlfn.XLOOKUP(B176,'Base stats'!B:B,'Base stats'!Z:Z)=0),0,IF(_xlfn.XLOOKUP(_xlfn.XLOOKUP(B176,'Base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stats'!AB:AB),0.005))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8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47"/>
        <v>0</v>
      </c>
      <c r="BM176" s="25">
        <f>IF(_xlfn.XLOOKUP(B176,'Base stats'!B:B,'Base stats'!AL:AL)="Standard","No",MROUND((_xlfn.XLOOKUP(B176,'Base stats'!B:B,'Base stats'!AL:AL)/3.6)/I176,0.1))</f>
        <v>2</v>
      </c>
      <c r="BN176" s="25" t="str">
        <f t="shared" si="48"/>
        <v>true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true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stats'!AC:AC)&lt;&gt;"No",_xlfn.XLOOKUP(B176,'Base stats'!B:B,'Base stats'!AC:AC),"")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stats'!AC:AC)&lt;&gt;"No",_xlfn.XLOOKUP(B176,'Base stats'!B:B,'Base stats'!AC:AC),"")
  )
)</f>
        <v>No</v>
      </c>
      <c r="BQ176" s="25">
        <f>IF(
   AND(
      'Base stats'!AL176="Standard",_xlfn.XLOOKUP(_xlfn.XLOOKUP(B176,'Base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1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stats'!AT:AT) * 1.8) * 2) * 2.5 + 10 + I176 * 2,5)+IF(_xlfn.XLOOKUP(B176,'Base stats'!B:B,'Base stats'!AI:AI)=1,50,0)</f>
        <v>30</v>
      </c>
      <c r="BS176" s="8">
        <f t="shared" si="49"/>
        <v>0.35000000000000003</v>
      </c>
      <c r="BT176" s="8" t="str">
        <f>_xlfn.XLOOKUP(B176,'Base stats'!B:B,'Base stats'!AD:AD)</f>
        <v>5~15</v>
      </c>
      <c r="BU176" s="2" t="str">
        <f>IF(AND(J176&lt;=0.95,OR(_xlfn.XLOOKUP(B176,'Base stats'!B:B,'Base stats'!AI:AI)=1,_xlfn.XLOOKUP(B176,'Base stats'!B:B,'Base stats'!Y:Y)="Carnivore",_xlfn.XLOOKUP(B176,'Base stats'!B:B,'Base stats'!Y:Y)="Omnivore",BE176&gt;0.1)),"true","false")</f>
        <v>true</v>
      </c>
      <c r="BV176" s="2" t="str">
        <f>IF(_xlfn.XLOOKUP(B176,'Base stats'!B:B,'Base stats'!AG:AG)=1,"true","false")</f>
        <v>false</v>
      </c>
      <c r="BW176" s="25" t="str">
        <f>IF(E176="BaseInsect","AnimalInsect",
IF(J176&gt;0.95,"AnimalExotic",
_xlfn.TEXTJOIN(", ",TRUE,
IF(OR(_xlfn.XLOOKUP(B176,'Base stats'!B:B,'Base stats'!AK:AK)=1,AND(_xlfn.XLOOKUP(B176,'Base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stats'!AI:AI)=1,AND(BI176&lt;&gt;"None",BR176&gt;=60),ISNUMBER(SEARCH("Attack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SeaIce IceSheet Tundra</v>
      </c>
      <c r="BY176" s="25" t="str">
        <f>IF(_xlfn.XLOOKUP(B176,'Base stats'!B:B,'Base stats'!AH:AH)=1,"true","false")</f>
        <v>true</v>
      </c>
      <c r="BZ176" s="25">
        <f>IF(_xlfn.XLOOKUP(B176,'Base stats'!B:B,'Base stats'!N:N)=1,"No",MAX(0.01,MIN(MROUND(IF(OR(_xlfn.XLOOKUP(B176,'Base stats'!B:B,'Base stats'!AK:AK)=1,AND(BJ176="True",CC176="False")),POWER(10,3.47*LOG10(_xlfn.XLOOKUP(B176,'Base stats'!B:B,'Base stats'!C:C)*1000)^-0.96),POWER(10,4.15*LOG10(_xlfn.XLOOKUP(B176,'Base stats'!B:B,'Base stats'!C:C)*1000)^-0.73))*IF(OR(_xlfn.XLOOKUP(B176,'Base stats'!B:B,'Base stats'!AK:AK)=1,_xlfn.XLOOKUP(B176,'Base stats'!B:B,'Base stats'!AI:AI)=1),0.5,1)/100,0.025),1)))</f>
        <v>0.05</v>
      </c>
      <c r="CA176" s="25" t="str">
        <f>IF(P176="Standard","No",MAX(0.01,IF(_xlfn.XLOOKUP(B176,'Base stats'!B:B,'Base stats'!N:N)=0,MROUND(BZ176*P176,0.05),MIN(1,MAX(0.025,MROUND(IF(OR(CC176="true",AND(BJ176="false",BO176="false")),POWER(10,4.15*LOG10(_xlfn.XLOOKUP(B176,'Base stats'!B:B,'Base stats'!C:C)*1000)^-0.73),POWER(10,3.47*LOG10(_xlfn.XLOOKUP(B176,'Base stats'!B:B,'Base stats'!C:C)*1000)^-0.96))*IF(_xlfn.XLOOKUP(B176,'Base stats'!B:B,'Base stats'!AI:AI)=1,0.5,1)/100,0.025))))))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5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1259</v>
      </c>
      <c r="B177" s="6" t="s">
        <v>1268</v>
      </c>
      <c r="C177" s="28" t="s">
        <v>1250</v>
      </c>
      <c r="D177" s="28" t="s">
        <v>1244</v>
      </c>
      <c r="E177" s="28" t="s">
        <v>685</v>
      </c>
      <c r="F177" s="28" t="s">
        <v>685</v>
      </c>
      <c r="G177" s="28" t="s">
        <v>685</v>
      </c>
      <c r="H177" s="2">
        <f>MROUND((
  (IF(AND(_xlfn.XLOOKUP(B177,'Base stats'!B:B,'Base stats'!AJ:AJ)=0,BI177="None",_xlfn.XLOOKUP(_xlfn.XLOOKUP(B177,'Base stats'!B:B,'Base stats'!E:E),Groups!A:A,Groups!B:B)=0), (18 + BR177 * 2.7) * 0.5,
    IF(AND(_xlfn.XLOOKUP(B177,'Base stats'!B:B,'Base stats'!AJ:AJ)=0,OR(AO177&lt;0.55,AND(BI177="Intermediate",_xlfn.XLOOKUP(_xlfn.XLOOKUP(B177,'Base stats'!B:B,'Base stats'!E:E),Groups!A:A,Groups!B:B)&lt;2))), (18 + BR177 * 2.7),
      IF(OR(BI177="Advanced",_xlfn.XLOOKUP(B177,'Base stats'!B:B,'Base stats'!AJ:AJ)=1,_xlfn.XLOOKUP(_xlfn.XLOOKUP(B177,'Base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125</v>
      </c>
      <c r="I177" s="2">
        <f>MROUND(ROUNDDOWN(_xlfn.XLOOKUP(B177,'Base stats'!B:B,'Base stats'!L:L)/3.6/(23.3/11),1),0.5)</f>
        <v>3.5</v>
      </c>
      <c r="J177" s="2">
        <f>IF(_xlfn.XLOOKUP(_xlfn.XLOOKUP(B177,'Base stats'!B:B,'Base stats'!E:E),Groups!A:A,Groups!C:C)="Untamable",1,IF(_xlfn.XLOOKUP(B177,'Base stats'!B:B,'Base stats'!AJ:AJ)=1,0.99,MIN(MROUND((1-0.6282*EXP(-0.459*AO177))*_xlfn.XLOOKUP(_xlfn.XLOOKUP(B177,'Base stats'!B:B,'Base stats'!E:E),Groups!A:A,Groups!C:C)*IF(_xlfn.XLOOKUP(B177,'Base stats'!B:B,'Base stats'!O:O)=1,0.5,IF(_xlfn.XLOOKUP(B177,'Base stats'!B:B,'Base stats'!O:O)=2,0,1)),0.05),0.985)))</f>
        <v>0.70000000000000007</v>
      </c>
      <c r="K177" s="2">
        <f>ROUNDUP(AO177*_xlfn.XLOOKUP(_xlfn.XLOOKUP(B177,'Base stats'!B:B,'Base stats'!E:E),Groups!A:A,Groups!E:E),0)</f>
        <v>1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-25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35</v>
      </c>
      <c r="N177" s="8" t="str">
        <f>IF(_xlfn.XLOOKUP(_xlfn.XLOOKUP(B177,'Base stats'!B:B,'Base stats'!E:E),Groups!A:A,Groups!L:L)=1,MIN(MROUND(_xlfn.XLOOKUP(B177,'Animals CE'!B:B,'Animals CE'!Z:Z)/2+0.05,0.05),200%),"No")</f>
        <v>No</v>
      </c>
      <c r="O177" s="8" t="str">
        <f>IF(_xlfn.XLOOKUP(_xlfn.XLOOKUP(B177,'Base stats'!B:B,'Base stats'!E:E),Groups!A:A,Groups!L:L)=1,MIN(MROUND(_xlfn.XLOOKUP(B177,'Animals CE'!B:B,'Animals CE'!AA:AA)/2+0.05,0.05),200%),"No")</f>
        <v>No</v>
      </c>
      <c r="P177" s="2" t="str">
        <f>_xlfn.XLOOKUP(B177,'Base stats'!B:B,'Base stats'!R:R)</f>
        <v>Standard</v>
      </c>
      <c r="Q177" s="13">
        <f>MROUND((LOG10(_xlfn.XLOOKUP(B177,'Base stats'!B:B,'Base stats'!AP:AP))*(AO177^0.5)+(_xlfn.XLOOKUP(B177,'Base stats'!B:B,'Base stats'!AP:AP)/1000)^(2/3)+_xlfn.XLOOKUP(B177,'Base stats'!B:B,'Base stats'!AY:AY)/2)+0.5,0.5)</f>
        <v>3</v>
      </c>
      <c r="R177" s="7">
        <f>IF(Q177="No","No",MAX(1,MROUND(_xlfn.XLOOKUP(B177,'Base stats'!B:B,'Base stats'!C:C)^0.165,0.05)))</f>
        <v>1.35</v>
      </c>
      <c r="S177" s="13" t="str">
        <f>IF(_xlfn.XLOOKUP(_xlfn.XLOOKUP(B177,'Base stats'!B:B,'Base stats'!E:E),Groups!A:A,Groups!P:P)=0,"No",MROUND((LOG10(_xlfn.XLOOKUP(B177,'Base stats'!B:B,'Base stats'!AQ:AQ))*(AO177^0.5)+(_xlfn.XLOOKUP(B177,'Base stats'!B:B,'Base stats'!AQ:AQ)/1000)^(2/3)+_xlfn.XLOOKUP(B177,'Base stats'!B:B,'Base stats'!AY:AY))+_xlfn.XLOOKUP(B177,'Base stats'!B:B,'Base stats'!AW:AW)+0.5,0.5))</f>
        <v>No</v>
      </c>
      <c r="T177" s="7" t="str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No</v>
      </c>
      <c r="U177" s="7" t="str">
        <f>IF(S177="No","No",_xlfn.XLOOKUP(_xlfn.XLOOKUP(B177,'Base stats'!B:B,'Base stats'!E:E),Groups!A:A,Groups!R:R))</f>
        <v>No</v>
      </c>
      <c r="V177" s="7" t="str">
        <f>IF(S177="No","No",_xlfn.XLOOKUP(_xlfn.XLOOKUP(B177,'Base stats'!B:B,'Base stats'!E:E),Groups!A:A,Groups!S:S))</f>
        <v>No</v>
      </c>
      <c r="W177" s="7" t="str">
        <f>IF(S177="No","No",_xlfn.XLOOKUP(_xlfn.XLOOKUP(B177,'Base stats'!B:B,'Base stats'!E:E),Groups!A:A,Groups!T:T))</f>
        <v>No</v>
      </c>
      <c r="X177" s="13" t="str">
        <f>IF(_xlfn.XLOOKUP(B177,'Base stats'!B:B,'Base stats'!W:W)="No","No",MROUND((LOG10(_xlfn.XLOOKUP(B177,'Base stats'!B:B,'Base stats'!AS:AS))*(AO177^0.5)+(_xlfn.XLOOKUP(B177,'Base stats'!B:B,'Base stats'!AS:AS)/1000)^(2/3)+_xlfn.XLOOKUP(B177,'Base stats'!B:B,'Base stats'!AX:AX))+0.5+IF(_xlfn.XLOOKUP(_xlfn.XLOOKUP(B177,'Base stats'!B:B,'Base stats'!E:E),Groups!A:A,Groups!U:U)&lt;&gt;3,_xlfn.XLOOKUP(B177,'Base stats'!B:B,'Base stats'!AY:AY),0),0.5))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stats'!AR:AR)="No","No",MROUND((LOG10(_xlfn.XLOOKUP(B177,'Base stats'!B:B,'Base stats'!AR:AR))*(AO177^0.75)+(_xlfn.XLOOKUP(B177,'Base stats'!B:B,'Base stats'!AR:AR)/1000)^(2/3)+_xlfn.XLOOKUP(B177,'Base stats'!B:B,'Base stats'!AV:AV)+_xlfn.XLOOKUP(B177,'Base stats'!B:B,'Base stats'!AY:AY))+0.5,0.5))</f>
        <v>4.5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1.1000000000000001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canines</v>
      </c>
      <c r="AH177" s="7" t="str">
        <f>IF(AD177="No","No",_xlfn.XLOOKUP(_xlfn.XLOOKUP(B177,'Base stats'!B:B,'Base stats'!E:E),Groups!A:A,Groups!AC:AC))</f>
        <v>Bite</v>
      </c>
      <c r="AI177" s="13">
        <f>IF(_xlfn.XLOOKUP(_xlfn.XLOOKUP(B177,'Base stats'!B:B,'Base stats'!E:E),Groups!A:A,Groups!AD:AD)=0,"No",MROUND((LOG10(_xlfn.XLOOKUP(B177,'Base stats'!B:B,'Base stats'!AQ:AQ))*(AO177^0.75)+(_xlfn.XLOOKUP(B177,'Base stats'!B:B,'Base stats'!AQ:AQ)/1000)^(2/3)+_xlfn.XLOOKUP(B177,'Base stats'!B:B,'Base stats'!AW:AW)+_xlfn.XLOOKUP(B177,'Base stats'!B:B,'Base stats'!AY:AY))+0.5,0.5))</f>
        <v>4.5</v>
      </c>
      <c r="AJ177" s="7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0.9</v>
      </c>
      <c r="AK177" s="7" t="str">
        <f>IF(AI177="No","No",_xlfn.XLOOKUP(_xlfn.XLOOKUP(B177,'Base stats'!B:B,'Base stats'!E:E),Groups!A:A,Groups!AF:AF))</f>
        <v>FrontRightPaw, FrontRightPaw</v>
      </c>
      <c r="AL177" s="7" t="str">
        <f>IF(AI177="No","No",_xlfn.XLOOKUP(_xlfn.XLOOKUP(B177,'Base stats'!B:B,'Base stats'!E:E),Groups!A:A,Groups!AG:AG))</f>
        <v>left claw, right claw</v>
      </c>
      <c r="AM177" s="7" t="str">
        <f>IF(AI177="No","No",_xlfn.XLOOKUP(_xlfn.XLOOKUP(B177,'Base stats'!B:B,'Base stats'!E:E),Groups!A:A,Groups!AH:AH))</f>
        <v>Scratch</v>
      </c>
      <c r="AN177" s="2">
        <f t="shared" si="45"/>
        <v>15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0.35000000000000003</v>
      </c>
      <c r="AP177" s="8">
        <f>MROUND(AO177*_xlfn.XLOOKUP(_xlfn.XLOOKUP(B177,'Base stats'!B:B,'Base stats'!E:E),Groups!A:A,Groups!AI:AI),0.05)</f>
        <v>0.4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0.30000000000000004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10</v>
      </c>
      <c r="AS177" s="35">
        <f>IFERROR(IF(_xlfn.XLOOKUP(B177,'Base stats'!B:B,'Base stats'!F:F)="Lay eggs","Lay eggs",MIN(20,MAX(5.5,ROUND(((_xlfn.XLOOKUP(B177,'Base stats'!B:B,'Base stats'!F:F)-25)*(14.5/615) + 5.5)*2,0)/2))),"Cannot breed")</f>
        <v>5.5</v>
      </c>
      <c r="AT177" s="8">
        <f>IF(OR(A177="Queen",A177="Larva",A177="Megachicken",A177="Megatardi",A177="Toxscorpion"),"No",IFERROR(MAX(IF(_xlfn.XLOOKUP(B177,'Base stats'!B:B,'Base stats'!G:G)&lt;0.5,0.2,0.3),MROUND(_xlfn.XLOOKUP(B177,'Base stats'!B:B,'Base stats'!G:G)/(365/60),0.2)),"Unknown"))</f>
        <v>0.4</v>
      </c>
      <c r="AU177" s="8">
        <f t="shared" si="14"/>
        <v>0.2</v>
      </c>
      <c r="AV177" s="8">
        <f>IFERROR(IFERROR(MROUND(_xlfn.XLOOKUP(B177,'Base stats'!B:B,'Base stats'!J:J),0.1),"Lay eggs"),"Cannot breed")</f>
        <v>3</v>
      </c>
      <c r="AW177" s="2" t="str">
        <f t="shared" si="46"/>
        <v>false</v>
      </c>
      <c r="AX177" s="2" t="str">
        <f>IF(_xlfn.XLOOKUP(_xlfn.XLOOKUP(Animals!B177,'Base stats'!B:B,'Base stats'!E:E),Groups!A:A,Groups!AK:AK)=1,"true","false")</f>
        <v>false</v>
      </c>
      <c r="AY177" s="25" t="str">
        <f>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</f>
        <v>CarnivoreAnimal, OvivoreAnimal</v>
      </c>
      <c r="AZ177" s="2" t="str">
        <f>IF(_xlfn.XLOOKUP(_xlfn.XLOOKUP(B177,'Base stats'!B:B,'Base stats'!E:E),Groups!A:A,Groups!D:D)=1,MROUND((1-J177)*5+1,2)*IF(J177&lt;=0.4,2,1),"No")</f>
        <v>No</v>
      </c>
      <c r="BA177" s="2" t="str">
        <f>_xlfn.XLOOKUP(B177,'Base stats'!B:B,'Base stats'!AF:AF)</f>
        <v>No</v>
      </c>
      <c r="BB177" s="2" t="str">
        <f>_xlfn.XLOOKUP(B177,'Base stats'!B:B,'Base stats'!AE:AE)</f>
        <v>Leather_Light</v>
      </c>
      <c r="BC177" s="23" t="str">
        <f>_xlfn.XLOOKUP(_xlfn.XLOOKUP(B177,'Base stats'!B:B,'Base stats'!E:E),Groups!A:A,Groups!AL:AL)</f>
        <v>QuadrupedAnimalWithPawsAndTail</v>
      </c>
      <c r="BD177" s="23">
        <f>MIN(1,MROUND(IF(AND(AO177&lt;0.5,_xlfn.XLOOKUP(B177,'Base stats'!B:B,'Base stats'!Z:Z)=0),0,IF(OR(_xlfn.XLOOKUP(Animals!B177,'Base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stats'!AA:AA),0.005))</f>
        <v>0.1</v>
      </c>
      <c r="BE177" s="23">
        <f>MIN(1,MROUND(IF(AND(AO177&lt;0.5,_xlfn.XLOOKUP(B177,'Base stats'!B:B,'Base stats'!Z:Z)=0),0,IF(_xlfn.XLOOKUP(_xlfn.XLOOKUP(B177,'Base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stats'!AB:AB),0.005))</f>
        <v>0.3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Intermediate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true</v>
      </c>
      <c r="BK177" s="2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0.2</v>
      </c>
      <c r="BL177" s="2">
        <f t="shared" si="47"/>
        <v>1</v>
      </c>
      <c r="BM177" s="25" t="str">
        <f>IF(_xlfn.XLOOKUP(B177,'Base stats'!B:B,'Base stats'!AL:AL)="Standard","No",MROUND((_xlfn.XLOOKUP(B177,'Base stats'!B:B,'Base stats'!AL:AL)/3.6)/I177,0.1))</f>
        <v>No</v>
      </c>
      <c r="BN177" s="25" t="str">
        <f t="shared" si="4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stats'!AC:AC)&lt;&gt;"No",_xlfn.XLOOKUP(B177,'Base stats'!B:B,'Base stats'!AC:AC),"")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stats'!AC:AC)&lt;&gt;"No",_xlfn.XLOOKUP(B177,'Base stats'!B:B,'Base stats'!AC:AC),"")
  )
)</f>
        <v>No</v>
      </c>
      <c r="BQ177" s="25" t="str">
        <f>IF(
   AND(
      'Base stats'!AL177="Standard",_xlfn.XLOOKUP(_xlfn.XLOOKUP(B177,'Base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stats'!AT:AT) * 1.8) * 2) * 2.5 + 10 + I177 * 2,5)+IF(_xlfn.XLOOKUP(B177,'Base stats'!B:B,'Base stats'!AI:AI)=1,50,0)</f>
        <v>45</v>
      </c>
      <c r="BS177" s="8">
        <f t="shared" si="49"/>
        <v>0.30000000000000004</v>
      </c>
      <c r="BT177" s="8" t="str">
        <f>_xlfn.XLOOKUP(B177,'Base stats'!B:B,'Base stats'!AD:AD)</f>
        <v>No</v>
      </c>
      <c r="BU177" s="2" t="str">
        <f>IF(AND(J177&lt;=0.95,OR(_xlfn.XLOOKUP(B177,'Base stats'!B:B,'Base stats'!AI:AI)=1,_xlfn.XLOOKUP(B177,'Base stats'!B:B,'Base stats'!Y:Y)="Carnivore",_xlfn.XLOOKUP(B177,'Base stats'!B:B,'Base stats'!Y:Y)="Omnivore",BE177&gt;0.1)),"true","false")</f>
        <v>true</v>
      </c>
      <c r="BV177" s="2" t="str">
        <f>IF(_xlfn.XLOOKUP(B177,'Base stats'!B:B,'Base stats'!AG:AG)=1,"true","false")</f>
        <v>false</v>
      </c>
      <c r="BW177" s="25" t="str">
        <f>IF(E177="BaseInsect","AnimalInsect",
IF(J177&gt;0.95,"AnimalExotic",
_xlfn.TEXTJOIN(", ",TRUE,
IF(OR(_xlfn.XLOOKUP(B177,'Base stats'!B:B,'Base stats'!AK:AK)=1,AND(_xlfn.XLOOKUP(B177,'Base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stats'!AI:AI)=1,AND(BI177&lt;&gt;"None",BR177&gt;=60),ISNUMBER(SEARCH("Attack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TemperateForest TemperateSwamp</v>
      </c>
      <c r="BY177" s="25" t="str">
        <f>IF(_xlfn.XLOOKUP(B177,'Base stats'!B:B,'Base stats'!AH:AH)=1,"true","false")</f>
        <v>false</v>
      </c>
      <c r="BZ177" s="25">
        <f>IF(_xlfn.XLOOKUP(B177,'Base stats'!B:B,'Base stats'!N:N)=1,"No",MAX(0.01,MIN(MROUND(IF(OR(_xlfn.XLOOKUP(B177,'Base stats'!B:B,'Base stats'!AK:AK)=1,AND(BJ177="True",CC177="False")),POWER(10,3.47*LOG10(_xlfn.XLOOKUP(B177,'Base stats'!B:B,'Base stats'!C:C)*1000)^-0.96),POWER(10,4.15*LOG10(_xlfn.XLOOKUP(B177,'Base stats'!B:B,'Base stats'!C:C)*1000)^-0.73))*IF(OR(_xlfn.XLOOKUP(B177,'Base stats'!B:B,'Base stats'!AK:AK)=1,_xlfn.XLOOKUP(B177,'Base stats'!B:B,'Base stats'!AI:AI)=1),0.5,1)/100,0.025),1)))</f>
        <v>0.05</v>
      </c>
      <c r="CA177" s="25" t="str">
        <f>IF(P177="Standard","No",MAX(0.01,IF(_xlfn.XLOOKUP(B177,'Base stats'!B:B,'Base stats'!N:N)=0,MROUND(BZ177*P177,0.05),MIN(1,MAX(0.025,MROUND(IF(OR(CC177="true",AND(BJ177="false",BO177="false")),POWER(10,4.15*LOG10(_xlfn.XLOOKUP(B177,'Base stats'!B:B,'Base stats'!C:C)*1000)^-0.73),POWER(10,3.47*LOG10(_xlfn.XLOOKUP(B177,'Base stats'!B:B,'Base stats'!C:C)*1000)^-0.96))*IF(_xlfn.XLOOKUP(B177,'Base stats'!B:B,'Base stats'!AI:AI)=1,0.5,1)/100,0.025))))))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5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Bone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1260</v>
      </c>
      <c r="B178" s="6" t="s">
        <v>1269</v>
      </c>
      <c r="C178" s="28" t="s">
        <v>1251</v>
      </c>
      <c r="D178" s="28" t="s">
        <v>1244</v>
      </c>
      <c r="E178" s="28" t="s">
        <v>685</v>
      </c>
      <c r="F178" s="28" t="s">
        <v>685</v>
      </c>
      <c r="G178" s="28" t="s">
        <v>685</v>
      </c>
      <c r="H178" s="2">
        <f>MROUND((
  (IF(AND(_xlfn.XLOOKUP(B178,'Base stats'!B:B,'Base stats'!AJ:AJ)=0,BI178="None",_xlfn.XLOOKUP(_xlfn.XLOOKUP(B178,'Base stats'!B:B,'Base stats'!E:E),Groups!A:A,Groups!B:B)=0), (18 + BR178 * 2.7) * 0.5,
    IF(AND(_xlfn.XLOOKUP(B178,'Base stats'!B:B,'Base stats'!AJ:AJ)=0,OR(AO178&lt;0.55,AND(BI178="Intermediate",_xlfn.XLOOKUP(_xlfn.XLOOKUP(B178,'Base stats'!B:B,'Base stats'!E:E),Groups!A:A,Groups!B:B)&lt;2))), (18 + BR178 * 2.7),
      IF(OR(BI178="Advanced",_xlfn.XLOOKUP(B178,'Base stats'!B:B,'Base stats'!AJ:AJ)=1,_xlfn.XLOOKUP(_xlfn.XLOOKUP(B178,'Base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400</v>
      </c>
      <c r="I178" s="2">
        <f>MROUND(ROUNDDOWN(_xlfn.XLOOKUP(B178,'Base stats'!B:B,'Base stats'!L:L)/3.6/(23.3/11),1),0.5)</f>
        <v>6.5</v>
      </c>
      <c r="J178" s="2">
        <f>IF(_xlfn.XLOOKUP(_xlfn.XLOOKUP(B178,'Base stats'!B:B,'Base stats'!E:E),Groups!A:A,Groups!C:C)="Untamable",1,IF(_xlfn.XLOOKUP(B178,'Base stats'!B:B,'Base stats'!AJ:AJ)=1,0.99,MIN(MROUND((1-0.6282*EXP(-0.459*AO178))*_xlfn.XLOOKUP(_xlfn.XLOOKUP(B178,'Base stats'!B:B,'Base stats'!E:E),Groups!A:A,Groups!C:C)*IF(_xlfn.XLOOKUP(B178,'Base stats'!B:B,'Base stats'!O:O)=1,0.5,IF(_xlfn.XLOOKUP(B178,'Base stats'!B:B,'Base stats'!O:O)=2,0,1)),0.05),0.985)))</f>
        <v>0.65</v>
      </c>
      <c r="K178" s="2">
        <f>ROUNDUP(AO178*_xlfn.XLOOKUP(_xlfn.XLOOKUP(B178,'Base stats'!B:B,'Base stats'!E:E),Groups!A:A,Groups!E:E),0)</f>
        <v>1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-30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50</v>
      </c>
      <c r="N178" s="8" t="str">
        <f>IF(_xlfn.XLOOKUP(_xlfn.XLOOKUP(B178,'Base stats'!B:B,'Base stats'!E:E),Groups!A:A,Groups!L:L)=1,MIN(MROUND(_xlfn.XLOOKUP(B178,'Animals CE'!B:B,'Animals CE'!Z:Z)/2+0.05,0.05),200%),"No")</f>
        <v>No</v>
      </c>
      <c r="O178" s="8" t="str">
        <f>IF(_xlfn.XLOOKUP(_xlfn.XLOOKUP(B178,'Base stats'!B:B,'Base stats'!E:E),Groups!A:A,Groups!L:L)=1,MIN(MROUND(_xlfn.XLOOKUP(B178,'Animals CE'!B:B,'Animals CE'!AA:AA)/2+0.05,0.05),200%),"No")</f>
        <v>No</v>
      </c>
      <c r="P178" s="2" t="str">
        <f>_xlfn.XLOOKUP(B178,'Base stats'!B:B,'Base stats'!R:R)</f>
        <v>Standard</v>
      </c>
      <c r="Q178" s="13">
        <f>MROUND((LOG10(_xlfn.XLOOKUP(B178,'Base stats'!B:B,'Base stats'!AP:AP))*(AO178^0.5)+(_xlfn.XLOOKUP(B178,'Base stats'!B:B,'Base stats'!AP:AP)/1000)^(2/3)+_xlfn.XLOOKUP(B178,'Base stats'!B:B,'Base stats'!AY:AY)/2)+0.5,0.5)</f>
        <v>4.5</v>
      </c>
      <c r="R178" s="7">
        <f>IF(Q178="No","No",MAX(1,MROUND(_xlfn.XLOOKUP(B178,'Base stats'!B:B,'Base stats'!C:C)^0.165,0.05)))</f>
        <v>1.6</v>
      </c>
      <c r="S178" s="13" t="str">
        <f>IF(_xlfn.XLOOKUP(_xlfn.XLOOKUP(B178,'Base stats'!B:B,'Base stats'!E:E),Groups!A:A,Groups!P:P)=0,"No",MROUND((LOG10(_xlfn.XLOOKUP(B178,'Base stats'!B:B,'Base stats'!AQ:AQ))*(AO178^0.5)+(_xlfn.XLOOKUP(B178,'Base stats'!B:B,'Base stats'!AQ:AQ)/1000)^(2/3)+_xlfn.XLOOKUP(B178,'Base stats'!B:B,'Base stats'!AY:AY))+_xlfn.XLOOKUP(B178,'Base stats'!B:B,'Base stats'!AW:AW)+0.5,0.5))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stats'!AS:AS))*(AO178^0.5)+(_xlfn.XLOOKUP(B178,'Base stats'!B:B,'Base stats'!AS:AS)/1000)^(2/3)+_xlfn.XLOOKUP(B178,'Base stats'!B:B,'Base stats'!AX:AX))+0.5+IF(_xlfn.XLOOKUP(_xlfn.XLOOKUP(B178,'Base stats'!B:B,'Base stats'!E:E),Groups!A:A,Groups!U:U)&lt;&gt;3,_xlfn.XLOOKUP(B178,'Base stats'!B:B,'Base stats'!AY:AY),0),0.5))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stats'!AR:AR)="No","No",MROUND((LOG10(_xlfn.XLOOKUP(B178,'Base stats'!B:B,'Base stats'!AR:AR))*(AO178^0.75)+(_xlfn.XLOOKUP(B178,'Base stats'!B:B,'Base stats'!AR:AR)/1000)^(2/3)+_xlfn.XLOOKUP(B178,'Base stats'!B:B,'Base stats'!AV:AV)+_xlfn.XLOOKUP(B178,'Base stats'!B:B,'Base stats'!AY:AY))+0.5,0.5))</f>
        <v>8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1.25</v>
      </c>
      <c r="AF178" s="7" t="str">
        <f>IF(AD178="No","No",_xlfn.XLOOKUP(_xlfn.XLOOKUP(B178,'Base stats'!B:B,'Base stats'!E:E),Groups!A:A,Groups!AA:AA))</f>
        <v>Teeth</v>
      </c>
      <c r="AG178" s="7" t="str">
        <f>IF(AD178="No","No",_xlfn.XLOOKUP(_xlfn.XLOOKUP(B178,'Base stats'!B:B,'Base stats'!E:E),Groups!A:A,Groups!AB:AB))</f>
        <v>canines</v>
      </c>
      <c r="AH178" s="7" t="str">
        <f>IF(AD178="No","No",_xlfn.XLOOKUP(_xlfn.XLOOKUP(B178,'Base stats'!B:B,'Base stats'!E:E),Groups!A:A,Groups!AC:AC))</f>
        <v>Bite</v>
      </c>
      <c r="AI178" s="13" t="str">
        <f>IF(_xlfn.XLOOKUP(_xlfn.XLOOKUP(B178,'Base stats'!B:B,'Base stats'!E:E),Groups!A:A,Groups!AD:AD)=0,"No",MROUND((LOG10(_xlfn.XLOOKUP(B178,'Base stats'!B:B,'Base stats'!AQ:AQ))*(AO178^0.75)+(_xlfn.XLOOKUP(B178,'Base stats'!B:B,'Base stats'!AQ:AQ)/1000)^(2/3)+_xlfn.XLOOKUP(B178,'Base stats'!B:B,'Base stats'!AW:AW)+_xlfn.XLOOKUP(B178,'Base stats'!B:B,'Base stats'!AY:AY))+0.5,0.5))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>
        <f t="shared" si="45"/>
        <v>20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0.55000000000000004</v>
      </c>
      <c r="AP178" s="8">
        <f>MROUND(AO178*_xlfn.XLOOKUP(_xlfn.XLOOKUP(B178,'Base stats'!B:B,'Base stats'!E:E),Groups!A:A,Groups!AI:AI),0.05)</f>
        <v>0.65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0.4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10</v>
      </c>
      <c r="AS178" s="35">
        <f>IFERROR(IF(_xlfn.XLOOKUP(B178,'Base stats'!B:B,'Base stats'!F:F)="Lay eggs","Lay eggs",MIN(20,MAX(5.5,ROUND(((_xlfn.XLOOKUP(B178,'Base stats'!B:B,'Base stats'!F:F)-25)*(14.5/615) + 5.5)*2,0)/2))),"Cannot breed")</f>
        <v>5.5</v>
      </c>
      <c r="AT178" s="8">
        <f>IF(OR(A178="Queen",A178="Larva",A178="Megachicken",A178="Megatardi",A178="Toxscorpion"),"No",IFERROR(MAX(IF(_xlfn.XLOOKUP(B178,'Base stats'!B:B,'Base stats'!G:G)&lt;0.5,0.2,0.3),MROUND(_xlfn.XLOOKUP(B178,'Base stats'!B:B,'Base stats'!G:G)/(365/60),0.2)),"Unknown"))</f>
        <v>0.4</v>
      </c>
      <c r="AU178" s="8">
        <f t="shared" si="14"/>
        <v>0.2</v>
      </c>
      <c r="AV178" s="8">
        <f>IFERROR(IFERROR(MROUND(_xlfn.XLOOKUP(B178,'Base stats'!B:B,'Base stats'!J:J),0.1),"Lay eggs"),"Cannot breed")</f>
        <v>1</v>
      </c>
      <c r="AW178" s="2" t="str">
        <f t="shared" si="46"/>
        <v>false</v>
      </c>
      <c r="AX178" s="2" t="str">
        <f>IF(_xlfn.XLOOKUP(_xlfn.XLOOKUP(Animals!B178,'Base stats'!B:B,'Base stats'!E:E),Groups!A:A,Groups!AK:AK)=1,"true","false")</f>
        <v>false</v>
      </c>
      <c r="AY178" s="25" t="str">
        <f>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</f>
        <v>CarnivoreAnimal, OvivoreAnimal</v>
      </c>
      <c r="AZ178" s="2" t="str">
        <f>IF(_xlfn.XLOOKUP(_xlfn.XLOOKUP(B178,'Base stats'!B:B,'Base stats'!E:E),Groups!A:A,Groups!D:D)=1,MROUND((1-J178)*5+1,2)*IF(J178&lt;=0.4,2,1),"No")</f>
        <v>No</v>
      </c>
      <c r="BA178" s="2" t="str">
        <f>_xlfn.XLOOKUP(B178,'Base stats'!B:B,'Base stats'!AF:AF)</f>
        <v>No</v>
      </c>
      <c r="BB178" s="2" t="str">
        <f>_xlfn.XLOOKUP(B178,'Base stats'!B:B,'Base stats'!AE:AE)</f>
        <v>Leather_Dog</v>
      </c>
      <c r="BC178" s="23" t="str">
        <f>_xlfn.XLOOKUP(_xlfn.XLOOKUP(B178,'Base stats'!B:B,'Base stats'!E:E),Groups!A:A,Groups!AL:AL)</f>
        <v>QuadrupedAnimalWithPawsAndTail</v>
      </c>
      <c r="BD178" s="23">
        <f>MIN(1,MROUND(IF(AND(AO178&lt;0.5,_xlfn.XLOOKUP(B178,'Base stats'!B:B,'Base stats'!Z:Z)=0),0,IF(OR(_xlfn.XLOOKUP(Animals!B178,'Base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stats'!AA:AA),0.005))</f>
        <v>0.1</v>
      </c>
      <c r="BE178" s="23">
        <f>MIN(1,MROUND(IF(AND(AO178&lt;0.5,_xlfn.XLOOKUP(B178,'Base stats'!B:B,'Base stats'!Z:Z)=0),0,IF(_xlfn.XLOOKUP(_xlfn.XLOOKUP(B178,'Base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stats'!AB:AB),0.005))</f>
        <v>0.3</v>
      </c>
      <c r="BF178" s="2" t="str">
        <f>IF(J178&gt;0.3,"No",_xlfn.XLOOKUP(_xlfn.XLOOKUP(Animals!B178,'Base stats'!B:B,'Base stats'!E:E),Groups!A:A,Groups!AP:AP))</f>
        <v>No</v>
      </c>
      <c r="BG178" s="2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48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Advanced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true</v>
      </c>
      <c r="BK178" s="2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1</v>
      </c>
      <c r="BL178" s="2">
        <f t="shared" si="47"/>
        <v>1</v>
      </c>
      <c r="BM178" s="25" t="str">
        <f>IF(_xlfn.XLOOKUP(B178,'Base stats'!B:B,'Base stats'!AL:AL)="Standard","No",MROUND((_xlfn.XLOOKUP(B178,'Base stats'!B:B,'Base stats'!AL:AL)/3.6)/I178,0.1))</f>
        <v>No</v>
      </c>
      <c r="BN178" s="25" t="str">
        <f t="shared" si="48"/>
        <v>false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false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stats'!AC:AC)&lt;&gt;"No",_xlfn.XLOOKUP(B178,'Base stats'!B:B,'Base stats'!AC:AC),"")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stats'!AC:AC)&lt;&gt;"No",_xlfn.XLOOKUP(B178,'Base stats'!B:B,'Base stats'!AC:AC),"")
  )
)</f>
        <v>AttackTarget</v>
      </c>
      <c r="BQ178" s="25" t="str">
        <f>IF(
   AND(
      'Base stats'!AL178="Standard",_xlfn.XLOOKUP(_xlfn.XLOOKUP(B178,'Base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No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stats'!AT:AT) * 1.8) * 2) * 2.5 + 10 + I178 * 2,5)+IF(_xlfn.XLOOKUP(B178,'Base stats'!B:B,'Base stats'!AI:AI)=1,50,0)</f>
        <v>70</v>
      </c>
      <c r="BS178" s="8">
        <f t="shared" si="49"/>
        <v>0.45</v>
      </c>
      <c r="BT178" s="8" t="str">
        <f>_xlfn.XLOOKUP(B178,'Base stats'!B:B,'Base stats'!AD:AD)</f>
        <v>No</v>
      </c>
      <c r="BU178" s="2" t="str">
        <f>IF(AND(J178&lt;=0.95,OR(_xlfn.XLOOKUP(B178,'Base stats'!B:B,'Base stats'!AI:AI)=1,_xlfn.XLOOKUP(B178,'Base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stats'!AG:AG)=1,"true","false")</f>
        <v>false</v>
      </c>
      <c r="BW178" s="25" t="str">
        <f>IF(E178="BaseInsect","AnimalInsect",
IF(J178&gt;0.95,"AnimalExotic",
_xlfn.TEXTJOIN(", ",TRUE,
IF(OR(_xlfn.XLOOKUP(B178,'Base stats'!B:B,'Base stats'!AK:AK)=1,AND(_xlfn.XLOOKUP(B178,'Base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stats'!AI:AI)=1,AND(BI178&lt;&gt;"None",BR178&gt;=60),ISNUMBER(SEARCH("Attack target",BP178))),"AnimalFighter","")
)))</f>
        <v>AnimalUncommon, AnimalFighter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TemperateForest TemperateSwamp AridShrubland Grasslands LavaField</v>
      </c>
      <c r="BY178" s="25" t="str">
        <f>IF(_xlfn.XLOOKUP(B178,'Base stats'!B:B,'Base stats'!AH:AH)=1,"true","false")</f>
        <v>false</v>
      </c>
      <c r="BZ178" s="25">
        <f>IF(_xlfn.XLOOKUP(B178,'Base stats'!B:B,'Base stats'!N:N)=1,"No",MAX(0.01,MIN(MROUND(IF(OR(_xlfn.XLOOKUP(B178,'Base stats'!B:B,'Base stats'!AK:AK)=1,AND(BJ178="True",CC178="False")),POWER(10,3.47*LOG10(_xlfn.XLOOKUP(B178,'Base stats'!B:B,'Base stats'!C:C)*1000)^-0.96),POWER(10,4.15*LOG10(_xlfn.XLOOKUP(B178,'Base stats'!B:B,'Base stats'!C:C)*1000)^-0.73))*IF(OR(_xlfn.XLOOKUP(B178,'Base stats'!B:B,'Base stats'!AK:AK)=1,_xlfn.XLOOKUP(B178,'Base stats'!B:B,'Base stats'!AI:AI)=1),0.5,1)/100,0.025),1)))</f>
        <v>2.5000000000000001E-2</v>
      </c>
      <c r="CA178" s="25" t="str">
        <f>IF(P178="Standard","No",MAX(0.01,IF(_xlfn.XLOOKUP(B178,'Base stats'!B:B,'Base stats'!N:N)=0,MROUND(BZ178*P178,0.05),MIN(1,MAX(0.025,MROUND(IF(OR(CC178="true",AND(BJ178="false",BO178="false")),POWER(10,4.15*LOG10(_xlfn.XLOOKUP(B178,'Base stats'!B:B,'Base stats'!C:C)*1000)^-0.73),POWER(10,3.47*LOG10(_xlfn.XLOOKUP(B178,'Base stats'!B:B,'Base stats'!C:C)*1000)^-0.96))*IF(_xlfn.XLOOKUP(B178,'Base stats'!B:B,'Base stats'!AI:AI)=1,0.5,1)/100,0.025))))))</f>
        <v>No</v>
      </c>
      <c r="CB178" s="25" t="str">
        <f>IF(_xlfn.XLOOKUP(_xlfn.XLOOKUP(B178,'Base stats'!B:B,'Base stats'!E:E),Groups!A:A,Groups!AJ:AJ)="Mammal","True","False")</f>
        <v>True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5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1261</v>
      </c>
      <c r="B179" s="6" t="s">
        <v>1270</v>
      </c>
      <c r="C179" s="28" t="s">
        <v>1252</v>
      </c>
      <c r="D179" s="28" t="s">
        <v>1244</v>
      </c>
      <c r="E179" s="28" t="s">
        <v>685</v>
      </c>
      <c r="F179" s="28" t="s">
        <v>685</v>
      </c>
      <c r="G179" s="28" t="s">
        <v>685</v>
      </c>
      <c r="H179" s="2">
        <f>MROUND((
  (IF(AND(_xlfn.XLOOKUP(B179,'Base stats'!B:B,'Base stats'!AJ:AJ)=0,BI179="None",_xlfn.XLOOKUP(_xlfn.XLOOKUP(B179,'Base stats'!B:B,'Base stats'!E:E),Groups!A:A,Groups!B:B)=0), (18 + BR179 * 2.7) * 0.5,
    IF(AND(_xlfn.XLOOKUP(B179,'Base stats'!B:B,'Base stats'!AJ:AJ)=0,OR(AO179&lt;0.55,AND(BI179="Intermediate",_xlfn.XLOOKUP(_xlfn.XLOOKUP(B179,'Base stats'!B:B,'Base stats'!E:E),Groups!A:A,Groups!B:B)&lt;2))), (18 + BR179 * 2.7),
      IF(OR(BI179="Advanced",_xlfn.XLOOKUP(B179,'Base stats'!B:B,'Base stats'!AJ:AJ)=1,_xlfn.XLOOKUP(_xlfn.XLOOKUP(B179,'Base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425</v>
      </c>
      <c r="I179" s="2">
        <f>MROUND(ROUNDDOWN(_xlfn.XLOOKUP(B179,'Base stats'!B:B,'Base stats'!L:L)/3.6/(23.3/11),1),0.5)</f>
        <v>9</v>
      </c>
      <c r="J179" s="2">
        <f>IF(_xlfn.XLOOKUP(_xlfn.XLOOKUP(B179,'Base stats'!B:B,'Base stats'!E:E),Groups!A:A,Groups!C:C)="Untamable",1,IF(_xlfn.XLOOKUP(B179,'Base stats'!B:B,'Base stats'!AJ:AJ)=1,0.99,MIN(MROUND((1-0.6282*EXP(-0.459*AO179))*_xlfn.XLOOKUP(_xlfn.XLOOKUP(B179,'Base stats'!B:B,'Base stats'!E:E),Groups!A:A,Groups!C:C)*IF(_xlfn.XLOOKUP(B179,'Base stats'!B:B,'Base stats'!O:O)=1,0.5,IF(_xlfn.XLOOKUP(B179,'Base stats'!B:B,'Base stats'!O:O)=2,0,1)),0.05),0.985)))</f>
        <v>0.65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50</v>
      </c>
      <c r="N179" s="8" t="str">
        <f>IF(_xlfn.XLOOKUP(_xlfn.XLOOKUP(B179,'Base stats'!B:B,'Base stats'!E:E),Groups!A:A,Groups!L:L)=1,MIN(MROUND(_xlfn.XLOOKUP(B179,'Animals CE'!B:B,'Animals CE'!Z:Z)/2+0.05,0.05),200%),"No")</f>
        <v>No</v>
      </c>
      <c r="O179" s="8" t="str">
        <f>IF(_xlfn.XLOOKUP(_xlfn.XLOOKUP(B179,'Base stats'!B:B,'Base stats'!E:E),Groups!A:A,Groups!L:L)=1,MIN(MROUND(_xlfn.XLOOKUP(B179,'Animals CE'!B:B,'Animals CE'!AA:AA)/2+0.05,0.05),200%),"No")</f>
        <v>No</v>
      </c>
      <c r="P179" s="2" t="str">
        <f>_xlfn.XLOOKUP(B179,'Base stats'!B:B,'Base stats'!R:R)</f>
        <v>Standard</v>
      </c>
      <c r="Q179" s="13">
        <f>MROUND((LOG10(_xlfn.XLOOKUP(B179,'Base stats'!B:B,'Base stats'!AP:AP))*(AO179^0.5)+(_xlfn.XLOOKUP(B179,'Base stats'!B:B,'Base stats'!AP:AP)/1000)^(2/3)+_xlfn.XLOOKUP(B179,'Base stats'!B:B,'Base stats'!AY:AY)/2)+0.5,0.5)</f>
        <v>5</v>
      </c>
      <c r="R179" s="7">
        <f>IF(Q179="No","No",MAX(1,MROUND(_xlfn.XLOOKUP(B179,'Base stats'!B:B,'Base stats'!C:C)^0.165,0.05)))</f>
        <v>1.7000000000000002</v>
      </c>
      <c r="S179" s="13" t="str">
        <f>IF(_xlfn.XLOOKUP(_xlfn.XLOOKUP(B179,'Base stats'!B:B,'Base stats'!E:E),Groups!A:A,Groups!P:P)=0,"No",MROUND((LOG10(_xlfn.XLOOKUP(B179,'Base stats'!B:B,'Base stats'!AQ:AQ))*(AO179^0.5)+(_xlfn.XLOOKUP(B179,'Base stats'!B:B,'Base stats'!AQ:AQ)/1000)^(2/3)+_xlfn.XLOOKUP(B179,'Base stats'!B:B,'Base stats'!AY:AY))+_xlfn.XLOOKUP(B179,'Base stats'!B:B,'Base stats'!AW:AW)+0.5,0.5))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stats'!AS:AS))*(AO179^0.5)+(_xlfn.XLOOKUP(B179,'Base stats'!B:B,'Base stats'!AS:AS)/1000)^(2/3)+_xlfn.XLOOKUP(B179,'Base stats'!B:B,'Base stats'!AX:AX))+0.5+IF(_xlfn.XLOOKUP(_xlfn.XLOOKUP(B179,'Base stats'!B:B,'Base stats'!E:E),Groups!A:A,Groups!U:U)&lt;&gt;3,_xlfn.XLOOKUP(B179,'Base stats'!B:B,'Base stats'!AY:AY),0),0.5))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stats'!AR:AR)="No","No",MROUND((LOG10(_xlfn.XLOOKUP(B179,'Base stats'!B:B,'Base stats'!AR:AR))*(AO179^0.75)+(_xlfn.XLOOKUP(B179,'Base stats'!B:B,'Base stats'!AR:AR)/1000)^(2/3)+_xlfn.XLOOKUP(B179,'Base stats'!B:B,'Base stats'!AV:AV)+_xlfn.XLOOKUP(B179,'Base stats'!B:B,'Base stats'!AY:AY))+0.5,0.5))</f>
        <v>9.5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1.35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 t="str">
        <f>IF(_xlfn.XLOOKUP(_xlfn.XLOOKUP(B179,'Base stats'!B:B,'Base stats'!E:E),Groups!A:A,Groups!AD:AD)=0,"No",MROUND((LOG10(_xlfn.XLOOKUP(B179,'Base stats'!B:B,'Base stats'!AQ:AQ))*(AO179^0.75)+(_xlfn.XLOOKUP(B179,'Base stats'!B:B,'Base stats'!AQ:AQ)/1000)^(2/3)+_xlfn.XLOOKUP(B179,'Base stats'!B:B,'Base stats'!AW:AW)+_xlfn.XLOOKUP(B179,'Base stats'!B:B,'Base stats'!AY:AY))+0.5,0.5))</f>
        <v>No</v>
      </c>
      <c r="AJ179" s="7" t="str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No</v>
      </c>
      <c r="AK179" s="7" t="str">
        <f>IF(AI179="No","No",_xlfn.XLOOKUP(_xlfn.XLOOKUP(B179,'Base stats'!B:B,'Base stats'!E:E),Groups!A:A,Groups!AF:AF))</f>
        <v>No</v>
      </c>
      <c r="AL179" s="7" t="str">
        <f>IF(AI179="No","No",_xlfn.XLOOKUP(_xlfn.XLOOKUP(B179,'Base stats'!B:B,'Base stats'!E:E),Groups!A:A,Groups!AG:AG))</f>
        <v>No</v>
      </c>
      <c r="AM179" s="7" t="str">
        <f>IF(AI179="No","No",_xlfn.XLOOKUP(_xlfn.XLOOKUP(B179,'Base stats'!B:B,'Base stats'!E:E),Groups!A:A,Groups!AH:AH))</f>
        <v>No</v>
      </c>
      <c r="AN179" s="2">
        <f t="shared" si="45"/>
        <v>20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0.65</v>
      </c>
      <c r="AP179" s="8">
        <f>MROUND(AO179*_xlfn.XLOOKUP(_xlfn.XLOOKUP(B179,'Base stats'!B:B,'Base stats'!E:E),Groups!A:A,Groups!AI:AI),0.05)</f>
        <v>0.8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0.45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9</v>
      </c>
      <c r="AS179" s="35">
        <f>IFERROR(IF(_xlfn.XLOOKUP(B179,'Base stats'!B:B,'Base stats'!F:F)="Lay eggs","Lay eggs",MIN(20,MAX(5.5,ROUND(((_xlfn.XLOOKUP(B179,'Base stats'!B:B,'Base stats'!F:F)-25)*(14.5/615) + 5.5)*2,0)/2))),"Cannot breed")</f>
        <v>6.5</v>
      </c>
      <c r="AT179" s="8">
        <f>IF(OR(A179="Queen",A179="Larva",A179="Megachicken",A179="Megatardi",A179="Toxscorpion"),"No",IFERROR(MAX(IF(_xlfn.XLOOKUP(B179,'Base stats'!B:B,'Base stats'!G:G)&lt;0.5,0.2,0.3),MROUND(_xlfn.XLOOKUP(B179,'Base stats'!B:B,'Base stats'!G:G)/(365/60),0.2)),"Unknown"))</f>
        <v>0.3</v>
      </c>
      <c r="AU179" s="8">
        <f t="shared" si="14"/>
        <v>0.15000000000000002</v>
      </c>
      <c r="AV179" s="8">
        <f>IFERROR(IFERROR(MROUND(_xlfn.XLOOKUP(B179,'Base stats'!B:B,'Base stats'!J:J),0.1),"Lay eggs"),"Cannot breed")</f>
        <v>8</v>
      </c>
      <c r="AW179" s="2" t="str">
        <f t="shared" si="46"/>
        <v>true</v>
      </c>
      <c r="AX179" s="2" t="str">
        <f>IF(_xlfn.XLOOKUP(_xlfn.XLOOKUP(Animals!B179,'Base stats'!B:B,'Base stats'!E:E),Groups!A:A,Groups!AK:AK)=1,"true","false")</f>
        <v>false</v>
      </c>
      <c r="AY179" s="25" t="str">
        <f>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_xlfn.XLOOKUP(B179,'Base stats'!B:B,'Base stats'!AF:AF)</f>
        <v>&lt;li&gt;YorkshireTerrier&lt;/li&gt;</v>
      </c>
      <c r="BB179" s="2" t="str">
        <f>_xlfn.XLOOKUP(B179,'Base stats'!B:B,'Base stats'!AE:AE)</f>
        <v>Leather_Dog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stats'!Z:Z)=0),0,IF(OR(_xlfn.XLOOKUP(Animals!B179,'Base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stats'!AA:AA),0.005))</f>
        <v>0.1</v>
      </c>
      <c r="BE179" s="23">
        <f>MIN(1,MROUND(IF(AND(AO179&lt;0.5,_xlfn.XLOOKUP(B179,'Base stats'!B:B,'Base stats'!Z:Z)=0),0,IF(_xlfn.XLOOKUP(_xlfn.XLOOKUP(B179,'Base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stats'!AB:AB),0.005))</f>
        <v>0.3</v>
      </c>
      <c r="BF179" s="2" t="str">
        <f>IF(J179&gt;0.3,"No",_xlfn.XLOOKUP(_xlfn.XLOOKUP(Animals!B179,'Base stats'!B:B,'Base stats'!E:E),Groups!A:A,Groups!AP:AP))</f>
        <v>No</v>
      </c>
      <c r="BG179" s="2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48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Advanced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1.75</v>
      </c>
      <c r="BL179" s="2">
        <f t="shared" si="47"/>
        <v>1</v>
      </c>
      <c r="BM179" s="25" t="str">
        <f>IF(_xlfn.XLOOKUP(B179,'Base stats'!B:B,'Base stats'!AL:AL)="Standard","No",MROUND((_xlfn.XLOOKUP(B179,'Base stats'!B:B,'Base stats'!AL:AL)/3.6)/I179,0.1))</f>
        <v>No</v>
      </c>
      <c r="BN179" s="25" t="str">
        <f t="shared" si="4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stats'!AC:AC)&lt;&gt;"No",_xlfn.XLOOKUP(B179,'Base stats'!B:B,'Base stats'!AC:AC),"")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stats'!AC:AC)&lt;&gt;"No",_xlfn.XLOOKUP(B179,'Base stats'!B:B,'Base stats'!AC:AC),"")
  )
)</f>
        <v>AttackTarget</v>
      </c>
      <c r="BQ179" s="25" t="str">
        <f>IF(
   AND(
      'Base stats'!AL179="Standard",_xlfn.XLOOKUP(_xlfn.XLOOKUP(B179,'Base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stats'!AT:AT) * 1.8) * 2) * 2.5 + 10 + I179 * 2,5)+IF(_xlfn.XLOOKUP(B179,'Base stats'!B:B,'Base stats'!AI:AI)=1,50,0)</f>
        <v>85</v>
      </c>
      <c r="BS179" s="8">
        <f t="shared" si="49"/>
        <v>0.5</v>
      </c>
      <c r="BT179" s="8" t="str">
        <f>_xlfn.XLOOKUP(B179,'Base stats'!B:B,'Base stats'!AD:AD)</f>
        <v>3~8</v>
      </c>
      <c r="BU179" s="2" t="str">
        <f>IF(AND(J179&lt;=0.95,OR(_xlfn.XLOOKUP(B179,'Base stats'!B:B,'Base stats'!AI:AI)=1,_xlfn.XLOOKUP(B179,'Base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stats'!AG:AG)=1,"true","false")</f>
        <v>false</v>
      </c>
      <c r="BW179" s="25" t="str">
        <f>IF(E179="BaseInsect","AnimalInsect",
IF(J179&gt;0.95,"AnimalExotic",
_xlfn.TEXTJOIN(", ",TRUE,
IF(OR(_xlfn.XLOOKUP(B179,'Base stats'!B:B,'Base stats'!AK:AK)=1,AND(_xlfn.XLOOKUP(B179,'Base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stats'!AI:AI)=1,AND(BI179&lt;&gt;"None",BR179&gt;=60),ISNUMBER(SEARCH("Attack target",BP179))),"AnimalFighter","")
)))</f>
        <v>AnimalUncommon, AnimalFighter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AridShrubland Desert Grasslands LavaField</v>
      </c>
      <c r="BY179" s="25" t="str">
        <f>IF(_xlfn.XLOOKUP(B179,'Base stats'!B:B,'Base stats'!AH:AH)=1,"true","false")</f>
        <v>false</v>
      </c>
      <c r="BZ179" s="25">
        <f>IF(_xlfn.XLOOKUP(B179,'Base stats'!B:B,'Base stats'!N:N)=1,"No",MAX(0.01,MIN(MROUND(IF(OR(_xlfn.XLOOKUP(B179,'Base stats'!B:B,'Base stats'!AK:AK)=1,AND(BJ179="True",CC179="False")),POWER(10,3.47*LOG10(_xlfn.XLOOKUP(B179,'Base stats'!B:B,'Base stats'!C:C)*1000)^-0.96),POWER(10,4.15*LOG10(_xlfn.XLOOKUP(B179,'Base stats'!B:B,'Base stats'!C:C)*1000)^-0.73))*IF(OR(_xlfn.XLOOKUP(B179,'Base stats'!B:B,'Base stats'!AK:AK)=1,_xlfn.XLOOKUP(B179,'Base stats'!B:B,'Base stats'!AI:AI)=1),0.5,1)/100,0.025),1)))</f>
        <v>2.5000000000000001E-2</v>
      </c>
      <c r="CA179" s="25" t="str">
        <f>IF(P179="Standard","No",MAX(0.01,IF(_xlfn.XLOOKUP(B179,'Base stats'!B:B,'Base stats'!N:N)=0,MROUND(BZ179*P179,0.05),MIN(1,MAX(0.025,MROUND(IF(OR(CC179="true",AND(BJ179="false",BO179="false")),POWER(10,4.15*LOG10(_xlfn.XLOOKUP(B179,'Base stats'!B:B,'Base stats'!C:C)*1000)^-0.73),POWER(10,3.47*LOG10(_xlfn.XLOOKUP(B179,'Base stats'!B:B,'Base stats'!C:C)*1000)^-0.96))*IF(_xlfn.XLOOKUP(B179,'Base stats'!B:B,'Base stats'!AI:AI)=1,0.5,1)/100,0.025))))))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5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No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1262</v>
      </c>
      <c r="B180" s="6" t="s">
        <v>1279</v>
      </c>
      <c r="C180" s="28" t="s">
        <v>1253</v>
      </c>
      <c r="D180" s="28" t="s">
        <v>1244</v>
      </c>
      <c r="E180" s="28" t="s">
        <v>685</v>
      </c>
      <c r="F180" s="28" t="s">
        <v>685</v>
      </c>
      <c r="G180" s="28" t="s">
        <v>685</v>
      </c>
      <c r="H180" s="2">
        <f>MROUND((
  (IF(AND(_xlfn.XLOOKUP(B180,'Base stats'!B:B,'Base stats'!AJ:AJ)=0,BI180="None",_xlfn.XLOOKUP(_xlfn.XLOOKUP(B180,'Base stats'!B:B,'Base stats'!E:E),Groups!A:A,Groups!B:B)=0), (18 + BR180 * 2.7) * 0.5,
    IF(AND(_xlfn.XLOOKUP(B180,'Base stats'!B:B,'Base stats'!AJ:AJ)=0,OR(AO180&lt;0.55,AND(BI180="Intermediate",_xlfn.XLOOKUP(_xlfn.XLOOKUP(B180,'Base stats'!B:B,'Base stats'!E:E),Groups!A:A,Groups!B:B)&lt;2))), (18 + BR180 * 2.7),
      IF(OR(BI180="Advanced",_xlfn.XLOOKUP(B180,'Base stats'!B:B,'Base stats'!AJ:AJ)=1,_xlfn.XLOOKUP(_xlfn.XLOOKUP(B180,'Base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175</v>
      </c>
      <c r="I180" s="2">
        <f>MROUND(ROUNDDOWN(_xlfn.XLOOKUP(B180,'Base stats'!B:B,'Base stats'!L:L)/3.6/(23.3/11),1),0.5)</f>
        <v>3.5</v>
      </c>
      <c r="J180" s="2">
        <f>IF(_xlfn.XLOOKUP(_xlfn.XLOOKUP(B180,'Base stats'!B:B,'Base stats'!E:E),Groups!A:A,Groups!C:C)="Untamable",1,IF(_xlfn.XLOOKUP(B180,'Base stats'!B:B,'Base stats'!AJ:AJ)=1,0.99,MIN(MROUND((1-0.6282*EXP(-0.459*AO180))*_xlfn.XLOOKUP(_xlfn.XLOOKUP(B180,'Base stats'!B:B,'Base stats'!E:E),Groups!A:A,Groups!C:C)*IF(_xlfn.XLOOKUP(B180,'Base stats'!B:B,'Base stats'!O:O)=1,0.5,IF(_xlfn.XLOOKUP(B180,'Base stats'!B:B,'Base stats'!O:O)=2,0,1)),0.05),0.985)))</f>
        <v>0.60000000000000009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5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>
        <f>IF(_xlfn.XLOOKUP(_xlfn.XLOOKUP(B180,'Base stats'!B:B,'Base stats'!E:E),Groups!A:A,Groups!L:L)=1,MIN(MROUND(_xlfn.XLOOKUP(B180,'Animals CE'!B:B,'Animals CE'!Z:Z)/2+0.05,0.05),200%),"No")</f>
        <v>0.35000000000000003</v>
      </c>
      <c r="O180" s="8">
        <f>IF(_xlfn.XLOOKUP(_xlfn.XLOOKUP(B180,'Base stats'!B:B,'Base stats'!E:E),Groups!A:A,Groups!L:L)=1,MIN(MROUND(_xlfn.XLOOKUP(B180,'Animals CE'!B:B,'Animals CE'!AA:AA)/2+0.05,0.05),200%),"No")</f>
        <v>0.30000000000000004</v>
      </c>
      <c r="P180" s="2" t="str">
        <f>_xlfn.XLOOKUP(B180,'Base stats'!B:B,'Base stats'!R:R)</f>
        <v>Standard</v>
      </c>
      <c r="Q180" s="13">
        <f>MROUND((LOG10(_xlfn.XLOOKUP(B180,'Base stats'!B:B,'Base stats'!AP:AP))*(AO180^0.5)+(_xlfn.XLOOKUP(B180,'Base stats'!B:B,'Base stats'!AP:AP)/1000)^(2/3)+_xlfn.XLOOKUP(B180,'Base stats'!B:B,'Base stats'!AY:AY)/2)+0.5,0.5)</f>
        <v>4</v>
      </c>
      <c r="R180" s="7">
        <f>IF(Q180="No","No",MAX(1,MROUND(_xlfn.XLOOKUP(B180,'Base stats'!B:B,'Base stats'!C:C)^0.165,0.05)))</f>
        <v>1.55</v>
      </c>
      <c r="S180" s="13" t="str">
        <f>IF(_xlfn.XLOOKUP(_xlfn.XLOOKUP(B180,'Base stats'!B:B,'Base stats'!E:E),Groups!A:A,Groups!P:P)=0,"No",MROUND((LOG10(_xlfn.XLOOKUP(B180,'Base stats'!B:B,'Base stats'!AQ:AQ))*(AO180^0.5)+(_xlfn.XLOOKUP(B180,'Base stats'!B:B,'Base stats'!AQ:AQ)/1000)^(2/3)+_xlfn.XLOOKUP(B180,'Base stats'!B:B,'Base stats'!AY:AY))+_xlfn.XLOOKUP(B180,'Base stats'!B:B,'Base stats'!AW:AW)+0.5,0.5))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stats'!AS:AS))*(AO180^0.5)+(_xlfn.XLOOKUP(B180,'Base stats'!B:B,'Base stats'!AS:AS)/1000)^(2/3)+_xlfn.XLOOKUP(B180,'Base stats'!B:B,'Base stats'!AX:AX))+0.5+IF(_xlfn.XLOOKUP(_xlfn.XLOOKUP(B180,'Base stats'!B:B,'Base stats'!E:E),Groups!A:A,Groups!U:U)&lt;&gt;3,_xlfn.XLOOKUP(B180,'Base stats'!B:B,'Base stats'!AY:AY),0),0.5))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stats'!AR:AR)="No","No",MROUND((LOG10(_xlfn.XLOOKUP(B180,'Base stats'!B:B,'Base stats'!AR:AR))*(AO180^0.75)+(_xlfn.XLOOKUP(B180,'Base stats'!B:B,'Base stats'!AR:AR)/1000)^(2/3)+_xlfn.XLOOKUP(B180,'Base stats'!B:B,'Base stats'!AV:AV)+_xlfn.XLOOKUP(B180,'Base stats'!B:B,'Base stats'!AY:AY))+0.5,0.5))</f>
        <v>6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1.3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teeth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stats'!AQ:AQ))*(AO180^0.75)+(_xlfn.XLOOKUP(B180,'Base stats'!B:B,'Base stats'!AQ:AQ)/1000)^(2/3)+_xlfn.XLOOKUP(B180,'Base stats'!B:B,'Base stats'!AW:AW)+_xlfn.XLOOKUP(B180,'Base stats'!B:B,'Base stats'!AY:AY))+0.5,0.5))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 t="str">
        <f t="shared" si="45"/>
        <v>No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0.45</v>
      </c>
      <c r="AP180" s="8">
        <f>MROUND(AO180*_xlfn.XLOOKUP(_xlfn.XLOOKUP(B180,'Base stats'!B:B,'Base stats'!E:E),Groups!A:A,Groups!AI:AI),0.05)</f>
        <v>0.45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0.35000000000000003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18</v>
      </c>
      <c r="AS180" s="35">
        <f>IFERROR(IF(_xlfn.XLOOKUP(B180,'Base stats'!B:B,'Base stats'!F:F)="Lay eggs","Lay eggs",MIN(20,MAX(5.5,ROUND(((_xlfn.XLOOKUP(B180,'Base stats'!B:B,'Base stats'!F:F)-25)*(14.5/615) + 5.5)*2,0)/2))),"Cannot breed")</f>
        <v>6.5</v>
      </c>
      <c r="AT180" s="8">
        <f>IF(OR(A180="Queen",A180="Larva",A180="Megachicken",A180="Megatardi",A180="Toxscorpion"),"No",IFERROR(MAX(IF(_xlfn.XLOOKUP(B180,'Base stats'!B:B,'Base stats'!G:G)&lt;0.5,0.2,0.3),MROUND(_xlfn.XLOOKUP(B180,'Base stats'!B:B,'Base stats'!G:G)/(365/60),0.2)),"Unknown"))</f>
        <v>0.4</v>
      </c>
      <c r="AU180" s="8">
        <f t="shared" si="14"/>
        <v>0.2</v>
      </c>
      <c r="AV180" s="8">
        <f>IFERROR(IFERROR(MROUND(_xlfn.XLOOKUP(B180,'Base stats'!B:B,'Base stats'!J:J),0.1),"Lay eggs"),"Cannot breed")</f>
        <v>1</v>
      </c>
      <c r="AW180" s="2" t="str">
        <f t="shared" si="4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_xlfn.XLOOKUP(B180,'Base stats'!B:B,'Base stats'!AF:AF)</f>
        <v>No</v>
      </c>
      <c r="BB180" s="2" t="str">
        <f>_xlfn.XLOOKUP(B180,'Base stats'!B:B,'Base stats'!AE:AE)</f>
        <v>Leather_Armadillo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stats'!Z:Z)=0),0,IF(OR(_xlfn.XLOOKUP(Animals!B180,'Base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stats'!AA:AA),0.005))</f>
        <v>0</v>
      </c>
      <c r="BE180" s="23">
        <f>MIN(1,MROUND(IF(AND(AO180&lt;0.5,_xlfn.XLOOKUP(B180,'Base stats'!B:B,'Base stats'!Z:Z)=0),0,IF(_xlfn.XLOOKUP(_xlfn.XLOOKUP(B180,'Base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stats'!AB:AB),0.005))</f>
        <v>0</v>
      </c>
      <c r="BF180" s="2" t="str">
        <f>IF(J180&gt;0.3,"No",_xlfn.XLOOKUP(_xlfn.XLOOKUP(Animals!B180,'Base stats'!B:B,'Base stats'!E:E),Groups!A:A,Groups!AP:AP))</f>
        <v>No</v>
      </c>
      <c r="BG180" s="2" t="str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No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None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false</v>
      </c>
      <c r="BK180" s="2" t="str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No</v>
      </c>
      <c r="BL180" s="2">
        <f t="shared" si="47"/>
        <v>0</v>
      </c>
      <c r="BM180" s="25" t="str">
        <f>IF(_xlfn.XLOOKUP(B180,'Base stats'!B:B,'Base stats'!AL:AL)="Standard","No",MROUND((_xlfn.XLOOKUP(B180,'Base stats'!B:B,'Base stats'!AL:AL)/3.6)/I180,0.1))</f>
        <v>No</v>
      </c>
      <c r="BN180" s="25" t="str">
        <f t="shared" si="4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stats'!AC:AC)&lt;&gt;"No",_xlfn.XLOOKUP(B180,'Base stats'!B:B,'Base stats'!AC:AC),"")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stats'!AC:AC)&lt;&gt;"No",_xlfn.XLOOKUP(B180,'Base stats'!B:B,'Base stats'!AC:AC),"")
  )
)</f>
        <v>No</v>
      </c>
      <c r="BQ180" s="25" t="str">
        <f>IF(
   AND(
      'Base stats'!AL180="Standard",_xlfn.XLOOKUP(_xlfn.XLOOKUP(B180,'Base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stats'!AT:AT) * 1.8) * 2) * 2.5 + 10 + I180 * 2,5)+IF(_xlfn.XLOOKUP(B180,'Base stats'!B:B,'Base stats'!AI:AI)=1,50,0)</f>
        <v>65</v>
      </c>
      <c r="BS180" s="8">
        <f t="shared" si="49"/>
        <v>0.35000000000000003</v>
      </c>
      <c r="BT180" s="8" t="str">
        <f>_xlfn.XLOOKUP(B180,'Base stats'!B:B,'Base stats'!AD:AD)</f>
        <v>No</v>
      </c>
      <c r="BU180" s="2" t="str">
        <f>IF(AND(J180&lt;=0.95,OR(_xlfn.XLOOKUP(B180,'Base stats'!B:B,'Base stats'!AI:AI)=1,_xlfn.XLOOKUP(B180,'Base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stats'!AG:AG)=1,"true","false")</f>
        <v>false</v>
      </c>
      <c r="BW180" s="25" t="str">
        <f>IF(E180="BaseInsect","AnimalInsect",
IF(J180&gt;0.95,"AnimalExotic",
_xlfn.TEXTJOIN(", ",TRUE,
IF(OR(_xlfn.XLOOKUP(B180,'Base stats'!B:B,'Base stats'!AK:AK)=1,AND(_xlfn.XLOOKUP(B180,'Base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stats'!AI:AI)=1,AND(BI180&lt;&gt;"None",BR180&gt;=60),ISNUMBER(SEARCH("Attack target",BP180))),"AnimalFighter","")
)))</f>
        <v>AnimalUncommon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AridShrubland Grasslands LavaField</v>
      </c>
      <c r="BY180" s="25" t="str">
        <f>IF(_xlfn.XLOOKUP(B180,'Base stats'!B:B,'Base stats'!AH:AH)=1,"true","false")</f>
        <v>false</v>
      </c>
      <c r="BZ180" s="25">
        <f>IF(_xlfn.XLOOKUP(B180,'Base stats'!B:B,'Base stats'!N:N)=1,"No",MAX(0.01,MIN(MROUND(IF(OR(_xlfn.XLOOKUP(B180,'Base stats'!B:B,'Base stats'!AK:AK)=1,AND(BJ180="True",CC180="False")),POWER(10,3.47*LOG10(_xlfn.XLOOKUP(B180,'Base stats'!B:B,'Base stats'!C:C)*1000)^-0.96),POWER(10,4.15*LOG10(_xlfn.XLOOKUP(B180,'Base stats'!B:B,'Base stats'!C:C)*1000)^-0.73))*IF(OR(_xlfn.XLOOKUP(B180,'Base stats'!B:B,'Base stats'!AK:AK)=1,_xlfn.XLOOKUP(B180,'Base stats'!B:B,'Base stats'!AI:AI)=1),0.5,1)/100,0.025),1)))</f>
        <v>0.05</v>
      </c>
      <c r="CA180" s="25" t="str">
        <f>IF(P180="Standard","No",MAX(0.01,IF(_xlfn.XLOOKUP(B180,'Base stats'!B:B,'Base stats'!N:N)=0,MROUND(BZ180*P180,0.05),MIN(1,MAX(0.025,MROUND(IF(OR(CC180="true",AND(BJ180="false",BO180="false")),POWER(10,4.15*LOG10(_xlfn.XLOOKUP(B180,'Base stats'!B:B,'Base stats'!C:C)*1000)^-0.73),POWER(10,3.47*LOG10(_xlfn.XLOOKUP(B180,'Base stats'!B:B,'Base stats'!C:C)*1000)^-0.96))*IF(_xlfn.XLOOKUP(B180,'Base stats'!B:B,'Base stats'!AI:AI)=1,0.5,1)/100,0.025))))))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5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s="16" customFormat="1" ht="16.5" thickTop="1" thickBot="1" x14ac:dyDescent="0.3">
      <c r="A181" s="26" t="str">
        <f>_xlfn.XLOOKUP(B181,'Base stats'!B:B,'Base stats'!A:A)</f>
        <v>Panda</v>
      </c>
      <c r="B181" s="6" t="s">
        <v>197</v>
      </c>
      <c r="C181" s="28" t="s">
        <v>1289</v>
      </c>
      <c r="D181" s="28" t="s">
        <v>1244</v>
      </c>
      <c r="E181" s="28" t="s">
        <v>685</v>
      </c>
      <c r="F181" s="28" t="s">
        <v>685</v>
      </c>
      <c r="G181" s="28" t="s">
        <v>1283</v>
      </c>
      <c r="H181" s="2">
        <f>MROUND((
  (IF(AND(_xlfn.XLOOKUP(B181,'Base stats'!B:B,'Base stats'!AJ:AJ)=0,BI181="None",_xlfn.XLOOKUP(_xlfn.XLOOKUP(B181,'Base stats'!B:B,'Base stats'!E:E),Groups!A:A,Groups!B:B)=0), (18 + BR181 * 2.7) * 0.5,
    IF(AND(_xlfn.XLOOKUP(B181,'Base stats'!B:B,'Base stats'!AJ:AJ)=0,OR(AO181&lt;0.55,AND(BI181="Intermediate",_xlfn.XLOOKUP(_xlfn.XLOOKUP(B181,'Base stats'!B:B,'Base stats'!E:E),Groups!A:A,Groups!B:B)&lt;2))), (18 + BR181 * 2.7),
      IF(OR(BI181="Advanced",_xlfn.XLOOKUP(B181,'Base stats'!B:B,'Base stats'!AJ:AJ)=1,_xlfn.XLOOKUP(_xlfn.XLOOKUP(B181,'Base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600</v>
      </c>
      <c r="I181" s="2">
        <f>MROUND(ROUNDDOWN(_xlfn.XLOOKUP(B181,'Base stats'!B:B,'Base stats'!L:L)/3.6/(23.3/11),1),0.5)</f>
        <v>5</v>
      </c>
      <c r="J181" s="2">
        <f>IF(_xlfn.XLOOKUP(_xlfn.XLOOKUP(B181,'Base stats'!B:B,'Base stats'!E:E),Groups!A:A,Groups!C:C)="Untamable",1,IF(_xlfn.XLOOKUP(B181,'Base stats'!B:B,'Base stats'!AJ:AJ)=1,0.99,MIN(MROUND((1-0.6282*EXP(-0.459*AO181))*_xlfn.XLOOKUP(_xlfn.XLOOKUP(B181,'Base stats'!B:B,'Base stats'!E:E),Groups!A:A,Groups!C:C)*IF(_xlfn.XLOOKUP(B181,'Base stats'!B:B,'Base stats'!O:O)=1,0.5,IF(_xlfn.XLOOKUP(B181,'Base stats'!B:B,'Base stats'!O:O)=2,0,1)),0.05),0.985)))</f>
        <v>0.70000000000000007</v>
      </c>
      <c r="K181" s="2">
        <f>ROUNDUP(AO181*_xlfn.XLOOKUP(_xlfn.XLOOKUP(B181,'Base stats'!B:B,'Base stats'!E:E),Groups!A:A,Groups!E:E),0)</f>
        <v>2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-35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35</v>
      </c>
      <c r="N181" s="8" t="str">
        <f>IF(_xlfn.XLOOKUP(_xlfn.XLOOKUP(B181,'Base stats'!B:B,'Base stats'!E:E),Groups!A:A,Groups!L:L)=1,MIN(MROUND(_xlfn.XLOOKUP(B181,'Animals CE'!B:B,'Animals CE'!Z:Z)/2+0.05,0.05),200%),"No")</f>
        <v>No</v>
      </c>
      <c r="O181" s="8" t="str">
        <f>IF(_xlfn.XLOOKUP(_xlfn.XLOOKUP(B181,'Base stats'!B:B,'Base stats'!E:E),Groups!A:A,Groups!L:L)=1,MIN(MROUND(_xlfn.XLOOKUP(B181,'Animals CE'!B:B,'Animals CE'!AA:AA)/2+0.05,0.05),200%),"No")</f>
        <v>No</v>
      </c>
      <c r="P181" s="2" t="str">
        <f>_xlfn.XLOOKUP(B181,'Base stats'!B:B,'Base stats'!R:R)</f>
        <v>Standard</v>
      </c>
      <c r="Q181" s="13">
        <f>MROUND((LOG10(_xlfn.XLOOKUP(B181,'Base stats'!B:B,'Base stats'!AP:AP))*(AO181^0.5)+(_xlfn.XLOOKUP(B181,'Base stats'!B:B,'Base stats'!AP:AP)/1000)^(2/3)+_xlfn.XLOOKUP(B181,'Base stats'!B:B,'Base stats'!AY:AY)/2)+0.5,0.5)</f>
        <v>9</v>
      </c>
      <c r="R181" s="7">
        <f>IF(Q181="No","No",MAX(1,MROUND(_xlfn.XLOOKUP(B181,'Base stats'!B:B,'Base stats'!C:C)^0.165,0.05)))</f>
        <v>2.2000000000000002</v>
      </c>
      <c r="S181" s="13" t="str">
        <f>IF(_xlfn.XLOOKUP(_xlfn.XLOOKUP(B181,'Base stats'!B:B,'Base stats'!E:E),Groups!A:A,Groups!P:P)=0,"No",MROUND((LOG10(_xlfn.XLOOKUP(B181,'Base stats'!B:B,'Base stats'!AQ:AQ))*(AO181^0.5)+(_xlfn.XLOOKUP(B181,'Base stats'!B:B,'Base stats'!AQ:AQ)/1000)^(2/3)+_xlfn.XLOOKUP(B181,'Base stats'!B:B,'Base stats'!AY:AY))+_xlfn.XLOOKUP(B181,'Base stats'!B:B,'Base stats'!AW:AW)+0.5,0.5))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stats'!AS:AS))*(AO181^0.5)+(_xlfn.XLOOKUP(B181,'Base stats'!B:B,'Base stats'!AS:AS)/1000)^(2/3)+_xlfn.XLOOKUP(B181,'Base stats'!B:B,'Base stats'!AX:AX))+0.5+IF(_xlfn.XLOOKUP(_xlfn.XLOOKUP(B181,'Base stats'!B:B,'Base stats'!E:E),Groups!A:A,Groups!U:U)&lt;&gt;3,_xlfn.XLOOKUP(B181,'Base stats'!B:B,'Base stats'!AY:AY),0),0.5))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stats'!AR:AR)="No","No",MROUND((LOG10(_xlfn.XLOOKUP(B181,'Base stats'!B:B,'Base stats'!AR:AR))*(AO181^0.75)+(_xlfn.XLOOKUP(B181,'Base stats'!B:B,'Base stats'!AR:AR)/1000)^(2/3)+_xlfn.XLOOKUP(B181,'Base stats'!B:B,'Base stats'!AV:AV)+_xlfn.XLOOKUP(B181,'Base stats'!B:B,'Base stats'!AY:AY))+0.5,0.5))</f>
        <v>15.5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1.85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>
        <f>IF(_xlfn.XLOOKUP(_xlfn.XLOOKUP(B181,'Base stats'!B:B,'Base stats'!E:E),Groups!A:A,Groups!AD:AD)=0,"No",MROUND((LOG10(_xlfn.XLOOKUP(B181,'Base stats'!B:B,'Base stats'!AQ:AQ))*(AO181^0.75)+(_xlfn.XLOOKUP(B181,'Base stats'!B:B,'Base stats'!AQ:AQ)/1000)^(2/3)+_xlfn.XLOOKUP(B181,'Base stats'!B:B,'Base stats'!AW:AW)+_xlfn.XLOOKUP(B181,'Base stats'!B:B,'Base stats'!AY:AY))+0.5,0.5))</f>
        <v>13.5</v>
      </c>
      <c r="AJ181" s="7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1.4500000000000002</v>
      </c>
      <c r="AK181" s="7" t="str">
        <f>IF(AI181="No","No",_xlfn.XLOOKUP(_xlfn.XLOOKUP(B181,'Base stats'!B:B,'Base stats'!E:E),Groups!A:A,Groups!AF:AF))</f>
        <v>FrontRightPaw, FrontRightPaw</v>
      </c>
      <c r="AL181" s="7" t="str">
        <f>IF(AI181="No","No",_xlfn.XLOOKUP(_xlfn.XLOOKUP(B181,'Base stats'!B:B,'Base stats'!E:E),Groups!A:A,Groups!AG:AG))</f>
        <v>left claw, right claw</v>
      </c>
      <c r="AM181" s="7" t="str">
        <f>IF(AI181="No","No",_xlfn.XLOOKUP(_xlfn.XLOOKUP(B181,'Base stats'!B:B,'Base stats'!E:E),Groups!A:A,Groups!AH:AH))</f>
        <v>Scratch</v>
      </c>
      <c r="AN181" s="2" t="str">
        <f t="shared" ref="AN181:AN191" si="51">IF(BJ181="false","No",MROUND(AO181*5+15*1,5))</f>
        <v>No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1.3</v>
      </c>
      <c r="AP181" s="8">
        <f>MROUND(AO181*_xlfn.XLOOKUP(_xlfn.XLOOKUP(B181,'Base stats'!B:B,'Base stats'!E:E),Groups!A:A,Groups!AI:AI),0.05)</f>
        <v>1.55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0.65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20</v>
      </c>
      <c r="AS181" s="35">
        <f>IFERROR(IF(_xlfn.XLOOKUP(B181,'Base stats'!B:B,'Base stats'!F:F)="Lay eggs","Lay eggs",MIN(20,MAX(5.5,ROUND(((_xlfn.XLOOKUP(B181,'Base stats'!B:B,'Base stats'!F:F)-25)*(14.5/615) + 5.5)*2,0)/2))),"Cannot breed")</f>
        <v>6</v>
      </c>
      <c r="AT181" s="8">
        <f>IF(OR(A181="Queen",A181="Larva",A181="Megachicken",A181="Megatardi",A181="Toxscorpion"),"No",IFERROR(MAX(IF(_xlfn.XLOOKUP(B181,'Base stats'!B:B,'Base stats'!G:G)&lt;0.5,0.2,0.3),MROUND(_xlfn.XLOOKUP(B181,'Base stats'!B:B,'Base stats'!G:G)/(365/60),0.2)),"Unknown"))</f>
        <v>1</v>
      </c>
      <c r="AU181" s="8">
        <f t="shared" si="14"/>
        <v>0.5</v>
      </c>
      <c r="AV181" s="8">
        <f>IFERROR(IFERROR(MROUND(_xlfn.XLOOKUP(B181,'Base stats'!B:B,'Base stats'!J:J),0.1),"Lay eggs"),"Cannot breed")</f>
        <v>1.5</v>
      </c>
      <c r="AW181" s="2" t="str">
        <f t="shared" ref="AW181:AW191" si="52">IF(BT181="No","false","true")</f>
        <v>false</v>
      </c>
      <c r="AX181" s="2" t="str">
        <f>IF(_xlfn.XLOOKUP(_xlfn.XLOOKUP(Animals!B181,'Base stats'!B:B,'Base stats'!E:E),Groups!A:A,Groups!AK:AK)=1,"true","false")</f>
        <v>false</v>
      </c>
      <c r="AY181" s="25" t="str">
        <f>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</f>
        <v>VegetarianRoughAnimal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_xlfn.XLOOKUP(B181,'Base stats'!B:B,'Base stats'!AF:AF)</f>
        <v>&lt;li&gt;Bear_Grizzly&lt;/li&gt;</v>
      </c>
      <c r="BB181" s="2" t="str">
        <f>_xlfn.XLOOKUP(B181,'Base stats'!B:B,'Base stats'!AE:AE)</f>
        <v>Leather_Bear</v>
      </c>
      <c r="BC181" s="23" t="str">
        <f>_xlfn.XLOOKUP(_xlfn.XLOOKUP(B181,'Base stats'!B:B,'Base stats'!E:E),Groups!A:A,Groups!AL:AL)</f>
        <v>QuadrupedAnimalWithPaws</v>
      </c>
      <c r="BD181" s="23">
        <f>MIN(1,MROUND(IF(AND(AO181&lt;0.5,_xlfn.XLOOKUP(B181,'Base stats'!B:B,'Base stats'!Z:Z)=0),0,IF(OR(_xlfn.XLOOKUP(Animals!B181,'Base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stats'!AA:AA),0.005))</f>
        <v>2.5000000000000001E-2</v>
      </c>
      <c r="BE181" s="23">
        <f>MIN(1,MROUND(IF(AND(AO181&lt;0.5,_xlfn.XLOOKUP(B181,'Base stats'!B:B,'Base stats'!Z:Z)=0),0,IF(_xlfn.XLOOKUP(_xlfn.XLOOKUP(B181,'Base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stats'!AB:AB),0.005))</f>
        <v>0.1</v>
      </c>
      <c r="BF181" s="2" t="str">
        <f>IF(J181&gt;0.3,"No",_xlfn.XLOOKUP(_xlfn.XLOOKUP(Animals!B181,'Base stats'!B:B,'Base stats'!E:E),Groups!A:A,Groups!AP:AP))</f>
        <v>No</v>
      </c>
      <c r="BG181" s="2" t="str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No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false</v>
      </c>
      <c r="BK181" s="2" t="str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No</v>
      </c>
      <c r="BL181" s="2">
        <f t="shared" ref="BL181:BL191" si="53">IF(BI181&lt;&gt;"None",1,0)</f>
        <v>1</v>
      </c>
      <c r="BM181" s="25" t="str">
        <f>IF(_xlfn.XLOOKUP(B181,'Base stats'!B:B,'Base stats'!AL:AL)="Standard","No",MROUND((_xlfn.XLOOKUP(B181,'Base stats'!B:B,'Base stats'!AL:AL)/3.6)/I181,0.1))</f>
        <v>No</v>
      </c>
      <c r="BN181" s="25" t="e">
        <f t="shared" ref="BN181:BN191" si="54">IF(OR(BM181&lt;&gt;"No",BQ181=1),"true","false")</f>
        <v>#REF!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stats'!AC:AC)&lt;&gt;"No",_xlfn.XLOOKUP(B181,'Base stats'!B:B,'Base stats'!AC:AC),"")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stats'!AC:AC)&lt;&gt;"No",_xlfn.XLOOKUP(B181,'Base stats'!B:B,'Base stats'!AC:AC),"")
  )
)</f>
        <v>No</v>
      </c>
      <c r="BQ181" s="25" t="e">
        <f>IF(
   AND(
      'Base stats'!#REF!="Standard",_xlfn.XLOOKUP(_xlfn.XLOOKUP(B181,'Base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#REF!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stats'!AT:AT) * 1.8) * 2) * 2.5 + 10 + I181 * 2,5)+IF(_xlfn.XLOOKUP(B181,'Base stats'!B:B,'Base stats'!AI:AI)=1,50,0)</f>
        <v>140</v>
      </c>
      <c r="BS181" s="8">
        <f t="shared" ref="BS181:BS191" si="55">MROUND(AO181 * 0.2 + AQ181 * 0.8,0.05)</f>
        <v>0.8</v>
      </c>
      <c r="BT181" s="8" t="str">
        <f>_xlfn.XLOOKUP(B181,'Base stats'!B:B,'Base stats'!AD:AD)</f>
        <v>No</v>
      </c>
      <c r="BU181" s="2" t="str">
        <f>IF(AND(J181&lt;=0.95,OR(_xlfn.XLOOKUP(B181,'Base stats'!B:B,'Base stats'!AI:AI)=1,_xlfn.XLOOKUP(B181,'Base stats'!B:B,'Base stats'!Y:Y)="Carnivore",_xlfn.XLOOKUP(B181,'Base stats'!B:B,'Base stats'!Y:Y)="Omnivore",BE181&gt;0.1)),"true","false")</f>
        <v>false</v>
      </c>
      <c r="BV181" s="2" t="str">
        <f>IF(_xlfn.XLOOKUP(B181,'Base stats'!B:B,'Base stats'!AG:AG)=1,"true","false")</f>
        <v>false</v>
      </c>
      <c r="BW181" s="25" t="str">
        <f>IF(E181="BaseInsect","AnimalInsect",
IF(J181&gt;0.95,"AnimalExotic",
_xlfn.TEXTJOIN(", ",TRUE,
IF(OR(_xlfn.XLOOKUP(B181,'Base stats'!B:B,'Base stats'!AK:AK)=1,AND(_xlfn.XLOOKUP(B181,'Base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stats'!AI:AI)=1,AND(BI181&lt;&gt;"None",BR181&gt;=60),ISNUMBER(SEARCH("Attack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TemperateForest TemperateSwamp</v>
      </c>
      <c r="BY181" s="25" t="str">
        <f>IF(_xlfn.XLOOKUP(B181,'Base stats'!B:B,'Base stats'!AH:AH)=1,"true","false")</f>
        <v>false</v>
      </c>
      <c r="BZ181" s="25">
        <f>IF(_xlfn.XLOOKUP(B181,'Base stats'!B:B,'Base stats'!N:N)=1,"No",MAX(0.01,MIN(MROUND(IF(OR(_xlfn.XLOOKUP(B181,'Base stats'!B:B,'Base stats'!AK:AK)=1,AND(BJ181="True",CC181="False")),POWER(10,3.47*LOG10(_xlfn.XLOOKUP(B181,'Base stats'!B:B,'Base stats'!C:C)*1000)^-0.96),POWER(10,4.15*LOG10(_xlfn.XLOOKUP(B181,'Base stats'!B:B,'Base stats'!C:C)*1000)^-0.73))*IF(OR(_xlfn.XLOOKUP(B181,'Base stats'!B:B,'Base stats'!AK:AK)=1,_xlfn.XLOOKUP(B181,'Base stats'!B:B,'Base stats'!AI:AI)=1),0.5,1)/100,0.025),1)))</f>
        <v>2.5000000000000001E-2</v>
      </c>
      <c r="CA181" s="25" t="str">
        <f>IF(P181="Standard","No",MAX(0.01,IF(_xlfn.XLOOKUP(B181,'Base stats'!B:B,'Base stats'!N:N)=0,MROUND(BZ181*P181,0.05),MIN(1,MAX(0.025,MROUND(IF(OR(CC181="true",AND(BJ181="false",BO181="false")),POWER(10,4.15*LOG10(_xlfn.XLOOKUP(B181,'Base stats'!B:B,'Base stats'!C:C)*1000)^-0.73),POWER(10,3.47*LOG10(_xlfn.XLOOKUP(B181,'Base stats'!B:B,'Base stats'!C:C)*1000)^-0.96))*IF(_xlfn.XLOOKUP(B181,'Base stats'!B:B,'Base stats'!AI:AI)=1,0.5,1)/100,0.025))))))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ref="CD181:CD191" si="56">IF(J181&gt;0.95,"True","False")</f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s="16" customFormat="1" ht="16.5" thickTop="1" thickBot="1" x14ac:dyDescent="0.3">
      <c r="A182" s="26" t="str">
        <f>_xlfn.XLOOKUP(B182,'Base stats'!B:B,'Base stats'!A:A)</f>
        <v>Quail</v>
      </c>
      <c r="B182" s="6" t="s">
        <v>224</v>
      </c>
      <c r="C182" s="28" t="s">
        <v>1291</v>
      </c>
      <c r="D182" s="28" t="s">
        <v>1163</v>
      </c>
      <c r="E182" s="28" t="s">
        <v>685</v>
      </c>
      <c r="F182" s="28" t="s">
        <v>685</v>
      </c>
      <c r="G182" s="28" t="s">
        <v>1283</v>
      </c>
      <c r="H182" s="2">
        <f>MROUND((
  (IF(AND(_xlfn.XLOOKUP(B182,'Base stats'!B:B,'Base stats'!AJ:AJ)=0,BI182="None",_xlfn.XLOOKUP(_xlfn.XLOOKUP(B182,'Base stats'!B:B,'Base stats'!E:E),Groups!A:A,Groups!B:B)=0), (18 + BR182 * 2.7) * 0.5,
    IF(AND(_xlfn.XLOOKUP(B182,'Base stats'!B:B,'Base stats'!AJ:AJ)=0,OR(AO182&lt;0.55,AND(BI182="Intermediate",_xlfn.XLOOKUP(_xlfn.XLOOKUP(B182,'Base stats'!B:B,'Base stats'!E:E),Groups!A:A,Groups!B:B)&lt;2))), (18 + BR182 * 2.7),
      IF(OR(BI182="Advanced",_xlfn.XLOOKUP(B182,'Base stats'!B:B,'Base stats'!AJ:AJ)=1,_xlfn.XLOOKUP(_xlfn.XLOOKUP(B182,'Base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100</v>
      </c>
      <c r="I182" s="2">
        <f>MROUND(ROUNDDOWN(_xlfn.XLOOKUP(B182,'Base stats'!B:B,'Base stats'!L:L)/3.6/(23.3/11),1),0.5)</f>
        <v>2</v>
      </c>
      <c r="J182" s="2">
        <f>IF(_xlfn.XLOOKUP(_xlfn.XLOOKUP(B182,'Base stats'!B:B,'Base stats'!E:E),Groups!A:A,Groups!C:C)="Untamable",1,IF(_xlfn.XLOOKUP(B182,'Base stats'!B:B,'Base stats'!AJ:AJ)=1,0.99,MIN(MROUND((1-0.6282*EXP(-0.459*AO182))*_xlfn.XLOOKUP(_xlfn.XLOOKUP(B182,'Base stats'!B:B,'Base stats'!E:E),Groups!A:A,Groups!C:C)*IF(_xlfn.XLOOKUP(B182,'Base stats'!B:B,'Base stats'!O:O)=1,0.5,IF(_xlfn.XLOOKUP(B182,'Base stats'!B:B,'Base stats'!O:O)=2,0,1)),0.05),0.985)))</f>
        <v>0.5</v>
      </c>
      <c r="K182" s="2">
        <f>ROUNDUP(AO182*_xlfn.XLOOKUP(_xlfn.XLOOKUP(B182,'Base stats'!B:B,'Base stats'!E:E),Groups!A:A,Groups!E:E),0)</f>
        <v>2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-25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 t="str">
        <f>IF(_xlfn.XLOOKUP(_xlfn.XLOOKUP(B182,'Base stats'!B:B,'Base stats'!E:E),Groups!A:A,Groups!L:L)=1,MIN(MROUND(_xlfn.XLOOKUP(B182,'Animals CE'!B:B,'Animals CE'!Z:Z)/2+0.05,0.05),200%),"No")</f>
        <v>No</v>
      </c>
      <c r="O182" s="8" t="str">
        <f>IF(_xlfn.XLOOKUP(_xlfn.XLOOKUP(B182,'Base stats'!B:B,'Base stats'!E:E),Groups!A:A,Groups!L:L)=1,MIN(MROUND(_xlfn.XLOOKUP(B182,'Animals CE'!B:B,'Animals CE'!AA:AA)/2+0.05,0.05),200%),"No")</f>
        <v>No</v>
      </c>
      <c r="P182" s="2" t="str">
        <f>_xlfn.XLOOKUP(B182,'Base stats'!B:B,'Base stats'!R:R)</f>
        <v>Standard</v>
      </c>
      <c r="Q182" s="13">
        <f>MROUND((LOG10(_xlfn.XLOOKUP(B182,'Base stats'!B:B,'Base stats'!AP:AP))*(AO182^0.5)+(_xlfn.XLOOKUP(B182,'Base stats'!B:B,'Base stats'!AP:AP)/1000)^(2/3)+_xlfn.XLOOKUP(B182,'Base stats'!B:B,'Base stats'!AY:AY)/2)+0.5,0.5)</f>
        <v>1</v>
      </c>
      <c r="R182" s="7">
        <f>IF(Q182="No","No",MAX(1,MROUND(_xlfn.XLOOKUP(B182,'Base stats'!B:B,'Base stats'!C:C)^0.165,0.05)))</f>
        <v>1</v>
      </c>
      <c r="S182" s="13">
        <f>IF(_xlfn.XLOOKUP(_xlfn.XLOOKUP(B182,'Base stats'!B:B,'Base stats'!E:E),Groups!A:A,Groups!P:P)=0,"No",MROUND((LOG10(_xlfn.XLOOKUP(B182,'Base stats'!B:B,'Base stats'!AQ:AQ))*(AO182^0.5)+(_xlfn.XLOOKUP(B182,'Base stats'!B:B,'Base stats'!AQ:AQ)/1000)^(2/3)+_xlfn.XLOOKUP(B182,'Base stats'!B:B,'Base stats'!AY:AY))+_xlfn.XLOOKUP(B182,'Base stats'!B:B,'Base stats'!AW:AW)+0.5,0.5))</f>
        <v>1</v>
      </c>
      <c r="T182" s="7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1</v>
      </c>
      <c r="U182" s="7" t="str">
        <f>IF(S182="No","No",_xlfn.XLOOKUP(_xlfn.XLOOKUP(B182,'Base stats'!B:B,'Base stats'!E:E),Groups!A:A,Groups!R:R))</f>
        <v>Feet</v>
      </c>
      <c r="V182" s="7" t="str">
        <f>IF(S182="No","No",_xlfn.XLOOKUP(_xlfn.XLOOKUP(B182,'Base stats'!B:B,'Base stats'!E:E),Groups!A:A,Groups!S:S))</f>
        <v>rear left claw, rear  right claw</v>
      </c>
      <c r="W182" s="7" t="str">
        <f>IF(S182="No","No",_xlfn.XLOOKUP(_xlfn.XLOOKUP(B182,'Base stats'!B:B,'Base stats'!E:E),Groups!A:A,Groups!T:T))</f>
        <v>Scratch</v>
      </c>
      <c r="X182" s="13" t="str">
        <f>IF(_xlfn.XLOOKUP(B182,'Base stats'!B:B,'Base stats'!W:W)="No","No",MROUND((LOG10(_xlfn.XLOOKUP(B182,'Base stats'!B:B,'Base stats'!AS:AS))*(AO182^0.5)+(_xlfn.XLOOKUP(B182,'Base stats'!B:B,'Base stats'!AS:AS)/1000)^(2/3)+_xlfn.XLOOKUP(B182,'Base stats'!B:B,'Base stats'!AX:AX))+0.5+IF(_xlfn.XLOOKUP(_xlfn.XLOOKUP(B182,'Base stats'!B:B,'Base stats'!E:E),Groups!A:A,Groups!U:U)&lt;&gt;3,_xlfn.XLOOKUP(B182,'Base stats'!B:B,'Base stats'!AY:AY),0),0.5))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stats'!AR:AR)="No","No",MROUND((LOG10(_xlfn.XLOOKUP(B182,'Base stats'!B:B,'Base stats'!AR:AR))*(AO182^0.75)+(_xlfn.XLOOKUP(B182,'Base stats'!B:B,'Base stats'!AR:AR)/1000)^(2/3)+_xlfn.XLOOKUP(B182,'Base stats'!B:B,'Base stats'!AV:AV)+_xlfn.XLOOKUP(B182,'Base stats'!B:B,'Base stats'!AY:AY))+0.5,0.5))</f>
        <v>1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</v>
      </c>
      <c r="AF182" s="7" t="str">
        <f>IF(AD182="No","No",_xlfn.XLOOKUP(_xlfn.XLOOKUP(B182,'Base stats'!B:B,'Base stats'!E:E),Groups!A:A,Groups!AA:AA))</f>
        <v>Beak</v>
      </c>
      <c r="AG182" s="7" t="str">
        <f>IF(AD182="No","No",_xlfn.XLOOKUP(_xlfn.XLOOKUP(B182,'Base stats'!B:B,'Base stats'!E:E),Groups!A:A,Groups!AB:AB))</f>
        <v>beak</v>
      </c>
      <c r="AH182" s="7" t="str">
        <f>IF(AD182="No","No",_xlfn.XLOOKUP(_xlfn.XLOOKUP(B182,'Base stats'!B:B,'Base stats'!E:E),Groups!A:A,Groups!AC:AC))</f>
        <v>Blunt</v>
      </c>
      <c r="AI182" s="13" t="str">
        <f>IF(_xlfn.XLOOKUP(_xlfn.XLOOKUP(B182,'Base stats'!B:B,'Base stats'!E:E),Groups!A:A,Groups!AD:AD)=0,"No",MROUND((LOG10(_xlfn.XLOOKUP(B182,'Base stats'!B:B,'Base stats'!AQ:AQ))*(AO182^0.75)+(_xlfn.XLOOKUP(B182,'Base stats'!B:B,'Base stats'!AQ:AQ)/1000)^(2/3)+_xlfn.XLOOKUP(B182,'Base stats'!B:B,'Base stats'!AW:AW)+_xlfn.XLOOKUP(B182,'Base stats'!B:B,'Base stats'!AY:AY))+0.5,0.5))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51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0.1</v>
      </c>
      <c r="AP182" s="8">
        <f>MROUND(AO182*_xlfn.XLOOKUP(_xlfn.XLOOKUP(B182,'Base stats'!B:B,'Base stats'!E:E),Groups!A:A,Groups!AI:AI),0.05)</f>
        <v>0.1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0.25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8</v>
      </c>
      <c r="AS182" s="35" t="str">
        <f>IFERROR(IF(_xlfn.XLOOKUP(B182,'Base stats'!B:B,'Base stats'!F:F)="Lay eggs","Lay eggs",MIN(20,MAX(5.5,ROUND(((_xlfn.XLOOKUP(B182,'Base stats'!B:B,'Base stats'!F:F)-25)*(14.5/615) + 5.5)*2,0)/2))),"Cannot breed")</f>
        <v>Lay eggs</v>
      </c>
      <c r="AT182" s="8">
        <f>IF(OR(A182="Queen",A182="Larva",A182="Megachicken",A182="Megatardi",A182="Toxscorpion"),"No",IFERROR(MAX(IF(_xlfn.XLOOKUP(B182,'Base stats'!B:B,'Base stats'!G:G)&lt;0.5,0.2,0.3),MROUND(_xlfn.XLOOKUP(B182,'Base stats'!B:B,'Base stats'!G:G)/(365/60),0.2)),"Unknown"))</f>
        <v>0.3</v>
      </c>
      <c r="AU182" s="8">
        <f t="shared" si="14"/>
        <v>0.15000000000000002</v>
      </c>
      <c r="AV182" s="8" t="str">
        <f>IFERROR(IFERROR(MROUND(_xlfn.XLOOKUP(B182,'Base stats'!B:B,'Base stats'!J:J),0.1),"Lay eggs"),"Cannot breed")</f>
        <v>Lay eggs</v>
      </c>
      <c r="AW182" s="2" t="str">
        <f t="shared" si="52"/>
        <v>true</v>
      </c>
      <c r="AX182" s="2" t="str">
        <f>IF(_xlfn.XLOOKUP(_xlfn.XLOOKUP(Animals!B182,'Base stats'!B:B,'Base stats'!E:E),Groups!A:A,Groups!AK:AK)=1,"true","false")</f>
        <v>false</v>
      </c>
      <c r="AY182" s="25" t="str">
        <f>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</f>
        <v>VegetarianRoughAnimal</v>
      </c>
      <c r="AZ182" s="2">
        <f>IF(_xlfn.XLOOKUP(_xlfn.XLOOKUP(B182,'Base stats'!B:B,'Base stats'!E:E),Groups!A:A,Groups!D:D)=1,MROUND((1-J182)*5+1,2)*IF(J182&lt;=0.4,2,1),"No")</f>
        <v>4</v>
      </c>
      <c r="BA182" s="2" t="str">
        <f>_xlfn.XLOOKUP(B182,'Base stats'!B:B,'Base stats'!AF:AF)</f>
        <v>No</v>
      </c>
      <c r="BB182" s="2" t="str">
        <f>_xlfn.XLOOKUP(B182,'Base stats'!B:B,'Base stats'!AE:AE)</f>
        <v>No</v>
      </c>
      <c r="BC182" s="23" t="str">
        <f>_xlfn.XLOOKUP(_xlfn.XLOOKUP(B182,'Base stats'!B:B,'Base stats'!E:E),Groups!A:A,Groups!AL:AL)</f>
        <v>Bird</v>
      </c>
      <c r="BD182" s="23">
        <f>MIN(1,MROUND(IF(AND(AO182&lt;0.5,_xlfn.XLOOKUP(B182,'Base stats'!B:B,'Base stats'!Z:Z)=0),0,IF(OR(_xlfn.XLOOKUP(Animals!B182,'Base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stats'!AA:AA),0.005))</f>
        <v>0</v>
      </c>
      <c r="BE182" s="23">
        <f>MIN(1,MROUND(IF(AND(AO182&lt;0.5,_xlfn.XLOOKUP(B182,'Base stats'!B:B,'Base stats'!Z:Z)=0),0,IF(_xlfn.XLOOKUP(_xlfn.XLOOKUP(B182,'Base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stats'!AB:AB),0.005))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8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53"/>
        <v>0</v>
      </c>
      <c r="BM182" s="25" t="str">
        <f>IF(_xlfn.XLOOKUP(B182,'Base stats'!B:B,'Base stats'!AL:AL)="Standard","No",MROUND((_xlfn.XLOOKUP(B182,'Base stats'!B:B,'Base stats'!AL:AL)/3.6)/I182,0.1))</f>
        <v>No</v>
      </c>
      <c r="BN182" s="25" t="str">
        <f t="shared" si="54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stats'!AC:AC)&lt;&gt;"No",_xlfn.XLOOKUP(B182,'Base stats'!B:B,'Base stats'!AC:AC),"")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stats'!AC:AC)&lt;&gt;"No",_xlfn.XLOOKUP(B182,'Base stats'!B:B,'Base stats'!AC:AC),"")
  )
)</f>
        <v>No</v>
      </c>
      <c r="BQ182" s="25" t="str">
        <f>IF(
   AND(
      'Base stats'!AL188="Standard",_xlfn.XLOOKUP(_xlfn.XLOOKUP(B182,'Base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stats'!AT:AT) * 1.8) * 2) * 2.5 + 10 + I182 * 2,5)+IF(_xlfn.XLOOKUP(B182,'Base stats'!B:B,'Base stats'!AI:AI)=1,50,0)</f>
        <v>20</v>
      </c>
      <c r="BS182" s="8">
        <f t="shared" si="55"/>
        <v>0.2</v>
      </c>
      <c r="BT182" s="8" t="str">
        <f>_xlfn.XLOOKUP(B182,'Base stats'!B:B,'Base stats'!AD:AD)</f>
        <v>3~8</v>
      </c>
      <c r="BU182" s="2" t="str">
        <f>IF(AND(J182&lt;=0.95,OR(_xlfn.XLOOKUP(B182,'Base stats'!B:B,'Base stats'!AI:AI)=1,_xlfn.XLOOKUP(B182,'Base stats'!B:B,'Base stats'!Y:Y)="Carnivore",_xlfn.XLOOKUP(B182,'Base stats'!B:B,'Base stats'!Y:Y)="Omnivore",BE182&gt;0.1)),"true","false")</f>
        <v>false</v>
      </c>
      <c r="BV182" s="2" t="str">
        <f>IF(_xlfn.XLOOKUP(B182,'Base stats'!B:B,'Base stats'!AG:AG)=1,"true","false")</f>
        <v>false</v>
      </c>
      <c r="BW182" s="25" t="str">
        <f>IF(E182="BaseInsect","AnimalInsect",
IF(J182&gt;0.95,"AnimalExotic",
_xlfn.TEXTJOIN(", ",TRUE,
IF(OR(_xlfn.XLOOKUP(B182,'Base stats'!B:B,'Base stats'!AK:AK)=1,AND(_xlfn.XLOOKUP(B182,'Base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stats'!AI:AI)=1,AND(BI182&lt;&gt;"None",BR182&gt;=60),ISNUMBER(SEARCH("Attack target",BP182))),"AnimalFighter","")
)))</f>
        <v>AnimalCommon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TemperateForest TemperateSwamp AridShrubland Grasslands LavaField</v>
      </c>
      <c r="BY182" s="25" t="str">
        <f>IF(_xlfn.XLOOKUP(B182,'Base stats'!B:B,'Base stats'!AH:AH)=1,"true","false")</f>
        <v>false</v>
      </c>
      <c r="BZ182" s="25">
        <f>IF(_xlfn.XLOOKUP(B182,'Base stats'!B:B,'Base stats'!N:N)=1,"No",MAX(0.01,MIN(MROUND(IF(OR(_xlfn.XLOOKUP(B182,'Base stats'!B:B,'Base stats'!AK:AK)=1,AND(BJ182="True",CC182="False")),POWER(10,3.47*LOG10(_xlfn.XLOOKUP(B182,'Base stats'!B:B,'Base stats'!C:C)*1000)^-0.96),POWER(10,4.15*LOG10(_xlfn.XLOOKUP(B182,'Base stats'!B:B,'Base stats'!C:C)*1000)^-0.73))*IF(OR(_xlfn.XLOOKUP(B182,'Base stats'!B:B,'Base stats'!AK:AK)=1,_xlfn.XLOOKUP(B182,'Base stats'!B:B,'Base stats'!AI:AI)=1),0.5,1)/100,0.025),1)))</f>
        <v>1</v>
      </c>
      <c r="CA182" s="25" t="str">
        <f>IF(P182="Standard","No",MAX(0.01,IF(_xlfn.XLOOKUP(B182,'Base stats'!B:B,'Base stats'!N:N)=0,MROUND(BZ182*P182,0.05),MIN(1,MAX(0.025,MROUND(IF(OR(CC182="true",AND(BJ182="false",BO182="false")),POWER(10,4.15*LOG10(_xlfn.XLOOKUP(B182,'Base stats'!B:B,'Base stats'!C:C)*1000)^-0.73),POWER(10,3.47*LOG10(_xlfn.XLOOKUP(B182,'Base stats'!B:B,'Base stats'!C:C)*1000)^-0.96))*IF(_xlfn.XLOOKUP(B182,'Base stats'!B:B,'Base stats'!AI:AI)=1,0.5,1)/100,0.025))))))</f>
        <v>No</v>
      </c>
      <c r="CB182" s="25" t="str">
        <f>IF(_xlfn.XLOOKUP(_xlfn.XLOOKUP(B182,'Base stats'!B:B,'Base stats'!E:E),Groups!A:A,Groups!AJ:AJ)="Mammal","True","False")</f>
        <v>False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56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Swan</v>
      </c>
      <c r="B183" s="6" t="s">
        <v>222</v>
      </c>
      <c r="C183" s="28" t="s">
        <v>1290</v>
      </c>
      <c r="D183" s="28" t="s">
        <v>1163</v>
      </c>
      <c r="E183" s="28" t="s">
        <v>685</v>
      </c>
      <c r="F183" s="28" t="s">
        <v>685</v>
      </c>
      <c r="G183" s="28" t="s">
        <v>1283</v>
      </c>
      <c r="H183" s="2">
        <f>MROUND((
  (IF(AND(_xlfn.XLOOKUP(B183,'Base stats'!B:B,'Base stats'!AJ:AJ)=0,BI183="None",_xlfn.XLOOKUP(_xlfn.XLOOKUP(B183,'Base stats'!B:B,'Base stats'!E:E),Groups!A:A,Groups!B:B)=0), (18 + BR183 * 2.7) * 0.5,
    IF(AND(_xlfn.XLOOKUP(B183,'Base stats'!B:B,'Base stats'!AJ:AJ)=0,OR(AO183&lt;0.55,AND(BI183="Intermediate",_xlfn.XLOOKUP(_xlfn.XLOOKUP(B183,'Base stats'!B:B,'Base stats'!E:E),Groups!A:A,Groups!B:B)&lt;2))), (18 + BR183 * 2.7),
      IF(OR(BI183="Advanced",_xlfn.XLOOKUP(B183,'Base stats'!B:B,'Base stats'!AJ:AJ)=1,_xlfn.XLOOKUP(_xlfn.XLOOKUP(B183,'Base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175</v>
      </c>
      <c r="I183" s="2">
        <f>MROUND(ROUNDDOWN(_xlfn.XLOOKUP(B183,'Base stats'!B:B,'Base stats'!L:L)/3.6/(23.3/11),1),0.5)</f>
        <v>1.5</v>
      </c>
      <c r="J183" s="2">
        <f>IF(_xlfn.XLOOKUP(_xlfn.XLOOKUP(B183,'Base stats'!B:B,'Base stats'!E:E),Groups!A:A,Groups!C:C)="Untamable",1,IF(_xlfn.XLOOKUP(B183,'Base stats'!B:B,'Base stats'!AJ:AJ)=1,0.99,MIN(MROUND((1-0.6282*EXP(-0.459*AO183))*_xlfn.XLOOKUP(_xlfn.XLOOKUP(B183,'Base stats'!B:B,'Base stats'!E:E),Groups!A:A,Groups!C:C)*IF(_xlfn.XLOOKUP(B183,'Base stats'!B:B,'Base stats'!O:O)=1,0.5,IF(_xlfn.XLOOKUP(B183,'Base stats'!B:B,'Base stats'!O:O)=2,0,1)),0.05),0.985)))</f>
        <v>0.60000000000000009</v>
      </c>
      <c r="K183" s="2">
        <f>ROUNDUP(AO183*_xlfn.XLOOKUP(_xlfn.XLOOKUP(B183,'Base stats'!B:B,'Base stats'!E:E),Groups!A:A,Groups!E:E),0)</f>
        <v>5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IF(_xlfn.XLOOKUP(_xlfn.XLOOKUP(B183,'Base stats'!B:B,'Base stats'!E:E),Groups!A:A,Groups!L:L)=1,MIN(MROUND(_xlfn.XLOOKUP(B183,'Animals CE'!B:B,'Animals CE'!Z:Z)/2+0.05,0.05),200%),"No")</f>
        <v>No</v>
      </c>
      <c r="O183" s="8" t="str">
        <f>IF(_xlfn.XLOOKUP(_xlfn.XLOOKUP(B183,'Base stats'!B:B,'Base stats'!E:E),Groups!A:A,Groups!L:L)=1,MIN(MROUND(_xlfn.XLOOKUP(B183,'Animals CE'!B:B,'Animals CE'!AA:AA)/2+0.05,0.05),200%),"No")</f>
        <v>No</v>
      </c>
      <c r="P183" s="2" t="str">
        <f>_xlfn.XLOOKUP(B183,'Base stats'!B:B,'Base stats'!R:R)</f>
        <v>Standard</v>
      </c>
      <c r="Q183" s="13">
        <f>MROUND((LOG10(_xlfn.XLOOKUP(B183,'Base stats'!B:B,'Base stats'!AP:AP))*(AO183^0.5)+(_xlfn.XLOOKUP(B183,'Base stats'!B:B,'Base stats'!AP:AP)/1000)^(2/3)+_xlfn.XLOOKUP(B183,'Base stats'!B:B,'Base stats'!AY:AY)/2)+0.5,0.5)</f>
        <v>3.5</v>
      </c>
      <c r="R183" s="7">
        <f>IF(Q183="No","No",MAX(1,MROUND(_xlfn.XLOOKUP(B183,'Base stats'!B:B,'Base stats'!C:C)^0.165,0.05)))</f>
        <v>1.4500000000000002</v>
      </c>
      <c r="S183" s="13" t="str">
        <f>IF(_xlfn.XLOOKUP(_xlfn.XLOOKUP(B183,'Base stats'!B:B,'Base stats'!E:E),Groups!A:A,Groups!P:P)=0,"No",MROUND((LOG10(_xlfn.XLOOKUP(B183,'Base stats'!B:B,'Base stats'!AQ:AQ))*(AO183^0.5)+(_xlfn.XLOOKUP(B183,'Base stats'!B:B,'Base stats'!AQ:AQ)/1000)^(2/3)+_xlfn.XLOOKUP(B183,'Base stats'!B:B,'Base stats'!AY:AY))+_xlfn.XLOOKUP(B183,'Base stats'!B:B,'Base stats'!AW:AW)+0.5,0.5))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stats'!AS:AS))*(AO183^0.5)+(_xlfn.XLOOKUP(B183,'Base stats'!B:B,'Base stats'!AS:AS)/1000)^(2/3)+_xlfn.XLOOKUP(B183,'Base stats'!B:B,'Base stats'!AX:AX))+0.5+IF(_xlfn.XLOOKUP(_xlfn.XLOOKUP(B183,'Base stats'!B:B,'Base stats'!E:E),Groups!A:A,Groups!U:U)&lt;&gt;3,_xlfn.XLOOKUP(B183,'Base stats'!B:B,'Base stats'!AY:AY),0),0.5))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stats'!AR:AR)="No","No",MROUND((LOG10(_xlfn.XLOOKUP(B183,'Base stats'!B:B,'Base stats'!AR:AR))*(AO183^0.75)+(_xlfn.XLOOKUP(B183,'Base stats'!B:B,'Base stats'!AR:AR)/1000)^(2/3)+_xlfn.XLOOKUP(B183,'Base stats'!B:B,'Base stats'!AV:AV)+_xlfn.XLOOKUP(B183,'Base stats'!B:B,'Base stats'!AY:AY))+0.5,0.5))</f>
        <v>3.5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1.1500000000000001</v>
      </c>
      <c r="AF183" s="7" t="str">
        <f>IF(AD183="No","No",_xlfn.XLOOKUP(_xlfn.XLOOKUP(B183,'Base stats'!B:B,'Base stats'!E:E),Groups!A:A,Groups!AA:AA))</f>
        <v>Beak</v>
      </c>
      <c r="AG183" s="7" t="str">
        <f>IF(AD183="No","No",_xlfn.XLOOKUP(_xlfn.XLOOKUP(B183,'Base stats'!B:B,'Base stats'!E:E),Groups!A:A,Groups!AB:AB))</f>
        <v>beak</v>
      </c>
      <c r="AH183" s="7" t="str">
        <f>IF(AD183="No","No",_xlfn.XLOOKUP(_xlfn.XLOOKUP(B183,'Base stats'!B:B,'Base stats'!E:E),Groups!A:A,Groups!AC:AC))</f>
        <v>Blunt</v>
      </c>
      <c r="AI183" s="13" t="str">
        <f>IF(_xlfn.XLOOKUP(_xlfn.XLOOKUP(B183,'Base stats'!B:B,'Base stats'!E:E),Groups!A:A,Groups!AD:AD)=0,"No",MROUND((LOG10(_xlfn.XLOOKUP(B183,'Base stats'!B:B,'Base stats'!AQ:AQ))*(AO183^0.75)+(_xlfn.XLOOKUP(B183,'Base stats'!B:B,'Base stats'!AQ:AQ)/1000)^(2/3)+_xlfn.XLOOKUP(B183,'Base stats'!B:B,'Base stats'!AW:AW)+_xlfn.XLOOKUP(B183,'Base stats'!B:B,'Base stats'!AY:AY))+0.5,0.5))</f>
        <v>No</v>
      </c>
      <c r="AJ183" s="7" t="str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No</v>
      </c>
      <c r="AK183" s="7" t="str">
        <f>IF(AI183="No","No",_xlfn.XLOOKUP(_xlfn.XLOOKUP(B183,'Base stats'!B:B,'Base stats'!E:E),Groups!A:A,Groups!AF:AF))</f>
        <v>No</v>
      </c>
      <c r="AL183" s="7" t="str">
        <f>IF(AI183="No","No",_xlfn.XLOOKUP(_xlfn.XLOOKUP(B183,'Base stats'!B:B,'Base stats'!E:E),Groups!A:A,Groups!AG:AG))</f>
        <v>No</v>
      </c>
      <c r="AM183" s="7" t="str">
        <f>IF(AI183="No","No",_xlfn.XLOOKUP(_xlfn.XLOOKUP(B183,'Base stats'!B:B,'Base stats'!E:E),Groups!A:A,Groups!AH:AH))</f>
        <v>No</v>
      </c>
      <c r="AN183" s="2" t="str">
        <f t="shared" si="51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0.4</v>
      </c>
      <c r="AP183" s="8">
        <f>MROUND(AO183*_xlfn.XLOOKUP(_xlfn.XLOOKUP(B183,'Base stats'!B:B,'Base stats'!E:E),Groups!A:A,Groups!AI:AI),0.05)</f>
        <v>0.4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0.4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25</v>
      </c>
      <c r="AS183" s="35" t="str">
        <f>IFERROR(IF(_xlfn.XLOOKUP(B183,'Base stats'!B:B,'Base stats'!F:F)="Lay eggs","Lay eggs",MIN(20,MAX(5.5,ROUND(((_xlfn.XLOOKUP(B183,'Base stats'!B:B,'Base stats'!F:F)-25)*(14.5/615) + 5.5)*2,0)/2))),"Cannot breed")</f>
        <v>Lay eggs</v>
      </c>
      <c r="AT183" s="8">
        <f>IF(OR(A183="Queen",A183="Larva",A183="Megachicken",A183="Megatardi",A183="Toxscorpion"),"No",IFERROR(MAX(IF(_xlfn.XLOOKUP(B183,'Base stats'!B:B,'Base stats'!G:G)&lt;0.5,0.2,0.3),MROUND(_xlfn.XLOOKUP(B183,'Base stats'!B:B,'Base stats'!G:G)/(365/60),0.2)),"Unknown"))</f>
        <v>0.4</v>
      </c>
      <c r="AU183" s="8">
        <f t="shared" si="14"/>
        <v>0.2</v>
      </c>
      <c r="AV183" s="8" t="str">
        <f>IFERROR(IFERROR(MROUND(_xlfn.XLOOKUP(B183,'Base stats'!B:B,'Base stats'!J:J),0.1),"Lay eggs"),"Cannot breed")</f>
        <v>Lay eggs</v>
      </c>
      <c r="AW183" s="2" t="str">
        <f t="shared" si="52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</f>
        <v>VegetarianRoughAnimal</v>
      </c>
      <c r="AZ183" s="2">
        <f>IF(_xlfn.XLOOKUP(_xlfn.XLOOKUP(B183,'Base stats'!B:B,'Base stats'!E:E),Groups!A:A,Groups!D:D)=1,MROUND((1-J183)*5+1,2)*IF(J183&lt;=0.4,2,1),"No")</f>
        <v>4</v>
      </c>
      <c r="BA183" s="2" t="str">
        <f>_xlfn.XLOOKUP(B183,'Base stats'!B:B,'Base stats'!AF:AF)</f>
        <v>&lt;li&gt;Cassowary&lt;/li&gt;</v>
      </c>
      <c r="BB183" s="2" t="str">
        <f>_xlfn.XLOOKUP(B183,'Base stats'!B:B,'Base stats'!AE:AE)</f>
        <v>No</v>
      </c>
      <c r="BC183" s="23" t="str">
        <f>_xlfn.XLOOKUP(_xlfn.XLOOKUP(B183,'Base stats'!B:B,'Base stats'!E:E),Groups!A:A,Groups!AL:AL)</f>
        <v>Bird</v>
      </c>
      <c r="BD183" s="23">
        <f>MIN(1,MROUND(IF(AND(AO183&lt;0.5,_xlfn.XLOOKUP(B183,'Base stats'!B:B,'Base stats'!Z:Z)=0),0,IF(OR(_xlfn.XLOOKUP(Animals!B183,'Base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stats'!AA:AA),0.005))</f>
        <v>0</v>
      </c>
      <c r="BE183" s="23">
        <f>MIN(1,MROUND(IF(AND(AO183&lt;0.5,_xlfn.XLOOKUP(B183,'Base stats'!B:B,'Base stats'!Z:Z)=0),0,IF(_xlfn.XLOOKUP(_xlfn.XLOOKUP(B183,'Base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stats'!AB:AB),0.005))</f>
        <v>0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None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53"/>
        <v>0</v>
      </c>
      <c r="BM183" s="25" t="str">
        <f>IF(_xlfn.XLOOKUP(B183,'Base stats'!B:B,'Base stats'!AL:AL)="Standard","No",MROUND((_xlfn.XLOOKUP(B183,'Base stats'!B:B,'Base stats'!AL:AL)/3.6)/I183,0.1))</f>
        <v>No</v>
      </c>
      <c r="BN183" s="25" t="str">
        <f t="shared" si="54"/>
        <v>true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stats'!AC:AC)&lt;&gt;"No",_xlfn.XLOOKUP(B183,'Base stats'!B:B,'Base stats'!AC:AC),"")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stats'!AC:AC)&lt;&gt;"No",_xlfn.XLOOKUP(B183,'Base stats'!B:B,'Base stats'!AC:AC),"")
  )
)</f>
        <v>No</v>
      </c>
      <c r="BQ183" s="25">
        <f>IF(
   AND(
      'Base stats'!AL189="Standard",_xlfn.XLOOKUP(_xlfn.XLOOKUP(B183,'Base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1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stats'!AT:AT) * 1.8) * 2) * 2.5 + 10 + I183 * 2,5)+IF(_xlfn.XLOOKUP(B183,'Base stats'!B:B,'Base stats'!AI:AI)=1,50,0)</f>
        <v>35</v>
      </c>
      <c r="BS183" s="8">
        <f t="shared" si="55"/>
        <v>0.4</v>
      </c>
      <c r="BT183" s="8" t="str">
        <f>_xlfn.XLOOKUP(B183,'Base stats'!B:B,'Base stats'!AD:AD)</f>
        <v>No</v>
      </c>
      <c r="BU183" s="2" t="str">
        <f>IF(AND(J183&lt;=0.95,OR(_xlfn.XLOOKUP(B183,'Base stats'!B:B,'Base stats'!AI:AI)=1,_xlfn.XLOOKUP(B183,'Base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stats'!AG:AG)=1,"true","false")</f>
        <v>false</v>
      </c>
      <c r="BW183" s="25" t="str">
        <f>IF(E183="BaseInsect","AnimalInsect",
IF(J183&gt;0.95,"AnimalExotic",
_xlfn.TEXTJOIN(", ",TRUE,
IF(OR(_xlfn.XLOOKUP(B183,'Base stats'!B:B,'Base stats'!AK:AK)=1,AND(_xlfn.XLOOKUP(B183,'Base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stats'!AI:AI)=1,AND(BI183&lt;&gt;"None",BR183&gt;=60),ISNUMBER(SEARCH("Attack target",BP183))),"AnimalFighter","")
)))</f>
        <v>AnimalUncommon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ColdBog TemperateSwamp</v>
      </c>
      <c r="BY183" s="25" t="str">
        <f>IF(_xlfn.XLOOKUP(B183,'Base stats'!B:B,'Base stats'!AH:AH)=1,"true","false")</f>
        <v>false</v>
      </c>
      <c r="BZ183" s="25">
        <f>IF(_xlfn.XLOOKUP(B183,'Base stats'!B:B,'Base stats'!N:N)=1,"No",MAX(0.01,MIN(MROUND(IF(OR(_xlfn.XLOOKUP(B183,'Base stats'!B:B,'Base stats'!AK:AK)=1,AND(BJ183="True",CC183="False")),POWER(10,3.47*LOG10(_xlfn.XLOOKUP(B183,'Base stats'!B:B,'Base stats'!C:C)*1000)^-0.96),POWER(10,4.15*LOG10(_xlfn.XLOOKUP(B183,'Base stats'!B:B,'Base stats'!C:C)*1000)^-0.73))*IF(OR(_xlfn.XLOOKUP(B183,'Base stats'!B:B,'Base stats'!AK:AK)=1,_xlfn.XLOOKUP(B183,'Base stats'!B:B,'Base stats'!AI:AI)=1),0.5,1)/100,0.025),1)))</f>
        <v>0.32500000000000001</v>
      </c>
      <c r="CA183" s="25" t="str">
        <f>IF(P183="Standard","No",MAX(0.01,IF(_xlfn.XLOOKUP(B183,'Base stats'!B:B,'Base stats'!N:N)=0,MROUND(BZ183*P183,0.05),MIN(1,MAX(0.025,MROUND(IF(OR(CC183="true",AND(BJ183="false",BO183="false")),POWER(10,4.15*LOG10(_xlfn.XLOOKUP(B183,'Base stats'!B:B,'Base stats'!C:C)*1000)^-0.73),POWER(10,3.47*LOG10(_xlfn.XLOOKUP(B183,'Base stats'!B:B,'Base stats'!C:C)*1000)^-0.96))*IF(_xlfn.XLOOKUP(B183,'Base stats'!B:B,'Base stats'!AI:AI)=1,0.5,1)/100,0.025))))))</f>
        <v>No</v>
      </c>
      <c r="CB183" s="25" t="str">
        <f>IF(_xlfn.XLOOKUP(_xlfn.XLOOKUP(B183,'Base stats'!B:B,'Base stats'!E:E),Groups!A:A,Groups!AJ:AJ)="Mammal","True","False")</f>
        <v>False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56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Peacock</v>
      </c>
      <c r="B184" s="6" t="s">
        <v>232</v>
      </c>
      <c r="C184" s="28" t="s">
        <v>1292</v>
      </c>
      <c r="D184" s="28" t="s">
        <v>1163</v>
      </c>
      <c r="E184" s="28" t="s">
        <v>685</v>
      </c>
      <c r="F184" s="28" t="s">
        <v>685</v>
      </c>
      <c r="G184" s="28" t="s">
        <v>1283</v>
      </c>
      <c r="H184" s="2">
        <f>MROUND((
  (IF(AND(_xlfn.XLOOKUP(B184,'Base stats'!B:B,'Base stats'!AJ:AJ)=0,BI184="None",_xlfn.XLOOKUP(_xlfn.XLOOKUP(B184,'Base stats'!B:B,'Base stats'!E:E),Groups!A:A,Groups!B:B)=0), (18 + BR184 * 2.7) * 0.5,
    IF(AND(_xlfn.XLOOKUP(B184,'Base stats'!B:B,'Base stats'!AJ:AJ)=0,OR(AO184&lt;0.55,AND(BI184="Intermediate",_xlfn.XLOOKUP(_xlfn.XLOOKUP(B184,'Base stats'!B:B,'Base stats'!E:E),Groups!A:A,Groups!B:B)&lt;2))), (18 + BR184 * 2.7),
      IF(OR(BI184="Advanced",_xlfn.XLOOKUP(B184,'Base stats'!B:B,'Base stats'!AJ:AJ)=1,_xlfn.XLOOKUP(_xlfn.XLOOKUP(B184,'Base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125</v>
      </c>
      <c r="I184" s="2">
        <f>MROUND(ROUNDDOWN(_xlfn.XLOOKUP(B184,'Base stats'!B:B,'Base stats'!L:L)/3.6/(23.3/11),1),0.5)</f>
        <v>2</v>
      </c>
      <c r="J184" s="2">
        <f>IF(_xlfn.XLOOKUP(_xlfn.XLOOKUP(B184,'Base stats'!B:B,'Base stats'!E:E),Groups!A:A,Groups!C:C)="Untamable",1,IF(_xlfn.XLOOKUP(B184,'Base stats'!B:B,'Base stats'!AJ:AJ)=1,0.99,MIN(MROUND((1-0.6282*EXP(-0.459*AO184))*_xlfn.XLOOKUP(_xlfn.XLOOKUP(B184,'Base stats'!B:B,'Base stats'!E:E),Groups!A:A,Groups!C:C)*IF(_xlfn.XLOOKUP(B184,'Base stats'!B:B,'Base stats'!O:O)=1,0.5,IF(_xlfn.XLOOKUP(B184,'Base stats'!B:B,'Base stats'!O:O)=2,0,1)),0.05),0.985)))</f>
        <v>0.55000000000000004</v>
      </c>
      <c r="K184" s="2">
        <f>ROUNDUP(AO184*_xlfn.XLOOKUP(_xlfn.XLOOKUP(B184,'Base stats'!B:B,'Base stats'!E:E),Groups!A:A,Groups!E:E),0)</f>
        <v>4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40</v>
      </c>
      <c r="N184" s="8" t="str">
        <f>IF(_xlfn.XLOOKUP(_xlfn.XLOOKUP(B184,'Base stats'!B:B,'Base stats'!E:E),Groups!A:A,Groups!L:L)=1,MIN(MROUND(_xlfn.XLOOKUP(B184,'Animals CE'!B:B,'Animals CE'!Z:Z)/2+0.05,0.05),200%),"No")</f>
        <v>No</v>
      </c>
      <c r="O184" s="8" t="str">
        <f>IF(_xlfn.XLOOKUP(_xlfn.XLOOKUP(B184,'Base stats'!B:B,'Base stats'!E:E),Groups!A:A,Groups!L:L)=1,MIN(MROUND(_xlfn.XLOOKUP(B184,'Animals CE'!B:B,'Animals CE'!AA:AA)/2+0.05,0.05),200%),"No")</f>
        <v>No</v>
      </c>
      <c r="P184" s="2" t="str">
        <f>_xlfn.XLOOKUP(B184,'Base stats'!B:B,'Base stats'!R:R)</f>
        <v>Standard</v>
      </c>
      <c r="Q184" s="13">
        <f>MROUND((LOG10(_xlfn.XLOOKUP(B184,'Base stats'!B:B,'Base stats'!AP:AP))*(AO184^0.5)+(_xlfn.XLOOKUP(B184,'Base stats'!B:B,'Base stats'!AP:AP)/1000)^(2/3)+_xlfn.XLOOKUP(B184,'Base stats'!B:B,'Base stats'!AY:AY)/2)+0.5,0.5)</f>
        <v>2.5</v>
      </c>
      <c r="R184" s="7">
        <f>IF(Q184="No","No",MAX(1,MROUND(_xlfn.XLOOKUP(B184,'Base stats'!B:B,'Base stats'!C:C)^0.165,0.05)))</f>
        <v>1.25</v>
      </c>
      <c r="S184" s="13">
        <f>IF(_xlfn.XLOOKUP(_xlfn.XLOOKUP(B184,'Base stats'!B:B,'Base stats'!E:E),Groups!A:A,Groups!P:P)=0,"No",MROUND((LOG10(_xlfn.XLOOKUP(B184,'Base stats'!B:B,'Base stats'!AQ:AQ))*(AO184^0.5)+(_xlfn.XLOOKUP(B184,'Base stats'!B:B,'Base stats'!AQ:AQ)/1000)^(2/3)+_xlfn.XLOOKUP(B184,'Base stats'!B:B,'Base stats'!AY:AY))+_xlfn.XLOOKUP(B184,'Base stats'!B:B,'Base stats'!AW:AW)+0.5,0.5))</f>
        <v>4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1.25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stats'!AS:AS))*(AO184^0.5)+(_xlfn.XLOOKUP(B184,'Base stats'!B:B,'Base stats'!AS:AS)/1000)^(2/3)+_xlfn.XLOOKUP(B184,'Base stats'!B:B,'Base stats'!AX:AX))+0.5+IF(_xlfn.XLOOKUP(_xlfn.XLOOKUP(B184,'Base stats'!B:B,'Base stats'!E:E),Groups!A:A,Groups!U:U)&lt;&gt;3,_xlfn.XLOOKUP(B184,'Base stats'!B:B,'Base stats'!AY:AY),0),0.5))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stats'!AR:AR)="No","No",MROUND((LOG10(_xlfn.XLOOKUP(B184,'Base stats'!B:B,'Base stats'!AR:AR))*(AO184^0.75)+(_xlfn.XLOOKUP(B184,'Base stats'!B:B,'Base stats'!AR:AR)/1000)^(2/3)+_xlfn.XLOOKUP(B184,'Base stats'!B:B,'Base stats'!AV:AV)+_xlfn.XLOOKUP(B184,'Base stats'!B:B,'Base stats'!AY:AY))+0.5,0.5))</f>
        <v>2.5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1.25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stats'!AQ:AQ))*(AO184^0.75)+(_xlfn.XLOOKUP(B184,'Base stats'!B:B,'Base stats'!AQ:AQ)/1000)^(2/3)+_xlfn.XLOOKUP(B184,'Base stats'!B:B,'Base stats'!AW:AW)+_xlfn.XLOOKUP(B184,'Base stats'!B:B,'Base stats'!AY:AY))+0.5,0.5))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51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0.30000000000000004</v>
      </c>
      <c r="AP184" s="8">
        <f>MROUND(AO184*_xlfn.XLOOKUP(_xlfn.XLOOKUP(B184,'Base stats'!B:B,'Base stats'!E:E),Groups!A:A,Groups!AI:AI),0.05)</f>
        <v>0.30000000000000004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0.35000000000000003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12</v>
      </c>
      <c r="AS184" s="35" t="str">
        <f>IFERROR(IF(_xlfn.XLOOKUP(B184,'Base stats'!B:B,'Base stats'!F:F)="Lay eggs","Lay eggs",MIN(20,MAX(5.5,ROUND(((_xlfn.XLOOKUP(B184,'Base stats'!B:B,'Base stats'!F:F)-25)*(14.5/615) + 5.5)*2,0)/2))),"Cannot breed")</f>
        <v>Lay eggs</v>
      </c>
      <c r="AT184" s="8">
        <f>IF(OR(A184="Queen",A184="Larva",A184="Megachicken",A184="Megatardi",A184="Toxscorpion"),"No",IFERROR(MAX(IF(_xlfn.XLOOKUP(B184,'Base stats'!B:B,'Base stats'!G:G)&lt;0.5,0.2,0.3),MROUND(_xlfn.XLOOKUP(B184,'Base stats'!B:B,'Base stats'!G:G)/(365/60),0.2)),"Unknown"))</f>
        <v>0.4</v>
      </c>
      <c r="AU184" s="8">
        <f t="shared" si="14"/>
        <v>0.2</v>
      </c>
      <c r="AV184" s="8" t="str">
        <f>IFERROR(IFERROR(MROUND(_xlfn.XLOOKUP(B184,'Base stats'!B:B,'Base stats'!J:J),0.1),"Lay eggs"),"Cannot breed")</f>
        <v>Lay eggs</v>
      </c>
      <c r="AW184" s="2" t="str">
        <f t="shared" si="52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_xlfn.XLOOKUP(B184,'Base stats'!B:B,'Base stats'!AF:AF)</f>
        <v>&lt;li&gt;Cassowary&lt;/li&gt;</v>
      </c>
      <c r="BB184" s="2" t="str">
        <f>_xlfn.XLOOKUP(B184,'Base stats'!B:B,'Base stats'!AE:AE)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stats'!Z:Z)=0),0,IF(OR(_xlfn.XLOOKUP(Animals!B184,'Base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stats'!AA:AA),0.005))</f>
        <v>0</v>
      </c>
      <c r="BE184" s="23">
        <f>MIN(1,MROUND(IF(AND(AO184&lt;0.5,_xlfn.XLOOKUP(B184,'Base stats'!B:B,'Base stats'!Z:Z)=0),0,IF(_xlfn.XLOOKUP(_xlfn.XLOOKUP(B184,'Base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stats'!AB:AB),0.005))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8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53"/>
        <v>0</v>
      </c>
      <c r="BM184" s="25" t="str">
        <f>IF(_xlfn.XLOOKUP(B184,'Base stats'!B:B,'Base stats'!AL:AL)="Standard","No",MROUND((_xlfn.XLOOKUP(B184,'Base stats'!B:B,'Base stats'!AL:AL)/3.6)/I184,0.1))</f>
        <v>No</v>
      </c>
      <c r="BN184" s="25" t="str">
        <f t="shared" si="54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stats'!AC:AC)&lt;&gt;"No",_xlfn.XLOOKUP(B184,'Base stats'!B:B,'Base stats'!AC:AC),"")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stats'!AC:AC)&lt;&gt;"No",_xlfn.XLOOKUP(B184,'Base stats'!B:B,'Base stats'!AC:AC),"")
  )
)</f>
        <v>No</v>
      </c>
      <c r="BQ184" s="25" t="str">
        <f>IF(
   AND(
      'Base stats'!AL193="Standard",_xlfn.XLOOKUP(_xlfn.XLOOKUP(B184,'Base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stats'!AT:AT) * 1.8) * 2) * 2.5 + 10 + I184 * 2,5)+IF(_xlfn.XLOOKUP(B184,'Base stats'!B:B,'Base stats'!AI:AI)=1,50,0)</f>
        <v>30</v>
      </c>
      <c r="BS184" s="8">
        <f t="shared" si="55"/>
        <v>0.35000000000000003</v>
      </c>
      <c r="BT184" s="8" t="str">
        <f>_xlfn.XLOOKUP(B184,'Base stats'!B:B,'Base stats'!AD:AD)</f>
        <v>2~6</v>
      </c>
      <c r="BU184" s="2" t="str">
        <f>IF(AND(J184&lt;=0.95,OR(_xlfn.XLOOKUP(B184,'Base stats'!B:B,'Base stats'!AI:AI)=1,_xlfn.XLOOKUP(B184,'Base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stats'!AG:AG)=1,"true","false")</f>
        <v>false</v>
      </c>
      <c r="BW184" s="25" t="str">
        <f>IF(E184="BaseInsect","AnimalInsect",
IF(J184&gt;0.95,"AnimalExotic",
_xlfn.TEXTJOIN(", ",TRUE,
IF(OR(_xlfn.XLOOKUP(B184,'Base stats'!B:B,'Base stats'!AK:AK)=1,AND(_xlfn.XLOOKUP(B184,'Base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stats'!AI:AI)=1,AND(BI184&lt;&gt;"None",BR184&gt;=60),ISNUMBER(SEARCH("Attack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TropicalRainforest TropicalSwamp Glowforest</v>
      </c>
      <c r="BY184" s="25" t="str">
        <f>IF(_xlfn.XLOOKUP(B184,'Base stats'!B:B,'Base stats'!AH:AH)=1,"true","false")</f>
        <v>false</v>
      </c>
      <c r="BZ184" s="25">
        <f>IF(_xlfn.XLOOKUP(B184,'Base stats'!B:B,'Base stats'!N:N)=1,"No",MAX(0.01,MIN(MROUND(IF(OR(_xlfn.XLOOKUP(B184,'Base stats'!B:B,'Base stats'!AK:AK)=1,AND(BJ184="True",CC184="False")),POWER(10,3.47*LOG10(_xlfn.XLOOKUP(B184,'Base stats'!B:B,'Base stats'!C:C)*1000)^-0.96),POWER(10,4.15*LOG10(_xlfn.XLOOKUP(B184,'Base stats'!B:B,'Base stats'!C:C)*1000)^-0.73))*IF(OR(_xlfn.XLOOKUP(B184,'Base stats'!B:B,'Base stats'!AK:AK)=1,_xlfn.XLOOKUP(B184,'Base stats'!B:B,'Base stats'!AI:AI)=1),0.5,1)/100,0.025),1)))</f>
        <v>0.42500000000000004</v>
      </c>
      <c r="CA184" s="25" t="str">
        <f>IF(P184="Standard","No",MAX(0.01,IF(_xlfn.XLOOKUP(B184,'Base stats'!B:B,'Base stats'!N:N)=0,MROUND(BZ184*P184,0.05),MIN(1,MAX(0.025,MROUND(IF(OR(CC184="true",AND(BJ184="false",BO184="false")),POWER(10,4.15*LOG10(_xlfn.XLOOKUP(B184,'Base stats'!B:B,'Base stats'!C:C)*1000)^-0.73),POWER(10,3.47*LOG10(_xlfn.XLOOKUP(B184,'Base stats'!B:B,'Base stats'!C:C)*1000)^-0.96))*IF(_xlfn.XLOOKUP(B184,'Base stats'!B:B,'Base stats'!AI:AI)=1,0.5,1)/100,0.025))))))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56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Tiger</v>
      </c>
      <c r="B185" s="6" t="s">
        <v>74</v>
      </c>
      <c r="C185" s="28" t="s">
        <v>1282</v>
      </c>
      <c r="D185" s="28" t="s">
        <v>884</v>
      </c>
      <c r="E185" s="28" t="s">
        <v>685</v>
      </c>
      <c r="F185" s="28" t="s">
        <v>702</v>
      </c>
      <c r="G185" s="28" t="s">
        <v>1283</v>
      </c>
      <c r="H185" s="2">
        <f>MROUND((
  (IF(AND(_xlfn.XLOOKUP(B185,'Base stats'!B:B,'Base stats'!AJ:AJ)=0,BI185="None",_xlfn.XLOOKUP(_xlfn.XLOOKUP(B185,'Base stats'!B:B,'Base stats'!E:E),Groups!A:A,Groups!B:B)=0), (18 + BR185 * 2.7) * 0.5,
    IF(AND(_xlfn.XLOOKUP(B185,'Base stats'!B:B,'Base stats'!AJ:AJ)=0,OR(AO185&lt;0.55,AND(BI185="Intermediate",_xlfn.XLOOKUP(_xlfn.XLOOKUP(B185,'Base stats'!B:B,'Base stats'!E:E),Groups!A:A,Groups!B:B)&lt;2))), (18 + BR185 * 2.7),
      IF(OR(BI185="Advanced",_xlfn.XLOOKUP(B185,'Base stats'!B:B,'Base stats'!AJ:AJ)=1,_xlfn.XLOOKUP(_xlfn.XLOOKUP(B185,'Base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850</v>
      </c>
      <c r="I185" s="2">
        <f>MROUND(ROUNDDOWN(_xlfn.XLOOKUP(B185,'Base stats'!B:B,'Base stats'!L:L)/3.6/(23.3/11),1),0.5)</f>
        <v>7.5</v>
      </c>
      <c r="J185" s="2">
        <f>IF(_xlfn.XLOOKUP(_xlfn.XLOOKUP(B185,'Base stats'!B:B,'Base stats'!E:E),Groups!A:A,Groups!C:C)="Untamable",1,IF(_xlfn.XLOOKUP(B185,'Base stats'!B:B,'Base stats'!AJ:AJ)=1,0.99,MIN(MROUND((1-0.6282*EXP(-0.459*AO185))*_xlfn.XLOOKUP(_xlfn.XLOOKUP(B185,'Base stats'!B:B,'Base stats'!E:E),Groups!A:A,Groups!C:C)*IF(_xlfn.XLOOKUP(B185,'Base stats'!B:B,'Base stats'!O:O)=1,0.5,IF(_xlfn.XLOOKUP(B185,'Base stats'!B:B,'Base stats'!O:O)=2,0,1)),0.05),0.985)))</f>
        <v>0.9</v>
      </c>
      <c r="K185" s="2">
        <f>ROUNDUP(AO185*_xlfn.XLOOKUP(_xlfn.XLOOKUP(B185,'Base stats'!B:B,'Base stats'!E:E),Groups!A:A,Groups!E:E),0)</f>
        <v>2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-30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40</v>
      </c>
      <c r="N185" s="8" t="str">
        <f>IF(_xlfn.XLOOKUP(_xlfn.XLOOKUP(B185,'Base stats'!B:B,'Base stats'!E:E),Groups!A:A,Groups!L:L)=1,MIN(MROUND(_xlfn.XLOOKUP(B185,'Animals CE'!B:B,'Animals CE'!Z:Z)/2+0.05,0.05),200%),"No")</f>
        <v>No</v>
      </c>
      <c r="O185" s="8" t="str">
        <f>IF(_xlfn.XLOOKUP(_xlfn.XLOOKUP(B185,'Base stats'!B:B,'Base stats'!E:E),Groups!A:A,Groups!L:L)=1,MIN(MROUND(_xlfn.XLOOKUP(B185,'Animals CE'!B:B,'Animals CE'!AA:AA)/2+0.05,0.05),200%),"No")</f>
        <v>No</v>
      </c>
      <c r="P185" s="2" t="str">
        <f>_xlfn.XLOOKUP(B185,'Base stats'!B:B,'Base stats'!R:R)</f>
        <v>Standard</v>
      </c>
      <c r="Q185" s="13">
        <f>MROUND((LOG10(_xlfn.XLOOKUP(B185,'Base stats'!B:B,'Base stats'!AP:AP))*(AO185^0.5)+(_xlfn.XLOOKUP(B185,'Base stats'!B:B,'Base stats'!AP:AP)/1000)^(2/3)+_xlfn.XLOOKUP(B185,'Base stats'!B:B,'Base stats'!AY:AY)/2)+0.5,0.5)</f>
        <v>10.5</v>
      </c>
      <c r="R185" s="7">
        <f>IF(Q185="No","No",MAX(1,MROUND(_xlfn.XLOOKUP(B185,'Base stats'!B:B,'Base stats'!C:C)^0.165,0.05)))</f>
        <v>2.35</v>
      </c>
      <c r="S185" s="13" t="str">
        <f>IF(_xlfn.XLOOKUP(_xlfn.XLOOKUP(B185,'Base stats'!B:B,'Base stats'!E:E),Groups!A:A,Groups!P:P)=0,"No",MROUND((LOG10(_xlfn.XLOOKUP(B185,'Base stats'!B:B,'Base stats'!AQ:AQ))*(AO185^0.5)+(_xlfn.XLOOKUP(B185,'Base stats'!B:B,'Base stats'!AQ:AQ)/1000)^(2/3)+_xlfn.XLOOKUP(B185,'Base stats'!B:B,'Base stats'!AY:AY))+_xlfn.XLOOKUP(B185,'Base stats'!B:B,'Base stats'!AW:AW)+0.5,0.5))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stats'!AS:AS))*(AO185^0.5)+(_xlfn.XLOOKUP(B185,'Base stats'!B:B,'Base stats'!AS:AS)/1000)^(2/3)+_xlfn.XLOOKUP(B185,'Base stats'!B:B,'Base stats'!AX:AX))+0.5+IF(_xlfn.XLOOKUP(_xlfn.XLOOKUP(B185,'Base stats'!B:B,'Base stats'!E:E),Groups!A:A,Groups!U:U)&lt;&gt;3,_xlfn.XLOOKUP(B185,'Base stats'!B:B,'Base stats'!AY:AY),0),0.5))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stats'!AR:AR)="No","No",MROUND((LOG10(_xlfn.XLOOKUP(B185,'Base stats'!B:B,'Base stats'!AR:AR))*(AO185^0.75)+(_xlfn.XLOOKUP(B185,'Base stats'!B:B,'Base stats'!AR:AR)/1000)^(2/3)+_xlfn.XLOOKUP(B185,'Base stats'!B:B,'Base stats'!AV:AV)+_xlfn.XLOOKUP(B185,'Base stats'!B:B,'Base stats'!AY:AY))+0.5,0.5))</f>
        <v>20.5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1.6500000000000001</v>
      </c>
      <c r="AF185" s="7" t="str">
        <f>IF(AD185="No","No",_xlfn.XLOOKUP(_xlfn.XLOOKUP(B185,'Base stats'!B:B,'Base stats'!E:E),Groups!A:A,Groups!AA:AA))</f>
        <v>Teeth</v>
      </c>
      <c r="AG185" s="7" t="str">
        <f>IF(AD185="No","No",_xlfn.XLOOKUP(_xlfn.XLOOKUP(B185,'Base stats'!B:B,'Base stats'!E:E),Groups!A:A,Groups!AB:AB))</f>
        <v>canines</v>
      </c>
      <c r="AH185" s="7" t="str">
        <f>IF(AD185="No","No",_xlfn.XLOOKUP(_xlfn.XLOOKUP(B185,'Base stats'!B:B,'Base stats'!E:E),Groups!A:A,Groups!AC:AC))</f>
        <v>Bite</v>
      </c>
      <c r="AI185" s="13">
        <f>IF(_xlfn.XLOOKUP(_xlfn.XLOOKUP(B185,'Base stats'!B:B,'Base stats'!E:E),Groups!A:A,Groups!AD:AD)=0,"No",MROUND((LOG10(_xlfn.XLOOKUP(B185,'Base stats'!B:B,'Base stats'!AQ:AQ))*(AO185^0.75)+(_xlfn.XLOOKUP(B185,'Base stats'!B:B,'Base stats'!AQ:AQ)/1000)^(2/3)+_xlfn.XLOOKUP(B185,'Base stats'!B:B,'Base stats'!AW:AW)+_xlfn.XLOOKUP(B185,'Base stats'!B:B,'Base stats'!AY:AY))+0.5,0.5))</f>
        <v>16.5</v>
      </c>
      <c r="AJ185" s="7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1.55</v>
      </c>
      <c r="AK185" s="7" t="str">
        <f>IF(AI185="No","No",_xlfn.XLOOKUP(_xlfn.XLOOKUP(B185,'Base stats'!B:B,'Base stats'!E:E),Groups!A:A,Groups!AF:AF))</f>
        <v>FrontRightPaw, FrontRightPaw</v>
      </c>
      <c r="AL185" s="7" t="str">
        <f>IF(AI185="No","No",_xlfn.XLOOKUP(_xlfn.XLOOKUP(B185,'Base stats'!B:B,'Base stats'!E:E),Groups!A:A,Groups!AG:AG))</f>
        <v>left claw, right claw</v>
      </c>
      <c r="AM185" s="7" t="str">
        <f>IF(AI185="No","No",_xlfn.XLOOKUP(_xlfn.XLOOKUP(B185,'Base stats'!B:B,'Base stats'!E:E),Groups!A:A,Groups!AH:AH))</f>
        <v>Scratch</v>
      </c>
      <c r="AN185" s="2">
        <f t="shared" si="51"/>
        <v>25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1.7000000000000002</v>
      </c>
      <c r="AP185" s="8">
        <f>MROUND(AO185*_xlfn.XLOOKUP(_xlfn.XLOOKUP(B185,'Base stats'!B:B,'Base stats'!E:E),Groups!A:A,Groups!AI:AI),0.05)</f>
        <v>2.0500000000000003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0.8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15</v>
      </c>
      <c r="AS185" s="35">
        <f>IFERROR(IF(_xlfn.XLOOKUP(B185,'Base stats'!B:B,'Base stats'!F:F)="Lay eggs","Lay eggs",MIN(20,MAX(5.5,ROUND(((_xlfn.XLOOKUP(B185,'Base stats'!B:B,'Base stats'!F:F)-25)*(14.5/615) + 5.5)*2,0)/2))),"Cannot breed")</f>
        <v>7.5</v>
      </c>
      <c r="AT185" s="8">
        <f>IF(OR(A185="Queen",A185="Larva",A185="Megachicken",A185="Megatardi",A185="Toxscorpion"),"No",IFERROR(MAX(IF(_xlfn.XLOOKUP(B185,'Base stats'!B:B,'Base stats'!G:G)&lt;0.5,0.2,0.3),MROUND(_xlfn.XLOOKUP(B185,'Base stats'!B:B,'Base stats'!G:G)/(365/60),0.2)),"Unknown"))</f>
        <v>0.60000000000000009</v>
      </c>
      <c r="AU185" s="8">
        <f t="shared" si="14"/>
        <v>0.30000000000000004</v>
      </c>
      <c r="AV185" s="8">
        <f>IFERROR(IFERROR(MROUND(_xlfn.XLOOKUP(B185,'Base stats'!B:B,'Base stats'!J:J),0.1),"Lay eggs"),"Cannot breed")</f>
        <v>2.5</v>
      </c>
      <c r="AW185" s="2" t="str">
        <f t="shared" si="52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</f>
        <v>CarnivoreAnimal, OvivoreAnimal</v>
      </c>
      <c r="AZ185" s="2" t="str">
        <f>IF(_xlfn.XLOOKUP(_xlfn.XLOOKUP(B185,'Base stats'!B:B,'Base stats'!E:E),Groups!A:A,Groups!D:D)=1,MROUND((1-J185)*5+1,2)*IF(J185&lt;=0.4,2,1),"No")</f>
        <v>No</v>
      </c>
      <c r="BA185" s="2" t="str">
        <f>_xlfn.XLOOKUP(B185,'Base stats'!B:B,'Base stats'!AF:AF)</f>
        <v>No</v>
      </c>
      <c r="BB185" s="2" t="str">
        <f>_xlfn.XLOOKUP(B185,'Base stats'!B:B,'Base stats'!AE:AE)</f>
        <v>Leather_Panthera</v>
      </c>
      <c r="BC185" s="23" t="str">
        <f>_xlfn.XLOOKUP(_xlfn.XLOOKUP(B185,'Base stats'!B:B,'Base stats'!E:E),Groups!A:A,Groups!AL:AL)</f>
        <v>QuadrupedAnimalWithPawsAndTail</v>
      </c>
      <c r="BD185" s="23">
        <f>MIN(1,MROUND(IF(AND(AO185&lt;0.5,_xlfn.XLOOKUP(B185,'Base stats'!B:B,'Base stats'!Z:Z)=0),0,IF(OR(_xlfn.XLOOKUP(Animals!B185,'Base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stats'!AA:AA),0.005))</f>
        <v>0.1</v>
      </c>
      <c r="BE185" s="23">
        <f>MIN(1,MROUND(IF(AND(AO185&lt;0.5,_xlfn.XLOOKUP(B185,'Base stats'!B:B,'Base stats'!Z:Z)=0),0,IF(_xlfn.XLOOKUP(_xlfn.XLOOKUP(B185,'Base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stats'!AB:AB),0.005))</f>
        <v>0.3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Intermediate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true</v>
      </c>
      <c r="BK185" s="2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3</v>
      </c>
      <c r="BL185" s="2">
        <f t="shared" si="53"/>
        <v>1</v>
      </c>
      <c r="BM185" s="25" t="str">
        <f>IF(_xlfn.XLOOKUP(B185,'Base stats'!B:B,'Base stats'!AL:AL)="Standard","No",MROUND((_xlfn.XLOOKUP(B185,'Base stats'!B:B,'Base stats'!AL:AL)/3.6)/I185,0.1))</f>
        <v>No</v>
      </c>
      <c r="BN185" s="25" t="str">
        <f t="shared" si="54"/>
        <v>false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true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stats'!AC:AC)&lt;&gt;"No",_xlfn.XLOOKUP(B185,'Base stats'!B:B,'Base stats'!AC:AC),"")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stats'!AC:AC)&lt;&gt;"No",_xlfn.XLOOKUP(B185,'Base stats'!B:B,'Base stats'!AC:AC),"")
  )
)</f>
        <v>AttackTarget</v>
      </c>
      <c r="BQ185" s="25">
        <f>IF(
   AND(
      'Base stats'!AL181="Standard",_xlfn.XLOOKUP(_xlfn.XLOOKUP(B185,'Base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10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stats'!AT:AT) * 1.8) * 2) * 2.5 + 10 + I185 * 2,5)+IF(_xlfn.XLOOKUP(B185,'Base stats'!B:B,'Base stats'!AI:AI)=1,50,0)</f>
        <v>210</v>
      </c>
      <c r="BS185" s="8">
        <f t="shared" si="55"/>
        <v>1</v>
      </c>
      <c r="BT185" s="8" t="str">
        <f>_xlfn.XLOOKUP(B185,'Base stats'!B:B,'Base stats'!AD:AD)</f>
        <v>No</v>
      </c>
      <c r="BU185" s="2" t="str">
        <f>IF(AND(J185&lt;=0.95,OR(_xlfn.XLOOKUP(B185,'Base stats'!B:B,'Base stats'!AI:AI)=1,_xlfn.XLOOKUP(B185,'Base stats'!B:B,'Base stats'!Y:Y)="Carnivore",_xlfn.XLOOKUP(B185,'Base stats'!B:B,'Base stats'!Y:Y)="Omnivore",BE185&gt;0.1)),"true","false")</f>
        <v>true</v>
      </c>
      <c r="BV185" s="2" t="str">
        <f>IF(_xlfn.XLOOKUP(B185,'Base stats'!B:B,'Base stats'!AG:AG)=1,"true","false")</f>
        <v>false</v>
      </c>
      <c r="BW185" s="25" t="str">
        <f>IF(E185="BaseInsect","AnimalInsect",
IF(J185&gt;0.95,"AnimalExotic",
_xlfn.TEXTJOIN(", ",TRUE,
IF(OR(_xlfn.XLOOKUP(B185,'Base stats'!B:B,'Base stats'!AK:AK)=1,AND(_xlfn.XLOOKUP(B185,'Base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stats'!AI:AI)=1,AND(BI185&lt;&gt;"None",BR185&gt;=60),ISNUMBER(SEARCH("Attack target",BP185))),"AnimalFighter","")
)))</f>
        <v>AnimalUncommon, AnimalFighter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TropicalRainforest TropicalSwamp Glowforest</v>
      </c>
      <c r="BY185" s="25" t="str">
        <f>IF(_xlfn.XLOOKUP(B185,'Base stats'!B:B,'Base stats'!AH:AH)=1,"true","false")</f>
        <v>false</v>
      </c>
      <c r="BZ185" s="25">
        <f>IF(_xlfn.XLOOKUP(B185,'Base stats'!B:B,'Base stats'!N:N)=1,"No",MAX(0.01,MIN(MROUND(IF(OR(_xlfn.XLOOKUP(B185,'Base stats'!B:B,'Base stats'!AK:AK)=1,AND(BJ185="True",CC185="False")),POWER(10,3.47*LOG10(_xlfn.XLOOKUP(B185,'Base stats'!B:B,'Base stats'!C:C)*1000)^-0.96),POWER(10,4.15*LOG10(_xlfn.XLOOKUP(B185,'Base stats'!B:B,'Base stats'!C:C)*1000)^-0.73))*IF(OR(_xlfn.XLOOKUP(B185,'Base stats'!B:B,'Base stats'!AK:AK)=1,_xlfn.XLOOKUP(B185,'Base stats'!B:B,'Base stats'!AI:AI)=1),0.5,1)/100,0.025),1)))</f>
        <v>0.05</v>
      </c>
      <c r="CA185" s="25" t="str">
        <f>IF(P185="Standard","No",MAX(0.01,IF(_xlfn.XLOOKUP(B185,'Base stats'!B:B,'Base stats'!N:N)=0,MROUND(BZ185*P185,0.05),MIN(1,MAX(0.025,MROUND(IF(OR(CC185="true",AND(BJ185="false",BO185="false")),POWER(10,4.15*LOG10(_xlfn.XLOOKUP(B185,'Base stats'!B:B,'Base stats'!C:C)*1000)^-0.73),POWER(10,3.47*LOG10(_xlfn.XLOOKUP(B185,'Base stats'!B:B,'Base stats'!C:C)*1000)^-0.96))*IF(_xlfn.XLOOKUP(B185,'Base stats'!B:B,'Base stats'!AI:AI)=1,0.5,1)/100,0.025))))))</f>
        <v>No</v>
      </c>
      <c r="CB185" s="25" t="str">
        <f>IF(_xlfn.XLOOKUP(_xlfn.XLOOKUP(B185,'Base stats'!B:B,'Base stats'!E:E),Groups!A:A,Groups!AJ:AJ)="Mammal","True","False")</f>
        <v>True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56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Alligator</v>
      </c>
      <c r="B186" s="6" t="s">
        <v>194</v>
      </c>
      <c r="C186" s="28" t="s">
        <v>1284</v>
      </c>
      <c r="D186" s="28" t="s">
        <v>884</v>
      </c>
      <c r="E186" s="28" t="s">
        <v>685</v>
      </c>
      <c r="F186" s="28" t="s">
        <v>685</v>
      </c>
      <c r="G186" s="28" t="s">
        <v>1283</v>
      </c>
      <c r="H186" s="2">
        <f>MROUND((
  (IF(AND(_xlfn.XLOOKUP(B186,'Base stats'!B:B,'Base stats'!AJ:AJ)=0,BI186="None",_xlfn.XLOOKUP(_xlfn.XLOOKUP(B186,'Base stats'!B:B,'Base stats'!E:E),Groups!A:A,Groups!B:B)=0), (18 + BR186 * 2.7) * 0.5,
    IF(AND(_xlfn.XLOOKUP(B186,'Base stats'!B:B,'Base stats'!AJ:AJ)=0,OR(AO186&lt;0.55,AND(BI186="Intermediate",_xlfn.XLOOKUP(_xlfn.XLOOKUP(B186,'Base stats'!B:B,'Base stats'!E:E),Groups!A:A,Groups!B:B)&lt;2))), (18 + BR186 * 2.7),
      IF(OR(BI186="Advanced",_xlfn.XLOOKUP(B186,'Base stats'!B:B,'Base stats'!AJ:AJ)=1,_xlfn.XLOOKUP(_xlfn.XLOOKUP(B186,'Base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725</v>
      </c>
      <c r="I186" s="2">
        <f>MROUND(ROUNDDOWN(_xlfn.XLOOKUP(B186,'Base stats'!B:B,'Base stats'!L:L)/3.6/(23.3/11),1),0.5)</f>
        <v>1.5</v>
      </c>
      <c r="J186" s="2">
        <f>IF(_xlfn.XLOOKUP(_xlfn.XLOOKUP(B186,'Base stats'!B:B,'Base stats'!E:E),Groups!A:A,Groups!C:C)="Untamable",1,IF(_xlfn.XLOOKUP(B186,'Base stats'!B:B,'Base stats'!AJ:AJ)=1,0.99,MIN(MROUND((1-0.6282*EXP(-0.459*AO186))*_xlfn.XLOOKUP(_xlfn.XLOOKUP(B186,'Base stats'!B:B,'Base stats'!E:E),Groups!A:A,Groups!C:C)*IF(_xlfn.XLOOKUP(B186,'Base stats'!B:B,'Base stats'!O:O)=1,0.5,IF(_xlfn.XLOOKUP(B186,'Base stats'!B:B,'Base stats'!O:O)=2,0,1)),0.05),0.985)))</f>
        <v>0.75</v>
      </c>
      <c r="K186" s="2">
        <f>ROUNDUP(AO186*_xlfn.XLOOKUP(_xlfn.XLOOKUP(B186,'Base stats'!B:B,'Base stats'!E:E),Groups!A:A,Groups!E:E),0)</f>
        <v>2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-5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>
        <f>IF(_xlfn.XLOOKUP(_xlfn.XLOOKUP(B186,'Base stats'!B:B,'Base stats'!E:E),Groups!A:A,Groups!L:L)=1,MIN(MROUND(_xlfn.XLOOKUP(B186,'Animals CE'!B:B,'Animals CE'!Z:Z)/2+0.05,0.05),200%),"No")</f>
        <v>0.2</v>
      </c>
      <c r="O186" s="8">
        <f>IF(_xlfn.XLOOKUP(_xlfn.XLOOKUP(B186,'Base stats'!B:B,'Base stats'!E:E),Groups!A:A,Groups!L:L)=1,MIN(MROUND(_xlfn.XLOOKUP(B186,'Animals CE'!B:B,'Animals CE'!AA:AA)/2+0.05,0.05),200%),"No")</f>
        <v>0.25</v>
      </c>
      <c r="P186" s="2" t="str">
        <f>_xlfn.XLOOKUP(B186,'Base stats'!B:B,'Base stats'!R:R)</f>
        <v>Standard</v>
      </c>
      <c r="Q186" s="13">
        <f>MROUND((LOG10(_xlfn.XLOOKUP(B186,'Base stats'!B:B,'Base stats'!AP:AP))*(AO186^0.5)+(_xlfn.XLOOKUP(B186,'Base stats'!B:B,'Base stats'!AP:AP)/1000)^(2/3)+_xlfn.XLOOKUP(B186,'Base stats'!B:B,'Base stats'!AY:AY)/2)+0.5,0.5)</f>
        <v>10</v>
      </c>
      <c r="R186" s="7">
        <f>IF(Q186="No","No",MAX(1,MROUND(_xlfn.XLOOKUP(B186,'Base stats'!B:B,'Base stats'!C:C)^0.165,0.05)))</f>
        <v>2.3000000000000003</v>
      </c>
      <c r="S186" s="13" t="str">
        <f>IF(_xlfn.XLOOKUP(_xlfn.XLOOKUP(B186,'Base stats'!B:B,'Base stats'!E:E),Groups!A:A,Groups!P:P)=0,"No",MROUND((LOG10(_xlfn.XLOOKUP(B186,'Base stats'!B:B,'Base stats'!AQ:AQ))*(AO186^0.5)+(_xlfn.XLOOKUP(B186,'Base stats'!B:B,'Base stats'!AQ:AQ)/1000)^(2/3)+_xlfn.XLOOKUP(B186,'Base stats'!B:B,'Base stats'!AY:AY))+_xlfn.XLOOKUP(B186,'Base stats'!B:B,'Base stats'!AW:AW)+0.5,0.5))</f>
        <v>No</v>
      </c>
      <c r="T186" s="7" t="str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No</v>
      </c>
      <c r="U186" s="7" t="str">
        <f>IF(S186="No","No",_xlfn.XLOOKUP(_xlfn.XLOOKUP(B186,'Base stats'!B:B,'Base stats'!E:E),Groups!A:A,Groups!R:R))</f>
        <v>No</v>
      </c>
      <c r="V186" s="7" t="str">
        <f>IF(S186="No","No",_xlfn.XLOOKUP(_xlfn.XLOOKUP(B186,'Base stats'!B:B,'Base stats'!E:E),Groups!A:A,Groups!S:S))</f>
        <v>No</v>
      </c>
      <c r="W186" s="7" t="str">
        <f>IF(S186="No","No",_xlfn.XLOOKUP(_xlfn.XLOOKUP(B186,'Base stats'!B:B,'Base stats'!E:E),Groups!A:A,Groups!T:T))</f>
        <v>No</v>
      </c>
      <c r="X186" s="13" t="str">
        <f>IF(_xlfn.XLOOKUP(B186,'Base stats'!B:B,'Base stats'!W:W)="No","No",MROUND((LOG10(_xlfn.XLOOKUP(B186,'Base stats'!B:B,'Base stats'!AS:AS))*(AO186^0.5)+(_xlfn.XLOOKUP(B186,'Base stats'!B:B,'Base stats'!AS:AS)/1000)^(2/3)+_xlfn.XLOOKUP(B186,'Base stats'!B:B,'Base stats'!AX:AX))+0.5+IF(_xlfn.XLOOKUP(_xlfn.XLOOKUP(B186,'Base stats'!B:B,'Base stats'!E:E),Groups!A:A,Groups!U:U)&lt;&gt;3,_xlfn.XLOOKUP(B186,'Base stats'!B:B,'Base stats'!AY:AY),0),0.5))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stats'!AR:AR)="No","No",MROUND((LOG10(_xlfn.XLOOKUP(B186,'Base stats'!B:B,'Base stats'!AR:AR))*(AO186^0.75)+(_xlfn.XLOOKUP(B186,'Base stats'!B:B,'Base stats'!AR:AR)/1000)^(2/3)+_xlfn.XLOOKUP(B186,'Base stats'!B:B,'Base stats'!AV:AV)+_xlfn.XLOOKUP(B186,'Base stats'!B:B,'Base stats'!AY:AY))+0.5,0.5))</f>
        <v>17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2.2000000000000002</v>
      </c>
      <c r="AF186" s="7" t="str">
        <f>IF(AD186="No","No",_xlfn.XLOOKUP(_xlfn.XLOOKUP(B186,'Base stats'!B:B,'Base stats'!E:E),Groups!A:A,Groups!AA:AA))</f>
        <v>Teeth</v>
      </c>
      <c r="AG186" s="7" t="str">
        <f>IF(AD186="No","No",_xlfn.XLOOKUP(_xlfn.XLOOKUP(B186,'Base stats'!B:B,'Base stats'!E:E),Groups!A:A,Groups!AB:AB))</f>
        <v>teeth</v>
      </c>
      <c r="AH186" s="7" t="str">
        <f>IF(AD186="No","No",_xlfn.XLOOKUP(_xlfn.XLOOKUP(B186,'Base stats'!B:B,'Base stats'!E:E),Groups!A:A,Groups!AC:AC))</f>
        <v>Bite</v>
      </c>
      <c r="AI186" s="13" t="str">
        <f>IF(_xlfn.XLOOKUP(_xlfn.XLOOKUP(B186,'Base stats'!B:B,'Base stats'!E:E),Groups!A:A,Groups!AD:AD)=0,"No",MROUND((LOG10(_xlfn.XLOOKUP(B186,'Base stats'!B:B,'Base stats'!AQ:AQ))*(AO186^0.75)+(_xlfn.XLOOKUP(B186,'Base stats'!B:B,'Base stats'!AQ:AQ)/1000)^(2/3)+_xlfn.XLOOKUP(B186,'Base stats'!B:B,'Base stats'!AW:AW)+_xlfn.XLOOKUP(B186,'Base stats'!B:B,'Base stats'!AY:AY))+0.5,0.5))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>
        <f t="shared" si="51"/>
        <v>25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1.6</v>
      </c>
      <c r="AP186" s="8">
        <f>MROUND(AO186*_xlfn.XLOOKUP(_xlfn.XLOOKUP(B186,'Base stats'!B:B,'Base stats'!E:E),Groups!A:A,Groups!AI:AI),0.05)</f>
        <v>1.9000000000000001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0.2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45</v>
      </c>
      <c r="AS186" s="35" t="str">
        <f>IFERROR(IF(_xlfn.XLOOKUP(B186,'Base stats'!B:B,'Base stats'!F:F)="Lay eggs","Lay eggs",MIN(20,MAX(5.5,ROUND(((_xlfn.XLOOKUP(B186,'Base stats'!B:B,'Base stats'!F:F)-25)*(14.5/615) + 5.5)*2,0)/2))),"Cannot breed")</f>
        <v>Lay eggs</v>
      </c>
      <c r="AT186" s="8">
        <f>IF(OR(A186="Queen",A186="Larva",A186="Megachicken",A186="Megatardi",A186="Toxscorpion"),"No",IFERROR(MAX(IF(_xlfn.XLOOKUP(B186,'Base stats'!B:B,'Base stats'!G:G)&lt;0.5,0.2,0.3),MROUND(_xlfn.XLOOKUP(B186,'Base stats'!B:B,'Base stats'!G:G)/(365/60),0.2)),"Unknown"))</f>
        <v>2</v>
      </c>
      <c r="AU186" s="8">
        <f t="shared" si="14"/>
        <v>1</v>
      </c>
      <c r="AV186" s="8" t="str">
        <f>IFERROR(IFERROR(MROUND(_xlfn.XLOOKUP(B186,'Base stats'!B:B,'Base stats'!J:J),0.1),"Lay eggs"),"Cannot breed")</f>
        <v>Lay eggs</v>
      </c>
      <c r="AW186" s="2" t="str">
        <f t="shared" si="52"/>
        <v>false</v>
      </c>
      <c r="AX186" s="2" t="str">
        <f>IF(_xlfn.XLOOKUP(_xlfn.XLOOKUP(Animals!B186,'Base stats'!B:B,'Base stats'!E:E),Groups!A:A,Groups!AK:AK)=1,"true","false")</f>
        <v>false</v>
      </c>
      <c r="AY186" s="25" t="str">
        <f>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</f>
        <v>CarnivoreAnimal, OvivoreAnimal</v>
      </c>
      <c r="AZ186" s="2" t="str">
        <f>IF(_xlfn.XLOOKUP(_xlfn.XLOOKUP(B186,'Base stats'!B:B,'Base stats'!E:E),Groups!A:A,Groups!D:D)=1,MROUND((1-J186)*5+1,2)*IF(J186&lt;=0.4,2,1),"No")</f>
        <v>No</v>
      </c>
      <c r="BA186" s="2" t="str">
        <f>_xlfn.XLOOKUP(B186,'Base stats'!B:B,'Base stats'!AF:AF)</f>
        <v>No</v>
      </c>
      <c r="BB186" s="2" t="str">
        <f>_xlfn.XLOOKUP(B186,'Base stats'!B:B,'Base stats'!AE:AE)</f>
        <v>Leather_Lizard</v>
      </c>
      <c r="BC186" s="23" t="str">
        <f>_xlfn.XLOOKUP(_xlfn.XLOOKUP(B186,'Base stats'!B:B,'Base stats'!E:E),Groups!A:A,Groups!AL:AL)</f>
        <v>QuadrupedAnimalWithClawsTailAndJowl</v>
      </c>
      <c r="BD186" s="23">
        <f>MIN(1,MROUND(IF(AND(AO186&lt;0.5,_xlfn.XLOOKUP(B186,'Base stats'!B:B,'Base stats'!Z:Z)=0),0,IF(OR(_xlfn.XLOOKUP(Animals!B186,'Base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stats'!AA:AA),0.005))</f>
        <v>0.1</v>
      </c>
      <c r="BE186" s="23">
        <f>MIN(1,MROUND(IF(AND(AO186&lt;0.5,_xlfn.XLOOKUP(B186,'Base stats'!B:B,'Base stats'!Z:Z)=0),0,IF(_xlfn.XLOOKUP(_xlfn.XLOOKUP(B186,'Base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stats'!AB:AB),0.005))</f>
        <v>0.3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true</v>
      </c>
      <c r="BK186" s="2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1.5</v>
      </c>
      <c r="BL186" s="2">
        <f t="shared" si="53"/>
        <v>0</v>
      </c>
      <c r="BM186" s="25">
        <f>IF(_xlfn.XLOOKUP(B186,'Base stats'!B:B,'Base stats'!AL:AL)="Standard","No",MROUND((_xlfn.XLOOKUP(B186,'Base stats'!B:B,'Base stats'!AL:AL)/3.6)/I186,0.1))</f>
        <v>2.8000000000000003</v>
      </c>
      <c r="BN186" s="25" t="str">
        <f t="shared" si="54"/>
        <v>true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true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stats'!AC:AC)&lt;&gt;"No",_xlfn.XLOOKUP(B186,'Base stats'!B:B,'Base stats'!AC:AC),"")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stats'!AC:AC)&lt;&gt;"No",_xlfn.XLOOKUP(B186,'Base stats'!B:B,'Base stats'!AC:AC),"")
  )
)</f>
        <v>No</v>
      </c>
      <c r="BQ186" s="25">
        <f>IF(
   AND(
      'Base stats'!AL182="Standard",_xlfn.XLOOKUP(_xlfn.XLOOKUP(B186,'Base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1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stats'!AT:AT) * 1.8) * 2) * 2.5 + 10 + I186 * 2,5)+IF(_xlfn.XLOOKUP(B186,'Base stats'!B:B,'Base stats'!AI:AI)=1,50,0)</f>
        <v>150</v>
      </c>
      <c r="BS186" s="8">
        <f t="shared" si="55"/>
        <v>0.5</v>
      </c>
      <c r="BT186" s="8" t="str">
        <f>_xlfn.XLOOKUP(B186,'Base stats'!B:B,'Base stats'!AD:AD)</f>
        <v>No</v>
      </c>
      <c r="BU186" s="2" t="str">
        <f>IF(AND(J186&lt;=0.95,OR(_xlfn.XLOOKUP(B186,'Base stats'!B:B,'Base stats'!AI:AI)=1,_xlfn.XLOOKUP(B186,'Base stats'!B:B,'Base stats'!Y:Y)="Carnivore",_xlfn.XLOOKUP(B186,'Base stats'!B:B,'Base stats'!Y:Y)="Omnivore",BE186&gt;0.1)),"true","false")</f>
        <v>true</v>
      </c>
      <c r="BV186" s="2" t="str">
        <f>IF(_xlfn.XLOOKUP(B186,'Base stats'!B:B,'Base stats'!AG:AG)=1,"true","false")</f>
        <v>false</v>
      </c>
      <c r="BW186" s="25" t="str">
        <f>IF(E186="BaseInsect","AnimalInsect",
IF(J186&gt;0.95,"AnimalExotic",
_xlfn.TEXTJOIN(", ",TRUE,
IF(OR(_xlfn.XLOOKUP(B186,'Base stats'!B:B,'Base stats'!AK:AK)=1,AND(_xlfn.XLOOKUP(B186,'Base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stats'!AI:AI)=1,AND(BI186&lt;&gt;"None",BR186&gt;=60),ISNUMBER(SEARCH("Attack target",BP186))),"AnimalFighter","")
)))</f>
        <v>AnimalUncommon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TemperateSwamp TropicalSwamp Glowforest</v>
      </c>
      <c r="BY186" s="25" t="str">
        <f>IF(_xlfn.XLOOKUP(B186,'Base stats'!B:B,'Base stats'!AH:AH)=1,"true","false")</f>
        <v>false</v>
      </c>
      <c r="BZ186" s="25">
        <f>IF(_xlfn.XLOOKUP(B186,'Base stats'!B:B,'Base stats'!N:N)=1,"No",MAX(0.01,MIN(MROUND(IF(OR(_xlfn.XLOOKUP(B186,'Base stats'!B:B,'Base stats'!AK:AK)=1,AND(BJ186="True",CC186="False")),POWER(10,3.47*LOG10(_xlfn.XLOOKUP(B186,'Base stats'!B:B,'Base stats'!C:C)*1000)^-0.96),POWER(10,4.15*LOG10(_xlfn.XLOOKUP(B186,'Base stats'!B:B,'Base stats'!C:C)*1000)^-0.73))*IF(OR(_xlfn.XLOOKUP(B186,'Base stats'!B:B,'Base stats'!AK:AK)=1,_xlfn.XLOOKUP(B186,'Base stats'!B:B,'Base stats'!AI:AI)=1),0.5,1)/100,0.025),1)))</f>
        <v>0.17500000000000002</v>
      </c>
      <c r="CA186" s="25" t="str">
        <f>IF(P186="Standard","No",MAX(0.01,IF(_xlfn.XLOOKUP(B186,'Base stats'!B:B,'Base stats'!N:N)=0,MROUND(BZ186*P186,0.05),MIN(1,MAX(0.025,MROUND(IF(OR(CC186="true",AND(BJ186="false",BO186="false")),POWER(10,4.15*LOG10(_xlfn.XLOOKUP(B186,'Base stats'!B:B,'Base stats'!C:C)*1000)^-0.73),POWER(10,3.47*LOG10(_xlfn.XLOOKUP(B186,'Base stats'!B:B,'Base stats'!C:C)*1000)^-0.96))*IF(_xlfn.XLOOKUP(B186,'Base stats'!B:B,'Base stats'!AI:AI)=1,0.5,1)/100,0.025))))))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True</v>
      </c>
      <c r="CD186" s="25" t="str">
        <f t="shared" si="56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Bone</v>
      </c>
      <c r="CI186" s="25" t="str">
        <f>IF(_xlfn.XLOOKUP(_xlfn.XLOOKUP(B186,'Base stats'!B:B,'Base stats'!E:E),Groups!A:A,Groups!BB:BB),"True","False")</f>
        <v>False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Moose</v>
      </c>
      <c r="B187" s="6" t="s">
        <v>147</v>
      </c>
      <c r="C187" s="28" t="s">
        <v>1285</v>
      </c>
      <c r="D187" s="28" t="s">
        <v>884</v>
      </c>
      <c r="E187" s="28" t="s">
        <v>685</v>
      </c>
      <c r="F187" s="28" t="s">
        <v>685</v>
      </c>
      <c r="G187" s="28" t="s">
        <v>1283</v>
      </c>
      <c r="H187" s="2">
        <f>MROUND((
  (IF(AND(_xlfn.XLOOKUP(B187,'Base stats'!B:B,'Base stats'!AJ:AJ)=0,BI187="None",_xlfn.XLOOKUP(_xlfn.XLOOKUP(B187,'Base stats'!B:B,'Base stats'!E:E),Groups!A:A,Groups!B:B)=0), (18 + BR187 * 2.7) * 0.5,
    IF(AND(_xlfn.XLOOKUP(B187,'Base stats'!B:B,'Base stats'!AJ:AJ)=0,OR(AO187&lt;0.55,AND(BI187="Intermediate",_xlfn.XLOOKUP(_xlfn.XLOOKUP(B187,'Base stats'!B:B,'Base stats'!E:E),Groups!A:A,Groups!B:B)&lt;2))), (18 + BR187 * 2.7),
      IF(OR(BI187="Advanced",_xlfn.XLOOKUP(B187,'Base stats'!B:B,'Base stats'!AJ:AJ)=1,_xlfn.XLOOKUP(_xlfn.XLOOKUP(B187,'Base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400</v>
      </c>
      <c r="I187" s="2">
        <f>MROUND(ROUNDDOWN(_xlfn.XLOOKUP(B187,'Base stats'!B:B,'Base stats'!L:L)/3.6/(23.3/11),1),0.5)</f>
        <v>7.5</v>
      </c>
      <c r="J187" s="2">
        <f>IF(_xlfn.XLOOKUP(_xlfn.XLOOKUP(B187,'Base stats'!B:B,'Base stats'!E:E),Groups!A:A,Groups!C:C)="Untamable",1,IF(_xlfn.XLOOKUP(B187,'Base stats'!B:B,'Base stats'!AJ:AJ)=1,0.99,MIN(MROUND((1-0.6282*EXP(-0.459*AO187))*_xlfn.XLOOKUP(_xlfn.XLOOKUP(B187,'Base stats'!B:B,'Base stats'!E:E),Groups!A:A,Groups!C:C)*IF(_xlfn.XLOOKUP(B187,'Base stats'!B:B,'Base stats'!O:O)=1,0.5,IF(_xlfn.XLOOKUP(B187,'Base stats'!B:B,'Base stats'!O:O)=2,0,1)),0.05),0.985)))</f>
        <v>0.70000000000000007</v>
      </c>
      <c r="K187" s="2">
        <f>ROUNDUP(AO187*_xlfn.XLOOKUP(_xlfn.XLOOKUP(B187,'Base stats'!B:B,'Base stats'!E:E),Groups!A:A,Groups!E:E),0)</f>
        <v>14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-55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35</v>
      </c>
      <c r="N187" s="8" t="str">
        <f>IF(_xlfn.XLOOKUP(_xlfn.XLOOKUP(B187,'Base stats'!B:B,'Base stats'!E:E),Groups!A:A,Groups!L:L)=1,MIN(MROUND(_xlfn.XLOOKUP(B187,'Animals CE'!B:B,'Animals CE'!Z:Z)/2+0.05,0.05),200%),"No")</f>
        <v>No</v>
      </c>
      <c r="O187" s="8" t="str">
        <f>IF(_xlfn.XLOOKUP(_xlfn.XLOOKUP(B187,'Base stats'!B:B,'Base stats'!E:E),Groups!A:A,Groups!L:L)=1,MIN(MROUND(_xlfn.XLOOKUP(B187,'Animals CE'!B:B,'Animals CE'!AA:AA)/2+0.05,0.05),200%),"No")</f>
        <v>No</v>
      </c>
      <c r="P187" s="2" t="str">
        <f>_xlfn.XLOOKUP(B187,'Base stats'!B:B,'Base stats'!R:R)</f>
        <v>Standard</v>
      </c>
      <c r="Q187" s="13">
        <f>MROUND((LOG10(_xlfn.XLOOKUP(B187,'Base stats'!B:B,'Base stats'!AP:AP))*(AO187^0.5)+(_xlfn.XLOOKUP(B187,'Base stats'!B:B,'Base stats'!AP:AP)/1000)^(2/3)+_xlfn.XLOOKUP(B187,'Base stats'!B:B,'Base stats'!AY:AY)/2)+0.5,0.5)</f>
        <v>14.5</v>
      </c>
      <c r="R187" s="7">
        <f>IF(Q187="No","No",MAX(1,MROUND(_xlfn.XLOOKUP(B187,'Base stats'!B:B,'Base stats'!C:C)^0.165,0.05)))</f>
        <v>2.6500000000000004</v>
      </c>
      <c r="S187" s="13">
        <f>IF(_xlfn.XLOOKUP(_xlfn.XLOOKUP(B187,'Base stats'!B:B,'Base stats'!E:E),Groups!A:A,Groups!P:P)=0,"No",MROUND((LOG10(_xlfn.XLOOKUP(B187,'Base stats'!B:B,'Base stats'!AQ:AQ))*(AO187^0.5)+(_xlfn.XLOOKUP(B187,'Base stats'!B:B,'Base stats'!AQ:AQ)/1000)^(2/3)+_xlfn.XLOOKUP(B187,'Base stats'!B:B,'Base stats'!AY:AY))+_xlfn.XLOOKUP(B187,'Base stats'!B:B,'Base stats'!AW:AW)+0.5,0.5))</f>
        <v>18</v>
      </c>
      <c r="T187" s="7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2.6500000000000004</v>
      </c>
      <c r="U187" s="7" t="str">
        <f>IF(S187="No","No",_xlfn.XLOOKUP(_xlfn.XLOOKUP(B187,'Base stats'!B:B,'Base stats'!E:E),Groups!A:A,Groups!R:R))</f>
        <v>FrontLeftLeg, FrontRightLeg</v>
      </c>
      <c r="V187" s="7" t="str">
        <f>IF(S187="No","No",_xlfn.XLOOKUP(_xlfn.XLOOKUP(B187,'Base stats'!B:B,'Base stats'!E:E),Groups!A:A,Groups!S:S))</f>
        <v>left hoof, right hoof</v>
      </c>
      <c r="W187" s="7" t="str">
        <f>IF(S187="No","No",_xlfn.XLOOKUP(_xlfn.XLOOKUP(B187,'Base stats'!B:B,'Base stats'!E:E),Groups!A:A,Groups!T:T))</f>
        <v>Blunt</v>
      </c>
      <c r="X187" s="13">
        <f>IF(_xlfn.XLOOKUP(B187,'Base stats'!B:B,'Base stats'!W:W)="No","No",MROUND((LOG10(_xlfn.XLOOKUP(B187,'Base stats'!B:B,'Base stats'!AS:AS))*(AO187^0.5)+(_xlfn.XLOOKUP(B187,'Base stats'!B:B,'Base stats'!AS:AS)/1000)^(2/3)+_xlfn.XLOOKUP(B187,'Base stats'!B:B,'Base stats'!AX:AX))+0.5+IF(_xlfn.XLOOKUP(_xlfn.XLOOKUP(B187,'Base stats'!B:B,'Base stats'!E:E),Groups!A:A,Groups!U:U)&lt;&gt;3,_xlfn.XLOOKUP(B187,'Base stats'!B:B,'Base stats'!AY:AY),0),0.5))</f>
        <v>20</v>
      </c>
      <c r="Y187" s="7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2.25</v>
      </c>
      <c r="Z187" s="7" t="str">
        <f>IF(X187="No","No",_xlfn.XLOOKUP(_xlfn.XLOOKUP(B187,'Base stats'!B:B,'Base stats'!E:E),Groups!A:A,Groups!W:W))</f>
        <v>HeadAttackTool</v>
      </c>
      <c r="AA187" s="7" t="str">
        <f>IF(X187="No","No",_xlfn.XLOOKUP(_xlfn.XLOOKUP(B187,'Base stats'!B:B,'Base stats'!E:E),Groups!A:A,Groups!X:X))</f>
        <v>antler</v>
      </c>
      <c r="AB187" s="7" t="str">
        <f>IF(X187="No","No",_xlfn.XLOOKUP(_xlfn.XLOOKUP(B187,'Base stats'!B:B,'Base stats'!E:E),Groups!A:A,Groups!Y:Y))</f>
        <v>Scratch</v>
      </c>
      <c r="AC187" s="7" t="str">
        <f>_xlfn.XLOOKUP(Animals!B187,'Base stats'!B:B,'Base stats'!X:X)</f>
        <v>False</v>
      </c>
      <c r="AD187" s="13" t="str">
        <f>IF(_xlfn.XLOOKUP(B187,'Base stats'!B:B,'Base stats'!AR:AR)="No","No",MROUND((LOG10(_xlfn.XLOOKUP(B187,'Base stats'!B:B,'Base stats'!AR:AR))*(AO187^0.75)+(_xlfn.XLOOKUP(B187,'Base stats'!B:B,'Base stats'!AR:AR)/1000)^(2/3)+_xlfn.XLOOKUP(B187,'Base stats'!B:B,'Base stats'!AV:AV)+_xlfn.XLOOKUP(B187,'Base stats'!B:B,'Base stats'!AY:AY))+0.5,0.5))</f>
        <v>No</v>
      </c>
      <c r="AE187" s="7" t="str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No</v>
      </c>
      <c r="AF187" s="7" t="str">
        <f>IF(AD187="No","No",_xlfn.XLOOKUP(_xlfn.XLOOKUP(B187,'Base stats'!B:B,'Base stats'!E:E),Groups!A:A,Groups!AA:AA))</f>
        <v>No</v>
      </c>
      <c r="AG187" s="7" t="str">
        <f>IF(AD187="No","No",_xlfn.XLOOKUP(_xlfn.XLOOKUP(B187,'Base stats'!B:B,'Base stats'!E:E),Groups!A:A,Groups!AB:AB))</f>
        <v>No</v>
      </c>
      <c r="AH187" s="7" t="str">
        <f>IF(AD187="No","No",_xlfn.XLOOKUP(_xlfn.XLOOKUP(B187,'Base stats'!B:B,'Base stats'!E:E),Groups!A:A,Groups!AC:AC))</f>
        <v>No</v>
      </c>
      <c r="AI187" s="13" t="str">
        <f>IF(_xlfn.XLOOKUP(_xlfn.XLOOKUP(B187,'Base stats'!B:B,'Base stats'!E:E),Groups!A:A,Groups!AD:AD)=0,"No",MROUND((LOG10(_xlfn.XLOOKUP(B187,'Base stats'!B:B,'Base stats'!AQ:AQ))*(AO187^0.75)+(_xlfn.XLOOKUP(B187,'Base stats'!B:B,'Base stats'!AQ:AQ)/1000)^(2/3)+_xlfn.XLOOKUP(B187,'Base stats'!B:B,'Base stats'!AW:AW)+_xlfn.XLOOKUP(B187,'Base stats'!B:B,'Base stats'!AY:AY))+0.5,0.5))</f>
        <v>No</v>
      </c>
      <c r="AJ187" s="7" t="str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No</v>
      </c>
      <c r="AK187" s="7" t="str">
        <f>IF(AI187="No","No",_xlfn.XLOOKUP(_xlfn.XLOOKUP(B187,'Base stats'!B:B,'Base stats'!E:E),Groups!A:A,Groups!AF:AF))</f>
        <v>No</v>
      </c>
      <c r="AL187" s="7" t="str">
        <f>IF(AI187="No","No",_xlfn.XLOOKUP(_xlfn.XLOOKUP(B187,'Base stats'!B:B,'Base stats'!E:E),Groups!A:A,Groups!AG:AG))</f>
        <v>No</v>
      </c>
      <c r="AM187" s="7" t="str">
        <f>IF(AI187="No","No",_xlfn.XLOOKUP(_xlfn.XLOOKUP(B187,'Base stats'!B:B,'Base stats'!E:E),Groups!A:A,Groups!AH:AH))</f>
        <v>No</v>
      </c>
      <c r="AN187" s="2" t="str">
        <f t="shared" si="51"/>
        <v>No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2.75</v>
      </c>
      <c r="AP187" s="8">
        <f>MROUND(AO187*_xlfn.XLOOKUP(_xlfn.XLOOKUP(B187,'Base stats'!B:B,'Base stats'!E:E),Groups!A:A,Groups!AI:AI),0.05)</f>
        <v>2.75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1.1000000000000001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IFERROR(IF(_xlfn.XLOOKUP(B187,'Base stats'!B:B,'Base stats'!F:F)="Lay eggs","Lay eggs",MIN(20,MAX(5.5,ROUND(((_xlfn.XLOOKUP(B187,'Base stats'!B:B,'Base stats'!F:F)-25)*(14.5/615) + 5.5)*2,0)/2))),"Cannot breed")</f>
        <v>10.5</v>
      </c>
      <c r="AT187" s="8">
        <f>IF(OR(A187="Queen",A187="Larva",A187="Megachicken",A187="Megatardi",A187="Toxscorpion"),"No",IFERROR(MAX(IF(_xlfn.XLOOKUP(B187,'Base stats'!B:B,'Base stats'!G:G)&lt;0.5,0.2,0.3),MROUND(_xlfn.XLOOKUP(B187,'Base stats'!B:B,'Base stats'!G:G)/(365/60),0.2)),"Unknown"))</f>
        <v>0.4</v>
      </c>
      <c r="AU187" s="8">
        <f t="shared" si="14"/>
        <v>0.2</v>
      </c>
      <c r="AV187" s="8">
        <f>IFERROR(IFERROR(MROUND(_xlfn.XLOOKUP(B187,'Base stats'!B:B,'Base stats'!J:J),0.1),"Lay eggs"),"Cannot breed")</f>
        <v>1.3</v>
      </c>
      <c r="AW187" s="2" t="str">
        <f t="shared" si="52"/>
        <v>false</v>
      </c>
      <c r="AX187" s="2" t="str">
        <f>IF(_xlfn.XLOOKUP(_xlfn.XLOOKUP(Animals!B187,'Base stats'!B:B,'Base stats'!E:E),Groups!A:A,Groups!AK:AK)=1,"true","false")</f>
        <v>true</v>
      </c>
      <c r="AY187" s="25" t="str">
        <f>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</f>
        <v>VegetarianRoughAnimal</v>
      </c>
      <c r="AZ187" s="2">
        <f>IF(_xlfn.XLOOKUP(_xlfn.XLOOKUP(B187,'Base stats'!B:B,'Base stats'!E:E),Groups!A:A,Groups!D:D)=1,MROUND((1-J187)*5+1,2)*IF(J187&lt;=0.4,2,1),"No")</f>
        <v>2</v>
      </c>
      <c r="BA187" s="2" t="str">
        <f>_xlfn.XLOOKUP(B187,'Base stats'!B:B,'Base stats'!AF:AF)</f>
        <v>&lt;li&gt;Deer&lt;/li&gt;</v>
      </c>
      <c r="BB187" s="2" t="str">
        <f>_xlfn.XLOOKUP(B187,'Base stats'!B:B,'Base stats'!AE:AE)</f>
        <v>Leather_Plain</v>
      </c>
      <c r="BC187" s="23" t="str">
        <f>_xlfn.XLOOKUP(_xlfn.XLOOKUP(B187,'Base stats'!B:B,'Base stats'!E:E),Groups!A:A,Groups!AL:AL)</f>
        <v>QuadrupedAnimalWithHooves</v>
      </c>
      <c r="BD187" s="23">
        <f>MIN(1,MROUND(IF(AND(AO187&lt;0.5,_xlfn.XLOOKUP(B187,'Base stats'!B:B,'Base stats'!Z:Z)=0),0,IF(OR(_xlfn.XLOOKUP(Animals!B187,'Base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stats'!AA:AA),0.005))</f>
        <v>2.5000000000000001E-2</v>
      </c>
      <c r="BE187" s="23">
        <f>MIN(1,MROUND(IF(AND(AO187&lt;0.5,_xlfn.XLOOKUP(B187,'Base stats'!B:B,'Base stats'!Z:Z)=0),0,IF(_xlfn.XLOOKUP(_xlfn.XLOOKUP(B187,'Base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stats'!AB:AB),0.005))</f>
        <v>0.05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None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false</v>
      </c>
      <c r="BK187" s="2" t="str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No</v>
      </c>
      <c r="BL187" s="2">
        <f t="shared" si="53"/>
        <v>0</v>
      </c>
      <c r="BM187" s="25" t="str">
        <f>IF(_xlfn.XLOOKUP(B187,'Base stats'!B:B,'Base stats'!AL:AL)="Standard","No",MROUND((_xlfn.XLOOKUP(B187,'Base stats'!B:B,'Base stats'!AL:AL)/3.6)/I187,0.1))</f>
        <v>No</v>
      </c>
      <c r="BN187" s="25" t="str">
        <f t="shared" si="54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false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stats'!AC:AC)&lt;&gt;"No",_xlfn.XLOOKUP(B187,'Base stats'!B:B,'Base stats'!AC:AC),"")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stats'!AC:AC)&lt;&gt;"No",_xlfn.XLOOKUP(B187,'Base stats'!B:B,'Base stats'!AC:AC),"")
  )
)</f>
        <v>No</v>
      </c>
      <c r="BQ187" s="25" t="str">
        <f>IF(
   AND(
      'Base stats'!AL183="Standard",_xlfn.XLOOKUP(_xlfn.XLOOKUP(B187,'Base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No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stats'!AT:AT) * 1.8) * 2) * 2.5 + 10 + I187 * 2,5)+IF(_xlfn.XLOOKUP(B187,'Base stats'!B:B,'Base stats'!AI:AI)=1,50,0)</f>
        <v>190</v>
      </c>
      <c r="BS187" s="8">
        <f t="shared" si="55"/>
        <v>1.4500000000000002</v>
      </c>
      <c r="BT187" s="8" t="str">
        <f>_xlfn.XLOOKUP(B187,'Base stats'!B:B,'Base stats'!AD:AD)</f>
        <v>No</v>
      </c>
      <c r="BU187" s="2" t="str">
        <f>IF(AND(J187&lt;=0.95,OR(_xlfn.XLOOKUP(B187,'Base stats'!B:B,'Base stats'!AI:AI)=1,_xlfn.XLOOKUP(B187,'Base stats'!B:B,'Base stats'!Y:Y)="Carnivore",_xlfn.XLOOKUP(B187,'Base stats'!B:B,'Base stats'!Y:Y)="Omnivore",BE187&gt;0.1)),"true","false")</f>
        <v>false</v>
      </c>
      <c r="BV187" s="2" t="str">
        <f>IF(_xlfn.XLOOKUP(B187,'Base stats'!B:B,'Base stats'!AG:AG)=1,"true","false")</f>
        <v>false</v>
      </c>
      <c r="BW187" s="25" t="str">
        <f>IF(E187="BaseInsect","AnimalInsect",
IF(J187&gt;0.95,"AnimalExotic",
_xlfn.TEXTJOIN(", ",TRUE,
IF(OR(_xlfn.XLOOKUP(B187,'Base stats'!B:B,'Base stats'!AK:AK)=1,AND(_xlfn.XLOOKUP(B187,'Base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stats'!AI:AI)=1,AND(BI187&lt;&gt;"None",BR187&gt;=60),ISNUMBER(SEARCH("Attack target",BP187))),"AnimalFighter","")
)))</f>
        <v>AnimalCommon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Tundra BorealForest ColdBog TemperateForest TemperateSwamp GlacialPlain</v>
      </c>
      <c r="BY187" s="25" t="str">
        <f>IF(_xlfn.XLOOKUP(B187,'Base stats'!B:B,'Base stats'!AH:AH)=1,"true","false")</f>
        <v>false</v>
      </c>
      <c r="BZ187" s="25">
        <f>IF(_xlfn.XLOOKUP(B187,'Base stats'!B:B,'Base stats'!N:N)=1,"No",MAX(0.01,MIN(MROUND(IF(OR(_xlfn.XLOOKUP(B187,'Base stats'!B:B,'Base stats'!AK:AK)=1,AND(BJ187="True",CC187="False")),POWER(10,3.47*LOG10(_xlfn.XLOOKUP(B187,'Base stats'!B:B,'Base stats'!C:C)*1000)^-0.96),POWER(10,4.15*LOG10(_xlfn.XLOOKUP(B187,'Base stats'!B:B,'Base stats'!C:C)*1000)^-0.73))*IF(OR(_xlfn.XLOOKUP(B187,'Base stats'!B:B,'Base stats'!AK:AK)=1,_xlfn.XLOOKUP(B187,'Base stats'!B:B,'Base stats'!AI:AI)=1),0.5,1)/100,0.025),1)))</f>
        <v>0.15000000000000002</v>
      </c>
      <c r="CA187" s="25" t="str">
        <f>IF(P187="Standard","No",MAX(0.01,IF(_xlfn.XLOOKUP(B187,'Base stats'!B:B,'Base stats'!N:N)=0,MROUND(BZ187*P187,0.05),MIN(1,MAX(0.025,MROUND(IF(OR(CC187="true",AND(BJ187="false",BO187="false")),POWER(10,4.15*LOG10(_xlfn.XLOOKUP(B187,'Base stats'!B:B,'Base stats'!C:C)*1000)^-0.73),POWER(10,3.47*LOG10(_xlfn.XLOOKUP(B187,'Base stats'!B:B,'Base stats'!C:C)*1000)^-0.96))*IF(_xlfn.XLOOKUP(B187,'Base stats'!B:B,'Base stats'!AI:AI)=1,0.5,1)/100,0.025))))))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56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Muskox</v>
      </c>
      <c r="B188" s="6" t="s">
        <v>230</v>
      </c>
      <c r="C188" s="28" t="s">
        <v>1286</v>
      </c>
      <c r="D188" s="28" t="s">
        <v>884</v>
      </c>
      <c r="E188" s="28" t="s">
        <v>685</v>
      </c>
      <c r="F188" s="28" t="s">
        <v>685</v>
      </c>
      <c r="G188" s="28" t="s">
        <v>1283</v>
      </c>
      <c r="H188" s="2">
        <f>MROUND((
  (IF(AND(_xlfn.XLOOKUP(B188,'Base stats'!B:B,'Base stats'!AJ:AJ)=0,BI188="None",_xlfn.XLOOKUP(_xlfn.XLOOKUP(B188,'Base stats'!B:B,'Base stats'!E:E),Groups!A:A,Groups!B:B)=0), (18 + BR188 * 2.7) * 0.5,
    IF(AND(_xlfn.XLOOKUP(B188,'Base stats'!B:B,'Base stats'!AJ:AJ)=0,OR(AO188&lt;0.55,AND(BI188="Intermediate",_xlfn.XLOOKUP(_xlfn.XLOOKUP(B188,'Base stats'!B:B,'Base stats'!E:E),Groups!A:A,Groups!B:B)&lt;2))), (18 + BR188 * 2.7),
      IF(OR(BI188="Advanced",_xlfn.XLOOKUP(B188,'Base stats'!B:B,'Base stats'!AJ:AJ)=1,_xlfn.XLOOKUP(_xlfn.XLOOKUP(B188,'Base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375</v>
      </c>
      <c r="I188" s="2">
        <f>MROUND(ROUNDDOWN(_xlfn.XLOOKUP(B188,'Base stats'!B:B,'Base stats'!L:L)/3.6/(23.3/11),1),0.5)</f>
        <v>7</v>
      </c>
      <c r="J188" s="2">
        <f>IF(_xlfn.XLOOKUP(_xlfn.XLOOKUP(B188,'Base stats'!B:B,'Base stats'!E:E),Groups!A:A,Groups!C:C)="Untamable",1,IF(_xlfn.XLOOKUP(B188,'Base stats'!B:B,'Base stats'!AJ:AJ)=1,0.99,MIN(MROUND((1-0.6282*EXP(-0.459*AO188))*_xlfn.XLOOKUP(_xlfn.XLOOKUP(B188,'Base stats'!B:B,'Base stats'!E:E),Groups!A:A,Groups!C:C)*IF(_xlfn.XLOOKUP(B188,'Base stats'!B:B,'Base stats'!O:O)=1,0.5,IF(_xlfn.XLOOKUP(B188,'Base stats'!B:B,'Base stats'!O:O)=2,0,1)),0.05),0.985)))</f>
        <v>0.65</v>
      </c>
      <c r="K188" s="2">
        <f>ROUNDUP(AO188*_xlfn.XLOOKUP(_xlfn.XLOOKUP(B188,'Base stats'!B:B,'Base stats'!E:E),Groups!A:A,Groups!E:E),0)</f>
        <v>12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35</v>
      </c>
      <c r="N188" s="8" t="str">
        <f>IF(_xlfn.XLOOKUP(_xlfn.XLOOKUP(B188,'Base stats'!B:B,'Base stats'!E:E),Groups!A:A,Groups!L:L)=1,MIN(MROUND(_xlfn.XLOOKUP(B188,'Animals CE'!B:B,'Animals CE'!Z:Z)/2+0.05,0.05),200%),"No")</f>
        <v>No</v>
      </c>
      <c r="O188" s="8" t="str">
        <f>IF(_xlfn.XLOOKUP(_xlfn.XLOOKUP(B188,'Base stats'!B:B,'Base stats'!E:E),Groups!A:A,Groups!L:L)=1,MIN(MROUND(_xlfn.XLOOKUP(B188,'Animals CE'!B:B,'Animals CE'!AA:AA)/2+0.05,0.05),200%),"No")</f>
        <v>No</v>
      </c>
      <c r="P188" s="2" t="str">
        <f>_xlfn.XLOOKUP(B188,'Base stats'!B:B,'Base stats'!R:R)</f>
        <v>Standard</v>
      </c>
      <c r="Q188" s="13">
        <f>MROUND((LOG10(_xlfn.XLOOKUP(B188,'Base stats'!B:B,'Base stats'!AP:AP))*(AO188^0.5)+(_xlfn.XLOOKUP(B188,'Base stats'!B:B,'Base stats'!AP:AP)/1000)^(2/3)+_xlfn.XLOOKUP(B188,'Base stats'!B:B,'Base stats'!AY:AY)/2)+0.5,0.5)</f>
        <v>13</v>
      </c>
      <c r="R188" s="7">
        <f>IF(Q188="No","No",MAX(1,MROUND(_xlfn.XLOOKUP(B188,'Base stats'!B:B,'Base stats'!C:C)^0.165,0.05)))</f>
        <v>2.6</v>
      </c>
      <c r="S188" s="13">
        <f>IF(_xlfn.XLOOKUP(_xlfn.XLOOKUP(B188,'Base stats'!B:B,'Base stats'!E:E),Groups!A:A,Groups!P:P)=0,"No",MROUND((LOG10(_xlfn.XLOOKUP(B188,'Base stats'!B:B,'Base stats'!AQ:AQ))*(AO188^0.5)+(_xlfn.XLOOKUP(B188,'Base stats'!B:B,'Base stats'!AQ:AQ)/1000)^(2/3)+_xlfn.XLOOKUP(B188,'Base stats'!B:B,'Base stats'!AY:AY))+_xlfn.XLOOKUP(B188,'Base stats'!B:B,'Base stats'!AW:AW)+0.5,0.5))</f>
        <v>16</v>
      </c>
      <c r="T188" s="7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2.6</v>
      </c>
      <c r="U188" s="7" t="str">
        <f>IF(S188="No","No",_xlfn.XLOOKUP(_xlfn.XLOOKUP(B188,'Base stats'!B:B,'Base stats'!E:E),Groups!A:A,Groups!R:R))</f>
        <v>FrontLeftLeg, FrontRightLeg</v>
      </c>
      <c r="V188" s="7" t="str">
        <f>IF(S188="No","No",_xlfn.XLOOKUP(_xlfn.XLOOKUP(B188,'Base stats'!B:B,'Base stats'!E:E),Groups!A:A,Groups!S:S))</f>
        <v>left hoof, right hoof</v>
      </c>
      <c r="W188" s="7" t="str">
        <f>IF(S188="No","No",_xlfn.XLOOKUP(_xlfn.XLOOKUP(B188,'Base stats'!B:B,'Base stats'!E:E),Groups!A:A,Groups!T:T))</f>
        <v>Blunt</v>
      </c>
      <c r="X188" s="13">
        <f>IF(_xlfn.XLOOKUP(B188,'Base stats'!B:B,'Base stats'!W:W)="No","No",MROUND((LOG10(_xlfn.XLOOKUP(B188,'Base stats'!B:B,'Base stats'!AS:AS))*(AO188^0.5)+(_xlfn.XLOOKUP(B188,'Base stats'!B:B,'Base stats'!AS:AS)/1000)^(2/3)+_xlfn.XLOOKUP(B188,'Base stats'!B:B,'Base stats'!AX:AX))+0.5+IF(_xlfn.XLOOKUP(_xlfn.XLOOKUP(B188,'Base stats'!B:B,'Base stats'!E:E),Groups!A:A,Groups!U:U)&lt;&gt;3,_xlfn.XLOOKUP(B188,'Base stats'!B:B,'Base stats'!AY:AY),0),0.5))</f>
        <v>17.5</v>
      </c>
      <c r="Y188" s="7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2.2000000000000002</v>
      </c>
      <c r="Z188" s="7" t="str">
        <f>IF(X188="No","No",_xlfn.XLOOKUP(_xlfn.XLOOKUP(B188,'Base stats'!B:B,'Base stats'!E:E),Groups!A:A,Groups!W:W))</f>
        <v>HeadAttackTool</v>
      </c>
      <c r="AA188" s="7" t="str">
        <f>IF(X188="No","No",_xlfn.XLOOKUP(_xlfn.XLOOKUP(B188,'Base stats'!B:B,'Base stats'!E:E),Groups!A:A,Groups!X:X))</f>
        <v>horn</v>
      </c>
      <c r="AB188" s="7" t="str">
        <f>IF(X188="No","No",_xlfn.XLOOKUP(_xlfn.XLOOKUP(B188,'Base stats'!B:B,'Base stats'!E:E),Groups!A:A,Groups!Y:Y))</f>
        <v>Blunt</v>
      </c>
      <c r="AC188" s="7" t="str">
        <f>_xlfn.XLOOKUP(Animals!B188,'Base stats'!B:B,'Base stats'!X:X)</f>
        <v>False</v>
      </c>
      <c r="AD188" s="13" t="str">
        <f>IF(_xlfn.XLOOKUP(B188,'Base stats'!B:B,'Base stats'!AR:AR)="No","No",MROUND((LOG10(_xlfn.XLOOKUP(B188,'Base stats'!B:B,'Base stats'!AR:AR))*(AO188^0.75)+(_xlfn.XLOOKUP(B188,'Base stats'!B:B,'Base stats'!AR:AR)/1000)^(2/3)+_xlfn.XLOOKUP(B188,'Base stats'!B:B,'Base stats'!AV:AV)+_xlfn.XLOOKUP(B188,'Base stats'!B:B,'Base stats'!AY:AY))+0.5,0.5))</f>
        <v>No</v>
      </c>
      <c r="AE188" s="7" t="str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No</v>
      </c>
      <c r="AF188" s="7" t="str">
        <f>IF(AD188="No","No",_xlfn.XLOOKUP(_xlfn.XLOOKUP(B188,'Base stats'!B:B,'Base stats'!E:E),Groups!A:A,Groups!AA:AA))</f>
        <v>No</v>
      </c>
      <c r="AG188" s="7" t="str">
        <f>IF(AD188="No","No",_xlfn.XLOOKUP(_xlfn.XLOOKUP(B188,'Base stats'!B:B,'Base stats'!E:E),Groups!A:A,Groups!AB:AB))</f>
        <v>No</v>
      </c>
      <c r="AH188" s="7" t="str">
        <f>IF(AD188="No","No",_xlfn.XLOOKUP(_xlfn.XLOOKUP(B188,'Base stats'!B:B,'Base stats'!E:E),Groups!A:A,Groups!AC:AC))</f>
        <v>No</v>
      </c>
      <c r="AI188" s="13" t="str">
        <f>IF(_xlfn.XLOOKUP(_xlfn.XLOOKUP(B188,'Base stats'!B:B,'Base stats'!E:E),Groups!A:A,Groups!AD:AD)=0,"No",MROUND((LOG10(_xlfn.XLOOKUP(B188,'Base stats'!B:B,'Base stats'!AQ:AQ))*(AO188^0.75)+(_xlfn.XLOOKUP(B188,'Base stats'!B:B,'Base stats'!AQ:AQ)/1000)^(2/3)+_xlfn.XLOOKUP(B188,'Base stats'!B:B,'Base stats'!AW:AW)+_xlfn.XLOOKUP(B188,'Base stats'!B:B,'Base stats'!AY:AY))+0.5,0.5))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 t="str">
        <f t="shared" si="51"/>
        <v>No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2.25</v>
      </c>
      <c r="AP188" s="8">
        <f>MROUND(AO188*_xlfn.XLOOKUP(_xlfn.XLOOKUP(B188,'Base stats'!B:B,'Base stats'!E:E),Groups!A:A,Groups!AI:AI),0.05)</f>
        <v>2.25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0.95000000000000007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15</v>
      </c>
      <c r="AS188" s="35">
        <f>IFERROR(IF(_xlfn.XLOOKUP(B188,'Base stats'!B:B,'Base stats'!F:F)="Lay eggs","Lay eggs",MIN(20,MAX(5.5,ROUND(((_xlfn.XLOOKUP(B188,'Base stats'!B:B,'Base stats'!F:F)-25)*(14.5/615) + 5.5)*2,0)/2))),"Cannot breed")</f>
        <v>11</v>
      </c>
      <c r="AT188" s="8">
        <f>IF(OR(A188="Queen",A188="Larva",A188="Megachicken",A188="Megatardi",A188="Toxscorpion"),"No",IFERROR(MAX(IF(_xlfn.XLOOKUP(B188,'Base stats'!B:B,'Base stats'!G:G)&lt;0.5,0.2,0.3),MROUND(_xlfn.XLOOKUP(B188,'Base stats'!B:B,'Base stats'!G:G)/(365/60),0.2)),"Unknown"))</f>
        <v>0.4</v>
      </c>
      <c r="AU188" s="8">
        <f t="shared" si="14"/>
        <v>0.2</v>
      </c>
      <c r="AV188" s="8">
        <f>IFERROR(IFERROR(MROUND(_xlfn.XLOOKUP(B188,'Base stats'!B:B,'Base stats'!J:J),0.1),"Lay eggs"),"Cannot breed")</f>
        <v>1</v>
      </c>
      <c r="AW188" s="2" t="str">
        <f t="shared" si="52"/>
        <v>true</v>
      </c>
      <c r="AX188" s="2" t="str">
        <f>IF(_xlfn.XLOOKUP(_xlfn.XLOOKUP(Animals!B188,'Base stats'!B:B,'Base stats'!E:E),Groups!A:A,Groups!AK:AK)=1,"true","false")</f>
        <v>true</v>
      </c>
      <c r="AY188" s="25" t="str">
        <f>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</f>
        <v>VegetarianRoughAnimal</v>
      </c>
      <c r="AZ188" s="2">
        <f>IF(_xlfn.XLOOKUP(_xlfn.XLOOKUP(B188,'Base stats'!B:B,'Base stats'!E:E),Groups!A:A,Groups!D:D)=1,MROUND((1-J188)*5+1,2)*IF(J188&lt;=0.4,2,1),"No")</f>
        <v>2</v>
      </c>
      <c r="BA188" s="2" t="str">
        <f>_xlfn.XLOOKUP(B188,'Base stats'!B:B,'Base stats'!AF:AF)</f>
        <v>&lt;li&gt;Sheep&lt;/li&gt;</v>
      </c>
      <c r="BB188" s="2" t="str">
        <f>_xlfn.XLOOKUP(B188,'Base stats'!B:B,'Base stats'!AE:AE)</f>
        <v>Leather_Plain</v>
      </c>
      <c r="BC188" s="23" t="str">
        <f>_xlfn.XLOOKUP(_xlfn.XLOOKUP(B188,'Base stats'!B:B,'Base stats'!E:E),Groups!A:A,Groups!AL:AL)</f>
        <v>QuadrupedAnimalWithHooves</v>
      </c>
      <c r="BD188" s="23">
        <f>MIN(1,MROUND(IF(AND(AO188&lt;0.5,_xlfn.XLOOKUP(B188,'Base stats'!B:B,'Base stats'!Z:Z)=0),0,IF(OR(_xlfn.XLOOKUP(Animals!B188,'Base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stats'!AA:AA),0.005))</f>
        <v>2.5000000000000001E-2</v>
      </c>
      <c r="BE188" s="23">
        <f>MIN(1,MROUND(IF(AND(AO188&lt;0.5,_xlfn.XLOOKUP(B188,'Base stats'!B:B,'Base stats'!Z:Z)=0),0,IF(_xlfn.XLOOKUP(_xlfn.XLOOKUP(B188,'Base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stats'!AB:AB),0.005))</f>
        <v>0.05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false</v>
      </c>
      <c r="BK188" s="2" t="str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No</v>
      </c>
      <c r="BL188" s="2">
        <f t="shared" si="53"/>
        <v>0</v>
      </c>
      <c r="BM188" s="25" t="str">
        <f>IF(_xlfn.XLOOKUP(B188,'Base stats'!B:B,'Base stats'!AL:AL)="Standard","No",MROUND((_xlfn.XLOOKUP(B188,'Base stats'!B:B,'Base stats'!AL:AL)/3.6)/I188,0.1))</f>
        <v>No</v>
      </c>
      <c r="BN188" s="25" t="str">
        <f t="shared" si="54"/>
        <v>false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false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stats'!AC:AC)&lt;&gt;"No",_xlfn.XLOOKUP(B188,'Base stats'!B:B,'Base stats'!AC:AC),"")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stats'!AC:AC)&lt;&gt;"No",_xlfn.XLOOKUP(B188,'Base stats'!B:B,'Base stats'!AC:AC),"")
  )
)</f>
        <v>No</v>
      </c>
      <c r="BQ188" s="25" t="str">
        <f>IF(
   AND(
      'Base stats'!AL184="Standard",_xlfn.XLOOKUP(_xlfn.XLOOKUP(B188,'Base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No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stats'!AT:AT) * 1.8) * 2) * 2.5 + 10 + I188 * 2,5)+IF(_xlfn.XLOOKUP(B188,'Base stats'!B:B,'Base stats'!AI:AI)=1,50,0)</f>
        <v>150</v>
      </c>
      <c r="BS188" s="8">
        <f t="shared" si="55"/>
        <v>1.2000000000000002</v>
      </c>
      <c r="BT188" s="8" t="str">
        <f>_xlfn.XLOOKUP(B188,'Base stats'!B:B,'Base stats'!AD:AD)</f>
        <v>3~10</v>
      </c>
      <c r="BU188" s="2" t="str">
        <f>IF(AND(J188&lt;=0.95,OR(_xlfn.XLOOKUP(B188,'Base stats'!B:B,'Base stats'!AI:AI)=1,_xlfn.XLOOKUP(B188,'Base stats'!B:B,'Base stats'!Y:Y)="Carnivore",_xlfn.XLOOKUP(B188,'Base stats'!B:B,'Base stats'!Y:Y)="Omnivore",BE188&gt;0.1)),"true","false")</f>
        <v>false</v>
      </c>
      <c r="BV188" s="2" t="str">
        <f>IF(_xlfn.XLOOKUP(B188,'Base stats'!B:B,'Base stats'!AG:AG)=1,"true","false")</f>
        <v>false</v>
      </c>
      <c r="BW188" s="25" t="str">
        <f>IF(E188="BaseInsect","AnimalInsect",
IF(J188&gt;0.95,"AnimalExotic",
_xlfn.TEXTJOIN(", ",TRUE,
IF(OR(_xlfn.XLOOKUP(B188,'Base stats'!B:B,'Base stats'!AK:AK)=1,AND(_xlfn.XLOOKUP(B188,'Base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stats'!AI:AI)=1,AND(BI188&lt;&gt;"None",BR188&gt;=60),ISNUMBER(SEARCH("Attack target",BP188))),"AnimalFighter","")
)))</f>
        <v>AnimalCommon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Tundra GlacialPlain</v>
      </c>
      <c r="BY188" s="25" t="str">
        <f>IF(_xlfn.XLOOKUP(B188,'Base stats'!B:B,'Base stats'!AH:AH)=1,"true","false")</f>
        <v>false</v>
      </c>
      <c r="BZ188" s="25">
        <f>IF(_xlfn.XLOOKUP(B188,'Base stats'!B:B,'Base stats'!N:N)=1,"No",MAX(0.01,MIN(MROUND(IF(OR(_xlfn.XLOOKUP(B188,'Base stats'!B:B,'Base stats'!AK:AK)=1,AND(BJ188="True",CC188="False")),POWER(10,3.47*LOG10(_xlfn.XLOOKUP(B188,'Base stats'!B:B,'Base stats'!C:C)*1000)^-0.96),POWER(10,4.15*LOG10(_xlfn.XLOOKUP(B188,'Base stats'!B:B,'Base stats'!C:C)*1000)^-0.73))*IF(OR(_xlfn.XLOOKUP(B188,'Base stats'!B:B,'Base stats'!AK:AK)=1,_xlfn.XLOOKUP(B188,'Base stats'!B:B,'Base stats'!AI:AI)=1),0.5,1)/100,0.025),1)))</f>
        <v>0.15000000000000002</v>
      </c>
      <c r="CA188" s="25" t="str">
        <f>IF(P188="Standard","No",MAX(0.01,IF(_xlfn.XLOOKUP(B188,'Base stats'!B:B,'Base stats'!N:N)=0,MROUND(BZ188*P188,0.05),MIN(1,MAX(0.025,MROUND(IF(OR(CC188="true",AND(BJ188="false",BO188="false")),POWER(10,4.15*LOG10(_xlfn.XLOOKUP(B188,'Base stats'!B:B,'Base stats'!C:C)*1000)^-0.73),POWER(10,3.47*LOG10(_xlfn.XLOOKUP(B188,'Base stats'!B:B,'Base stats'!C:C)*1000)^-0.96))*IF(_xlfn.XLOOKUP(B188,'Base stats'!B:B,'Base stats'!AI:AI)=1,0.5,1)/100,0.025))))))</f>
        <v>No</v>
      </c>
      <c r="CB188" s="25" t="str">
        <f>IF(_xlfn.XLOOKUP(_xlfn.XLOOKUP(B188,'Base stats'!B:B,'Base stats'!E:E),Groups!A:A,Groups!AJ:AJ)="Mammal","True","False")</f>
        <v>True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False</v>
      </c>
      <c r="CD188" s="25" t="str">
        <f t="shared" si="56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No</v>
      </c>
      <c r="CI188" s="25" t="str">
        <f>IF(_xlfn.XLOOKUP(_xlfn.XLOOKUP(B188,'Base stats'!B:B,'Base stats'!E:E),Groups!A:A,Groups!BB:BB),"True","False")</f>
        <v>True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Badger</v>
      </c>
      <c r="B189" s="6" t="s">
        <v>106</v>
      </c>
      <c r="C189" s="28" t="s">
        <v>1287</v>
      </c>
      <c r="D189" s="28" t="s">
        <v>884</v>
      </c>
      <c r="E189" s="28" t="s">
        <v>685</v>
      </c>
      <c r="F189" s="28" t="s">
        <v>685</v>
      </c>
      <c r="G189" s="28" t="s">
        <v>1283</v>
      </c>
      <c r="H189" s="2">
        <f>MROUND((
  (IF(AND(_xlfn.XLOOKUP(B189,'Base stats'!B:B,'Base stats'!AJ:AJ)=0,BI189="None",_xlfn.XLOOKUP(_xlfn.XLOOKUP(B189,'Base stats'!B:B,'Base stats'!E:E),Groups!A:A,Groups!B:B)=0), (18 + BR189 * 2.7) * 0.5,
    IF(AND(_xlfn.XLOOKUP(B189,'Base stats'!B:B,'Base stats'!AJ:AJ)=0,OR(AO189&lt;0.55,AND(BI189="Intermediate",_xlfn.XLOOKUP(_xlfn.XLOOKUP(B189,'Base stats'!B:B,'Base stats'!E:E),Groups!A:A,Groups!B:B)&lt;2))), (18 + BR189 * 2.7),
      IF(OR(BI189="Advanced",_xlfn.XLOOKUP(B189,'Base stats'!B:B,'Base stats'!AJ:AJ)=1,_xlfn.XLOOKUP(_xlfn.XLOOKUP(B189,'Base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175</v>
      </c>
      <c r="I189" s="2">
        <f>MROUND(ROUNDDOWN(_xlfn.XLOOKUP(B189,'Base stats'!B:B,'Base stats'!L:L)/3.6/(23.3/11),1),0.5)</f>
        <v>3.5</v>
      </c>
      <c r="J189" s="2">
        <f>IF(_xlfn.XLOOKUP(_xlfn.XLOOKUP(B189,'Base stats'!B:B,'Base stats'!E:E),Groups!A:A,Groups!C:C)="Untamable",1,IF(_xlfn.XLOOKUP(B189,'Base stats'!B:B,'Base stats'!AJ:AJ)=1,0.99,MIN(MROUND((1-0.6282*EXP(-0.459*AO189))*_xlfn.XLOOKUP(_xlfn.XLOOKUP(B189,'Base stats'!B:B,'Base stats'!E:E),Groups!A:A,Groups!C:C)*IF(_xlfn.XLOOKUP(B189,'Base stats'!B:B,'Base stats'!O:O)=1,0.5,IF(_xlfn.XLOOKUP(B189,'Base stats'!B:B,'Base stats'!O:O)=2,0,1)),0.05),0.985)))</f>
        <v>0.75</v>
      </c>
      <c r="K189" s="2">
        <f>ROUNDUP(AO189*_xlfn.XLOOKUP(_xlfn.XLOOKUP(B189,'Base stats'!B:B,'Base stats'!E:E),Groups!A:A,Groups!E:E),0)</f>
        <v>1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-45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IF(_xlfn.XLOOKUP(_xlfn.XLOOKUP(B189,'Base stats'!B:B,'Base stats'!E:E),Groups!A:A,Groups!L:L)=1,MIN(MROUND(_xlfn.XLOOKUP(B189,'Animals CE'!B:B,'Animals CE'!Z:Z)/2+0.05,0.05),200%),"No")</f>
        <v>No</v>
      </c>
      <c r="O189" s="8" t="str">
        <f>IF(_xlfn.XLOOKUP(_xlfn.XLOOKUP(B189,'Base stats'!B:B,'Base stats'!E:E),Groups!A:A,Groups!L:L)=1,MIN(MROUND(_xlfn.XLOOKUP(B189,'Animals CE'!B:B,'Animals CE'!AA:AA)/2+0.05,0.05),200%),"No")</f>
        <v>No</v>
      </c>
      <c r="P189" s="2" t="str">
        <f>_xlfn.XLOOKUP(B189,'Base stats'!B:B,'Base stats'!R:R)</f>
        <v>Standard</v>
      </c>
      <c r="Q189" s="13">
        <f>MROUND((LOG10(_xlfn.XLOOKUP(B189,'Base stats'!B:B,'Base stats'!AP:AP))*(AO189^0.5)+(_xlfn.XLOOKUP(B189,'Base stats'!B:B,'Base stats'!AP:AP)/1000)^(2/3)+_xlfn.XLOOKUP(B189,'Base stats'!B:B,'Base stats'!AY:AY)/2)+0.5,0.5)</f>
        <v>4</v>
      </c>
      <c r="R189" s="7">
        <f>IF(Q189="No","No",MAX(1,MROUND(_xlfn.XLOOKUP(B189,'Base stats'!B:B,'Base stats'!C:C)^0.165,0.05)))</f>
        <v>1.55</v>
      </c>
      <c r="S189" s="13" t="str">
        <f>IF(_xlfn.XLOOKUP(_xlfn.XLOOKUP(B189,'Base stats'!B:B,'Base stats'!E:E),Groups!A:A,Groups!P:P)=0,"No",MROUND((LOG10(_xlfn.XLOOKUP(B189,'Base stats'!B:B,'Base stats'!AQ:AQ))*(AO189^0.5)+(_xlfn.XLOOKUP(B189,'Base stats'!B:B,'Base stats'!AQ:AQ)/1000)^(2/3)+_xlfn.XLOOKUP(B189,'Base stats'!B:B,'Base stats'!AY:AY))+_xlfn.XLOOKUP(B189,'Base stats'!B:B,'Base stats'!AW:AW)+0.5,0.5))</f>
        <v>No</v>
      </c>
      <c r="T189" s="7" t="str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No</v>
      </c>
      <c r="U189" s="7" t="str">
        <f>IF(S189="No","No",_xlfn.XLOOKUP(_xlfn.XLOOKUP(B189,'Base stats'!B:B,'Base stats'!E:E),Groups!A:A,Groups!R:R))</f>
        <v>No</v>
      </c>
      <c r="V189" s="7" t="str">
        <f>IF(S189="No","No",_xlfn.XLOOKUP(_xlfn.XLOOKUP(B189,'Base stats'!B:B,'Base stats'!E:E),Groups!A:A,Groups!S:S))</f>
        <v>No</v>
      </c>
      <c r="W189" s="7" t="str">
        <f>IF(S189="No","No",_xlfn.XLOOKUP(_xlfn.XLOOKUP(B189,'Base stats'!B:B,'Base stats'!E:E),Groups!A:A,Groups!T:T))</f>
        <v>No</v>
      </c>
      <c r="X189" s="13" t="str">
        <f>IF(_xlfn.XLOOKUP(B189,'Base stats'!B:B,'Base stats'!W:W)="No","No",MROUND((LOG10(_xlfn.XLOOKUP(B189,'Base stats'!B:B,'Base stats'!AS:AS))*(AO189^0.5)+(_xlfn.XLOOKUP(B189,'Base stats'!B:B,'Base stats'!AS:AS)/1000)^(2/3)+_xlfn.XLOOKUP(B189,'Base stats'!B:B,'Base stats'!AX:AX))+0.5+IF(_xlfn.XLOOKUP(_xlfn.XLOOKUP(B189,'Base stats'!B:B,'Base stats'!E:E),Groups!A:A,Groups!U:U)&lt;&gt;3,_xlfn.XLOOKUP(B189,'Base stats'!B:B,'Base stats'!AY:AY),0),0.5))</f>
        <v>No</v>
      </c>
      <c r="Y189" s="7" t="str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No</v>
      </c>
      <c r="Z189" s="7" t="str">
        <f>IF(X189="No","No",_xlfn.XLOOKUP(_xlfn.XLOOKUP(B189,'Base stats'!B:B,'Base stats'!E:E),Groups!A:A,Groups!W:W))</f>
        <v>No</v>
      </c>
      <c r="AA189" s="7" t="str">
        <f>IF(X189="No","No",_xlfn.XLOOKUP(_xlfn.XLOOKUP(B189,'Base stats'!B:B,'Base stats'!E:E),Groups!A:A,Groups!X:X))</f>
        <v>No</v>
      </c>
      <c r="AB189" s="7" t="str">
        <f>IF(X189="No","No",_xlfn.XLOOKUP(_xlfn.XLOOKUP(B189,'Base stats'!B:B,'Base stats'!E:E),Groups!A:A,Groups!Y:Y))</f>
        <v>No</v>
      </c>
      <c r="AC189" s="7" t="str">
        <f>_xlfn.XLOOKUP(Animals!B189,'Base stats'!B:B,'Base stats'!X:X)</f>
        <v>False</v>
      </c>
      <c r="AD189" s="13">
        <f>IF(_xlfn.XLOOKUP(B189,'Base stats'!B:B,'Base stats'!AR:AR)="No","No",MROUND((LOG10(_xlfn.XLOOKUP(B189,'Base stats'!B:B,'Base stats'!AR:AR))*(AO189^0.75)+(_xlfn.XLOOKUP(B189,'Base stats'!B:B,'Base stats'!AR:AR)/1000)^(2/3)+_xlfn.XLOOKUP(B189,'Base stats'!B:B,'Base stats'!AV:AV)+_xlfn.XLOOKUP(B189,'Base stats'!B:B,'Base stats'!AY:AY))+0.5,0.5))</f>
        <v>6.5</v>
      </c>
      <c r="AE189" s="7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1.2000000000000002</v>
      </c>
      <c r="AF189" s="7" t="str">
        <f>IF(AD189="No","No",_xlfn.XLOOKUP(_xlfn.XLOOKUP(B189,'Base stats'!B:B,'Base stats'!E:E),Groups!A:A,Groups!AA:AA))</f>
        <v>Teeth</v>
      </c>
      <c r="AG189" s="7" t="str">
        <f>IF(AD189="No","No",_xlfn.XLOOKUP(_xlfn.XLOOKUP(B189,'Base stats'!B:B,'Base stats'!E:E),Groups!A:A,Groups!AB:AB))</f>
        <v>canines</v>
      </c>
      <c r="AH189" s="7" t="str">
        <f>IF(AD189="No","No",_xlfn.XLOOKUP(_xlfn.XLOOKUP(B189,'Base stats'!B:B,'Base stats'!E:E),Groups!A:A,Groups!AC:AC))</f>
        <v>Bite</v>
      </c>
      <c r="AI189" s="13">
        <f>IF(_xlfn.XLOOKUP(_xlfn.XLOOKUP(B189,'Base stats'!B:B,'Base stats'!E:E),Groups!A:A,Groups!AD:AD)=0,"No",MROUND((LOG10(_xlfn.XLOOKUP(B189,'Base stats'!B:B,'Base stats'!AQ:AQ))*(AO189^0.75)+(_xlfn.XLOOKUP(B189,'Base stats'!B:B,'Base stats'!AQ:AQ)/1000)^(2/3)+_xlfn.XLOOKUP(B189,'Base stats'!B:B,'Base stats'!AW:AW)+_xlfn.XLOOKUP(B189,'Base stats'!B:B,'Base stats'!AY:AY))+0.5,0.5))</f>
        <v>6</v>
      </c>
      <c r="AJ189" s="7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1</v>
      </c>
      <c r="AK189" s="7" t="str">
        <f>IF(AI189="No","No",_xlfn.XLOOKUP(_xlfn.XLOOKUP(B189,'Base stats'!B:B,'Base stats'!E:E),Groups!A:A,Groups!AF:AF))</f>
        <v>FrontRightPaw, FrontRightPaw</v>
      </c>
      <c r="AL189" s="7" t="str">
        <f>IF(AI189="No","No",_xlfn.XLOOKUP(_xlfn.XLOOKUP(B189,'Base stats'!B:B,'Base stats'!E:E),Groups!A:A,Groups!AG:AG))</f>
        <v>left claw, right claw</v>
      </c>
      <c r="AM189" s="7" t="str">
        <f>IF(AI189="No","No",_xlfn.XLOOKUP(_xlfn.XLOOKUP(B189,'Base stats'!B:B,'Base stats'!E:E),Groups!A:A,Groups!AH:AH))</f>
        <v>Scratch</v>
      </c>
      <c r="AN189" s="2" t="str">
        <f t="shared" si="51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0.45</v>
      </c>
      <c r="AP189" s="8">
        <f>MROUND(AO189*_xlfn.XLOOKUP(_xlfn.XLOOKUP(B189,'Base stats'!B:B,'Base stats'!E:E),Groups!A:A,Groups!AI:AI),0.05)</f>
        <v>0.55000000000000004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0.35000000000000003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12</v>
      </c>
      <c r="AS189" s="35">
        <f>IFERROR(IF(_xlfn.XLOOKUP(B189,'Base stats'!B:B,'Base stats'!F:F)="Lay eggs","Lay eggs",MIN(20,MAX(5.5,ROUND(((_xlfn.XLOOKUP(B189,'Base stats'!B:B,'Base stats'!F:F)-25)*(14.5/615) + 5.5)*2,0)/2))),"Cannot breed")</f>
        <v>6</v>
      </c>
      <c r="AT189" s="8">
        <f>IF(OR(A189="Queen",A189="Larva",A189="Megachicken",A189="Megatardi",A189="Toxscorpion"),"No",IFERROR(MAX(IF(_xlfn.XLOOKUP(B189,'Base stats'!B:B,'Base stats'!G:G)&lt;0.5,0.2,0.3),MROUND(_xlfn.XLOOKUP(B189,'Base stats'!B:B,'Base stats'!G:G)/(365/60),0.2)),"Unknown"))</f>
        <v>0.3</v>
      </c>
      <c r="AU189" s="8">
        <f t="shared" si="14"/>
        <v>0.15000000000000002</v>
      </c>
      <c r="AV189" s="8">
        <f>IFERROR(IFERROR(MROUND(_xlfn.XLOOKUP(B189,'Base stats'!B:B,'Base stats'!J:J),0.1),"Lay eggs"),"Cannot breed")</f>
        <v>3</v>
      </c>
      <c r="AW189" s="2" t="str">
        <f t="shared" si="52"/>
        <v>false</v>
      </c>
      <c r="AX189" s="2" t="str">
        <f>IF(_xlfn.XLOOKUP(_xlfn.XLOOKUP(Animals!B189,'Base stats'!B:B,'Base stats'!E:E),Groups!A:A,Groups!AK:AK)=1,"true","false")</f>
        <v>false</v>
      </c>
      <c r="AY189" s="25" t="str">
        <f>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</f>
        <v>OmnivoreRoughAnimal, OvivoreAnimal</v>
      </c>
      <c r="AZ189" s="2" t="str">
        <f>IF(_xlfn.XLOOKUP(_xlfn.XLOOKUP(B189,'Base stats'!B:B,'Base stats'!E:E),Groups!A:A,Groups!D:D)=1,MROUND((1-J189)*5+1,2)*IF(J189&lt;=0.4,2,1),"No")</f>
        <v>No</v>
      </c>
      <c r="BA189" s="2" t="str">
        <f>_xlfn.XLOOKUP(B189,'Base stats'!B:B,'Base stats'!AF:AF)</f>
        <v>No</v>
      </c>
      <c r="BB189" s="2" t="str">
        <f>_xlfn.XLOOKUP(B189,'Base stats'!B:B,'Base stats'!AE:AE)</f>
        <v>Leather_Light</v>
      </c>
      <c r="BC189" s="23" t="str">
        <f>_xlfn.XLOOKUP(_xlfn.XLOOKUP(B189,'Base stats'!B:B,'Base stats'!E:E),Groups!A:A,Groups!AL:AL)</f>
        <v>QuadrupedAnimalWithPawsAndTail</v>
      </c>
      <c r="BD189" s="23">
        <f>MIN(1,MROUND(IF(AND(AO189&lt;0.5,_xlfn.XLOOKUP(B189,'Base stats'!B:B,'Base stats'!Z:Z)=0),0,IF(OR(_xlfn.XLOOKUP(Animals!B189,'Base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stats'!AA:AA),0.005))</f>
        <v>0</v>
      </c>
      <c r="BE189" s="23">
        <f>MIN(1,MROUND(IF(AND(AO189&lt;0.5,_xlfn.XLOOKUP(B189,'Base stats'!B:B,'Base stats'!Z:Z)=0),0,IF(_xlfn.XLOOKUP(_xlfn.XLOOKUP(B189,'Base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stats'!AB:AB),0.005))</f>
        <v>0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Intermediate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53"/>
        <v>1</v>
      </c>
      <c r="BM189" s="25" t="str">
        <f>IF(_xlfn.XLOOKUP(B189,'Base stats'!B:B,'Base stats'!AL:AL)="Standard","No",MROUND((_xlfn.XLOOKUP(B189,'Base stats'!B:B,'Base stats'!AL:AL)/3.6)/I189,0.1))</f>
        <v>No</v>
      </c>
      <c r="BN189" s="25" t="str">
        <f t="shared" si="54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stats'!AC:AC)&lt;&gt;"No",_xlfn.XLOOKUP(B189,'Base stats'!B:B,'Base stats'!AC:AC),"")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stats'!AC:AC)&lt;&gt;"No",_xlfn.XLOOKUP(B189,'Base stats'!B:B,'Base stats'!AC:AC),"")
  )
)</f>
        <v>Forage</v>
      </c>
      <c r="BQ189" s="25" t="str">
        <f>IF(
   AND(
      'Base stats'!AL185="Standard",_xlfn.XLOOKUP(_xlfn.XLOOKUP(B189,'Base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stats'!AT:AT) * 1.8) * 2) * 2.5 + 10 + I189 * 2,5)+IF(_xlfn.XLOOKUP(B189,'Base stats'!B:B,'Base stats'!AI:AI)=1,50,0)</f>
        <v>60</v>
      </c>
      <c r="BS189" s="8">
        <f t="shared" si="55"/>
        <v>0.35000000000000003</v>
      </c>
      <c r="BT189" s="8" t="str">
        <f>_xlfn.XLOOKUP(B189,'Base stats'!B:B,'Base stats'!AD:AD)</f>
        <v>No</v>
      </c>
      <c r="BU189" s="2" t="str">
        <f>IF(AND(J189&lt;=0.95,OR(_xlfn.XLOOKUP(B189,'Base stats'!B:B,'Base stats'!AI:AI)=1,_xlfn.XLOOKUP(B189,'Base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stats'!AG:AG)=1,"true","false")</f>
        <v>false</v>
      </c>
      <c r="BW189" s="25" t="str">
        <f>IF(E189="BaseInsect","AnimalInsect",
IF(J189&gt;0.95,"AnimalExotic",
_xlfn.TEXTJOIN(", ",TRUE,
IF(OR(_xlfn.XLOOKUP(B189,'Base stats'!B:B,'Base stats'!AK:AK)=1,AND(_xlfn.XLOOKUP(B189,'Base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stats'!AI:AI)=1,AND(BI189&lt;&gt;"None",BR189&gt;=60),ISNUMBER(SEARCH("Attack target",BP189))),"AnimalFighter","")
)))</f>
        <v>AnimalUncommon, AnimalFighter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BorealForest ColdBog TemperateForest TemperateSwamp GlacialPlain</v>
      </c>
      <c r="BY189" s="25" t="str">
        <f>IF(_xlfn.XLOOKUP(B189,'Base stats'!B:B,'Base stats'!AH:AH)=1,"true","false")</f>
        <v>false</v>
      </c>
      <c r="BZ189" s="25">
        <f>IF(_xlfn.XLOOKUP(B189,'Base stats'!B:B,'Base stats'!N:N)=1,"No",MAX(0.01,MIN(MROUND(IF(OR(_xlfn.XLOOKUP(B189,'Base stats'!B:B,'Base stats'!AK:AK)=1,AND(BJ189="True",CC189="False")),POWER(10,3.47*LOG10(_xlfn.XLOOKUP(B189,'Base stats'!B:B,'Base stats'!C:C)*1000)^-0.96),POWER(10,4.15*LOG10(_xlfn.XLOOKUP(B189,'Base stats'!B:B,'Base stats'!C:C)*1000)^-0.73))*IF(OR(_xlfn.XLOOKUP(B189,'Base stats'!B:B,'Base stats'!AK:AK)=1,_xlfn.XLOOKUP(B189,'Base stats'!B:B,'Base stats'!AI:AI)=1),0.5,1)/100,0.025),1)))</f>
        <v>0.30000000000000004</v>
      </c>
      <c r="CA189" s="25" t="str">
        <f>IF(P189="Standard","No",MAX(0.01,IF(_xlfn.XLOOKUP(B189,'Base stats'!B:B,'Base stats'!N:N)=0,MROUND(BZ189*P189,0.05),MIN(1,MAX(0.025,MROUND(IF(OR(CC189="true",AND(BJ189="false",BO189="false")),POWER(10,4.15*LOG10(_xlfn.XLOOKUP(B189,'Base stats'!B:B,'Base stats'!C:C)*1000)^-0.73),POWER(10,3.47*LOG10(_xlfn.XLOOKUP(B189,'Base stats'!B:B,'Base stats'!C:C)*1000)^-0.96))*IF(_xlfn.XLOOKUP(B189,'Base stats'!B:B,'Base stats'!AI:AI)=1,0.5,1)/100,0.025))))))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56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Gorilla</v>
      </c>
      <c r="B190" s="6" t="s">
        <v>112</v>
      </c>
      <c r="C190" s="28" t="s">
        <v>1288</v>
      </c>
      <c r="D190" s="28" t="s">
        <v>884</v>
      </c>
      <c r="E190" s="28" t="s">
        <v>685</v>
      </c>
      <c r="F190" s="28" t="s">
        <v>685</v>
      </c>
      <c r="G190" s="28" t="s">
        <v>1283</v>
      </c>
      <c r="H190" s="2">
        <f>MROUND((
  (IF(AND(_xlfn.XLOOKUP(B190,'Base stats'!B:B,'Base stats'!AJ:AJ)=0,BI190="None",_xlfn.XLOOKUP(_xlfn.XLOOKUP(B190,'Base stats'!B:B,'Base stats'!E:E),Groups!A:A,Groups!B:B)=0), (18 + BR190 * 2.7) * 0.5,
    IF(AND(_xlfn.XLOOKUP(B190,'Base stats'!B:B,'Base stats'!AJ:AJ)=0,OR(AO190&lt;0.55,AND(BI190="Intermediate",_xlfn.XLOOKUP(_xlfn.XLOOKUP(B190,'Base stats'!B:B,'Base stats'!E:E),Groups!A:A,Groups!B:B)&lt;2))), (18 + BR190 * 2.7),
      IF(OR(BI190="Advanced",_xlfn.XLOOKUP(B190,'Base stats'!B:B,'Base stats'!AJ:AJ)=1,_xlfn.XLOOKUP(_xlfn.XLOOKUP(B190,'Base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625</v>
      </c>
      <c r="I190" s="2">
        <f>MROUND(ROUNDDOWN(_xlfn.XLOOKUP(B190,'Base stats'!B:B,'Base stats'!L:L)/3.6/(23.3/11),1),0.5)</f>
        <v>4</v>
      </c>
      <c r="J190" s="2">
        <f>IF(_xlfn.XLOOKUP(_xlfn.XLOOKUP(B190,'Base stats'!B:B,'Base stats'!E:E),Groups!A:A,Groups!C:C)="Untamable",1,IF(_xlfn.XLOOKUP(B190,'Base stats'!B:B,'Base stats'!AJ:AJ)=1,0.99,MIN(MROUND((1-0.6282*EXP(-0.459*AO190))*_xlfn.XLOOKUP(_xlfn.XLOOKUP(B190,'Base stats'!B:B,'Base stats'!E:E),Groups!A:A,Groups!C:C)*IF(_xlfn.XLOOKUP(B190,'Base stats'!B:B,'Base stats'!O:O)=1,0.5,IF(_xlfn.XLOOKUP(B190,'Base stats'!B:B,'Base stats'!O:O)=2,0,1)),0.05),0.985)))</f>
        <v>0.9</v>
      </c>
      <c r="K190" s="2">
        <f>ROUNDUP(AO190*_xlfn.XLOOKUP(_xlfn.XLOOKUP(B190,'Base stats'!B:B,'Base stats'!E:E),Groups!A:A,Groups!E:E),0)</f>
        <v>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40</v>
      </c>
      <c r="N190" s="8" t="str">
        <f>IF(_xlfn.XLOOKUP(_xlfn.XLOOKUP(B190,'Base stats'!B:B,'Base stats'!E:E),Groups!A:A,Groups!L:L)=1,MIN(MROUND(_xlfn.XLOOKUP(B190,'Animals CE'!B:B,'Animals CE'!Z:Z)/2+0.05,0.05),200%),"No")</f>
        <v>No</v>
      </c>
      <c r="O190" s="8" t="str">
        <f>IF(_xlfn.XLOOKUP(_xlfn.XLOOKUP(B190,'Base stats'!B:B,'Base stats'!E:E),Groups!A:A,Groups!L:L)=1,MIN(MROUND(_xlfn.XLOOKUP(B190,'Animals CE'!B:B,'Animals CE'!AA:AA)/2+0.05,0.05),200%),"No")</f>
        <v>No</v>
      </c>
      <c r="P190" s="2" t="str">
        <f>_xlfn.XLOOKUP(B190,'Base stats'!B:B,'Base stats'!R:R)</f>
        <v>Standard</v>
      </c>
      <c r="Q190" s="13">
        <f>MROUND((LOG10(_xlfn.XLOOKUP(B190,'Base stats'!B:B,'Base stats'!AP:AP))*(AO190^0.5)+(_xlfn.XLOOKUP(B190,'Base stats'!B:B,'Base stats'!AP:AP)/1000)^(2/3)+_xlfn.XLOOKUP(B190,'Base stats'!B:B,'Base stats'!AY:AY)/2)+0.5,0.5)</f>
        <v>9.5</v>
      </c>
      <c r="R190" s="7">
        <f>IF(Q190="No","No",MAX(1,MROUND(_xlfn.XLOOKUP(B190,'Base stats'!B:B,'Base stats'!C:C)^0.165,0.05)))</f>
        <v>2.3000000000000003</v>
      </c>
      <c r="S190" s="13" t="str">
        <f>IF(_xlfn.XLOOKUP(_xlfn.XLOOKUP(B190,'Base stats'!B:B,'Base stats'!E:E),Groups!A:A,Groups!P:P)=0,"No",MROUND((LOG10(_xlfn.XLOOKUP(B190,'Base stats'!B:B,'Base stats'!AQ:AQ))*(AO190^0.5)+(_xlfn.XLOOKUP(B190,'Base stats'!B:B,'Base stats'!AQ:AQ)/1000)^(2/3)+_xlfn.XLOOKUP(B190,'Base stats'!B:B,'Base stats'!AY:AY))+_xlfn.XLOOKUP(B190,'Base stats'!B:B,'Base stats'!AW:AW)+0.5,0.5))</f>
        <v>No</v>
      </c>
      <c r="T190" s="7" t="str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No</v>
      </c>
      <c r="U190" s="7" t="str">
        <f>IF(S190="No","No",_xlfn.XLOOKUP(_xlfn.XLOOKUP(B190,'Base stats'!B:B,'Base stats'!E:E),Groups!A:A,Groups!R:R))</f>
        <v>No</v>
      </c>
      <c r="V190" s="7" t="str">
        <f>IF(S190="No","No",_xlfn.XLOOKUP(_xlfn.XLOOKUP(B190,'Base stats'!B:B,'Base stats'!E:E),Groups!A:A,Groups!S:S))</f>
        <v>No</v>
      </c>
      <c r="W190" s="7" t="str">
        <f>IF(S190="No","No",_xlfn.XLOOKUP(_xlfn.XLOOKUP(B190,'Base stats'!B:B,'Base stats'!E:E),Groups!A:A,Groups!T:T))</f>
        <v>No</v>
      </c>
      <c r="X190" s="13" t="str">
        <f>IF(_xlfn.XLOOKUP(B190,'Base stats'!B:B,'Base stats'!W:W)="No","No",MROUND((LOG10(_xlfn.XLOOKUP(B190,'Base stats'!B:B,'Base stats'!AS:AS))*(AO190^0.5)+(_xlfn.XLOOKUP(B190,'Base stats'!B:B,'Base stats'!AS:AS)/1000)^(2/3)+_xlfn.XLOOKUP(B190,'Base stats'!B:B,'Base stats'!AX:AX))+0.5+IF(_xlfn.XLOOKUP(_xlfn.XLOOKUP(B190,'Base stats'!B:B,'Base stats'!E:E),Groups!A:A,Groups!U:U)&lt;&gt;3,_xlfn.XLOOKUP(B190,'Base stats'!B:B,'Base stats'!AY:AY),0),0.5))</f>
        <v>No</v>
      </c>
      <c r="Y190" s="7" t="str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No</v>
      </c>
      <c r="Z190" s="7" t="str">
        <f>IF(X190="No","No",_xlfn.XLOOKUP(_xlfn.XLOOKUP(B190,'Base stats'!B:B,'Base stats'!E:E),Groups!A:A,Groups!W:W))</f>
        <v>No</v>
      </c>
      <c r="AA190" s="7" t="str">
        <f>IF(X190="No","No",_xlfn.XLOOKUP(_xlfn.XLOOKUP(B190,'Base stats'!B:B,'Base stats'!E:E),Groups!A:A,Groups!X:X))</f>
        <v>No</v>
      </c>
      <c r="AB190" s="7" t="str">
        <f>IF(X190="No","No",_xlfn.XLOOKUP(_xlfn.XLOOKUP(B190,'Base stats'!B:B,'Base stats'!E:E),Groups!A:A,Groups!Y:Y))</f>
        <v>No</v>
      </c>
      <c r="AC190" s="7" t="str">
        <f>_xlfn.XLOOKUP(Animals!B190,'Base stats'!B:B,'Base stats'!X:X)</f>
        <v>False</v>
      </c>
      <c r="AD190" s="13">
        <f>IF(_xlfn.XLOOKUP(B190,'Base stats'!B:B,'Base stats'!AR:AR)="No","No",MROUND((LOG10(_xlfn.XLOOKUP(B190,'Base stats'!B:B,'Base stats'!AR:AR))*(AO190^0.75)+(_xlfn.XLOOKUP(B190,'Base stats'!B:B,'Base stats'!AR:AR)/1000)^(2/3)+_xlfn.XLOOKUP(B190,'Base stats'!B:B,'Base stats'!AV:AV)+_xlfn.XLOOKUP(B190,'Base stats'!B:B,'Base stats'!AY:AY))+0.5,0.5))</f>
        <v>14.5</v>
      </c>
      <c r="AE190" s="7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1.9500000000000002</v>
      </c>
      <c r="AF190" s="7" t="str">
        <f>IF(AD190="No","No",_xlfn.XLOOKUP(_xlfn.XLOOKUP(B190,'Base stats'!B:B,'Base stats'!E:E),Groups!A:A,Groups!AA:AA))</f>
        <v>Teeth</v>
      </c>
      <c r="AG190" s="7" t="str">
        <f>IF(AD190="No","No",_xlfn.XLOOKUP(_xlfn.XLOOKUP(B190,'Base stats'!B:B,'Base stats'!E:E),Groups!A:A,Groups!AB:AB))</f>
        <v>canines</v>
      </c>
      <c r="AH190" s="7" t="str">
        <f>IF(AD190="No","No",_xlfn.XLOOKUP(_xlfn.XLOOKUP(B190,'Base stats'!B:B,'Base stats'!E:E),Groups!A:A,Groups!AC:AC))</f>
        <v>Bite</v>
      </c>
      <c r="AI190" s="13">
        <f>IF(_xlfn.XLOOKUP(_xlfn.XLOOKUP(B190,'Base stats'!B:B,'Base stats'!E:E),Groups!A:A,Groups!AD:AD)=0,"No",MROUND((LOG10(_xlfn.XLOOKUP(B190,'Base stats'!B:B,'Base stats'!AQ:AQ))*(AO190^0.75)+(_xlfn.XLOOKUP(B190,'Base stats'!B:B,'Base stats'!AQ:AQ)/1000)^(2/3)+_xlfn.XLOOKUP(B190,'Base stats'!B:B,'Base stats'!AW:AW)+_xlfn.XLOOKUP(B190,'Base stats'!B:B,'Base stats'!AY:AY))+0.5,0.5))</f>
        <v>12.5</v>
      </c>
      <c r="AJ190" s="7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1.5</v>
      </c>
      <c r="AK190" s="7" t="str">
        <f>IF(AI190="No","No",_xlfn.XLOOKUP(_xlfn.XLOOKUP(B190,'Base stats'!B:B,'Base stats'!E:E),Groups!A:A,Groups!AF:AF))</f>
        <v>LeftHand, RightHand</v>
      </c>
      <c r="AL190" s="7" t="str">
        <f>IF(AI190="No","No",_xlfn.XLOOKUP(_xlfn.XLOOKUP(B190,'Base stats'!B:B,'Base stats'!E:E),Groups!A:A,Groups!AG:AG))</f>
        <v>left fist, right fist</v>
      </c>
      <c r="AM190" s="7" t="str">
        <f>IF(AI190="No","No",_xlfn.XLOOKUP(_xlfn.XLOOKUP(B190,'Base stats'!B:B,'Base stats'!E:E),Groups!A:A,Groups!AH:AH))</f>
        <v>Blunt</v>
      </c>
      <c r="AN190" s="2" t="str">
        <f t="shared" si="51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1.5</v>
      </c>
      <c r="AP190" s="8">
        <f>MROUND(AO190*_xlfn.XLOOKUP(_xlfn.XLOOKUP(B190,'Base stats'!B:B,'Base stats'!E:E),Groups!A:A,Groups!AI:AI),0.05)</f>
        <v>1.5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0.75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50</v>
      </c>
      <c r="AS190" s="35">
        <f>IFERROR(IF(_xlfn.XLOOKUP(B190,'Base stats'!B:B,'Base stats'!F:F)="Lay eggs","Lay eggs",MIN(20,MAX(5.5,ROUND(((_xlfn.XLOOKUP(B190,'Base stats'!B:B,'Base stats'!F:F)-25)*(14.5/615) + 5.5)*2,0)/2))),"Cannot breed")</f>
        <v>11</v>
      </c>
      <c r="AT190" s="8">
        <f>IF(OR(A190="Queen",A190="Larva",A190="Megachicken",A190="Megatardi",A190="Toxscorpion"),"No",IFERROR(MAX(IF(_xlfn.XLOOKUP(B190,'Base stats'!B:B,'Base stats'!G:G)&lt;0.5,0.2,0.3),MROUND(_xlfn.XLOOKUP(B190,'Base stats'!B:B,'Base stats'!G:G)/(365/60),0.2)),"Unknown"))</f>
        <v>1.2000000000000002</v>
      </c>
      <c r="AU190" s="8">
        <f t="shared" si="14"/>
        <v>0.60000000000000009</v>
      </c>
      <c r="AV190" s="8">
        <f>IFERROR(IFERROR(MROUND(_xlfn.XLOOKUP(B190,'Base stats'!B:B,'Base stats'!J:J),0.1),"Lay eggs"),"Cannot breed")</f>
        <v>1</v>
      </c>
      <c r="AW190" s="2" t="str">
        <f t="shared" si="52"/>
        <v>true</v>
      </c>
      <c r="AX190" s="2" t="str">
        <f>IF(_xlfn.XLOOKUP(_xlfn.XLOOKUP(Animals!B190,'Base stats'!B:B,'Base stats'!E:E),Groups!A:A,Groups!AK:AK)=1,"true","false")</f>
        <v>false</v>
      </c>
      <c r="AY190" s="25" t="str">
        <f>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</f>
        <v>VegetarianRoughAnimal</v>
      </c>
      <c r="AZ190" s="2" t="str">
        <f>IF(_xlfn.XLOOKUP(_xlfn.XLOOKUP(B190,'Base stats'!B:B,'Base stats'!E:E),Groups!A:A,Groups!D:D)=1,MROUND((1-J190)*5+1,2)*IF(J190&lt;=0.4,2,1),"No")</f>
        <v>No</v>
      </c>
      <c r="BA190" s="2" t="str">
        <f>_xlfn.XLOOKUP(B190,'Base stats'!B:B,'Base stats'!AF:AF)</f>
        <v>&lt;li&gt;Monkey&lt;/li&gt;</v>
      </c>
      <c r="BB190" s="2" t="str">
        <f>_xlfn.XLOOKUP(B190,'Base stats'!B:B,'Base stats'!AE:AE)</f>
        <v>Leather_Light</v>
      </c>
      <c r="BC190" s="23" t="str">
        <f>_xlfn.XLOOKUP(_xlfn.XLOOKUP(B190,'Base stats'!B:B,'Base stats'!E:E),Groups!A:A,Groups!AL:AL)</f>
        <v>Ape</v>
      </c>
      <c r="BD190" s="23">
        <f>MIN(1,MROUND(IF(AND(AO190&lt;0.5,_xlfn.XLOOKUP(B190,'Base stats'!B:B,'Base stats'!Z:Z)=0),0,IF(OR(_xlfn.XLOOKUP(Animals!B190,'Base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stats'!AA:AA),0.005))</f>
        <v>2.5000000000000001E-2</v>
      </c>
      <c r="BE190" s="23">
        <f>MIN(1,MROUND(IF(AND(AO190&lt;0.5,_xlfn.XLOOKUP(B190,'Base stats'!B:B,'Base stats'!Z:Z)=0),0,IF(_xlfn.XLOOKUP(_xlfn.XLOOKUP(B190,'Base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stats'!AB:AB),0.005))</f>
        <v>0.1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Advanced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53"/>
        <v>1</v>
      </c>
      <c r="BM190" s="25" t="str">
        <f>IF(_xlfn.XLOOKUP(B190,'Base stats'!B:B,'Base stats'!AL:AL)="Standard","No",MROUND((_xlfn.XLOOKUP(B190,'Base stats'!B:B,'Base stats'!AL:AL)/3.6)/I190,0.1))</f>
        <v>No</v>
      </c>
      <c r="BN190" s="25" t="str">
        <f t="shared" si="54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stats'!AC:AC)&lt;&gt;"No",_xlfn.XLOOKUP(B190,'Base stats'!B:B,'Base stats'!AC:AC),"")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stats'!AC:AC)&lt;&gt;"No",_xlfn.XLOOKUP(B190,'Base stats'!B:B,'Base stats'!AC:AC),"")
  )
)</f>
        <v>Forage</v>
      </c>
      <c r="BQ190" s="25" t="str">
        <f>IF(
   AND(
      'Base stats'!AL187="Standard",_xlfn.XLOOKUP(_xlfn.XLOOKUP(B190,'Base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stats'!AT:AT) * 1.8) * 2) * 2.5 + 10 + I190 * 2,5)+IF(_xlfn.XLOOKUP(B190,'Base stats'!B:B,'Base stats'!AI:AI)=1,50,0)</f>
        <v>125</v>
      </c>
      <c r="BS190" s="8">
        <f t="shared" si="55"/>
        <v>0.9</v>
      </c>
      <c r="BT190" s="8" t="str">
        <f>_xlfn.XLOOKUP(B190,'Base stats'!B:B,'Base stats'!AD:AD)</f>
        <v>3~10</v>
      </c>
      <c r="BU190" s="2" t="str">
        <f>IF(AND(J190&lt;=0.95,OR(_xlfn.XLOOKUP(B190,'Base stats'!B:B,'Base stats'!AI:AI)=1,_xlfn.XLOOKUP(B190,'Base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stats'!AG:AG)=1,"true","false")</f>
        <v>false</v>
      </c>
      <c r="BW190" s="25" t="str">
        <f>IF(E190="BaseInsect","AnimalInsect",
IF(J190&gt;0.95,"AnimalExotic",
_xlfn.TEXTJOIN(", ",TRUE,
IF(OR(_xlfn.XLOOKUP(B190,'Base stats'!B:B,'Base stats'!AK:AK)=1,AND(_xlfn.XLOOKUP(B190,'Base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stats'!AI:AI)=1,AND(BI190&lt;&gt;"None",BR190&gt;=60),ISNUMBER(SEARCH("Attack target",BP190))),"AnimalFighter","")
)))</f>
        <v>AnimalUncommon, AnimalFighter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TropicalRainforest TropicalSwamp Glowforest</v>
      </c>
      <c r="BY190" s="25" t="str">
        <f>IF(_xlfn.XLOOKUP(B190,'Base stats'!B:B,'Base stats'!AH:AH)=1,"true","false")</f>
        <v>false</v>
      </c>
      <c r="BZ190" s="25">
        <f>IF(_xlfn.XLOOKUP(B190,'Base stats'!B:B,'Base stats'!N:N)=1,"No",MAX(0.01,MIN(MROUND(IF(OR(_xlfn.XLOOKUP(B190,'Base stats'!B:B,'Base stats'!AK:AK)=1,AND(BJ190="True",CC190="False")),POWER(10,3.47*LOG10(_xlfn.XLOOKUP(B190,'Base stats'!B:B,'Base stats'!C:C)*1000)^-0.96),POWER(10,4.15*LOG10(_xlfn.XLOOKUP(B190,'Base stats'!B:B,'Base stats'!C:C)*1000)^-0.73))*IF(OR(_xlfn.XLOOKUP(B190,'Base stats'!B:B,'Base stats'!AK:AK)=1,_xlfn.XLOOKUP(B190,'Base stats'!B:B,'Base stats'!AI:AI)=1),0.5,1)/100,0.025),1)))</f>
        <v>0.17500000000000002</v>
      </c>
      <c r="CA190" s="25" t="str">
        <f>IF(P190="Standard","No",MAX(0.01,IF(_xlfn.XLOOKUP(B190,'Base stats'!B:B,'Base stats'!N:N)=0,MROUND(BZ190*P190,0.05),MIN(1,MAX(0.025,MROUND(IF(OR(CC190="true",AND(BJ190="false",BO190="false")),POWER(10,4.15*LOG10(_xlfn.XLOOKUP(B190,'Base stats'!B:B,'Base stats'!C:C)*1000)^-0.73),POWER(10,3.47*LOG10(_xlfn.XLOOKUP(B190,'Base stats'!B:B,'Base stats'!C:C)*1000)^-0.96))*IF(_xlfn.XLOOKUP(B190,'Base stats'!B:B,'Base stats'!AI:AI)=1,0.5,1)/100,0.025))))))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56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Penguin</v>
      </c>
      <c r="B191" s="6" t="s">
        <v>188</v>
      </c>
      <c r="C191" s="28" t="s">
        <v>1293</v>
      </c>
      <c r="D191" s="28" t="s">
        <v>884</v>
      </c>
      <c r="E191" s="28" t="s">
        <v>685</v>
      </c>
      <c r="F191" s="28" t="s">
        <v>688</v>
      </c>
      <c r="G191" s="28" t="s">
        <v>1283</v>
      </c>
      <c r="H191" s="2">
        <f>MROUND((
  (IF(AND(_xlfn.XLOOKUP(B191,'Base stats'!B:B,'Base stats'!AJ:AJ)=0,BI191="None",_xlfn.XLOOKUP(_xlfn.XLOOKUP(B191,'Base stats'!B:B,'Base stats'!E:E),Groups!A:A,Groups!B:B)=0), (18 + BR191 * 2.7) * 0.5,
    IF(AND(_xlfn.XLOOKUP(B191,'Base stats'!B:B,'Base stats'!AJ:AJ)=0,OR(AO191&lt;0.55,AND(BI191="Intermediate",_xlfn.XLOOKUP(_xlfn.XLOOKUP(B191,'Base stats'!B:B,'Base stats'!E:E),Groups!A:A,Groups!B:B)&lt;2))), (18 + BR191 * 2.7),
      IF(OR(BI191="Advanced",_xlfn.XLOOKUP(B191,'Base stats'!B:B,'Base stats'!AJ:AJ)=1,_xlfn.XLOOKUP(_xlfn.XLOOKUP(B191,'Base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225</v>
      </c>
      <c r="I191" s="2">
        <f>MROUND(ROUNDDOWN(_xlfn.XLOOKUP(B191,'Base stats'!B:B,'Base stats'!L:L)/3.6/(23.3/11),1),0.5)</f>
        <v>1.5</v>
      </c>
      <c r="J191" s="2">
        <f>IF(_xlfn.XLOOKUP(_xlfn.XLOOKUP(B191,'Base stats'!B:B,'Base stats'!E:E),Groups!A:A,Groups!C:C)="Untamable",1,IF(_xlfn.XLOOKUP(B191,'Base stats'!B:B,'Base stats'!AJ:AJ)=1,0.99,MIN(MROUND((1-0.6282*EXP(-0.459*AO191))*_xlfn.XLOOKUP(_xlfn.XLOOKUP(B191,'Base stats'!B:B,'Base stats'!E:E),Groups!A:A,Groups!C:C)*IF(_xlfn.XLOOKUP(B191,'Base stats'!B:B,'Base stats'!O:O)=1,0.5,IF(_xlfn.XLOOKUP(B191,'Base stats'!B:B,'Base stats'!O:O)=2,0,1)),0.05),0.985)))</f>
        <v>0.70000000000000007</v>
      </c>
      <c r="K191" s="2">
        <f>ROUNDUP(AO191*_xlfn.XLOOKUP(_xlfn.XLOOKUP(B191,'Base stats'!B:B,'Base stats'!E:E),Groups!A:A,Groups!E:E),0)</f>
        <v>8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-60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10</v>
      </c>
      <c r="N191" s="8" t="str">
        <f>IF(_xlfn.XLOOKUP(_xlfn.XLOOKUP(B191,'Base stats'!B:B,'Base stats'!E:E),Groups!A:A,Groups!L:L)=1,MIN(MROUND(_xlfn.XLOOKUP(B191,'Animals CE'!B:B,'Animals CE'!Z:Z)/2+0.05,0.05),200%),"No")</f>
        <v>No</v>
      </c>
      <c r="O191" s="8" t="str">
        <f>IF(_xlfn.XLOOKUP(_xlfn.XLOOKUP(B191,'Base stats'!B:B,'Base stats'!E:E),Groups!A:A,Groups!L:L)=1,MIN(MROUND(_xlfn.XLOOKUP(B191,'Animals CE'!B:B,'Animals CE'!AA:AA)/2+0.05,0.05),200%),"No")</f>
        <v>No</v>
      </c>
      <c r="P191" s="2" t="str">
        <f>_xlfn.XLOOKUP(B191,'Base stats'!B:B,'Base stats'!R:R)</f>
        <v>Standard</v>
      </c>
      <c r="Q191" s="13">
        <f>MROUND((LOG10(_xlfn.XLOOKUP(B191,'Base stats'!B:B,'Base stats'!AP:AP))*(AO191^0.5)+(_xlfn.XLOOKUP(B191,'Base stats'!B:B,'Base stats'!AP:AP)/1000)^(2/3)+_xlfn.XLOOKUP(B191,'Base stats'!B:B,'Base stats'!AY:AY)/2)+0.5,0.5)</f>
        <v>5.5</v>
      </c>
      <c r="R191" s="7">
        <f>IF(Q191="No","No",MAX(1,MROUND(_xlfn.XLOOKUP(B191,'Base stats'!B:B,'Base stats'!C:C)^0.165,0.05)))</f>
        <v>1.75</v>
      </c>
      <c r="S191" s="13" t="str">
        <f>IF(_xlfn.XLOOKUP(_xlfn.XLOOKUP(B191,'Base stats'!B:B,'Base stats'!E:E),Groups!A:A,Groups!P:P)=0,"No",MROUND((LOG10(_xlfn.XLOOKUP(B191,'Base stats'!B:B,'Base stats'!AQ:AQ))*(AO191^0.5)+(_xlfn.XLOOKUP(B191,'Base stats'!B:B,'Base stats'!AQ:AQ)/1000)^(2/3)+_xlfn.XLOOKUP(B191,'Base stats'!B:B,'Base stats'!AY:AY))+_xlfn.XLOOKUP(B191,'Base stats'!B:B,'Base stats'!AW:AW)+0.5,0.5))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stats'!AS:AS))*(AO191^0.5)+(_xlfn.XLOOKUP(B191,'Base stats'!B:B,'Base stats'!AS:AS)/1000)^(2/3)+_xlfn.XLOOKUP(B191,'Base stats'!B:B,'Base stats'!AX:AX))+0.5+IF(_xlfn.XLOOKUP(_xlfn.XLOOKUP(B191,'Base stats'!B:B,'Base stats'!E:E),Groups!A:A,Groups!U:U)&lt;&gt;3,_xlfn.XLOOKUP(B191,'Base stats'!B:B,'Base stats'!AY:AY),0),0.5))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stats'!AR:AR)="No","No",MROUND((LOG10(_xlfn.XLOOKUP(B191,'Base stats'!B:B,'Base stats'!AR:AR))*(AO191^0.75)+(_xlfn.XLOOKUP(B191,'Base stats'!B:B,'Base stats'!AR:AR)/1000)^(2/3)+_xlfn.XLOOKUP(B191,'Base stats'!B:B,'Base stats'!AV:AV)+_xlfn.XLOOKUP(B191,'Base stats'!B:B,'Base stats'!AY:AY))+0.5,0.5))</f>
        <v>5.5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1.4000000000000001</v>
      </c>
      <c r="AF191" s="7" t="str">
        <f>IF(AD191="No","No",_xlfn.XLOOKUP(_xlfn.XLOOKUP(B191,'Base stats'!B:B,'Base stats'!E:E),Groups!A:A,Groups!AA:AA))</f>
        <v>Beak</v>
      </c>
      <c r="AG191" s="7" t="str">
        <f>IF(AD191="No","No",_xlfn.XLOOKUP(_xlfn.XLOOKUP(B191,'Base stats'!B:B,'Base stats'!E:E),Groups!A:A,Groups!AB:AB))</f>
        <v>beak</v>
      </c>
      <c r="AH191" s="7" t="str">
        <f>IF(AD191="No","No",_xlfn.XLOOKUP(_xlfn.XLOOKUP(B191,'Base stats'!B:B,'Base stats'!E:E),Groups!A:A,Groups!AC:AC))</f>
        <v>Blunt</v>
      </c>
      <c r="AI191" s="13" t="str">
        <f>IF(_xlfn.XLOOKUP(_xlfn.XLOOKUP(B191,'Base stats'!B:B,'Base stats'!E:E),Groups!A:A,Groups!AD:AD)=0,"No",MROUND((LOG10(_xlfn.XLOOKUP(B191,'Base stats'!B:B,'Base stats'!AQ:AQ))*(AO191^0.75)+(_xlfn.XLOOKUP(B191,'Base stats'!B:B,'Base stats'!AQ:AQ)/1000)^(2/3)+_xlfn.XLOOKUP(B191,'Base stats'!B:B,'Base stats'!AW:AW)+_xlfn.XLOOKUP(B191,'Base stats'!B:B,'Base stats'!AY:AY))+0.5,0.5))</f>
        <v>No</v>
      </c>
      <c r="AJ191" s="7" t="str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No</v>
      </c>
      <c r="AK191" s="7" t="str">
        <f>IF(AI191="No","No",_xlfn.XLOOKUP(_xlfn.XLOOKUP(B191,'Base stats'!B:B,'Base stats'!E:E),Groups!A:A,Groups!AF:AF))</f>
        <v>No</v>
      </c>
      <c r="AL191" s="7" t="str">
        <f>IF(AI191="No","No",_xlfn.XLOOKUP(_xlfn.XLOOKUP(B191,'Base stats'!B:B,'Base stats'!E:E),Groups!A:A,Groups!AG:AG))</f>
        <v>No</v>
      </c>
      <c r="AM191" s="7" t="str">
        <f>IF(AI191="No","No",_xlfn.XLOOKUP(_xlfn.XLOOKUP(B191,'Base stats'!B:B,'Base stats'!E:E),Groups!A:A,Groups!AH:AH))</f>
        <v>No</v>
      </c>
      <c r="AN191" s="2" t="str">
        <f t="shared" si="51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0.70000000000000007</v>
      </c>
      <c r="AP191" s="8">
        <f>MROUND(AO191*_xlfn.XLOOKUP(_xlfn.XLOOKUP(B191,'Base stats'!B:B,'Base stats'!E:E),Groups!A:A,Groups!AI:AI),0.05)</f>
        <v>0.70000000000000007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0.55000000000000004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25</v>
      </c>
      <c r="AS191" s="35" t="str">
        <f>IFERROR(IF(_xlfn.XLOOKUP(B191,'Base stats'!B:B,'Base stats'!F:F)="Lay eggs","Lay eggs",MIN(20,MAX(5.5,ROUND(((_xlfn.XLOOKUP(B191,'Base stats'!B:B,'Base stats'!F:F)-25)*(14.5/615) + 5.5)*2,0)/2))),"Cannot breed")</f>
        <v>Lay eggs</v>
      </c>
      <c r="AT191" s="8">
        <f>IF(OR(A191="Queen",A191="Larva",A191="Megachicken",A191="Megatardi",A191="Toxscorpion"),"No",IFERROR(MAX(IF(_xlfn.XLOOKUP(B191,'Base stats'!B:B,'Base stats'!G:G)&lt;0.5,0.2,0.3),MROUND(_xlfn.XLOOKUP(B191,'Base stats'!B:B,'Base stats'!G:G)/(365/60),0.2)),"Unknown"))</f>
        <v>0.8</v>
      </c>
      <c r="AU191" s="8">
        <f t="shared" si="14"/>
        <v>0.4</v>
      </c>
      <c r="AV191" s="8" t="str">
        <f>IFERROR(IFERROR(MROUND(_xlfn.XLOOKUP(B191,'Base stats'!B:B,'Base stats'!J:J),0.1),"Lay eggs"),"Cannot breed")</f>
        <v>Lay eggs</v>
      </c>
      <c r="AW191" s="2" t="str">
        <f t="shared" si="52"/>
        <v>true</v>
      </c>
      <c r="AX191" s="2" t="str">
        <f>IF(_xlfn.XLOOKUP(_xlfn.XLOOKUP(Animals!B191,'Base stats'!B:B,'Base stats'!E:E),Groups!A:A,Groups!AK:AK)=1,"true","false")</f>
        <v>false</v>
      </c>
      <c r="AY191" s="25" t="str">
        <f>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</f>
        <v>CarnivoreAnimal, OvivoreAnimal</v>
      </c>
      <c r="AZ191" s="2">
        <f>IF(_xlfn.XLOOKUP(_xlfn.XLOOKUP(B191,'Base stats'!B:B,'Base stats'!E:E),Groups!A:A,Groups!D:D)=1,MROUND((1-J191)*5+1,2)*IF(J191&lt;=0.4,2,1),"No")</f>
        <v>2</v>
      </c>
      <c r="BA191" s="2" t="str">
        <f>_xlfn.XLOOKUP(B191,'Base stats'!B:B,'Base stats'!AF:AF)</f>
        <v>&lt;li&gt;Cassowary&lt;/li&gt;</v>
      </c>
      <c r="BB191" s="2" t="str">
        <f>_xlfn.XLOOKUP(B191,'Base stats'!B:B,'Base stats'!AE:AE)</f>
        <v>No</v>
      </c>
      <c r="BC191" s="23" t="str">
        <f>_xlfn.XLOOKUP(_xlfn.XLOOKUP(B191,'Base stats'!B:B,'Base stats'!E:E),Groups!A:A,Groups!AL:AL)</f>
        <v>Bird</v>
      </c>
      <c r="BD191" s="23">
        <f>MIN(1,MROUND(IF(AND(AO191&lt;0.5,_xlfn.XLOOKUP(B191,'Base stats'!B:B,'Base stats'!Z:Z)=0),0,IF(OR(_xlfn.XLOOKUP(Animals!B191,'Base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stats'!AA:AA),0.005))</f>
        <v>0</v>
      </c>
      <c r="BE191" s="23">
        <f>MIN(1,MROUND(IF(AND(AO191&lt;0.5,_xlfn.XLOOKUP(B191,'Base stats'!B:B,'Base stats'!Z:Z)=0),0,IF(_xlfn.XLOOKUP(_xlfn.XLOOKUP(B191,'Base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stats'!AB:AB),0.005))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None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53"/>
        <v>0</v>
      </c>
      <c r="BM191" s="25">
        <f>IF(_xlfn.XLOOKUP(B191,'Base stats'!B:B,'Base stats'!AL:AL)="Standard","No",MROUND((_xlfn.XLOOKUP(B191,'Base stats'!B:B,'Base stats'!AL:AL)/3.6)/I191,0.1))</f>
        <v>2</v>
      </c>
      <c r="BN191" s="25" t="str">
        <f t="shared" si="54"/>
        <v>true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true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stats'!AC:AC)&lt;&gt;"No",_xlfn.XLOOKUP(B191,'Base stats'!B:B,'Base stats'!AC:AC),"")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stats'!AC:AC)&lt;&gt;"No",_xlfn.XLOOKUP(B191,'Base stats'!B:B,'Base stats'!AC:AC),"")
  )
)</f>
        <v>No</v>
      </c>
      <c r="BQ191" s="25">
        <f>IF(
   AND(
      'Base stats'!AL192="Standard",_xlfn.XLOOKUP(_xlfn.XLOOKUP(B191,'Base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1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stats'!AT:AT) * 1.8) * 2) * 2.5 + 10 + I191 * 2,5)+IF(_xlfn.XLOOKUP(B191,'Base stats'!B:B,'Base stats'!AI:AI)=1,50,0)</f>
        <v>45</v>
      </c>
      <c r="BS191" s="8">
        <f t="shared" si="55"/>
        <v>0.60000000000000009</v>
      </c>
      <c r="BT191" s="8" t="str">
        <f>_xlfn.XLOOKUP(B191,'Base stats'!B:B,'Base stats'!AD:AD)</f>
        <v>5~15</v>
      </c>
      <c r="BU191" s="2" t="str">
        <f>IF(AND(J191&lt;=0.95,OR(_xlfn.XLOOKUP(B191,'Base stats'!B:B,'Base stats'!AI:AI)=1,_xlfn.XLOOKUP(B191,'Base stats'!B:B,'Base stats'!Y:Y)="Carnivore",_xlfn.XLOOKUP(B191,'Base stats'!B:B,'Base stats'!Y:Y)="Omnivore",BE191&gt;0.1)),"true","false")</f>
        <v>true</v>
      </c>
      <c r="BV191" s="2" t="str">
        <f>IF(_xlfn.XLOOKUP(B191,'Base stats'!B:B,'Base stats'!AG:AG)=1,"true","false")</f>
        <v>false</v>
      </c>
      <c r="BW191" s="25" t="str">
        <f>IF(E191="BaseInsect","AnimalInsect",
IF(J191&gt;0.95,"AnimalExotic",
_xlfn.TEXTJOIN(", ",TRUE,
IF(OR(_xlfn.XLOOKUP(B191,'Base stats'!B:B,'Base stats'!AK:AK)=1,AND(_xlfn.XLOOKUP(B191,'Base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stats'!AI:AI)=1,AND(BI191&lt;&gt;"None",BR191&gt;=60),ISNUMBER(SEARCH("Attack target",BP191))),"AnimalFighter","")
)))</f>
        <v>AnimalUncommon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SeaIce IceSheet Tundra</v>
      </c>
      <c r="BY191" s="25" t="str">
        <f>IF(_xlfn.XLOOKUP(B191,'Base stats'!B:B,'Base stats'!AH:AH)=1,"true","false")</f>
        <v>true</v>
      </c>
      <c r="BZ191" s="25">
        <f>IF(_xlfn.XLOOKUP(B191,'Base stats'!B:B,'Base stats'!N:N)=1,"No",MAX(0.01,MIN(MROUND(IF(OR(_xlfn.XLOOKUP(B191,'Base stats'!B:B,'Base stats'!AK:AK)=1,AND(BJ191="True",CC191="False")),POWER(10,3.47*LOG10(_xlfn.XLOOKUP(B191,'Base stats'!B:B,'Base stats'!C:C)*1000)^-0.96),POWER(10,4.15*LOG10(_xlfn.XLOOKUP(B191,'Base stats'!B:B,'Base stats'!C:C)*1000)^-0.73))*IF(OR(_xlfn.XLOOKUP(B191,'Base stats'!B:B,'Base stats'!AK:AK)=1,_xlfn.XLOOKUP(B191,'Base stats'!B:B,'Base stats'!AI:AI)=1),0.5,1)/100,0.025),1)))</f>
        <v>0.25</v>
      </c>
      <c r="CA191" s="25" t="str">
        <f>IF(P191="Standard","No",MAX(0.01,IF(_xlfn.XLOOKUP(B191,'Base stats'!B:B,'Base stats'!N:N)=0,MROUND(BZ191*P191,0.05),MIN(1,MAX(0.025,MROUND(IF(OR(CC191="true",AND(BJ191="false",BO191="false")),POWER(10,4.15*LOG10(_xlfn.XLOOKUP(B191,'Base stats'!B:B,'Base stats'!C:C)*1000)^-0.73),POWER(10,3.47*LOG10(_xlfn.XLOOKUP(B191,'Base stats'!B:B,'Base stats'!C:C)*1000)^-0.96))*IF(_xlfn.XLOOKUP(B191,'Base stats'!B:B,'Base stats'!AI:AI)=1,0.5,1)/100,0.025))))))</f>
        <v>No</v>
      </c>
      <c r="CB191" s="25" t="str">
        <f>IF(_xlfn.XLOOKUP(_xlfn.XLOOKUP(B191,'Base stats'!B:B,'Base stats'!E:E),Groups!A:A,Groups!AJ:AJ)="Mammal","True","False")</f>
        <v>False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56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Hippo</v>
      </c>
      <c r="B192" s="6" t="s">
        <v>186</v>
      </c>
      <c r="C192" s="28" t="s">
        <v>1294</v>
      </c>
      <c r="D192" s="28" t="s">
        <v>884</v>
      </c>
      <c r="E192" s="28" t="s">
        <v>685</v>
      </c>
      <c r="F192" s="28" t="s">
        <v>685</v>
      </c>
      <c r="G192" s="28" t="s">
        <v>1283</v>
      </c>
      <c r="H192" s="2">
        <f>MROUND((
  (IF(AND(_xlfn.XLOOKUP(B192,'Base stats'!B:B,'Base stats'!AJ:AJ)=0,BI192="None",_xlfn.XLOOKUP(_xlfn.XLOOKUP(B192,'Base stats'!B:B,'Base stats'!E:E),Groups!A:A,Groups!B:B)=0), (18 + BR192 * 2.7) * 0.5,
    IF(AND(_xlfn.XLOOKUP(B192,'Base stats'!B:B,'Base stats'!AJ:AJ)=0,OR(AO192&lt;0.55,AND(BI192="Intermediate",_xlfn.XLOOKUP(_xlfn.XLOOKUP(B192,'Base stats'!B:B,'Base stats'!E:E),Groups!A:A,Groups!B:B)&lt;2))), (18 + BR192 * 2.7),
      IF(OR(BI192="Advanced",_xlfn.XLOOKUP(B192,'Base stats'!B:B,'Base stats'!AJ:AJ)=1,_xlfn.XLOOKUP(_xlfn.XLOOKUP(B192,'Base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725</v>
      </c>
      <c r="I192" s="2">
        <f>MROUND(ROUNDDOWN(_xlfn.XLOOKUP(B192,'Base stats'!B:B,'Base stats'!L:L)/3.6/(23.3/11),1),0.5)</f>
        <v>3</v>
      </c>
      <c r="J192" s="2">
        <f>IF(_xlfn.XLOOKUP(_xlfn.XLOOKUP(B192,'Base stats'!B:B,'Base stats'!E:E),Groups!A:A,Groups!C:C)="Untamable",1,IF(_xlfn.XLOOKUP(B192,'Base stats'!B:B,'Base stats'!AJ:AJ)=1,0.99,MIN(MROUND((1-0.6282*EXP(-0.459*AO192))*_xlfn.XLOOKUP(_xlfn.XLOOKUP(B192,'Base stats'!B:B,'Base stats'!E:E),Groups!A:A,Groups!C:C)*IF(_xlfn.XLOOKUP(B192,'Base stats'!B:B,'Base stats'!O:O)=1,0.5,IF(_xlfn.XLOOKUP(B192,'Base stats'!B:B,'Base stats'!O:O)=2,0,1)),0.05),0.985)))</f>
        <v>0.9</v>
      </c>
      <c r="K192" s="2">
        <f>ROUNDUP(AO192*_xlfn.XLOOKUP(_xlfn.XLOOKUP(B192,'Base stats'!B:B,'Base stats'!E:E),Groups!A:A,Groups!E:E),0)</f>
        <v>19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-10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IF(_xlfn.XLOOKUP(_xlfn.XLOOKUP(B192,'Base stats'!B:B,'Base stats'!E:E),Groups!A:A,Groups!L:L)=1,MIN(MROUND(_xlfn.XLOOKUP(B192,'Animals CE'!B:B,'Animals CE'!Z:Z)/2+0.05,0.05),200%),"No")</f>
        <v>No</v>
      </c>
      <c r="O192" s="8" t="str">
        <f>IF(_xlfn.XLOOKUP(_xlfn.XLOOKUP(B192,'Base stats'!B:B,'Base stats'!E:E),Groups!A:A,Groups!L:L)=1,MIN(MROUND(_xlfn.XLOOKUP(B192,'Animals CE'!B:B,'Animals CE'!AA:AA)/2+0.05,0.05),200%),"No")</f>
        <v>No</v>
      </c>
      <c r="P192" s="2" t="str">
        <f>_xlfn.XLOOKUP(B192,'Base stats'!B:B,'Base stats'!R:R)</f>
        <v>Standard</v>
      </c>
      <c r="Q192" s="13">
        <f>MROUND((LOG10(_xlfn.XLOOKUP(B192,'Base stats'!B:B,'Base stats'!AP:AP))*(AO192^0.5)+(_xlfn.XLOOKUP(B192,'Base stats'!B:B,'Base stats'!AP:AP)/1000)^(2/3)+_xlfn.XLOOKUP(B192,'Base stats'!B:B,'Base stats'!AY:AY)/2)+0.5,0.5)</f>
        <v>22.5</v>
      </c>
      <c r="R192" s="7">
        <f>IF(Q192="No","No",MAX(1,MROUND(_xlfn.XLOOKUP(B192,'Base stats'!B:B,'Base stats'!C:C)^0.165,0.05)))</f>
        <v>3.3000000000000003</v>
      </c>
      <c r="S192" s="13" t="str">
        <f>IF(_xlfn.XLOOKUP(_xlfn.XLOOKUP(B192,'Base stats'!B:B,'Base stats'!E:E),Groups!A:A,Groups!P:P)=0,"No",MROUND((LOG10(_xlfn.XLOOKUP(B192,'Base stats'!B:B,'Base stats'!AQ:AQ))*(AO192^0.5)+(_xlfn.XLOOKUP(B192,'Base stats'!B:B,'Base stats'!AQ:AQ)/1000)^(2/3)+_xlfn.XLOOKUP(B192,'Base stats'!B:B,'Base stats'!AY:AY))+_xlfn.XLOOKUP(B192,'Base stats'!B:B,'Base stats'!AW:AW)+0.5,0.5))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stats'!AS:AS))*(AO192^0.5)+(_xlfn.XLOOKUP(B192,'Base stats'!B:B,'Base stats'!AS:AS)/1000)^(2/3)+_xlfn.XLOOKUP(B192,'Base stats'!B:B,'Base stats'!AX:AX))+0.5+IF(_xlfn.XLOOKUP(_xlfn.XLOOKUP(B192,'Base stats'!B:B,'Base stats'!E:E),Groups!A:A,Groups!U:U)&lt;&gt;3,_xlfn.XLOOKUP(B192,'Base stats'!B:B,'Base stats'!AY:AY),0),0.5))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stats'!AR:AR)="No","No",MROUND((LOG10(_xlfn.XLOOKUP(B192,'Base stats'!B:B,'Base stats'!AR:AR))*(AO192^0.75)+(_xlfn.XLOOKUP(B192,'Base stats'!B:B,'Base stats'!AR:AR)/1000)^(2/3)+_xlfn.XLOOKUP(B192,'Base stats'!B:B,'Base stats'!AV:AV)+_xlfn.XLOOKUP(B192,'Base stats'!B:B,'Base stats'!AY:AY))+0.5,0.5))</f>
        <v>34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2.8000000000000003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teeth</v>
      </c>
      <c r="AH192" s="7" t="str">
        <f>IF(AD192="No","No",_xlfn.XLOOKUP(_xlfn.XLOOKUP(B192,'Base stats'!B:B,'Base stats'!E:E),Groups!A:A,Groups!AC:AC))</f>
        <v>Bite</v>
      </c>
      <c r="AI192" s="13" t="str">
        <f>IF(_xlfn.XLOOKUP(_xlfn.XLOOKUP(B192,'Base stats'!B:B,'Base stats'!E:E),Groups!A:A,Groups!AD:AD)=0,"No",MROUND((LOG10(_xlfn.XLOOKUP(B192,'Base stats'!B:B,'Base stats'!AQ:AQ))*(AO192^0.75)+(_xlfn.XLOOKUP(B192,'Base stats'!B:B,'Base stats'!AQ:AQ)/1000)^(2/3)+_xlfn.XLOOKUP(B192,'Base stats'!B:B,'Base stats'!AW:AW)+_xlfn.XLOOKUP(B192,'Base stats'!B:B,'Base stats'!AY:AY))+0.5,0.5))</f>
        <v>No</v>
      </c>
      <c r="AJ192" s="7" t="str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No</v>
      </c>
      <c r="AK192" s="7" t="str">
        <f>IF(AI192="No","No",_xlfn.XLOOKUP(_xlfn.XLOOKUP(B192,'Base stats'!B:B,'Base stats'!E:E),Groups!A:A,Groups!AF:AF))</f>
        <v>No</v>
      </c>
      <c r="AL192" s="7" t="str">
        <f>IF(AI192="No","No",_xlfn.XLOOKUP(_xlfn.XLOOKUP(B192,'Base stats'!B:B,'Base stats'!E:E),Groups!A:A,Groups!AG:AG))</f>
        <v>No</v>
      </c>
      <c r="AM192" s="7" t="str">
        <f>IF(AI192="No","No",_xlfn.XLOOKUP(_xlfn.XLOOKUP(B192,'Base stats'!B:B,'Base stats'!E:E),Groups!A:A,Groups!AH:AH))</f>
        <v>No</v>
      </c>
      <c r="AN192" s="2" t="str">
        <f t="shared" ref="AN192:AN196" si="57">IF(BJ192="false","No",MROUND(AO192*5+15*1,5))</f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3.75</v>
      </c>
      <c r="AP192" s="8">
        <f>MROUND(AO192*_xlfn.XLOOKUP(_xlfn.XLOOKUP(B192,'Base stats'!B:B,'Base stats'!E:E),Groups!A:A,Groups!AI:AI),0.05)</f>
        <v>4.5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2.2000000000000002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35</v>
      </c>
      <c r="AS192" s="35">
        <f>IFERROR(IF(_xlfn.XLOOKUP(B192,'Base stats'!B:B,'Base stats'!F:F)="Lay eggs","Lay eggs",MIN(20,MAX(5.5,ROUND(((_xlfn.XLOOKUP(B192,'Base stats'!B:B,'Base stats'!F:F)-25)*(14.5/615) + 5.5)*2,0)/2))),"Cannot breed")</f>
        <v>10.5</v>
      </c>
      <c r="AT192" s="8">
        <f>IF(OR(A192="Queen",A192="Larva",A192="Megachicken",A192="Megatardi",A192="Toxscorpion"),"No",IFERROR(MAX(IF(_xlfn.XLOOKUP(B192,'Base stats'!B:B,'Base stats'!G:G)&lt;0.5,0.2,0.3),MROUND(_xlfn.XLOOKUP(B192,'Base stats'!B:B,'Base stats'!G:G)/(365/60),0.2)),"Unknown"))</f>
        <v>0.60000000000000009</v>
      </c>
      <c r="AU192" s="8">
        <f t="shared" si="14"/>
        <v>0.30000000000000004</v>
      </c>
      <c r="AV192" s="8">
        <f>IFERROR(IFERROR(MROUND(_xlfn.XLOOKUP(B192,'Base stats'!B:B,'Base stats'!J:J),0.1),"Lay eggs"),"Cannot breed")</f>
        <v>1</v>
      </c>
      <c r="AW192" s="2" t="str">
        <f t="shared" ref="AW192:AW196" si="58">IF(BT192="No","false","true")</f>
        <v>true</v>
      </c>
      <c r="AX192" s="2" t="str">
        <f>IF(_xlfn.XLOOKUP(_xlfn.XLOOKUP(Animals!B192,'Base stats'!B:B,'Base stats'!E:E),Groups!A:A,Groups!AK:AK)=1,"true","false")</f>
        <v>true</v>
      </c>
      <c r="AY192" s="25" t="str">
        <f>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</f>
        <v>VegetarianRoughAnimal</v>
      </c>
      <c r="AZ192" s="2">
        <f>IF(_xlfn.XLOOKUP(_xlfn.XLOOKUP(B192,'Base stats'!B:B,'Base stats'!E:E),Groups!A:A,Groups!D:D)=1,MROUND((1-J192)*5+1,2)*IF(J192&lt;=0.4,2,1),"No")</f>
        <v>2</v>
      </c>
      <c r="BA192" s="2" t="str">
        <f>_xlfn.XLOOKUP(B192,'Base stats'!B:B,'Base stats'!AF:AF)</f>
        <v>No</v>
      </c>
      <c r="BB192" s="2" t="str">
        <f>_xlfn.XLOOKUP(B192,'Base stats'!B:B,'Base stats'!AE:AE)</f>
        <v>Leather_Hippo</v>
      </c>
      <c r="BC192" s="23" t="str">
        <f>_xlfn.XLOOKUP(_xlfn.XLOOKUP(B192,'Base stats'!B:B,'Base stats'!E:E),Groups!A:A,Groups!AL:AL)</f>
        <v>QuadrupedAnimalWithHooves</v>
      </c>
      <c r="BD192" s="23">
        <f>MIN(1,MROUND(IF(AND(AO192&lt;0.5,_xlfn.XLOOKUP(B192,'Base stats'!B:B,'Base stats'!Z:Z)=0),0,IF(OR(_xlfn.XLOOKUP(Animals!B192,'Base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stats'!AA:AA),0.005))</f>
        <v>0.1</v>
      </c>
      <c r="BE192" s="23">
        <f>MIN(1,MROUND(IF(AND(AO192&lt;0.5,_xlfn.XLOOKUP(B192,'Base stats'!B:B,'Base stats'!Z:Z)=0),0,IF(_xlfn.XLOOKUP(_xlfn.XLOOKUP(B192,'Base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stats'!AB:AB),0.005))</f>
        <v>0.3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None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ref="BL192:BL196" si="59">IF(BI192&lt;&gt;"None",1,0)</f>
        <v>0</v>
      </c>
      <c r="BM192" s="25" t="str">
        <f>IF(_xlfn.XLOOKUP(B192,'Base stats'!B:B,'Base stats'!AL:AL)="Standard","No",MROUND((_xlfn.XLOOKUP(B192,'Base stats'!B:B,'Base stats'!AL:AL)/3.6)/I192,0.1))</f>
        <v>No</v>
      </c>
      <c r="BN192" s="25" t="str">
        <f t="shared" ref="BN192:BN196" si="60">IF(OR(BM192&lt;&gt;"No",BQ192=1),"true","false")</f>
        <v>true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stats'!AC:AC)&lt;&gt;"No",_xlfn.XLOOKUP(B192,'Base stats'!B:B,'Base stats'!AC:AC),"")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stats'!AC:AC)&lt;&gt;"No",_xlfn.XLOOKUP(B192,'Base stats'!B:B,'Base stats'!AC:AC),"")
  )
)</f>
        <v>No</v>
      </c>
      <c r="BQ192" s="25">
        <f>IF(
   AND(
      'Base stats'!AL192="Standard",_xlfn.XLOOKUP(_xlfn.XLOOKUP(B192,'Base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1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stats'!AT:AT) * 1.8) * 2) * 2.5 + 10 + I192 * 2,5)+IF(_xlfn.XLOOKUP(B192,'Base stats'!B:B,'Base stats'!AI:AI)=1,50,0)</f>
        <v>390</v>
      </c>
      <c r="BS192" s="8">
        <f t="shared" ref="BS192:BS196" si="61">MROUND(AO192 * 0.2 + AQ192 * 0.8,0.05)</f>
        <v>2.5</v>
      </c>
      <c r="BT192" s="8" t="str">
        <f>_xlfn.XLOOKUP(B192,'Base stats'!B:B,'Base stats'!AD:AD)</f>
        <v>5~15</v>
      </c>
      <c r="BU192" s="2" t="str">
        <f>IF(AND(J192&lt;=0.95,OR(_xlfn.XLOOKUP(B192,'Base stats'!B:B,'Base stats'!AI:AI)=1,_xlfn.XLOOKUP(B192,'Base stats'!B:B,'Base stats'!Y:Y)="Carnivore",_xlfn.XLOOKUP(B192,'Base stats'!B:B,'Base stats'!Y:Y)="Omnivore",BE192&gt;0.1)),"true","false")</f>
        <v>true</v>
      </c>
      <c r="BV192" s="2" t="str">
        <f>IF(_xlfn.XLOOKUP(B192,'Base stats'!B:B,'Base stats'!AG:AG)=1,"true","false")</f>
        <v>false</v>
      </c>
      <c r="BW192" s="25" t="str">
        <f>IF(E192="BaseInsect","AnimalInsect",
IF(J192&gt;0.95,"AnimalExotic",
_xlfn.TEXTJOIN(", ",TRUE,
IF(OR(_xlfn.XLOOKUP(B192,'Base stats'!B:B,'Base stats'!AK:AK)=1,AND(_xlfn.XLOOKUP(B192,'Base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stats'!AI:AI)=1,AND(BI192&lt;&gt;"None",BR192&gt;=60),ISNUMBER(SEARCH("Attack target",BP192))),"AnimalFighter","")
)))</f>
        <v>AnimalCommon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TropicalSwamp Glowforest</v>
      </c>
      <c r="BY192" s="25" t="str">
        <f>IF(_xlfn.XLOOKUP(B192,'Base stats'!B:B,'Base stats'!AH:AH)=1,"true","false")</f>
        <v>false</v>
      </c>
      <c r="BZ192" s="25">
        <f>IF(_xlfn.XLOOKUP(B192,'Base stats'!B:B,'Base stats'!N:N)=1,"No",MAX(0.01,MIN(MROUND(IF(OR(_xlfn.XLOOKUP(B192,'Base stats'!B:B,'Base stats'!AK:AK)=1,AND(BJ192="True",CC192="False")),POWER(10,3.47*LOG10(_xlfn.XLOOKUP(B192,'Base stats'!B:B,'Base stats'!C:C)*1000)^-0.96),POWER(10,4.15*LOG10(_xlfn.XLOOKUP(B192,'Base stats'!B:B,'Base stats'!C:C)*1000)^-0.73))*IF(OR(_xlfn.XLOOKUP(B192,'Base stats'!B:B,'Base stats'!AK:AK)=1,_xlfn.XLOOKUP(B192,'Base stats'!B:B,'Base stats'!AI:AI)=1),0.5,1)/100,0.025),1)))</f>
        <v>0.125</v>
      </c>
      <c r="CA192" s="25" t="str">
        <f>IF(P192="Standard","No",MAX(0.01,IF(_xlfn.XLOOKUP(B192,'Base stats'!B:B,'Base stats'!N:N)=0,MROUND(BZ192*P192,0.05),MIN(1,MAX(0.025,MROUND(IF(OR(CC192="true",AND(BJ192="false",BO192="false")),POWER(10,4.15*LOG10(_xlfn.XLOOKUP(B192,'Base stats'!B:B,'Base stats'!C:C)*1000)^-0.73),POWER(10,3.47*LOG10(_xlfn.XLOOKUP(B192,'Base stats'!B:B,'Base stats'!C:C)*1000)^-0.96))*IF(_xlfn.XLOOKUP(B192,'Base stats'!B:B,'Base stats'!AI:AI)=1,0.5,1)/100,0.025))))))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ref="CD192:CD196" si="62">IF(J192&gt;0.95,"True","False")</f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Otter</v>
      </c>
      <c r="B193" s="6" t="s">
        <v>227</v>
      </c>
      <c r="C193" s="28" t="s">
        <v>1333</v>
      </c>
      <c r="D193" s="28" t="s">
        <v>884</v>
      </c>
      <c r="E193" s="28" t="s">
        <v>685</v>
      </c>
      <c r="F193" s="28" t="s">
        <v>685</v>
      </c>
      <c r="G193" s="28" t="s">
        <v>1283</v>
      </c>
      <c r="H193" s="2">
        <f>MROUND((
  (IF(AND(_xlfn.XLOOKUP(B193,'Base stats'!B:B,'Base stats'!AJ:AJ)=0,BI193="None",_xlfn.XLOOKUP(_xlfn.XLOOKUP(B193,'Base stats'!B:B,'Base stats'!E:E),Groups!A:A,Groups!B:B)=0), (18 + BR193 * 2.7) * 0.5,
    IF(AND(_xlfn.XLOOKUP(B193,'Base stats'!B:B,'Base stats'!AJ:AJ)=0,OR(AO193&lt;0.55,AND(BI193="Intermediate",_xlfn.XLOOKUP(_xlfn.XLOOKUP(B193,'Base stats'!B:B,'Base stats'!E:E),Groups!A:A,Groups!B:B)&lt;2))), (18 + BR193 * 2.7),
      IF(OR(BI193="Advanced",_xlfn.XLOOKUP(B193,'Base stats'!B:B,'Base stats'!AJ:AJ)=1,_xlfn.XLOOKUP(_xlfn.XLOOKUP(B193,'Base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150</v>
      </c>
      <c r="I193" s="2">
        <f>MROUND(ROUNDDOWN(_xlfn.XLOOKUP(B193,'Base stats'!B:B,'Base stats'!L:L)/3.6/(23.3/11),1),0.5)</f>
        <v>3.5</v>
      </c>
      <c r="J193" s="2">
        <f>IF(_xlfn.XLOOKUP(_xlfn.XLOOKUP(B193,'Base stats'!B:B,'Base stats'!E:E),Groups!A:A,Groups!C:C)="Untamable",1,IF(_xlfn.XLOOKUP(B193,'Base stats'!B:B,'Base stats'!AJ:AJ)=1,0.99,MIN(MROUND((1-0.6282*EXP(-0.459*AO193))*_xlfn.XLOOKUP(_xlfn.XLOOKUP(B193,'Base stats'!B:B,'Base stats'!E:E),Groups!A:A,Groups!C:C)*IF(_xlfn.XLOOKUP(B193,'Base stats'!B:B,'Base stats'!O:O)=1,0.5,IF(_xlfn.XLOOKUP(B193,'Base stats'!B:B,'Base stats'!O:O)=2,0,1)),0.05),0.985)))</f>
        <v>0.75</v>
      </c>
      <c r="K193" s="2">
        <f>ROUNDUP(AO193*_xlfn.XLOOKUP(_xlfn.XLOOKUP(B193,'Base stats'!B:B,'Base stats'!E:E),Groups!A:A,Groups!E:E),0)</f>
        <v>1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-35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35</v>
      </c>
      <c r="N193" s="8" t="str">
        <f>IF(_xlfn.XLOOKUP(_xlfn.XLOOKUP(B193,'Base stats'!B:B,'Base stats'!E:E),Groups!A:A,Groups!L:L)=1,MIN(MROUND(_xlfn.XLOOKUP(B193,'Animals CE'!B:B,'Animals CE'!Z:Z)/2+0.05,0.05),200%),"No")</f>
        <v>No</v>
      </c>
      <c r="O193" s="8" t="str">
        <f>IF(_xlfn.XLOOKUP(_xlfn.XLOOKUP(B193,'Base stats'!B:B,'Base stats'!E:E),Groups!A:A,Groups!L:L)=1,MIN(MROUND(_xlfn.XLOOKUP(B193,'Animals CE'!B:B,'Animals CE'!AA:AA)/2+0.05,0.05),200%),"No")</f>
        <v>No</v>
      </c>
      <c r="P193" s="2" t="str">
        <f>_xlfn.XLOOKUP(B193,'Base stats'!B:B,'Base stats'!R:R)</f>
        <v>Standard</v>
      </c>
      <c r="Q193" s="13">
        <f>MROUND((LOG10(_xlfn.XLOOKUP(B193,'Base stats'!B:B,'Base stats'!AP:AP))*(AO193^0.5)+(_xlfn.XLOOKUP(B193,'Base stats'!B:B,'Base stats'!AP:AP)/1000)^(2/3)+_xlfn.XLOOKUP(B193,'Base stats'!B:B,'Base stats'!AY:AY)/2)+0.5,0.5)</f>
        <v>3.5</v>
      </c>
      <c r="R193" s="7">
        <f>IF(Q193="No","No",MAX(1,MROUND(_xlfn.XLOOKUP(B193,'Base stats'!B:B,'Base stats'!C:C)^0.165,0.05)))</f>
        <v>1.5</v>
      </c>
      <c r="S193" s="13" t="str">
        <f>IF(_xlfn.XLOOKUP(_xlfn.XLOOKUP(B193,'Base stats'!B:B,'Base stats'!E:E),Groups!A:A,Groups!P:P)=0,"No",MROUND((LOG10(_xlfn.XLOOKUP(B193,'Base stats'!B:B,'Base stats'!AQ:AQ))*(AO193^0.5)+(_xlfn.XLOOKUP(B193,'Base stats'!B:B,'Base stats'!AQ:AQ)/1000)^(2/3)+_xlfn.XLOOKUP(B193,'Base stats'!B:B,'Base stats'!AY:AY))+_xlfn.XLOOKUP(B193,'Base stats'!B:B,'Base stats'!AW:AW)+0.5,0.5))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stats'!AS:AS))*(AO193^0.5)+(_xlfn.XLOOKUP(B193,'Base stats'!B:B,'Base stats'!AS:AS)/1000)^(2/3)+_xlfn.XLOOKUP(B193,'Base stats'!B:B,'Base stats'!AX:AX))+0.5+IF(_xlfn.XLOOKUP(_xlfn.XLOOKUP(B193,'Base stats'!B:B,'Base stats'!E:E),Groups!A:A,Groups!U:U)&lt;&gt;3,_xlfn.XLOOKUP(B193,'Base stats'!B:B,'Base stats'!AY:AY),0),0.5))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stats'!AR:AR)="No","No",MROUND((LOG10(_xlfn.XLOOKUP(B193,'Base stats'!B:B,'Base stats'!AR:AR))*(AO193^0.75)+(_xlfn.XLOOKUP(B193,'Base stats'!B:B,'Base stats'!AR:AR)/1000)^(2/3)+_xlfn.XLOOKUP(B193,'Base stats'!B:B,'Base stats'!AV:AV)+_xlfn.XLOOKUP(B193,'Base stats'!B:B,'Base stats'!AY:AY))+0.5,0.5))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1.2000000000000002</v>
      </c>
      <c r="AF193" s="7" t="str">
        <f>IF(AD193="No","No",_xlfn.XLOOKUP(_xlfn.XLOOKUP(B193,'Base stats'!B:B,'Base stats'!E:E),Groups!A:A,Groups!AA:AA))</f>
        <v>Teeth</v>
      </c>
      <c r="AG193" s="7" t="str">
        <f>IF(AD193="No","No",_xlfn.XLOOKUP(_xlfn.XLOOKUP(B193,'Base stats'!B:B,'Base stats'!E:E),Groups!A:A,Groups!AB:AB))</f>
        <v>canines</v>
      </c>
      <c r="AH193" s="7" t="str">
        <f>IF(AD193="No","No",_xlfn.XLOOKUP(_xlfn.XLOOKUP(B193,'Base stats'!B:B,'Base stats'!E:E),Groups!A:A,Groups!AC:AC))</f>
        <v>Bite</v>
      </c>
      <c r="AI193" s="13">
        <f>IF(_xlfn.XLOOKUP(_xlfn.XLOOKUP(B193,'Base stats'!B:B,'Base stats'!E:E),Groups!A:A,Groups!AD:AD)=0,"No",MROUND((LOG10(_xlfn.XLOOKUP(B193,'Base stats'!B:B,'Base stats'!AQ:AQ))*(AO193^0.75)+(_xlfn.XLOOKUP(B193,'Base stats'!B:B,'Base stats'!AQ:AQ)/1000)^(2/3)+_xlfn.XLOOKUP(B193,'Base stats'!B:B,'Base stats'!AW:AW)+_xlfn.XLOOKUP(B193,'Base stats'!B:B,'Base stats'!AY:AY))+0.5,0.5))</f>
        <v>4.5</v>
      </c>
      <c r="AJ193" s="7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0.95000000000000007</v>
      </c>
      <c r="AK193" s="7" t="str">
        <f>IF(AI193="No","No",_xlfn.XLOOKUP(_xlfn.XLOOKUP(B193,'Base stats'!B:B,'Base stats'!E:E),Groups!A:A,Groups!AF:AF))</f>
        <v>FrontRightPaw, FrontRightPaw</v>
      </c>
      <c r="AL193" s="7" t="str">
        <f>IF(AI193="No","No",_xlfn.XLOOKUP(_xlfn.XLOOKUP(B193,'Base stats'!B:B,'Base stats'!E:E),Groups!A:A,Groups!AG:AG))</f>
        <v>left claw, right claw</v>
      </c>
      <c r="AM193" s="7" t="str">
        <f>IF(AI193="No","No",_xlfn.XLOOKUP(_xlfn.XLOOKUP(B193,'Base stats'!B:B,'Base stats'!E:E),Groups!A:A,Groups!AH:AH))</f>
        <v>Scratch</v>
      </c>
      <c r="AN193" s="2">
        <f t="shared" si="57"/>
        <v>15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0.45</v>
      </c>
      <c r="AP193" s="8">
        <f>MROUND(AO193*_xlfn.XLOOKUP(_xlfn.XLOOKUP(B193,'Base stats'!B:B,'Base stats'!E:E),Groups!A:A,Groups!AI:AI),0.05)</f>
        <v>0.55000000000000004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0.35000000000000003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9</v>
      </c>
      <c r="AS193" s="35">
        <f>IFERROR(IF(_xlfn.XLOOKUP(B193,'Base stats'!B:B,'Base stats'!F:F)="Lay eggs","Lay eggs",MIN(20,MAX(5.5,ROUND(((_xlfn.XLOOKUP(B193,'Base stats'!B:B,'Base stats'!F:F)-25)*(14.5/615) + 5.5)*2,0)/2))),"Cannot breed")</f>
        <v>6.5</v>
      </c>
      <c r="AT193" s="8">
        <f>IF(OR(A193="Queen",A193="Larva",A193="Megachicken",A193="Megatardi",A193="Toxscorpion"),"No",IFERROR(MAX(IF(_xlfn.XLOOKUP(B193,'Base stats'!B:B,'Base stats'!G:G)&lt;0.5,0.2,0.3),MROUND(_xlfn.XLOOKUP(B193,'Base stats'!B:B,'Base stats'!G:G)/(365/60),0.2)),"Unknown"))</f>
        <v>0.3</v>
      </c>
      <c r="AU193" s="8">
        <f t="shared" si="14"/>
        <v>0.15000000000000002</v>
      </c>
      <c r="AV193" s="8">
        <f>IFERROR(IFERROR(MROUND(_xlfn.XLOOKUP(B193,'Base stats'!B:B,'Base stats'!J:J),0.1),"Lay eggs"),"Cannot breed")</f>
        <v>2</v>
      </c>
      <c r="AW193" s="2" t="str">
        <f t="shared" si="58"/>
        <v>false</v>
      </c>
      <c r="AX193" s="2" t="str">
        <f>IF(_xlfn.XLOOKUP(_xlfn.XLOOKUP(Animals!B193,'Base stats'!B:B,'Base stats'!E:E),Groups!A:A,Groups!AK:AK)=1,"true","false")</f>
        <v>false</v>
      </c>
      <c r="AY193" s="25" t="str">
        <f>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</f>
        <v>CarnivoreAnimal, OvivoreAnimal</v>
      </c>
      <c r="AZ193" s="2" t="str">
        <f>IF(_xlfn.XLOOKUP(_xlfn.XLOOKUP(B193,'Base stats'!B:B,'Base stats'!E:E),Groups!A:A,Groups!D:D)=1,MROUND((1-J193)*5+1,2)*IF(J193&lt;=0.4,2,1),"No")</f>
        <v>No</v>
      </c>
      <c r="BA193" s="2" t="str">
        <f>_xlfn.XLOOKUP(B193,'Base stats'!B:B,'Base stats'!AF:AF)</f>
        <v>No</v>
      </c>
      <c r="BB193" s="2" t="str">
        <f>_xlfn.XLOOKUP(B193,'Base stats'!B:B,'Base stats'!AE:AE)</f>
        <v>Leather_Light</v>
      </c>
      <c r="BC193" s="23" t="str">
        <f>_xlfn.XLOOKUP(_xlfn.XLOOKUP(B193,'Base stats'!B:B,'Base stats'!E:E),Groups!A:A,Groups!AL:AL)</f>
        <v>QuadrupedAnimalWithPawsAndTail</v>
      </c>
      <c r="BD193" s="23">
        <f>MIN(1,MROUND(IF(AND(AO193&lt;0.5,_xlfn.XLOOKUP(B193,'Base stats'!B:B,'Base stats'!Z:Z)=0),0,IF(OR(_xlfn.XLOOKUP(Animals!B193,'Base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stats'!AA:AA),0.005))</f>
        <v>0</v>
      </c>
      <c r="BE193" s="23">
        <f>MIN(1,MROUND(IF(AND(AO193&lt;0.5,_xlfn.XLOOKUP(B193,'Base stats'!B:B,'Base stats'!Z:Z)=0),0,IF(_xlfn.XLOOKUP(_xlfn.XLOOKUP(B193,'Base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stats'!AB:AB),0.005))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Intermediate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true</v>
      </c>
      <c r="BK193" s="2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0.2</v>
      </c>
      <c r="BL193" s="2">
        <f t="shared" si="59"/>
        <v>1</v>
      </c>
      <c r="BM193" s="25">
        <f>IF(_xlfn.XLOOKUP(B193,'Base stats'!B:B,'Base stats'!AL:AL)="Standard","No",MROUND((_xlfn.XLOOKUP(B193,'Base stats'!B:B,'Base stats'!AL:AL)/3.6)/I193,0.1))</f>
        <v>1</v>
      </c>
      <c r="BN193" s="25" t="str">
        <f t="shared" si="60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stats'!AC:AC)&lt;&gt;"No",_xlfn.XLOOKUP(B193,'Base stats'!B:B,'Base stats'!AC:AC),"")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stats'!AC:AC)&lt;&gt;"No",_xlfn.XLOOKUP(B193,'Base stats'!B:B,'Base stats'!AC:AC),"")
  )
)</f>
        <v>No</v>
      </c>
      <c r="BQ193" s="25">
        <f>IF(
   AND(
      'Base stats'!AL193="Standard",_xlfn.XLOOKUP(_xlfn.XLOOKUP(B193,'Base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stats'!AT:AT) * 1.8) * 2) * 2.5 + 10 + I193 * 2,5)+IF(_xlfn.XLOOKUP(B193,'Base stats'!B:B,'Base stats'!AI:AI)=1,50,0)</f>
        <v>50</v>
      </c>
      <c r="BS193" s="8">
        <f t="shared" si="61"/>
        <v>0.35000000000000003</v>
      </c>
      <c r="BT193" s="8" t="str">
        <f>_xlfn.XLOOKUP(B193,'Base stats'!B:B,'Base stats'!AD:AD)</f>
        <v>No</v>
      </c>
      <c r="BU193" s="2" t="str">
        <f>IF(AND(J193&lt;=0.95,OR(_xlfn.XLOOKUP(B193,'Base stats'!B:B,'Base stats'!AI:AI)=1,_xlfn.XLOOKUP(B193,'Base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stats'!AG:AG)=1,"true","false")</f>
        <v>false</v>
      </c>
      <c r="BW193" s="25" t="str">
        <f>IF(E193="BaseInsect","AnimalInsect",
IF(J193&gt;0.95,"AnimalExotic",
_xlfn.TEXTJOIN(", ",TRUE,
IF(OR(_xlfn.XLOOKUP(B193,'Base stats'!B:B,'Base stats'!AK:AK)=1,AND(_xlfn.XLOOKUP(B193,'Base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stats'!AI:AI)=1,AND(BI193&lt;&gt;"None",BR193&gt;=60),ISNUMBER(SEARCH("Attack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ColdBog TemperateSwamp</v>
      </c>
      <c r="BY193" s="25" t="str">
        <f>IF(_xlfn.XLOOKUP(B193,'Base stats'!B:B,'Base stats'!AH:AH)=1,"true","false")</f>
        <v>false</v>
      </c>
      <c r="BZ193" s="25">
        <f>IF(_xlfn.XLOOKUP(B193,'Base stats'!B:B,'Base stats'!N:N)=1,"No",MAX(0.01,MIN(MROUND(IF(OR(_xlfn.XLOOKUP(B193,'Base stats'!B:B,'Base stats'!AK:AK)=1,AND(BJ193="True",CC193="False")),POWER(10,3.47*LOG10(_xlfn.XLOOKUP(B193,'Base stats'!B:B,'Base stats'!C:C)*1000)^-0.96),POWER(10,4.15*LOG10(_xlfn.XLOOKUP(B193,'Base stats'!B:B,'Base stats'!C:C)*1000)^-0.73))*IF(OR(_xlfn.XLOOKUP(B193,'Base stats'!B:B,'Base stats'!AK:AK)=1,_xlfn.XLOOKUP(B193,'Base stats'!B:B,'Base stats'!AI:AI)=1),0.5,1)/100,0.025),1)))</f>
        <v>7.5000000000000011E-2</v>
      </c>
      <c r="CA193" s="25" t="str">
        <f>IF(P193="Standard","No",MAX(0.01,IF(_xlfn.XLOOKUP(B193,'Base stats'!B:B,'Base stats'!N:N)=0,MROUND(BZ193*P193,0.05),MIN(1,MAX(0.025,MROUND(IF(OR(CC193="true",AND(BJ193="false",BO193="false")),POWER(10,4.15*LOG10(_xlfn.XLOOKUP(B193,'Base stats'!B:B,'Base stats'!C:C)*1000)^-0.73),POWER(10,3.47*LOG10(_xlfn.XLOOKUP(B193,'Base stats'!B:B,'Base stats'!C:C)*1000)^-0.96))*IF(_xlfn.XLOOKUP(B193,'Base stats'!B:B,'Base stats'!AI:AI)=1,0.5,1)/100,0.025))))))</f>
        <v>No</v>
      </c>
      <c r="CB193" s="25" t="str">
        <f>IF(_xlfn.XLOOKUP(_xlfn.XLOOKUP(B193,'Base stats'!B:B,'Base stats'!E:E),Groups!A:A,Groups!AJ:AJ)="Mammal","True","False")</f>
        <v>True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62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Seal</v>
      </c>
      <c r="B194" s="6" t="s">
        <v>190</v>
      </c>
      <c r="C194" s="28" t="s">
        <v>1295</v>
      </c>
      <c r="D194" s="28" t="s">
        <v>884</v>
      </c>
      <c r="E194" s="28" t="s">
        <v>685</v>
      </c>
      <c r="F194" s="28" t="s">
        <v>685</v>
      </c>
      <c r="G194" s="28" t="s">
        <v>1283</v>
      </c>
      <c r="H194" s="2">
        <f>MROUND((
  (IF(AND(_xlfn.XLOOKUP(B194,'Base stats'!B:B,'Base stats'!AJ:AJ)=0,BI194="None",_xlfn.XLOOKUP(_xlfn.XLOOKUP(B194,'Base stats'!B:B,'Base stats'!E:E),Groups!A:A,Groups!B:B)=0), (18 + BR194 * 2.7) * 0.5,
    IF(AND(_xlfn.XLOOKUP(B194,'Base stats'!B:B,'Base stats'!AJ:AJ)=0,OR(AO194&lt;0.55,AND(BI194="Intermediate",_xlfn.XLOOKUP(_xlfn.XLOOKUP(B194,'Base stats'!B:B,'Base stats'!E:E),Groups!A:A,Groups!B:B)&lt;2))), (18 + BR194 * 2.7),
      IF(OR(BI194="Advanced",_xlfn.XLOOKUP(B194,'Base stats'!B:B,'Base stats'!AJ:AJ)=1,_xlfn.XLOOKUP(_xlfn.XLOOKUP(B194,'Base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350</v>
      </c>
      <c r="I194" s="2">
        <f>MROUND(ROUNDDOWN(_xlfn.XLOOKUP(B194,'Base stats'!B:B,'Base stats'!L:L)/3.6/(23.3/11),1),0.5)</f>
        <v>2.5</v>
      </c>
      <c r="J194" s="2">
        <f>IF(_xlfn.XLOOKUP(_xlfn.XLOOKUP(B194,'Base stats'!B:B,'Base stats'!E:E),Groups!A:A,Groups!C:C)="Untamable",1,IF(_xlfn.XLOOKUP(B194,'Base stats'!B:B,'Base stats'!AJ:AJ)=1,0.99,MIN(MROUND((1-0.6282*EXP(-0.459*AO194))*_xlfn.XLOOKUP(_xlfn.XLOOKUP(B194,'Base stats'!B:B,'Base stats'!E:E),Groups!A:A,Groups!C:C)*IF(_xlfn.XLOOKUP(B194,'Base stats'!B:B,'Base stats'!O:O)=1,0.5,IF(_xlfn.XLOOKUP(B194,'Base stats'!B:B,'Base stats'!O:O)=2,0,1)),0.05),0.985)))</f>
        <v>0.65</v>
      </c>
      <c r="K194" s="2">
        <f>ROUNDUP(AO194*_xlfn.XLOOKUP(_xlfn.XLOOKUP(B194,'Base stats'!B:B,'Base stats'!E:E),Groups!A:A,Groups!E:E),0)</f>
        <v>2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-65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35</v>
      </c>
      <c r="N194" s="8" t="str">
        <f>IF(_xlfn.XLOOKUP(_xlfn.XLOOKUP(B194,'Base stats'!B:B,'Base stats'!E:E),Groups!A:A,Groups!L:L)=1,MIN(MROUND(_xlfn.XLOOKUP(B194,'Animals CE'!B:B,'Animals CE'!Z:Z)/2+0.05,0.05),200%),"No")</f>
        <v>No</v>
      </c>
      <c r="O194" s="8" t="str">
        <f>IF(_xlfn.XLOOKUP(_xlfn.XLOOKUP(B194,'Base stats'!B:B,'Base stats'!E:E),Groups!A:A,Groups!L:L)=1,MIN(MROUND(_xlfn.XLOOKUP(B194,'Animals CE'!B:B,'Animals CE'!AA:AA)/2+0.05,0.05),200%),"No")</f>
        <v>No</v>
      </c>
      <c r="P194" s="2" t="str">
        <f>_xlfn.XLOOKUP(B194,'Base stats'!B:B,'Base stats'!R:R)</f>
        <v>Standard</v>
      </c>
      <c r="Q194" s="13">
        <f>MROUND((LOG10(_xlfn.XLOOKUP(B194,'Base stats'!B:B,'Base stats'!AP:AP))*(AO194^0.5)+(_xlfn.XLOOKUP(B194,'Base stats'!B:B,'Base stats'!AP:AP)/1000)^(2/3)+_xlfn.XLOOKUP(B194,'Base stats'!B:B,'Base stats'!AY:AY)/2)+0.5,0.5)</f>
        <v>8.5</v>
      </c>
      <c r="R194" s="7">
        <f>IF(Q194="No","No",MAX(1,MROUND(_xlfn.XLOOKUP(B194,'Base stats'!B:B,'Base stats'!C:C)^0.165,0.05)))</f>
        <v>2.2000000000000002</v>
      </c>
      <c r="S194" s="13" t="str">
        <f>IF(_xlfn.XLOOKUP(_xlfn.XLOOKUP(B194,'Base stats'!B:B,'Base stats'!E:E),Groups!A:A,Groups!P:P)=0,"No",MROUND((LOG10(_xlfn.XLOOKUP(B194,'Base stats'!B:B,'Base stats'!AQ:AQ))*(AO194^0.5)+(_xlfn.XLOOKUP(B194,'Base stats'!B:B,'Base stats'!AQ:AQ)/1000)^(2/3)+_xlfn.XLOOKUP(B194,'Base stats'!B:B,'Base stats'!AY:AY))+_xlfn.XLOOKUP(B194,'Base stats'!B:B,'Base stats'!AW:AW)+0.5,0.5))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stats'!AS:AS))*(AO194^0.5)+(_xlfn.XLOOKUP(B194,'Base stats'!B:B,'Base stats'!AS:AS)/1000)^(2/3)+_xlfn.XLOOKUP(B194,'Base stats'!B:B,'Base stats'!AX:AX))+0.5+IF(_xlfn.XLOOKUP(_xlfn.XLOOKUP(B194,'Base stats'!B:B,'Base stats'!E:E),Groups!A:A,Groups!U:U)&lt;&gt;3,_xlfn.XLOOKUP(B194,'Base stats'!B:B,'Base stats'!AY:AY),0),0.5))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stats'!AR:AR)="No","No",MROUND((LOG10(_xlfn.XLOOKUP(B194,'Base stats'!B:B,'Base stats'!AR:AR))*(AO194^0.75)+(_xlfn.XLOOKUP(B194,'Base stats'!B:B,'Base stats'!AR:AR)/1000)^(2/3)+_xlfn.XLOOKUP(B194,'Base stats'!B:B,'Base stats'!AV:AV)+_xlfn.XLOOKUP(B194,'Base stats'!B:B,'Base stats'!AY:AY))+0.5,0.5))</f>
        <v>14.5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1.85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canines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stats'!AQ:AQ))*(AO194^0.75)+(_xlfn.XLOOKUP(B194,'Base stats'!B:B,'Base stats'!AQ:AQ)/1000)^(2/3)+_xlfn.XLOOKUP(B194,'Base stats'!B:B,'Base stats'!AW:AW)+_xlfn.XLOOKUP(B194,'Base stats'!B:B,'Base stats'!AY:AY))+0.5,0.5))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>
        <f t="shared" si="57"/>
        <v>20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1.3</v>
      </c>
      <c r="AP194" s="8">
        <f>MROUND(AO194*_xlfn.XLOOKUP(_xlfn.XLOOKUP(B194,'Base stats'!B:B,'Base stats'!E:E),Groups!A:A,Groups!AI:AI),0.05)</f>
        <v>1.55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0.65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25</v>
      </c>
      <c r="AS194" s="35">
        <f>IFERROR(IF(_xlfn.XLOOKUP(B194,'Base stats'!B:B,'Base stats'!F:F)="Lay eggs","Lay eggs",MIN(20,MAX(5.5,ROUND(((_xlfn.XLOOKUP(B194,'Base stats'!B:B,'Base stats'!F:F)-25)*(14.5/615) + 5.5)*2,0)/2))),"Cannot breed")</f>
        <v>11</v>
      </c>
      <c r="AT194" s="8">
        <f>IF(OR(A194="Queen",A194="Larva",A194="Megachicken",A194="Megatardi",A194="Toxscorpion"),"No",IFERROR(MAX(IF(_xlfn.XLOOKUP(B194,'Base stats'!B:B,'Base stats'!G:G)&lt;0.5,0.2,0.3),MROUND(_xlfn.XLOOKUP(B194,'Base stats'!B:B,'Base stats'!G:G)/(365/60),0.2)),"Unknown"))</f>
        <v>0.4</v>
      </c>
      <c r="AU194" s="8">
        <f t="shared" ref="AU194:AU197" si="63">IF(AT194="No","No",IFERROR(MROUND(AT194/2,0.05),"Unknown"))</f>
        <v>0.2</v>
      </c>
      <c r="AV194" s="8">
        <f>IFERROR(IFERROR(MROUND(_xlfn.XLOOKUP(B194,'Base stats'!B:B,'Base stats'!J:J),0.1),"Lay eggs"),"Cannot breed")</f>
        <v>1</v>
      </c>
      <c r="AW194" s="2" t="str">
        <f t="shared" si="58"/>
        <v>true</v>
      </c>
      <c r="AX194" s="2" t="str">
        <f>IF(_xlfn.XLOOKUP(_xlfn.XLOOKUP(Animals!B194,'Base stats'!B:B,'Base stats'!E:E),Groups!A:A,Groups!AK:AK)=1,"true","false")</f>
        <v>false</v>
      </c>
      <c r="AY194" s="25" t="str">
        <f>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</f>
        <v>CarnivoreAnimal, OvivoreAnimal</v>
      </c>
      <c r="AZ194" s="2" t="str">
        <f>IF(_xlfn.XLOOKUP(_xlfn.XLOOKUP(B194,'Base stats'!B:B,'Base stats'!E:E),Groups!A:A,Groups!D:D)=1,MROUND((1-J194)*5+1,2)*IF(J194&lt;=0.4,2,1),"No")</f>
        <v>No</v>
      </c>
      <c r="BA194" s="2" t="str">
        <f>_xlfn.XLOOKUP(B194,'Base stats'!B:B,'Base stats'!AF:AF)</f>
        <v>No</v>
      </c>
      <c r="BB194" s="2" t="str">
        <f>_xlfn.XLOOKUP(B194,'Base stats'!B:B,'Base stats'!AE:AE)</f>
        <v>Leather_Sealskin</v>
      </c>
      <c r="BC194" s="23" t="str">
        <f>_xlfn.XLOOKUP(_xlfn.XLOOKUP(B194,'Base stats'!B:B,'Base stats'!E:E),Groups!A:A,Groups!AL:AL)</f>
        <v>Pinniped</v>
      </c>
      <c r="BD194" s="23">
        <f>MIN(1,MROUND(IF(AND(AO194&lt;0.5,_xlfn.XLOOKUP(B194,'Base stats'!B:B,'Base stats'!Z:Z)=0),0,IF(OR(_xlfn.XLOOKUP(Animals!B194,'Base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stats'!AA:AA),0.005))</f>
        <v>0</v>
      </c>
      <c r="BE194" s="23">
        <f>MIN(1,MROUND(IF(AND(AO194&lt;0.5,_xlfn.XLOOKUP(B194,'Base stats'!B:B,'Base stats'!Z:Z)=0),0,IF(_xlfn.XLOOKUP(_xlfn.XLOOKUP(B194,'Base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stats'!AB:AB),0.005))</f>
        <v>0</v>
      </c>
      <c r="BF194" s="2" t="str">
        <f>IF(J194&gt;0.3,"No",_xlfn.XLOOKUP(_xlfn.XLOOKUP(Animals!B194,'Base stats'!B:B,'Base stats'!E:E),Groups!A:A,Groups!AP:AP))</f>
        <v>No</v>
      </c>
      <c r="BG194" s="2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60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Intermediate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true</v>
      </c>
      <c r="BK194" s="2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3.5</v>
      </c>
      <c r="BL194" s="2">
        <f t="shared" si="59"/>
        <v>1</v>
      </c>
      <c r="BM194" s="25">
        <f>IF(_xlfn.XLOOKUP(B194,'Base stats'!B:B,'Base stats'!AL:AL)="Standard","No",MROUND((_xlfn.XLOOKUP(B194,'Base stats'!B:B,'Base stats'!AL:AL)/3.6)/I194,0.1))</f>
        <v>2.2000000000000002</v>
      </c>
      <c r="BN194" s="25" t="str">
        <f t="shared" si="60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true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stats'!AC:AC)&lt;&gt;"No",_xlfn.XLOOKUP(B194,'Base stats'!B:B,'Base stats'!AC:AC),"")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stats'!AC:AC)&lt;&gt;"No",_xlfn.XLOOKUP(B194,'Base stats'!B:B,'Base stats'!AC:AC),"")
  )
)</f>
        <v>AttackTarget</v>
      </c>
      <c r="BQ194" s="25">
        <f>IF(
   AND(
      'Base stats'!AL194="Standard",_xlfn.XLOOKUP(_xlfn.XLOOKUP(B194,'Base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stats'!AT:AT) * 1.8) * 2) * 2.5 + 10 + I194 * 2,5)+IF(_xlfn.XLOOKUP(B194,'Base stats'!B:B,'Base stats'!AI:AI)=1,50,0)</f>
        <v>115</v>
      </c>
      <c r="BS194" s="8">
        <f t="shared" si="61"/>
        <v>0.8</v>
      </c>
      <c r="BT194" s="8" t="str">
        <f>_xlfn.XLOOKUP(B194,'Base stats'!B:B,'Base stats'!AD:AD)</f>
        <v>5~15</v>
      </c>
      <c r="BU194" s="2" t="str">
        <f>IF(AND(J194&lt;=0.95,OR(_xlfn.XLOOKUP(B194,'Base stats'!B:B,'Base stats'!AI:AI)=1,_xlfn.XLOOKUP(B194,'Base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stats'!AG:AG)=1,"true","false")</f>
        <v>false</v>
      </c>
      <c r="BW194" s="25" t="str">
        <f>IF(E194="BaseInsect","AnimalInsect",
IF(J194&gt;0.95,"AnimalExotic",
_xlfn.TEXTJOIN(", ",TRUE,
IF(OR(_xlfn.XLOOKUP(B194,'Base stats'!B:B,'Base stats'!AK:AK)=1,AND(_xlfn.XLOOKUP(B194,'Base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stats'!AI:AI)=1,AND(BI194&lt;&gt;"None",BR194&gt;=60),ISNUMBER(SEARCH("Attack target",BP194))),"AnimalFighter","")
)))</f>
        <v>AnimalCommon, AnimalFighter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SeaIce IceSheet Tundra BorealForest ColdBog TemperateForest TemperateSwamp GlacialPlain</v>
      </c>
      <c r="BY194" s="25" t="str">
        <f>IF(_xlfn.XLOOKUP(B194,'Base stats'!B:B,'Base stats'!AH:AH)=1,"true","false")</f>
        <v>true</v>
      </c>
      <c r="BZ194" s="25">
        <f>IF(_xlfn.XLOOKUP(B194,'Base stats'!B:B,'Base stats'!N:N)=1,"No",MAX(0.01,MIN(MROUND(IF(OR(_xlfn.XLOOKUP(B194,'Base stats'!B:B,'Base stats'!AK:AK)=1,AND(BJ194="True",CC194="False")),POWER(10,3.47*LOG10(_xlfn.XLOOKUP(B194,'Base stats'!B:B,'Base stats'!C:C)*1000)^-0.96),POWER(10,4.15*LOG10(_xlfn.XLOOKUP(B194,'Base stats'!B:B,'Base stats'!C:C)*1000)^-0.73))*IF(OR(_xlfn.XLOOKUP(B194,'Base stats'!B:B,'Base stats'!AK:AK)=1,_xlfn.XLOOKUP(B194,'Base stats'!B:B,'Base stats'!AI:AI)=1),0.5,1)/100,0.025),1)))</f>
        <v>0.05</v>
      </c>
      <c r="CA194" s="25" t="str">
        <f>IF(P194="Standard","No",MAX(0.01,IF(_xlfn.XLOOKUP(B194,'Base stats'!B:B,'Base stats'!N:N)=0,MROUND(BZ194*P194,0.05),MIN(1,MAX(0.025,MROUND(IF(OR(CC194="true",AND(BJ194="false",BO194="false")),POWER(10,4.15*LOG10(_xlfn.XLOOKUP(B194,'Base stats'!B:B,'Base stats'!C:C)*1000)^-0.73),POWER(10,3.47*LOG10(_xlfn.XLOOKUP(B194,'Base stats'!B:B,'Base stats'!C:C)*1000)^-0.96))*IF(_xlfn.XLOOKUP(B194,'Base stats'!B:B,'Base stats'!AI:AI)=1,0.5,1)/100,0.025))))))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62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Walrus</v>
      </c>
      <c r="B195" s="6" t="s">
        <v>192</v>
      </c>
      <c r="C195" s="28" t="s">
        <v>1296</v>
      </c>
      <c r="D195" s="28" t="s">
        <v>884</v>
      </c>
      <c r="E195" s="28" t="s">
        <v>685</v>
      </c>
      <c r="F195" s="28" t="s">
        <v>685</v>
      </c>
      <c r="G195" s="28" t="s">
        <v>1283</v>
      </c>
      <c r="H195" s="2">
        <f>MROUND((
  (IF(AND(_xlfn.XLOOKUP(B195,'Base stats'!B:B,'Base stats'!AJ:AJ)=0,BI195="None",_xlfn.XLOOKUP(_xlfn.XLOOKUP(B195,'Base stats'!B:B,'Base stats'!E:E),Groups!A:A,Groups!B:B)=0), (18 + BR195 * 2.7) * 0.5,
    IF(AND(_xlfn.XLOOKUP(B195,'Base stats'!B:B,'Base stats'!AJ:AJ)=0,OR(AO195&lt;0.55,AND(BI195="Intermediate",_xlfn.XLOOKUP(_xlfn.XLOOKUP(B195,'Base stats'!B:B,'Base stats'!E:E),Groups!A:A,Groups!B:B)&lt;2))), (18 + BR195 * 2.7),
      IF(OR(BI195="Advanced",_xlfn.XLOOKUP(B195,'Base stats'!B:B,'Base stats'!AJ:AJ)=1,_xlfn.XLOOKUP(_xlfn.XLOOKUP(B195,'Base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950</v>
      </c>
      <c r="I195" s="2">
        <f>MROUND(ROUNDDOWN(_xlfn.XLOOKUP(B195,'Base stats'!B:B,'Base stats'!L:L)/3.6/(23.3/11),1),0.5)</f>
        <v>1.5</v>
      </c>
      <c r="J195" s="2">
        <f>IF(_xlfn.XLOOKUP(_xlfn.XLOOKUP(B195,'Base stats'!B:B,'Base stats'!E:E),Groups!A:A,Groups!C:C)="Untamable",1,IF(_xlfn.XLOOKUP(B195,'Base stats'!B:B,'Base stats'!AJ:AJ)=1,0.99,MIN(MROUND((1-0.6282*EXP(-0.459*AO195))*_xlfn.XLOOKUP(_xlfn.XLOOKUP(B195,'Base stats'!B:B,'Base stats'!E:E),Groups!A:A,Groups!C:C)*IF(_xlfn.XLOOKUP(B195,'Base stats'!B:B,'Base stats'!O:O)=1,0.5,IF(_xlfn.XLOOKUP(B195,'Base stats'!B:B,'Base stats'!O:O)=2,0,1)),0.05),0.985)))</f>
        <v>0.85000000000000009</v>
      </c>
      <c r="K195" s="2">
        <f>ROUNDUP(AO195*_xlfn.XLOOKUP(_xlfn.XLOOKUP(B195,'Base stats'!B:B,'Base stats'!E:E),Groups!A:A,Groups!E:E),0)</f>
        <v>4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-70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10</v>
      </c>
      <c r="N195" s="8" t="str">
        <f>IF(_xlfn.XLOOKUP(_xlfn.XLOOKUP(B195,'Base stats'!B:B,'Base stats'!E:E),Groups!A:A,Groups!L:L)=1,MIN(MROUND(_xlfn.XLOOKUP(B195,'Animals CE'!B:B,'Animals CE'!Z:Z)/2+0.05,0.05),200%),"No")</f>
        <v>No</v>
      </c>
      <c r="O195" s="8" t="str">
        <f>IF(_xlfn.XLOOKUP(_xlfn.XLOOKUP(B195,'Base stats'!B:B,'Base stats'!E:E),Groups!A:A,Groups!L:L)=1,MIN(MROUND(_xlfn.XLOOKUP(B195,'Animals CE'!B:B,'Animals CE'!AA:AA)/2+0.05,0.05),200%),"No")</f>
        <v>No</v>
      </c>
      <c r="P195" s="2" t="str">
        <f>_xlfn.XLOOKUP(B195,'Base stats'!B:B,'Base stats'!R:R)</f>
        <v>Standard</v>
      </c>
      <c r="Q195" s="13">
        <f>MROUND((LOG10(_xlfn.XLOOKUP(B195,'Base stats'!B:B,'Base stats'!AP:AP))*(AO195^0.5)+(_xlfn.XLOOKUP(B195,'Base stats'!B:B,'Base stats'!AP:AP)/1000)^(2/3)+_xlfn.XLOOKUP(B195,'Base stats'!B:B,'Base stats'!AY:AY)/2)+0.5,0.5)</f>
        <v>20.5</v>
      </c>
      <c r="R195" s="7">
        <f>IF(Q195="No","No",MAX(1,MROUND(_xlfn.XLOOKUP(B195,'Base stats'!B:B,'Base stats'!C:C)^0.165,0.05)))</f>
        <v>3.1500000000000004</v>
      </c>
      <c r="S195" s="13" t="str">
        <f>IF(_xlfn.XLOOKUP(_xlfn.XLOOKUP(B195,'Base stats'!B:B,'Base stats'!E:E),Groups!A:A,Groups!P:P)=0,"No",MROUND((LOG10(_xlfn.XLOOKUP(B195,'Base stats'!B:B,'Base stats'!AQ:AQ))*(AO195^0.5)+(_xlfn.XLOOKUP(B195,'Base stats'!B:B,'Base stats'!AQ:AQ)/1000)^(2/3)+_xlfn.XLOOKUP(B195,'Base stats'!B:B,'Base stats'!AY:AY))+_xlfn.XLOOKUP(B195,'Base stats'!B:B,'Base stats'!AW:AW)+0.5,0.5))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>
        <f>IF(_xlfn.XLOOKUP(B195,'Base stats'!B:B,'Base stats'!W:W)="No","No",MROUND((LOG10(_xlfn.XLOOKUP(B195,'Base stats'!B:B,'Base stats'!AS:AS))*(AO195^0.5)+(_xlfn.XLOOKUP(B195,'Base stats'!B:B,'Base stats'!AS:AS)/1000)^(2/3)+_xlfn.XLOOKUP(B195,'Base stats'!B:B,'Base stats'!AX:AX))+0.5+IF(_xlfn.XLOOKUP(_xlfn.XLOOKUP(B195,'Base stats'!B:B,'Base stats'!E:E),Groups!A:A,Groups!U:U)&lt;&gt;3,_xlfn.XLOOKUP(B195,'Base stats'!B:B,'Base stats'!AY:AY),0),0.5))</f>
        <v>22.5</v>
      </c>
      <c r="Y195" s="7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2.35</v>
      </c>
      <c r="Z195" s="7" t="str">
        <f>IF(X195="No","No",_xlfn.XLOOKUP(_xlfn.XLOOKUP(B195,'Base stats'!B:B,'Base stats'!E:E),Groups!A:A,Groups!W:W))</f>
        <v>TuskAttackTool</v>
      </c>
      <c r="AA195" s="7" t="str">
        <f>IF(X195="No","No",_xlfn.XLOOKUP(_xlfn.XLOOKUP(B195,'Base stats'!B:B,'Base stats'!E:E),Groups!A:A,Groups!X:X))</f>
        <v>tusk</v>
      </c>
      <c r="AB195" s="7" t="str">
        <f>IF(X195="No","No",_xlfn.XLOOKUP(_xlfn.XLOOKUP(B195,'Base stats'!B:B,'Base stats'!E:E),Groups!A:A,Groups!Y:Y))</f>
        <v>Scratch</v>
      </c>
      <c r="AC195" s="7" t="str">
        <f>_xlfn.XLOOKUP(Animals!B195,'Base stats'!B:B,'Base stats'!X:X)</f>
        <v>False</v>
      </c>
      <c r="AD195" s="13" t="str">
        <f>IF(_xlfn.XLOOKUP(B195,'Base stats'!B:B,'Base stats'!AR:AR)="No","No",MROUND((LOG10(_xlfn.XLOOKUP(B195,'Base stats'!B:B,'Base stats'!AR:AR))*(AO195^0.75)+(_xlfn.XLOOKUP(B195,'Base stats'!B:B,'Base stats'!AR:AR)/1000)^(2/3)+_xlfn.XLOOKUP(B195,'Base stats'!B:B,'Base stats'!AV:AV)+_xlfn.XLOOKUP(B195,'Base stats'!B:B,'Base stats'!AY:AY))+0.5,0.5))</f>
        <v>No</v>
      </c>
      <c r="AE195" s="7" t="str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No</v>
      </c>
      <c r="AF195" s="7" t="str">
        <f>IF(AD195="No","No",_xlfn.XLOOKUP(_xlfn.XLOOKUP(B195,'Base stats'!B:B,'Base stats'!E:E),Groups!A:A,Groups!AA:AA))</f>
        <v>No</v>
      </c>
      <c r="AG195" s="7" t="str">
        <f>IF(AD195="No","No",_xlfn.XLOOKUP(_xlfn.XLOOKUP(B195,'Base stats'!B:B,'Base stats'!E:E),Groups!A:A,Groups!AB:AB))</f>
        <v>No</v>
      </c>
      <c r="AH195" s="7" t="str">
        <f>IF(AD195="No","No",_xlfn.XLOOKUP(_xlfn.XLOOKUP(B195,'Base stats'!B:B,'Base stats'!E:E),Groups!A:A,Groups!AC:AC))</f>
        <v>No</v>
      </c>
      <c r="AI195" s="13" t="str">
        <f>IF(_xlfn.XLOOKUP(_xlfn.XLOOKUP(B195,'Base stats'!B:B,'Base stats'!E:E),Groups!A:A,Groups!AD:AD)=0,"No",MROUND((LOG10(_xlfn.XLOOKUP(B195,'Base stats'!B:B,'Base stats'!AQ:AQ))*(AO195^0.75)+(_xlfn.XLOOKUP(B195,'Base stats'!B:B,'Base stats'!AQ:AQ)/1000)^(2/3)+_xlfn.XLOOKUP(B195,'Base stats'!B:B,'Base stats'!AW:AW)+_xlfn.XLOOKUP(B195,'Base stats'!B:B,'Base stats'!AY:AY))+0.5,0.5))</f>
        <v>No</v>
      </c>
      <c r="AJ195" s="7" t="str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No</v>
      </c>
      <c r="AK195" s="7" t="str">
        <f>IF(AI195="No","No",_xlfn.XLOOKUP(_xlfn.XLOOKUP(B195,'Base stats'!B:B,'Base stats'!E:E),Groups!A:A,Groups!AF:AF))</f>
        <v>No</v>
      </c>
      <c r="AL195" s="7" t="str">
        <f>IF(AI195="No","No",_xlfn.XLOOKUP(_xlfn.XLOOKUP(B195,'Base stats'!B:B,'Base stats'!E:E),Groups!A:A,Groups!AG:AG))</f>
        <v>No</v>
      </c>
      <c r="AM195" s="7" t="str">
        <f>IF(AI195="No","No",_xlfn.XLOOKUP(_xlfn.XLOOKUP(B195,'Base stats'!B:B,'Base stats'!E:E),Groups!A:A,Groups!AH:AH))</f>
        <v>No</v>
      </c>
      <c r="AN195" s="2" t="str">
        <f t="shared" si="57"/>
        <v>No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3.5</v>
      </c>
      <c r="AP195" s="8">
        <f>MROUND(AO195*_xlfn.XLOOKUP(_xlfn.XLOOKUP(B195,'Base stats'!B:B,'Base stats'!E:E),Groups!A:A,Groups!AI:AI),0.05)</f>
        <v>4.2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1.75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25</v>
      </c>
      <c r="AS195" s="35">
        <f>IFERROR(IF(_xlfn.XLOOKUP(B195,'Base stats'!B:B,'Base stats'!F:F)="Lay eggs","Lay eggs",MIN(20,MAX(5.5,ROUND(((_xlfn.XLOOKUP(B195,'Base stats'!B:B,'Base stats'!F:F)-25)*(14.5/615) + 5.5)*2,0)/2))),"Cannot breed")</f>
        <v>12.5</v>
      </c>
      <c r="AT195" s="8">
        <f>IF(OR(A195="Queen",A195="Larva",A195="Megachicken",A195="Megatardi",A195="Toxscorpion"),"No",IFERROR(MAX(IF(_xlfn.XLOOKUP(B195,'Base stats'!B:B,'Base stats'!G:G)&lt;0.5,0.2,0.3),MROUND(_xlfn.XLOOKUP(B195,'Base stats'!B:B,'Base stats'!G:G)/(365/60),0.2)),"Unknown"))</f>
        <v>0.8</v>
      </c>
      <c r="AU195" s="8">
        <f t="shared" si="63"/>
        <v>0.4</v>
      </c>
      <c r="AV195" s="8">
        <f>IFERROR(IFERROR(MROUND(_xlfn.XLOOKUP(B195,'Base stats'!B:B,'Base stats'!J:J),0.1),"Lay eggs"),"Cannot breed")</f>
        <v>1</v>
      </c>
      <c r="AW195" s="2" t="str">
        <f t="shared" si="58"/>
        <v>true</v>
      </c>
      <c r="AX195" s="2" t="str">
        <f>IF(_xlfn.XLOOKUP(_xlfn.XLOOKUP(Animals!B195,'Base stats'!B:B,'Base stats'!E:E),Groups!A:A,Groups!AK:AK)=1,"true","false")</f>
        <v>false</v>
      </c>
      <c r="AY195" s="25" t="str">
        <f>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_xlfn.XLOOKUP(B195,'Base stats'!B:B,'Base stats'!AF:AF)</f>
        <v>&lt;li&gt;Seal&lt;/li&gt;</v>
      </c>
      <c r="BB195" s="2" t="str">
        <f>_xlfn.XLOOKUP(B195,'Base stats'!B:B,'Base stats'!AE:AE)</f>
        <v>Leather_Sealskin</v>
      </c>
      <c r="BC195" s="23" t="str">
        <f>_xlfn.XLOOKUP(_xlfn.XLOOKUP(B195,'Base stats'!B:B,'Base stats'!E:E),Groups!A:A,Groups!AL:AL)</f>
        <v>PinnipedWithTusks</v>
      </c>
      <c r="BD195" s="23">
        <f>MIN(1,MROUND(IF(AND(AO195&lt;0.5,_xlfn.XLOOKUP(B195,'Base stats'!B:B,'Base stats'!Z:Z)=0),0,IF(OR(_xlfn.XLOOKUP(Animals!B195,'Base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stats'!AA:AA),0.005))</f>
        <v>0</v>
      </c>
      <c r="BE195" s="23">
        <f>MIN(1,MROUND(IF(AND(AO195&lt;0.5,_xlfn.XLOOKUP(B195,'Base stats'!B:B,'Base stats'!Z:Z)=0),0,IF(_xlfn.XLOOKUP(_xlfn.XLOOKUP(B195,'Base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stats'!AB:AB),0.005))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false</v>
      </c>
      <c r="BK195" s="2" t="str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No</v>
      </c>
      <c r="BL195" s="2">
        <f t="shared" si="59"/>
        <v>1</v>
      </c>
      <c r="BM195" s="25">
        <f>IF(_xlfn.XLOOKUP(B195,'Base stats'!B:B,'Base stats'!AL:AL)="Standard","No",MROUND((_xlfn.XLOOKUP(B195,'Base stats'!B:B,'Base stats'!AL:AL)/3.6)/I195,0.1))</f>
        <v>2.4000000000000004</v>
      </c>
      <c r="BN195" s="25" t="str">
        <f t="shared" si="60"/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stats'!AC:AC)&lt;&gt;"No",_xlfn.XLOOKUP(B195,'Base stats'!B:B,'Base stats'!AC:AC),"")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stats'!AC:AC)&lt;&gt;"No",_xlfn.XLOOKUP(B195,'Base stats'!B:B,'Base stats'!AC:AC),"")
  )
)</f>
        <v>No</v>
      </c>
      <c r="BQ195" s="25">
        <f>IF(
   AND(
      'Base stats'!AL195="Standard",_xlfn.XLOOKUP(_xlfn.XLOOKUP(B195,'Base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stats'!AT:AT) * 1.8) * 2) * 2.5 + 10 + I195 * 2,5)+IF(_xlfn.XLOOKUP(B195,'Base stats'!B:B,'Base stats'!AI:AI)=1,50,0)</f>
        <v>300</v>
      </c>
      <c r="BS195" s="8">
        <f t="shared" si="61"/>
        <v>2.1</v>
      </c>
      <c r="BT195" s="8" t="str">
        <f>_xlfn.XLOOKUP(B195,'Base stats'!B:B,'Base stats'!AD:AD)</f>
        <v>5~15</v>
      </c>
      <c r="BU195" s="2" t="str">
        <f>IF(AND(J195&lt;=0.95,OR(_xlfn.XLOOKUP(B195,'Base stats'!B:B,'Base stats'!AI:AI)=1,_xlfn.XLOOKUP(B195,'Base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stats'!AG:AG)=1,"true","false")</f>
        <v>false</v>
      </c>
      <c r="BW195" s="25" t="str">
        <f>IF(E195="BaseInsect","AnimalInsect",
IF(J195&gt;0.95,"AnimalExotic",
_xlfn.TEXTJOIN(", ",TRUE,
IF(OR(_xlfn.XLOOKUP(B195,'Base stats'!B:B,'Base stats'!AK:AK)=1,AND(_xlfn.XLOOKUP(B195,'Base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stats'!AI:AI)=1,AND(BI195&lt;&gt;"None",BR195&gt;=60),ISNUMBER(SEARCH("Attack target",BP195))),"AnimalFighter","")
)))</f>
        <v>AnimalCommon, AnimalFighter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SeaIce IceSheet Tundra</v>
      </c>
      <c r="BY195" s="25" t="str">
        <f>IF(_xlfn.XLOOKUP(B195,'Base stats'!B:B,'Base stats'!AH:AH)=1,"true","false")</f>
        <v>true</v>
      </c>
      <c r="BZ195" s="25">
        <f>IF(_xlfn.XLOOKUP(B195,'Base stats'!B:B,'Base stats'!N:N)=1,"No",MAX(0.01,MIN(MROUND(IF(OR(_xlfn.XLOOKUP(B195,'Base stats'!B:B,'Base stats'!AK:AK)=1,AND(BJ195="True",CC195="False")),POWER(10,3.47*LOG10(_xlfn.XLOOKUP(B195,'Base stats'!B:B,'Base stats'!C:C)*1000)^-0.96),POWER(10,4.15*LOG10(_xlfn.XLOOKUP(B195,'Base stats'!B:B,'Base stats'!C:C)*1000)^-0.73))*IF(OR(_xlfn.XLOOKUP(B195,'Base stats'!B:B,'Base stats'!AK:AK)=1,_xlfn.XLOOKUP(B195,'Base stats'!B:B,'Base stats'!AI:AI)=1),0.5,1)/100,0.025),1)))</f>
        <v>0.125</v>
      </c>
      <c r="CA195" s="25" t="str">
        <f>IF(P195="Standard","No",MAX(0.01,IF(_xlfn.XLOOKUP(B195,'Base stats'!B:B,'Base stats'!N:N)=0,MROUND(BZ195*P195,0.05),MIN(1,MAX(0.025,MROUND(IF(OR(CC195="true",AND(BJ195="false",BO195="false")),POWER(10,4.15*LOG10(_xlfn.XLOOKUP(B195,'Base stats'!B:B,'Base stats'!C:C)*1000)^-0.73),POWER(10,3.47*LOG10(_xlfn.XLOOKUP(B195,'Base stats'!B:B,'Base stats'!C:C)*1000)^-0.96))*IF(_xlfn.XLOOKUP(B195,'Base stats'!B:B,'Base stats'!AI:AI)=1,0.5,1)/100,0.025))))))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si="62"/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Porcupine</v>
      </c>
      <c r="B196" s="6" t="s">
        <v>269</v>
      </c>
      <c r="C196" s="28" t="s">
        <v>1297</v>
      </c>
      <c r="D196" s="28" t="s">
        <v>884</v>
      </c>
      <c r="E196" s="28" t="s">
        <v>685</v>
      </c>
      <c r="F196" s="28" t="s">
        <v>685</v>
      </c>
      <c r="G196" s="28" t="s">
        <v>1283</v>
      </c>
      <c r="H196" s="2">
        <f>MROUND((
  (IF(AND(_xlfn.XLOOKUP(B196,'Base stats'!B:B,'Base stats'!AJ:AJ)=0,BI196="None",_xlfn.XLOOKUP(_xlfn.XLOOKUP(B196,'Base stats'!B:B,'Base stats'!E:E),Groups!A:A,Groups!B:B)=0), (18 + BR196 * 2.7) * 0.5,
    IF(AND(_xlfn.XLOOKUP(B196,'Base stats'!B:B,'Base stats'!AJ:AJ)=0,OR(AO196&lt;0.55,AND(BI196="Intermediate",_xlfn.XLOOKUP(_xlfn.XLOOKUP(B196,'Base stats'!B:B,'Base stats'!E:E),Groups!A:A,Groups!B:B)&lt;2))), (18 + BR196 * 2.7),
      IF(OR(BI196="Advanced",_xlfn.XLOOKUP(B196,'Base stats'!B:B,'Base stats'!AJ:AJ)=1,_xlfn.XLOOKUP(_xlfn.XLOOKUP(B196,'Base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100</v>
      </c>
      <c r="I196" s="2">
        <f>MROUND(ROUNDDOWN(_xlfn.XLOOKUP(B196,'Base stats'!B:B,'Base stats'!L:L)/3.6/(23.3/11),1),0.5)</f>
        <v>2</v>
      </c>
      <c r="J196" s="2">
        <f>IF(_xlfn.XLOOKUP(_xlfn.XLOOKUP(B196,'Base stats'!B:B,'Base stats'!E:E),Groups!A:A,Groups!C:C)="Untamable",1,IF(_xlfn.XLOOKUP(B196,'Base stats'!B:B,'Base stats'!AJ:AJ)=1,0.99,MIN(MROUND((1-0.6282*EXP(-0.459*AO196))*_xlfn.XLOOKUP(_xlfn.XLOOKUP(B196,'Base stats'!B:B,'Base stats'!E:E),Groups!A:A,Groups!C:C)*IF(_xlfn.XLOOKUP(B196,'Base stats'!B:B,'Base stats'!O:O)=1,0.5,IF(_xlfn.XLOOKUP(B196,'Base stats'!B:B,'Base stats'!O:O)=2,0,1)),0.05),0.985)))</f>
        <v>0.65</v>
      </c>
      <c r="K196" s="2">
        <f>ROUNDUP(AO196*_xlfn.XLOOKUP(_xlfn.XLOOKUP(B196,'Base stats'!B:B,'Base stats'!E:E),Groups!A:A,Groups!E:E),0)</f>
        <v>1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-50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IF(_xlfn.XLOOKUP(_xlfn.XLOOKUP(B196,'Base stats'!B:B,'Base stats'!E:E),Groups!A:A,Groups!L:L)=1,MIN(MROUND(_xlfn.XLOOKUP(B196,'Animals CE'!B:B,'Animals CE'!Z:Z)/2+0.05,0.05),200%),"No")</f>
        <v>No</v>
      </c>
      <c r="O196" s="8" t="str">
        <f>IF(_xlfn.XLOOKUP(_xlfn.XLOOKUP(B196,'Base stats'!B:B,'Base stats'!E:E),Groups!A:A,Groups!L:L)=1,MIN(MROUND(_xlfn.XLOOKUP(B196,'Animals CE'!B:B,'Animals CE'!AA:AA)/2+0.05,0.05),200%),"No")</f>
        <v>No</v>
      </c>
      <c r="P196" s="2" t="str">
        <f>_xlfn.XLOOKUP(B196,'Base stats'!B:B,'Base stats'!R:R)</f>
        <v>Standard</v>
      </c>
      <c r="Q196" s="13">
        <f>MROUND((LOG10(_xlfn.XLOOKUP(B196,'Base stats'!B:B,'Base stats'!AP:AP))*(AO196^0.5)+(_xlfn.XLOOKUP(B196,'Base stats'!B:B,'Base stats'!AP:AP)/1000)^(2/3)+_xlfn.XLOOKUP(B196,'Base stats'!B:B,'Base stats'!AY:AY)/2)+0.5,0.5)</f>
        <v>4</v>
      </c>
      <c r="R196" s="7">
        <f>IF(Q196="No","No",MAX(1,MROUND(_xlfn.XLOOKUP(B196,'Base stats'!B:B,'Base stats'!C:C)^0.165,0.05)))</f>
        <v>1.55</v>
      </c>
      <c r="S196" s="13" t="str">
        <f>IF(_xlfn.XLOOKUP(_xlfn.XLOOKUP(B196,'Base stats'!B:B,'Base stats'!E:E),Groups!A:A,Groups!P:P)=0,"No",MROUND((LOG10(_xlfn.XLOOKUP(B196,'Base stats'!B:B,'Base stats'!AQ:AQ))*(AO196^0.5)+(_xlfn.XLOOKUP(B196,'Base stats'!B:B,'Base stats'!AQ:AQ)/1000)^(2/3)+_xlfn.XLOOKUP(B196,'Base stats'!B:B,'Base stats'!AY:AY))+_xlfn.XLOOKUP(B196,'Base stats'!B:B,'Base stats'!AW:AW)+0.5,0.5))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stats'!AS:AS))*(AO196^0.5)+(_xlfn.XLOOKUP(B196,'Base stats'!B:B,'Base stats'!AS:AS)/1000)^(2/3)+_xlfn.XLOOKUP(B196,'Base stats'!B:B,'Base stats'!AX:AX))+0.5+IF(_xlfn.XLOOKUP(_xlfn.XLOOKUP(B196,'Base stats'!B:B,'Base stats'!E:E),Groups!A:A,Groups!U:U)&lt;&gt;3,_xlfn.XLOOKUP(B196,'Base stats'!B:B,'Base stats'!AY:AY),0),0.5))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stats'!AR:AR)="No","No",MROUND((LOG10(_xlfn.XLOOKUP(B196,'Base stats'!B:B,'Base stats'!AR:AR))*(AO196^0.75)+(_xlfn.XLOOKUP(B196,'Base stats'!B:B,'Base stats'!AR:AR)/1000)^(2/3)+_xlfn.XLOOKUP(B196,'Base stats'!B:B,'Base stats'!AV:AV)+_xlfn.XLOOKUP(B196,'Base stats'!B:B,'Base stats'!AY:AY))+0.5,0.5))</f>
        <v>7.5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Incisors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stats'!AQ:AQ))*(AO196^0.75)+(_xlfn.XLOOKUP(B196,'Base stats'!B:B,'Base stats'!AQ:AQ)/1000)^(2/3)+_xlfn.XLOOKUP(B196,'Base stats'!B:B,'Base stats'!AW:AW)+_xlfn.XLOOKUP(B196,'Base stats'!B:B,'Base stats'!AY:AY))+0.5,0.5))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 t="str">
        <f t="shared" si="57"/>
        <v>No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0.5</v>
      </c>
      <c r="AP196" s="8">
        <f>MROUND(AO196*_xlfn.XLOOKUP(_xlfn.XLOOKUP(B196,'Base stats'!B:B,'Base stats'!E:E),Groups!A:A,Groups!AI:AI),0.05)</f>
        <v>0.5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0.4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12</v>
      </c>
      <c r="AS196" s="35">
        <f>IFERROR(IF(_xlfn.XLOOKUP(B196,'Base stats'!B:B,'Base stats'!F:F)="Lay eggs","Lay eggs",MIN(20,MAX(5.5,ROUND(((_xlfn.XLOOKUP(B196,'Base stats'!B:B,'Base stats'!F:F)-25)*(14.5/615) + 5.5)*2,0)/2))),"Cannot breed")</f>
        <v>10</v>
      </c>
      <c r="AT196" s="8">
        <f>IF(OR(A196="Queen",A196="Larva",A196="Megachicken",A196="Megatardi",A196="Toxscorpion"),"No",IFERROR(MAX(IF(_xlfn.XLOOKUP(B196,'Base stats'!B:B,'Base stats'!G:G)&lt;0.5,0.2,0.3),MROUND(_xlfn.XLOOKUP(B196,'Base stats'!B:B,'Base stats'!G:G)/(365/60),0.2)),"Unknown"))</f>
        <v>0.4</v>
      </c>
      <c r="AU196" s="8">
        <f t="shared" si="63"/>
        <v>0.2</v>
      </c>
      <c r="AV196" s="8">
        <f>IFERROR(IFERROR(MROUND(_xlfn.XLOOKUP(B196,'Base stats'!B:B,'Base stats'!J:J),0.1),"Lay eggs"),"Cannot breed")</f>
        <v>1</v>
      </c>
      <c r="AW196" s="2" t="str">
        <f t="shared" si="58"/>
        <v>false</v>
      </c>
      <c r="AX196" s="2" t="str">
        <f>IF(_xlfn.XLOOKUP(_xlfn.XLOOKUP(Animals!B196,'Base stats'!B:B,'Base stats'!E:E),Groups!A:A,Groups!AK:AK)=1,"true","false")</f>
        <v>false</v>
      </c>
      <c r="AY196" s="25" t="str">
        <f>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</f>
        <v>VegetarianRoughAnimal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_xlfn.XLOOKUP(B196,'Base stats'!B:B,'Base stats'!AF:AF)</f>
        <v>No</v>
      </c>
      <c r="BB196" s="2" t="str">
        <f>_xlfn.XLOOKUP(B196,'Base stats'!B:B,'Base stats'!AE:AE)</f>
        <v>Leather_Light</v>
      </c>
      <c r="BC196" s="23" t="str">
        <f>_xlfn.XLOOKUP(_xlfn.XLOOKUP(B196,'Base stats'!B:B,'Base stats'!E:E),Groups!A:A,Groups!AL:AL)</f>
        <v>QuadrupedAnimalWithPawsAndTail</v>
      </c>
      <c r="BD196" s="23">
        <f>MIN(1,MROUND(IF(AND(AO196&lt;0.5,_xlfn.XLOOKUP(B196,'Base stats'!B:B,'Base stats'!Z:Z)=0),0,IF(OR(_xlfn.XLOOKUP(Animals!B196,'Base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stats'!AA:AA),0.005))</f>
        <v>0.1</v>
      </c>
      <c r="BE196" s="23">
        <f>MIN(1,MROUND(IF(AND(AO196&lt;0.5,_xlfn.XLOOKUP(B196,'Base stats'!B:B,'Base stats'!Z:Z)=0),0,IF(_xlfn.XLOOKUP(_xlfn.XLOOKUP(B196,'Base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stats'!AB:AB),0.005))</f>
        <v>0.3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48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None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false</v>
      </c>
      <c r="BK196" s="2" t="str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No</v>
      </c>
      <c r="BL196" s="2">
        <f t="shared" si="59"/>
        <v>0</v>
      </c>
      <c r="BM196" s="25" t="str">
        <f>IF(_xlfn.XLOOKUP(B196,'Base stats'!B:B,'Base stats'!AL:AL)="Standard","No",MROUND((_xlfn.XLOOKUP(B196,'Base stats'!B:B,'Base stats'!AL:AL)/3.6)/I196,0.1))</f>
        <v>No</v>
      </c>
      <c r="BN196" s="25" t="str">
        <f t="shared" si="60"/>
        <v>false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false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stats'!AC:AC)&lt;&gt;"No",_xlfn.XLOOKUP(B196,'Base stats'!B:B,'Base stats'!AC:AC),"")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stats'!AC:AC)&lt;&gt;"No",_xlfn.XLOOKUP(B196,'Base stats'!B:B,'Base stats'!AC:AC),"")
  )
)</f>
        <v>No</v>
      </c>
      <c r="BQ196" s="25" t="str">
        <f>IF(
   AND(
      'Base stats'!AL197="Standard",_xlfn.XLOOKUP(_xlfn.XLOOKUP(B196,'Base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No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stats'!AT:AT) * 1.8) * 2) * 2.5 + 10 + I196 * 2,5)+IF(_xlfn.XLOOKUP(B196,'Base stats'!B:B,'Base stats'!AI:AI)=1,50,0)</f>
        <v>50</v>
      </c>
      <c r="BS196" s="8">
        <f t="shared" si="61"/>
        <v>0.4</v>
      </c>
      <c r="BT196" s="8" t="str">
        <f>_xlfn.XLOOKUP(B196,'Base stats'!B:B,'Base stats'!AD:AD)</f>
        <v>No</v>
      </c>
      <c r="BU196" s="2" t="str">
        <f>IF(AND(J196&lt;=0.95,OR(_xlfn.XLOOKUP(B196,'Base stats'!B:B,'Base stats'!AI:AI)=1,_xlfn.XLOOKUP(B196,'Base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stats'!AG:AG)=1,"true","false")</f>
        <v>false</v>
      </c>
      <c r="BW196" s="25" t="str">
        <f>IF(E196="BaseInsect","AnimalInsect",
IF(J196&gt;0.95,"AnimalExotic",
_xlfn.TEXTJOIN(", ",TRUE,
IF(OR(_xlfn.XLOOKUP(B196,'Base stats'!B:B,'Base stats'!AK:AK)=1,AND(_xlfn.XLOOKUP(B196,'Base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stats'!AI:AI)=1,AND(BI196&lt;&gt;"None",BR196&gt;=60),ISNUMBER(SEARCH("Attack target",BP196))),"AnimalFighter","")
)))</f>
        <v>AnimalCommon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BorealForest ColdBog TemperateForest TemperateSwamp GlacialPlain</v>
      </c>
      <c r="BY196" s="25" t="str">
        <f>IF(_xlfn.XLOOKUP(B196,'Base stats'!B:B,'Base stats'!AH:AH)=1,"true","false")</f>
        <v>false</v>
      </c>
      <c r="BZ196" s="25">
        <f>IF(_xlfn.XLOOKUP(B196,'Base stats'!B:B,'Base stats'!N:N)=1,"No",MAX(0.01,MIN(MROUND(IF(OR(_xlfn.XLOOKUP(B196,'Base stats'!B:B,'Base stats'!AK:AK)=1,AND(BJ196="True",CC196="False")),POWER(10,3.47*LOG10(_xlfn.XLOOKUP(B196,'Base stats'!B:B,'Base stats'!C:C)*1000)^-0.96),POWER(10,4.15*LOG10(_xlfn.XLOOKUP(B196,'Base stats'!B:B,'Base stats'!C:C)*1000)^-0.73))*IF(OR(_xlfn.XLOOKUP(B196,'Base stats'!B:B,'Base stats'!AK:AK)=1,_xlfn.XLOOKUP(B196,'Base stats'!B:B,'Base stats'!AI:AI)=1),0.5,1)/100,0.025),1)))</f>
        <v>0.30000000000000004</v>
      </c>
      <c r="CA196" s="25" t="str">
        <f>IF(P196="Standard","No",MAX(0.01,IF(_xlfn.XLOOKUP(B196,'Base stats'!B:B,'Base stats'!N:N)=0,MROUND(BZ196*P196,0.05),MIN(1,MAX(0.025,MROUND(IF(OR(CC196="true",AND(BJ196="false",BO196="false")),POWER(10,4.15*LOG10(_xlfn.XLOOKUP(B196,'Base stats'!B:B,'Base stats'!C:C)*1000)^-0.73),POWER(10,3.47*LOG10(_xlfn.XLOOKUP(B196,'Base stats'!B:B,'Base stats'!C:C)*1000)^-0.96))*IF(_xlfn.XLOOKUP(B196,'Base stats'!B:B,'Base stats'!AI:AI)=1,0.5,1)/100,0.025))))))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62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ht="16.5" thickTop="1" thickBot="1" x14ac:dyDescent="0.3">
      <c r="A197" s="26" t="str">
        <f>_xlfn.XLOOKUP(B197,'Base stats'!B:B,'Base stats'!A:A)</f>
        <v>VasteHydra</v>
      </c>
      <c r="B197" s="6" t="s">
        <v>1337</v>
      </c>
      <c r="C197" s="28" t="s">
        <v>1335</v>
      </c>
      <c r="D197" s="28" t="s">
        <v>1336</v>
      </c>
      <c r="E197" s="28" t="s">
        <v>685</v>
      </c>
      <c r="F197" s="28" t="s">
        <v>685</v>
      </c>
      <c r="G197" s="28" t="s">
        <v>685</v>
      </c>
      <c r="H197" s="2">
        <f>MROUND((
  (IF(AND(_xlfn.XLOOKUP(B197,'Base stats'!B:B,'Base stats'!AJ:AJ)=0,BI197="None",_xlfn.XLOOKUP(_xlfn.XLOOKUP(B197,'Base stats'!B:B,'Base stats'!E:E),Groups!A:A,Groups!B:B)=0), (18 + BR197 * 2.7) * 0.5,
    IF(AND(_xlfn.XLOOKUP(B197,'Base stats'!B:B,'Base stats'!AJ:AJ)=0,OR(AO197&lt;0.55,AND(BI197="Intermediate",_xlfn.XLOOKUP(_xlfn.XLOOKUP(B197,'Base stats'!B:B,'Base stats'!E:E),Groups!A:A,Groups!B:B)&lt;2))), (18 + BR197 * 2.7),
      IF(OR(BI197="Advanced",_xlfn.XLOOKUP(B197,'Base stats'!B:B,'Base stats'!AJ:AJ)=1,_xlfn.XLOOKUP(_xlfn.XLOOKUP(B197,'Base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275</v>
      </c>
      <c r="I197" s="2">
        <f>MROUND(ROUNDDOWN(_xlfn.XLOOKUP(B197,'Base stats'!B:B,'Base stats'!L:L)/3.6/(23.3/11),1),0.5)</f>
        <v>2.5</v>
      </c>
      <c r="J197" s="2">
        <f>IF(_xlfn.XLOOKUP(_xlfn.XLOOKUP(B197,'Base stats'!B:B,'Base stats'!E:E),Groups!A:A,Groups!C:C)="Untamable",1,IF(_xlfn.XLOOKUP(B197,'Base stats'!B:B,'Base stats'!AJ:AJ)=1,0.99,MIN(MROUND((1-0.6282*EXP(-0.459*AO197))*_xlfn.XLOOKUP(_xlfn.XLOOKUP(B197,'Base stats'!B:B,'Base stats'!E:E),Groups!A:A,Groups!C:C)*IF(_xlfn.XLOOKUP(B197,'Base stats'!B:B,'Base stats'!O:O)=1,0.5,IF(_xlfn.XLOOKUP(B197,'Base stats'!B:B,'Base stats'!O:O)=2,0,1)),0.05),0.985)))</f>
        <v>0.70000000000000007</v>
      </c>
      <c r="K197" s="2">
        <f>ROUNDUP(AO197*_xlfn.XLOOKUP(_xlfn.XLOOKUP(B197,'Base stats'!B:B,'Base stats'!E:E),Groups!A:A,Groups!E:E),0)</f>
        <v>1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-5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50</v>
      </c>
      <c r="N197" s="8" t="str">
        <f>IF(_xlfn.XLOOKUP(_xlfn.XLOOKUP(B197,'Base stats'!B:B,'Base stats'!E:E),Groups!A:A,Groups!L:L)=1,MIN(MROUND(_xlfn.XLOOKUP(B197,'Animals CE'!B:B,'Animals CE'!Z:Z)/2+0.05,0.05),200%),"No")</f>
        <v>No</v>
      </c>
      <c r="O197" s="8" t="str">
        <f>IF(_xlfn.XLOOKUP(_xlfn.XLOOKUP(B197,'Base stats'!B:B,'Base stats'!E:E),Groups!A:A,Groups!L:L)=1,MIN(MROUND(_xlfn.XLOOKUP(B197,'Animals CE'!B:B,'Animals CE'!AA:AA)/2+0.05,0.05),200%),"No")</f>
        <v>No</v>
      </c>
      <c r="P197" s="2">
        <f>_xlfn.XLOOKUP(B197,'Base stats'!B:B,'Base stats'!R:R)</f>
        <v>1</v>
      </c>
      <c r="Q197" s="13">
        <f>MROUND((LOG10(_xlfn.XLOOKUP(B197,'Base stats'!B:B,'Base stats'!AP:AP))*(AO197^0.5)+(_xlfn.XLOOKUP(B197,'Base stats'!B:B,'Base stats'!AP:AP)/1000)^(2/3)+_xlfn.XLOOKUP(B197,'Base stats'!B:B,'Base stats'!AY:AY)/2)+0.5,0.5)</f>
        <v>3</v>
      </c>
      <c r="R197" s="7">
        <f>IF(Q197="No","No",MAX(1,MROUND(_xlfn.XLOOKUP(B197,'Base stats'!B:B,'Base stats'!C:C)^0.165,0.05)))</f>
        <v>1.4000000000000001</v>
      </c>
      <c r="S197" s="13" t="str">
        <f>IF(_xlfn.XLOOKUP(_xlfn.XLOOKUP(B197,'Base stats'!B:B,'Base stats'!E:E),Groups!A:A,Groups!P:P)=0,"No",MROUND((LOG10(_xlfn.XLOOKUP(B197,'Base stats'!B:B,'Base stats'!AQ:AQ))*(AO197^0.5)+(_xlfn.XLOOKUP(B197,'Base stats'!B:B,'Base stats'!AQ:AQ)/1000)^(2/3)+_xlfn.XLOOKUP(B197,'Base stats'!B:B,'Base stats'!AY:AY))+_xlfn.XLOOKUP(B197,'Base stats'!B:B,'Base stats'!AW:AW)+0.5,0.5))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 t="str">
        <f>IF(_xlfn.XLOOKUP(B197,'Base stats'!B:B,'Base stats'!W:W)="No","No",MROUND((LOG10(_xlfn.XLOOKUP(B197,'Base stats'!B:B,'Base stats'!AS:AS))*(AO197^0.5)+(_xlfn.XLOOKUP(B197,'Base stats'!B:B,'Base stats'!AS:AS)/1000)^(2/3)+_xlfn.XLOOKUP(B197,'Base stats'!B:B,'Base stats'!AX:AX))+0.5+IF(_xlfn.XLOOKUP(_xlfn.XLOOKUP(B197,'Base stats'!B:B,'Base stats'!E:E),Groups!A:A,Groups!U:U)&lt;&gt;3,_xlfn.XLOOKUP(B197,'Base stats'!B:B,'Base stats'!AY:AY),0),0.5))</f>
        <v>No</v>
      </c>
      <c r="Y197" s="7" t="str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No</v>
      </c>
      <c r="Z197" s="7" t="str">
        <f>IF(X197="No","No",_xlfn.XLOOKUP(_xlfn.XLOOKUP(B197,'Base stats'!B:B,'Base stats'!E:E),Groups!A:A,Groups!W:W))</f>
        <v>No</v>
      </c>
      <c r="AA197" s="7" t="str">
        <f>IF(X197="No","No",_xlfn.XLOOKUP(_xlfn.XLOOKUP(B197,'Base stats'!B:B,'Base stats'!E:E),Groups!A:A,Groups!X:X))</f>
        <v>No</v>
      </c>
      <c r="AB197" s="7" t="str">
        <f>IF(X197="No","No",_xlfn.XLOOKUP(_xlfn.XLOOKUP(B197,'Base stats'!B:B,'Base stats'!E:E),Groups!A:A,Groups!Y:Y))</f>
        <v>No</v>
      </c>
      <c r="AC197" s="7" t="str">
        <f>_xlfn.XLOOKUP(Animals!B197,'Base stats'!B:B,'Base stats'!X:X)</f>
        <v>False</v>
      </c>
      <c r="AD197" s="13">
        <f>IF(_xlfn.XLOOKUP(B197,'Base stats'!B:B,'Base stats'!AR:AR)="No","No",MROUND((LOG10(_xlfn.XLOOKUP(B197,'Base stats'!B:B,'Base stats'!AR:AR))*(AO197^0.75)+(_xlfn.XLOOKUP(B197,'Base stats'!B:B,'Base stats'!AR:AR)/1000)^(2/3)+_xlfn.XLOOKUP(B197,'Base stats'!B:B,'Base stats'!AV:AV)+_xlfn.XLOOKUP(B197,'Base stats'!B:B,'Base stats'!AY:AY))+0.5,0.5))</f>
        <v>4.5</v>
      </c>
      <c r="AE197" s="7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0.4</v>
      </c>
      <c r="AF197" s="7" t="str">
        <f>IF(AD197="No","No",_xlfn.XLOOKUP(_xlfn.XLOOKUP(B197,'Base stats'!B:B,'Base stats'!E:E),Groups!A:A,Groups!AA:AA))</f>
        <v>Mouth</v>
      </c>
      <c r="AG197" s="7" t="str">
        <f>IF(AD197="No","No",_xlfn.XLOOKUP(_xlfn.XLOOKUP(B197,'Base stats'!B:B,'Base stats'!E:E),Groups!A:A,Groups!AB:AB))</f>
        <v>fangs</v>
      </c>
      <c r="AH197" s="7" t="str">
        <f>IF(AD197="No","No",_xlfn.XLOOKUP(_xlfn.XLOOKUP(B197,'Base stats'!B:B,'Base stats'!E:E),Groups!A:A,Groups!AC:AC))</f>
        <v>ToxicBite</v>
      </c>
      <c r="AI197" s="13" t="str">
        <f>IF(_xlfn.XLOOKUP(_xlfn.XLOOKUP(B197,'Base stats'!B:B,'Base stats'!E:E),Groups!A:A,Groups!AD:AD)=0,"No",MROUND((LOG10(_xlfn.XLOOKUP(B197,'Base stats'!B:B,'Base stats'!AQ:AQ))*(AO197^0.75)+(_xlfn.XLOOKUP(B197,'Base stats'!B:B,'Base stats'!AQ:AQ)/1000)^(2/3)+_xlfn.XLOOKUP(B197,'Base stats'!B:B,'Base stats'!AW:AW)+_xlfn.XLOOKUP(B197,'Base stats'!B:B,'Base stats'!AY:AY))+0.5,0.5))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>
        <f t="shared" ref="AN197:AN200" si="64">IF(BJ197="false","No",MROUND(AO197*5+15*1,5))</f>
        <v>15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0.4</v>
      </c>
      <c r="AP197" s="8">
        <f>MROUND(AO197*_xlfn.XLOOKUP(_xlfn.XLOOKUP(B197,'Base stats'!B:B,'Base stats'!E:E),Groups!A:A,Groups!AI:AI),0.05)</f>
        <v>0.4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0.05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12</v>
      </c>
      <c r="AS197" s="35" t="str">
        <f>IFERROR(IF(_xlfn.XLOOKUP(B197,'Base stats'!B:B,'Base stats'!F:F)="Lay eggs","Lay eggs",MIN(20,MAX(5.5,ROUND(((_xlfn.XLOOKUP(B197,'Base stats'!B:B,'Base stats'!F:F)-25)*(14.5/615) + 5.5)*2,0)/2))),"Cannot breed")</f>
        <v>Lay eggs</v>
      </c>
      <c r="AT197" s="8">
        <f>IF(OR(A197="Queen",A197="Larva",A197="Megachicken",A197="Megatardi",A197="Toxscorpion"),"No",IFERROR(MAX(IF(_xlfn.XLOOKUP(B197,'Base stats'!B:B,'Base stats'!G:G)&lt;0.5,0.2,0.3),MROUND(_xlfn.XLOOKUP(B197,'Base stats'!B:B,'Base stats'!G:G)/(365/60),0.2)),"Unknown"))</f>
        <v>0.8</v>
      </c>
      <c r="AU197" s="8">
        <f t="shared" si="63"/>
        <v>0.4</v>
      </c>
      <c r="AV197" s="8" t="str">
        <f>IFERROR(IFERROR(MROUND(_xlfn.XLOOKUP(B197,'Base stats'!B:B,'Base stats'!J:J),0.1),"Lay eggs"),"Cannot breed")</f>
        <v>Lay eggs</v>
      </c>
      <c r="AW197" s="2" t="str">
        <f t="shared" ref="AW197:AW200" si="65">IF(BT197="No","false","true")</f>
        <v>false</v>
      </c>
      <c r="AX197" s="2" t="str">
        <f>IF(_xlfn.XLOOKUP(_xlfn.XLOOKUP(Animals!B197,'Base stats'!B:B,'Base stats'!E:E),Groups!A:A,Groups!AK:AK)=1,"true","false")</f>
        <v>false</v>
      </c>
      <c r="AY197" s="25" t="str">
        <f>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_xlfn.XLOOKUP(B197,'Base stats'!B:B,'Base stats'!AF:AF)</f>
        <v>No</v>
      </c>
      <c r="BB197" s="2" t="str">
        <f>_xlfn.XLOOKUP(B197,'Base stats'!B:B,'Base stats'!AE:AE)</f>
        <v>ToxicLeather</v>
      </c>
      <c r="BC197" s="23" t="str">
        <f>_xlfn.XLOOKUP(_xlfn.XLOOKUP(B197,'Base stats'!B:B,'Base stats'!E:E),Groups!A:A,Groups!AL:AL)</f>
        <v>Hydra</v>
      </c>
      <c r="BD197" s="23">
        <f>MIN(1,MROUND(IF(AND(AO197&lt;0.5,_xlfn.XLOOKUP(B197,'Base stats'!B:B,'Base stats'!Z:Z)=0),0,IF(OR(_xlfn.XLOOKUP(Animals!B197,'Base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stats'!AA:AA),0.005))</f>
        <v>0.1</v>
      </c>
      <c r="BE197" s="23">
        <f>MIN(1,MROUND(IF(AND(AO197&lt;0.5,_xlfn.XLOOKUP(B197,'Base stats'!B:B,'Base stats'!Z:Z)=0),0,IF(_xlfn.XLOOKUP(_xlfn.XLOOKUP(B197,'Base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stats'!AB:AB),0.005))</f>
        <v>0.3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None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true</v>
      </c>
      <c r="BK197" s="2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0.2</v>
      </c>
      <c r="BL197" s="2">
        <f t="shared" ref="BL197:BL200" si="66">IF(BI197&lt;&gt;"None",1,0)</f>
        <v>0</v>
      </c>
      <c r="BM197" s="25" t="str">
        <f>IF(_xlfn.XLOOKUP(B197,'Base stats'!B:B,'Base stats'!AL:AL)="Standard","No",MROUND((_xlfn.XLOOKUP(B197,'Base stats'!B:B,'Base stats'!AL:AL)/3.6)/I197,0.1))</f>
        <v>No</v>
      </c>
      <c r="BN197" s="25" t="str">
        <f t="shared" ref="BN197:BN200" si="67">IF(OR(BM197&lt;&gt;"No",BQ197=1),"true","false")</f>
        <v>false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false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stats'!AC:AC)&lt;&gt;"No",_xlfn.XLOOKUP(B197,'Base stats'!B:B,'Base stats'!AC:AC),"")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stats'!AC:AC)&lt;&gt;"No",_xlfn.XLOOKUP(B197,'Base stats'!B:B,'Base stats'!AC:AC),"")
  )
)</f>
        <v>No</v>
      </c>
      <c r="BQ197" s="25" t="str">
        <f>IF(
   AND(
      'Base stats'!AL198="Standard",_xlfn.XLOOKUP(_xlfn.XLOOKUP(B197,'Base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No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stats'!AT:AT) * 1.8) * 2) * 2.5 + 10 + I197 * 2,5)+IF(_xlfn.XLOOKUP(B197,'Base stats'!B:B,'Base stats'!AI:AI)=1,50,0)</f>
        <v>75</v>
      </c>
      <c r="BS197" s="8">
        <f t="shared" ref="BS197:BS200" si="68">MROUND(AO197 * 0.2 + AQ197 * 0.8,0.05)</f>
        <v>0.1</v>
      </c>
      <c r="BT197" s="8" t="str">
        <f>_xlfn.XLOOKUP(B197,'Base stats'!B:B,'Base stats'!AD:AD)</f>
        <v>No</v>
      </c>
      <c r="BU197" s="2" t="str">
        <f>IF(AND(J197&lt;=0.95,OR(_xlfn.XLOOKUP(B197,'Base stats'!B:B,'Base stats'!AI:AI)=1,_xlfn.XLOOKUP(B197,'Base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stats'!AG:AG)=1,"true","false")</f>
        <v>false</v>
      </c>
      <c r="BW197" s="25" t="str">
        <f>IF(E197="BaseInsect","AnimalInsect",
IF(J197&gt;0.95,"AnimalExotic",
_xlfn.TEXTJOIN(", ",TRUE,
IF(OR(_xlfn.XLOOKUP(B197,'Base stats'!B:B,'Base stats'!AK:AK)=1,AND(_xlfn.XLOOKUP(B197,'Base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stats'!AI:AI)=1,AND(BI197&lt;&gt;"None",BR197&gt;=60),ISNUMBER(SEARCH("Attack target",BP197))),"AnimalFighter","")
)))</f>
        <v>AnimalUncommon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AridShrubland Desert ExtremeDesert TropicalRainforest TropicalSwamp Grasslands Glowforest LavaField Scarlands</v>
      </c>
      <c r="BY197" s="25" t="str">
        <f>IF(_xlfn.XLOOKUP(B197,'Base stats'!B:B,'Base stats'!AH:AH)=1,"true","false")</f>
        <v>false</v>
      </c>
      <c r="BZ197" s="25" t="str">
        <f>IF(_xlfn.XLOOKUP(B197,'Base stats'!B:B,'Base stats'!N:N)=1,"No",MAX(0.01,MIN(MROUND(IF(OR(_xlfn.XLOOKUP(B197,'Base stats'!B:B,'Base stats'!AK:AK)=1,AND(BJ197="True",CC197="False")),POWER(10,3.47*LOG10(_xlfn.XLOOKUP(B197,'Base stats'!B:B,'Base stats'!C:C)*1000)^-0.96),POWER(10,4.15*LOG10(_xlfn.XLOOKUP(B197,'Base stats'!B:B,'Base stats'!C:C)*1000)^-0.73))*IF(OR(_xlfn.XLOOKUP(B197,'Base stats'!B:B,'Base stats'!AK:AK)=1,_xlfn.XLOOKUP(B197,'Base stats'!B:B,'Base stats'!AI:AI)=1),0.5,1)/100,0.025),1)))</f>
        <v>No</v>
      </c>
      <c r="CA197" s="25">
        <f>IF(P197="Standard","No",MAX(0.01,IF(_xlfn.XLOOKUP(B197,'Base stats'!B:B,'Base stats'!N:N)=0,MROUND(BZ197*P197,0.05),MIN(1,MAX(0.025,MROUND(IF(OR(CC197="true",AND(BJ197="false",BO197="false")),POWER(10,4.15*LOG10(_xlfn.XLOOKUP(B197,'Base stats'!B:B,'Base stats'!C:C)*1000)^-0.73),POWER(10,3.47*LOG10(_xlfn.XLOOKUP(B197,'Base stats'!B:B,'Base stats'!C:C)*1000)^-0.96))*IF(_xlfn.XLOOKUP(B197,'Base stats'!B:B,'Base stats'!AI:AI)=1,0.5,1)/100,0.025))))))</f>
        <v>0.35000000000000003</v>
      </c>
      <c r="CB197" s="25" t="str">
        <f>IF(_xlfn.XLOOKUP(_xlfn.XLOOKUP(B197,'Base stats'!B:B,'Base stats'!E:E),Groups!A:A,Groups!AJ:AJ)="Mammal","True","False")</f>
        <v>False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True</v>
      </c>
      <c r="CD197" s="25" t="str">
        <f t="shared" ref="CD197:CD200" si="69">IF(J197&gt;0.95,"True","False")</f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False</v>
      </c>
      <c r="CJ197" s="25" t="str">
        <f>IF(_xlfn.XLOOKUP(_xlfn.XLOOKUP(B197,'Base stats'!B:B,'Base stats'!E:E),Groups!A:A,Groups!BA:BA),"True","False")</f>
        <v>True</v>
      </c>
    </row>
    <row r="198" spans="1:88" ht="16.5" thickTop="1" thickBot="1" x14ac:dyDescent="0.3">
      <c r="A198" s="26" t="str">
        <f>_xlfn.XLOOKUP(B198,'Base stats'!B:B,'Base stats'!A:A)</f>
        <v>Megatardi</v>
      </c>
      <c r="B198" s="6" t="s">
        <v>1341</v>
      </c>
      <c r="C198" s="28" t="s">
        <v>1339</v>
      </c>
      <c r="D198" s="28" t="s">
        <v>1336</v>
      </c>
      <c r="E198" s="28" t="s">
        <v>1338</v>
      </c>
      <c r="F198" s="28" t="s">
        <v>685</v>
      </c>
      <c r="G198" s="28" t="s">
        <v>685</v>
      </c>
      <c r="H198" s="2">
        <f>MROUND((
  (IF(AND(_xlfn.XLOOKUP(B198,'Base stats'!B:B,'Base stats'!AJ:AJ)=0,BI198="None",_xlfn.XLOOKUP(_xlfn.XLOOKUP(B198,'Base stats'!B:B,'Base stats'!E:E),Groups!A:A,Groups!B:B)=0), (18 + BR198 * 2.7) * 0.5,
    IF(AND(_xlfn.XLOOKUP(B198,'Base stats'!B:B,'Base stats'!AJ:AJ)=0,OR(AO198&lt;0.55,AND(BI198="Intermediate",_xlfn.XLOOKUP(_xlfn.XLOOKUP(B198,'Base stats'!B:B,'Base stats'!E:E),Groups!A:A,Groups!B:B)&lt;2))), (18 + BR198 * 2.7),
      IF(OR(BI198="Advanced",_xlfn.XLOOKUP(B198,'Base stats'!B:B,'Base stats'!AJ:AJ)=1,_xlfn.XLOOKUP(_xlfn.XLOOKUP(B198,'Base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950</v>
      </c>
      <c r="I198" s="2">
        <f>MROUND(ROUNDDOWN(_xlfn.XLOOKUP(B198,'Base stats'!B:B,'Base stats'!L:L)/3.6/(23.3/11),1),0.5)</f>
        <v>1.5</v>
      </c>
      <c r="J198" s="2">
        <f>IF(_xlfn.XLOOKUP(_xlfn.XLOOKUP(B198,'Base stats'!B:B,'Base stats'!E:E),Groups!A:A,Groups!C:C)="Untamable",1,IF(_xlfn.XLOOKUP(B198,'Base stats'!B:B,'Base stats'!AJ:AJ)=1,0.99,MIN(MROUND((1-0.6282*EXP(-0.459*AO198))*_xlfn.XLOOKUP(_xlfn.XLOOKUP(B198,'Base stats'!B:B,'Base stats'!E:E),Groups!A:A,Groups!C:C)*IF(_xlfn.XLOOKUP(B198,'Base stats'!B:B,'Base stats'!O:O)=1,0.5,IF(_xlfn.XLOOKUP(B198,'Base stats'!B:B,'Base stats'!O:O)=2,0,1)),0.05),0.985)))</f>
        <v>0.75</v>
      </c>
      <c r="K198" s="2">
        <f>ROUNDUP(AO198*_xlfn.XLOOKUP(_xlfn.XLOOKUP(B198,'Base stats'!B:B,'Base stats'!E:E),Groups!A:A,Groups!E:E),0)</f>
        <v>11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-75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80</v>
      </c>
      <c r="N198" s="8">
        <f>IF(_xlfn.XLOOKUP(_xlfn.XLOOKUP(B198,'Base stats'!B:B,'Base stats'!E:E),Groups!A:A,Groups!L:L)=1,MIN(MROUND(_xlfn.XLOOKUP(B198,'Animals CE'!B:B,'Animals CE'!Z:Z)/2+0.05,0.05),200%),"No")</f>
        <v>0.85000000000000009</v>
      </c>
      <c r="O198" s="8">
        <f>IF(_xlfn.XLOOKUP(_xlfn.XLOOKUP(B198,'Base stats'!B:B,'Base stats'!E:E),Groups!A:A,Groups!L:L)=1,MIN(MROUND(_xlfn.XLOOKUP(B198,'Animals CE'!B:B,'Animals CE'!AA:AA)/2+0.05,0.05),200%),"No")</f>
        <v>0.1</v>
      </c>
      <c r="P198" s="2">
        <f>_xlfn.XLOOKUP(B198,'Base stats'!B:B,'Base stats'!R:R)</f>
        <v>1</v>
      </c>
      <c r="Q198" s="13">
        <f>MROUND((LOG10(_xlfn.XLOOKUP(B198,'Base stats'!B:B,'Base stats'!AP:AP))*(AO198^0.5)+(_xlfn.XLOOKUP(B198,'Base stats'!B:B,'Base stats'!AP:AP)/1000)^(2/3)+_xlfn.XLOOKUP(B198,'Base stats'!B:B,'Base stats'!AY:AY)/2)+0.5,0.5)</f>
        <v>12</v>
      </c>
      <c r="R198" s="7">
        <f>IF(Q198="No","No",MAX(1,MROUND(_xlfn.XLOOKUP(B198,'Base stats'!B:B,'Base stats'!C:C)^0.165,0.05)))</f>
        <v>2.5</v>
      </c>
      <c r="S198" s="13" t="str">
        <f>IF(_xlfn.XLOOKUP(_xlfn.XLOOKUP(B198,'Base stats'!B:B,'Base stats'!E:E),Groups!A:A,Groups!P:P)=0,"No",MROUND((LOG10(_xlfn.XLOOKUP(B198,'Base stats'!B:B,'Base stats'!AQ:AQ))*(AO198^0.5)+(_xlfn.XLOOKUP(B198,'Base stats'!B:B,'Base stats'!AQ:AQ)/1000)^(2/3)+_xlfn.XLOOKUP(B198,'Base stats'!B:B,'Base stats'!AY:AY))+_xlfn.XLOOKUP(B198,'Base stats'!B:B,'Base stats'!AW:AW)+0.5,0.5))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stats'!AS:AS))*(AO198^0.5)+(_xlfn.XLOOKUP(B198,'Base stats'!B:B,'Base stats'!AS:AS)/1000)^(2/3)+_xlfn.XLOOKUP(B198,'Base stats'!B:B,'Base stats'!AX:AX))+0.5+IF(_xlfn.XLOOKUP(_xlfn.XLOOKUP(B198,'Base stats'!B:B,'Base stats'!E:E),Groups!A:A,Groups!U:U)&lt;&gt;3,_xlfn.XLOOKUP(B198,'Base stats'!B:B,'Base stats'!AY:AY),0),0.5))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stats'!AR:AR)="No","No",MROUND((LOG10(_xlfn.XLOOKUP(B198,'Base stats'!B:B,'Base stats'!AR:AR))*(AO198^0.75)+(_xlfn.XLOOKUP(B198,'Base stats'!B:B,'Base stats'!AR:AR)/1000)^(2/3)+_xlfn.XLOOKUP(B198,'Base stats'!B:B,'Base stats'!AV:AV)+_xlfn.XLOOKUP(B198,'Base stats'!B:B,'Base stats'!AY:AY))+0.5,0.5))</f>
        <v>27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3</v>
      </c>
      <c r="AF198" s="7" t="str">
        <f>IF(AD198="No","No",_xlfn.XLOOKUP(_xlfn.XLOOKUP(B198,'Base stats'!B:B,'Base stats'!E:E),Groups!A:A,Groups!AA:AA))</f>
        <v>Mouth</v>
      </c>
      <c r="AG198" s="7" t="str">
        <f>IF(AD198="No","No",_xlfn.XLOOKUP(_xlfn.XLOOKUP(B198,'Base stats'!B:B,'Base stats'!E:E),Groups!A:A,Groups!AB:AB))</f>
        <v>mandibles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stats'!AQ:AQ))*(AO198^0.75)+(_xlfn.XLOOKUP(B198,'Base stats'!B:B,'Base stats'!AQ:AQ)/1000)^(2/3)+_xlfn.XLOOKUP(B198,'Base stats'!B:B,'Base stats'!AW:AW)+_xlfn.XLOOKUP(B198,'Base stats'!B:B,'Base stats'!AY:AY))+0.5,0.5))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64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2.1</v>
      </c>
      <c r="AP198" s="8">
        <f>MROUND(AO198*_xlfn.XLOOKUP(_xlfn.XLOOKUP(B198,'Base stats'!B:B,'Base stats'!E:E),Groups!A:A,Groups!AI:AI),0.05)</f>
        <v>2.1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0.25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10</v>
      </c>
      <c r="AS198" s="35">
        <f>IFERROR(IF(_xlfn.XLOOKUP(B198,'Base stats'!B:B,'Base stats'!F:F)="Lay eggs","Lay eggs",MIN(20,MAX(5.5,ROUND(((_xlfn.XLOOKUP(B198,'Base stats'!B:B,'Base stats'!F:F)-25)*(14.5/615) + 5.5)*2,0)/2))),"Cannot breed")</f>
        <v>11</v>
      </c>
      <c r="AT198" s="8" t="str">
        <f>IF(OR(A198="Queen",A198="Larva",A198="Megachicken",A198="Megatardi",A198="Toxscorpion"),"No",IFERROR(MAX(IF(_xlfn.XLOOKUP(B198,'Base stats'!B:B,'Base stats'!G:G)&lt;0.5,0.2,0.3),MROUND(_xlfn.XLOOKUP(B198,'Base stats'!B:B,'Base stats'!G:G)/(365/60),0.2)),"Unknown"))</f>
        <v>No</v>
      </c>
      <c r="AU198" s="8" t="str">
        <f>IF(AT198="No","No",IFERROR(MROUND(AT198/2,0.05),"Unknown"))</f>
        <v>No</v>
      </c>
      <c r="AV198" s="8">
        <f>IFERROR(IFERROR(MROUND(_xlfn.XLOOKUP(B198,'Base stats'!B:B,'Base stats'!J:J),0.1),"Lay eggs"),"Cannot breed")</f>
        <v>3</v>
      </c>
      <c r="AW198" s="2" t="str">
        <f t="shared" si="65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</f>
        <v>OmnivoreRoughAnimal, OvivoreAnimal</v>
      </c>
      <c r="AZ198" s="2">
        <f>IF(_xlfn.XLOOKUP(_xlfn.XLOOKUP(B198,'Base stats'!B:B,'Base stats'!E:E),Groups!A:A,Groups!D:D)=1,MROUND((1-J198)*5+1,2)*IF(J198&lt;=0.4,2,1),"No")</f>
        <v>2</v>
      </c>
      <c r="BA198" s="2" t="str">
        <f>_xlfn.XLOOKUP(B198,'Base stats'!B:B,'Base stats'!AF:AF)</f>
        <v>No</v>
      </c>
      <c r="BB198" s="2" t="str">
        <f>_xlfn.XLOOKUP(B198,'Base stats'!B:B,'Base stats'!AE:AE)</f>
        <v>No</v>
      </c>
      <c r="BC198" s="23" t="str">
        <f>_xlfn.XLOOKUP(_xlfn.XLOOKUP(B198,'Base stats'!B:B,'Base stats'!E:E),Groups!A:A,Groups!AL:AL)</f>
        <v>Megatardi</v>
      </c>
      <c r="BD198" s="23">
        <f>MIN(1,MROUND(IF(AND(AO198&lt;0.5,_xlfn.XLOOKUP(B198,'Base stats'!B:B,'Base stats'!Z:Z)=0),0,IF(OR(_xlfn.XLOOKUP(Animals!B198,'Base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stats'!AA:AA),0.005))</f>
        <v>2.5000000000000001E-2</v>
      </c>
      <c r="BE198" s="23">
        <f>MIN(1,MROUND(IF(AND(AO198&lt;0.5,_xlfn.XLOOKUP(B198,'Base stats'!B:B,'Base stats'!Z:Z)=0),0,IF(_xlfn.XLOOKUP(_xlfn.XLOOKUP(B198,'Base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stats'!AB:AB),0.005))</f>
        <v>0.1</v>
      </c>
      <c r="BF198" s="2" t="str">
        <f>IF(J198&gt;0.3,"No",_xlfn.XLOOKUP(_xlfn.XLOOKUP(Animals!B198,'Base stats'!B:B,'Base stats'!E:E),Groups!A:A,Groups!AP:AP))</f>
        <v>No</v>
      </c>
      <c r="BG198" s="2" t="str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No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66"/>
        <v>0</v>
      </c>
      <c r="BM198" s="25" t="str">
        <f>IF(_xlfn.XLOOKUP(B198,'Base stats'!B:B,'Base stats'!AL:AL)="Standard","No",MROUND((_xlfn.XLOOKUP(B198,'Base stats'!B:B,'Base stats'!AL:AL)/3.6)/I198,0.1))</f>
        <v>No</v>
      </c>
      <c r="BN198" s="25" t="str">
        <f t="shared" si="67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stats'!AC:AC)&lt;&gt;"No",_xlfn.XLOOKUP(B198,'Base stats'!B:B,'Base stats'!AC:AC),"")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stats'!AC:AC)&lt;&gt;"No",_xlfn.XLOOKUP(B198,'Base stats'!B:B,'Base stats'!AC:AC),"")
  )
)</f>
        <v>No</v>
      </c>
      <c r="BQ198" s="25" t="str">
        <f>IF(
   AND(
      'Base stats'!AL199="Standard",_xlfn.XLOOKUP(_xlfn.XLOOKUP(B198,'Base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stats'!AT:AT) * 1.8) * 2) * 2.5 + 10 + I198 * 2,5)+IF(_xlfn.XLOOKUP(B198,'Base stats'!B:B,'Base stats'!AI:AI)=1,50,0)</f>
        <v>260</v>
      </c>
      <c r="BS198" s="8">
        <f t="shared" si="68"/>
        <v>0.60000000000000009</v>
      </c>
      <c r="BT198" s="8" t="str">
        <f>_xlfn.XLOOKUP(B198,'Base stats'!B:B,'Base stats'!AD:AD)</f>
        <v>No</v>
      </c>
      <c r="BU198" s="2" t="str">
        <f>IF(AND(J198&lt;=0.95,OR(_xlfn.XLOOKUP(B198,'Base stats'!B:B,'Base stats'!AI:AI)=1,_xlfn.XLOOKUP(B198,'Base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stats'!AG:AG)=1,"true","false")</f>
        <v>true</v>
      </c>
      <c r="BW198" s="25" t="str">
        <f>IF(E198="BaseInsect","AnimalInsect",
IF(J198&gt;0.95,"AnimalExotic",
_xlfn.TEXTJOIN(", ",TRUE,
IF(OR(_xlfn.XLOOKUP(B198,'Base stats'!B:B,'Base stats'!AK:AK)=1,AND(_xlfn.XLOOKUP(B198,'Base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stats'!AI:AI)=1,AND(BI198&lt;&gt;"None",BR198&gt;=60),ISNUMBER(SEARCH("Attack target",BP198))),"AnimalFighter","")
)))</f>
        <v>AnimalUncommon, AnimalFighter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SeaIce IceSheet Tundra BorealForest ColdBog TemperateForest TemperateSwamp AridShrubland Desert ExtremeDesert TropicalRainforest TropicalSwamp Grasslands Glowforest LavaField GlacialPlain Scarlands</v>
      </c>
      <c r="BY198" s="25" t="str">
        <f>IF(_xlfn.XLOOKUP(B198,'Base stats'!B:B,'Base stats'!AH:AH)=1,"true","false")</f>
        <v>false</v>
      </c>
      <c r="BZ198" s="25" t="str">
        <f>IF(_xlfn.XLOOKUP(B198,'Base stats'!B:B,'Base stats'!N:N)=1,"No",MAX(0.01,MIN(MROUND(IF(OR(_xlfn.XLOOKUP(B198,'Base stats'!B:B,'Base stats'!AK:AK)=1,AND(BJ198="True",CC198="False")),POWER(10,3.47*LOG10(_xlfn.XLOOKUP(B198,'Base stats'!B:B,'Base stats'!C:C)*1000)^-0.96),POWER(10,4.15*LOG10(_xlfn.XLOOKUP(B198,'Base stats'!B:B,'Base stats'!C:C)*1000)^-0.73))*IF(OR(_xlfn.XLOOKUP(B198,'Base stats'!B:B,'Base stats'!AK:AK)=1,_xlfn.XLOOKUP(B198,'Base stats'!B:B,'Base stats'!AI:AI)=1),0.5,1)/100,0.025),1)))</f>
        <v>No</v>
      </c>
      <c r="CA198" s="25">
        <f>IF(P198="Standard","No",MAX(0.01,IF(_xlfn.XLOOKUP(B198,'Base stats'!B:B,'Base stats'!N:N)=0,MROUND(BZ198*P198,0.05),MIN(1,MAX(0.025,MROUND(IF(OR(CC198="true",AND(BJ198="false",BO198="false")),POWER(10,4.15*LOG10(_xlfn.XLOOKUP(B198,'Base stats'!B:B,'Base stats'!C:C)*1000)^-0.73),POWER(10,3.47*LOG10(_xlfn.XLOOKUP(B198,'Base stats'!B:B,'Base stats'!C:C)*1000)^-0.96))*IF(_xlfn.XLOOKUP(B198,'Base stats'!B:B,'Base stats'!AI:AI)=1,0.5,1)/100,0.025))))))</f>
        <v>7.5000000000000011E-2</v>
      </c>
      <c r="CB198" s="25" t="str">
        <f>IF(_xlfn.XLOOKUP(_xlfn.XLOOKUP(B198,'Base stats'!B:B,'Base stats'!E:E),Groups!A:A,Groups!AJ:AJ)="Mammal","True","False")</f>
        <v>False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True</v>
      </c>
      <c r="CD198" s="25" t="str">
        <f t="shared" si="69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Bone</v>
      </c>
      <c r="CI198" s="25" t="str">
        <f>IF(_xlfn.XLOOKUP(_xlfn.XLOOKUP(B198,'Base stats'!B:B,'Base stats'!E:E),Groups!A:A,Groups!BB:BB),"True","False")</f>
        <v>False</v>
      </c>
      <c r="CJ198" s="25" t="str">
        <f>IF(_xlfn.XLOOKUP(_xlfn.XLOOKUP(B198,'Base stats'!B:B,'Base stats'!E:E),Groups!A:A,Groups!BA:BA),"True","False")</f>
        <v>False</v>
      </c>
    </row>
    <row r="199" spans="1:88" s="16" customFormat="1" ht="16.5" thickTop="1" thickBot="1" x14ac:dyDescent="0.3">
      <c r="A199" s="26" t="str">
        <f>_xlfn.XLOOKUP(B199,'Base stats'!B:B,'Base stats'!A:A)</f>
        <v>Pestigator</v>
      </c>
      <c r="B199" s="6" t="s">
        <v>1343</v>
      </c>
      <c r="C199" s="28" t="s">
        <v>1342</v>
      </c>
      <c r="D199" s="28" t="s">
        <v>1336</v>
      </c>
      <c r="E199" s="28" t="s">
        <v>685</v>
      </c>
      <c r="F199" s="28" t="s">
        <v>685</v>
      </c>
      <c r="G199" s="28" t="s">
        <v>685</v>
      </c>
      <c r="H199" s="2">
        <f>MROUND((
  (IF(AND(_xlfn.XLOOKUP(B199,'Base stats'!B:B,'Base stats'!AJ:AJ)=0,BI199="None",_xlfn.XLOOKUP(_xlfn.XLOOKUP(B199,'Base stats'!B:B,'Base stats'!E:E),Groups!A:A,Groups!B:B)=0), (18 + BR199 * 2.7) * 0.5,
    IF(AND(_xlfn.XLOOKUP(B199,'Base stats'!B:B,'Base stats'!AJ:AJ)=0,OR(AO199&lt;0.55,AND(BI199="Intermediate",_xlfn.XLOOKUP(_xlfn.XLOOKUP(B199,'Base stats'!B:B,'Base stats'!E:E),Groups!A:A,Groups!B:B)&lt;2))), (18 + BR199 * 2.7),
      IF(OR(BI199="Advanced",_xlfn.XLOOKUP(B199,'Base stats'!B:B,'Base stats'!AJ:AJ)=1,_xlfn.XLOOKUP(_xlfn.XLOOKUP(B199,'Base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1450</v>
      </c>
      <c r="I199" s="2">
        <f>MROUND(ROUNDDOWN(_xlfn.XLOOKUP(B199,'Base stats'!B:B,'Base stats'!L:L)/3.6/(23.3/11),1),0.5)</f>
        <v>1.5</v>
      </c>
      <c r="J199" s="2">
        <f>IF(_xlfn.XLOOKUP(_xlfn.XLOOKUP(B199,'Base stats'!B:B,'Base stats'!E:E),Groups!A:A,Groups!C:C)="Untamable",1,IF(_xlfn.XLOOKUP(B199,'Base stats'!B:B,'Base stats'!AJ:AJ)=1,0.99,MIN(MROUND((1-0.6282*EXP(-0.459*AO199))*_xlfn.XLOOKUP(_xlfn.XLOOKUP(B199,'Base stats'!B:B,'Base stats'!E:E),Groups!A:A,Groups!C:C)*IF(_xlfn.XLOOKUP(B199,'Base stats'!B:B,'Base stats'!O:O)=1,0.5,IF(_xlfn.XLOOKUP(B199,'Base stats'!B:B,'Base stats'!O:O)=2,0,1)),0.05),0.985)))</f>
        <v>1</v>
      </c>
      <c r="K199" s="2">
        <f>ROUNDUP(AO199*_xlfn.XLOOKUP(_xlfn.XLOOKUP(B199,'Base stats'!B:B,'Base stats'!E:E),Groups!A:A,Groups!E:E),0)</f>
        <v>4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-15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40</v>
      </c>
      <c r="N199" s="8">
        <f>IF(_xlfn.XLOOKUP(_xlfn.XLOOKUP(B199,'Base stats'!B:B,'Base stats'!E:E),Groups!A:A,Groups!L:L)=1,MIN(MROUND(_xlfn.XLOOKUP(B199,'Animals CE'!B:B,'Animals CE'!Z:Z)/2+0.05,0.05),200%),"No")</f>
        <v>0.35000000000000003</v>
      </c>
      <c r="O199" s="8">
        <f>IF(_xlfn.XLOOKUP(_xlfn.XLOOKUP(B199,'Base stats'!B:B,'Base stats'!E:E),Groups!A:A,Groups!L:L)=1,MIN(MROUND(_xlfn.XLOOKUP(B199,'Animals CE'!B:B,'Animals CE'!AA:AA)/2+0.05,0.05),200%),"No")</f>
        <v>0.4</v>
      </c>
      <c r="P199" s="2">
        <f>_xlfn.XLOOKUP(B199,'Base stats'!B:B,'Base stats'!R:R)</f>
        <v>1</v>
      </c>
      <c r="Q199" s="13">
        <f>MROUND((LOG10(_xlfn.XLOOKUP(B199,'Base stats'!B:B,'Base stats'!AP:AP))*(AO199^0.5)+(_xlfn.XLOOKUP(B199,'Base stats'!B:B,'Base stats'!AP:AP)/1000)^(2/3)+_xlfn.XLOOKUP(B199,'Base stats'!B:B,'Base stats'!AY:AY)/2)+0.5,0.5)</f>
        <v>20.5</v>
      </c>
      <c r="R199" s="7">
        <f>IF(Q199="No","No",MAX(1,MROUND(_xlfn.XLOOKUP(B199,'Base stats'!B:B,'Base stats'!C:C)^0.165,0.05)))</f>
        <v>3.1500000000000004</v>
      </c>
      <c r="S199" s="13" t="str">
        <f>IF(_xlfn.XLOOKUP(_xlfn.XLOOKUP(B199,'Base stats'!B:B,'Base stats'!E:E),Groups!A:A,Groups!P:P)=0,"No",MROUND((LOG10(_xlfn.XLOOKUP(B199,'Base stats'!B:B,'Base stats'!AQ:AQ))*(AO199^0.5)+(_xlfn.XLOOKUP(B199,'Base stats'!B:B,'Base stats'!AQ:AQ)/1000)^(2/3)+_xlfn.XLOOKUP(B199,'Base stats'!B:B,'Base stats'!AY:AY))+_xlfn.XLOOKUP(B199,'Base stats'!B:B,'Base stats'!AW:AW)+0.5,0.5))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stats'!AS:AS))*(AO199^0.5)+(_xlfn.XLOOKUP(B199,'Base stats'!B:B,'Base stats'!AS:AS)/1000)^(2/3)+_xlfn.XLOOKUP(B199,'Base stats'!B:B,'Base stats'!AX:AX))+0.5+IF(_xlfn.XLOOKUP(_xlfn.XLOOKUP(B199,'Base stats'!B:B,'Base stats'!E:E),Groups!A:A,Groups!U:U)&lt;&gt;3,_xlfn.XLOOKUP(B199,'Base stats'!B:B,'Base stats'!AY:AY),0),0.5))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stats'!AR:AR)="No","No",MROUND((LOG10(_xlfn.XLOOKUP(B199,'Base stats'!B:B,'Base stats'!AR:AR))*(AO199^0.75)+(_xlfn.XLOOKUP(B199,'Base stats'!B:B,'Base stats'!AR:AR)/1000)^(2/3)+_xlfn.XLOOKUP(B199,'Base stats'!B:B,'Base stats'!AV:AV)+_xlfn.XLOOKUP(B199,'Base stats'!B:B,'Base stats'!AY:AY))+0.5,0.5))</f>
        <v>33.5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2.95</v>
      </c>
      <c r="AF199" s="7" t="str">
        <f>IF(AD199="No","No",_xlfn.XLOOKUP(_xlfn.XLOOKUP(B199,'Base stats'!B:B,'Base stats'!E:E),Groups!A:A,Groups!AA:AA))</f>
        <v>Teeth</v>
      </c>
      <c r="AG199" s="7" t="str">
        <f>IF(AD199="No","No",_xlfn.XLOOKUP(_xlfn.XLOOKUP(B199,'Base stats'!B:B,'Base stats'!E:E),Groups!A:A,Groups!AB:AB))</f>
        <v>teeth</v>
      </c>
      <c r="AH199" s="7" t="str">
        <f>IF(AD199="No","No",_xlfn.XLOOKUP(_xlfn.XLOOKUP(B199,'Base stats'!B:B,'Base stats'!E:E),Groups!A:A,Groups!AC:AC))</f>
        <v>Bite</v>
      </c>
      <c r="AI199" s="13" t="str">
        <f>IF(_xlfn.XLOOKUP(_xlfn.XLOOKUP(B199,'Base stats'!B:B,'Base stats'!E:E),Groups!A:A,Groups!AD:AD)=0,"No",MROUND((LOG10(_xlfn.XLOOKUP(B199,'Base stats'!B:B,'Base stats'!AQ:AQ))*(AO199^0.75)+(_xlfn.XLOOKUP(B199,'Base stats'!B:B,'Base stats'!AQ:AQ)/1000)^(2/3)+_xlfn.XLOOKUP(B199,'Base stats'!B:B,'Base stats'!AW:AW)+_xlfn.XLOOKUP(B199,'Base stats'!B:B,'Base stats'!AY:AY))+0.5,0.5))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64"/>
        <v>35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3.5</v>
      </c>
      <c r="AP199" s="8">
        <f>MROUND(AO199*_xlfn.XLOOKUP(_xlfn.XLOOKUP(B199,'Base stats'!B:B,'Base stats'!E:E),Groups!A:A,Groups!AI:AI),0.05)</f>
        <v>4.2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40</v>
      </c>
      <c r="AS199" s="35" t="str">
        <f>IFERROR(IF(_xlfn.XLOOKUP(B199,'Base stats'!B:B,'Base stats'!F:F)="Lay eggs","Lay eggs",MIN(20,MAX(5.5,ROUND(((_xlfn.XLOOKUP(B199,'Base stats'!B:B,'Base stats'!F:F)-25)*(14.5/615) + 5.5)*2,0)/2))),"Cannot breed")</f>
        <v>Lay eggs</v>
      </c>
      <c r="AT199" s="8">
        <f>IF(OR(A199="Queen",A199="Larva",A199="Megachicken",A199="Megatardi",A199="Toxscorpion"),"No",IFERROR(MAX(IF(_xlfn.XLOOKUP(B199,'Base stats'!B:B,'Base stats'!G:G)&lt;0.5,0.2,0.3),MROUND(_xlfn.XLOOKUP(B199,'Base stats'!B:B,'Base stats'!G:G)/(365/60),0.2)),"Unknown"))</f>
        <v>2.4000000000000004</v>
      </c>
      <c r="AU199" s="8">
        <f t="shared" ref="AU199:AU207" si="70">IF(AT199="No","No",IFERROR(MROUND(AT199/2,0.05),"Unknown"))</f>
        <v>1.2000000000000002</v>
      </c>
      <c r="AV199" s="8" t="str">
        <f>IFERROR(IFERROR(MROUND(_xlfn.XLOOKUP(B199,'Base stats'!B:B,'Base stats'!J:J),0.1),"Lay eggs"),"Cannot breed")</f>
        <v>Lay eggs</v>
      </c>
      <c r="AW199" s="2" t="str">
        <f t="shared" si="65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_xlfn.XLOOKUP(B199,'Base stats'!B:B,'Base stats'!AF:AF)</f>
        <v>No</v>
      </c>
      <c r="BB199" s="2" t="str">
        <f>_xlfn.XLOOKUP(B199,'Base stats'!B:B,'Base stats'!AE:AE)</f>
        <v>ToxicLeather</v>
      </c>
      <c r="BC199" s="23" t="str">
        <f>_xlfn.XLOOKUP(_xlfn.XLOOKUP(B199,'Base stats'!B:B,'Base stats'!E:E),Groups!A:A,Groups!AL:AL)</f>
        <v>QuadrupedAnimalWithClawsTailAndJowl</v>
      </c>
      <c r="BD199" s="23">
        <f>MIN(1,MROUND(IF(AND(AO199&lt;0.5,_xlfn.XLOOKUP(B199,'Base stats'!B:B,'Base stats'!Z:Z)=0),0,IF(OR(_xlfn.XLOOKUP(Animals!B199,'Base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stats'!AA:AA),0.005))</f>
        <v>0.1</v>
      </c>
      <c r="BE199" s="23">
        <f>MIN(1,MROUND(IF(AND(AO199&lt;0.5,_xlfn.XLOOKUP(B199,'Base stats'!B:B,'Base stats'!Z:Z)=0),0,IF(_xlfn.XLOOKUP(_xlfn.XLOOKUP(B199,'Base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stats'!AB:AB),0.005))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3.5</v>
      </c>
      <c r="BL199" s="2">
        <f t="shared" si="66"/>
        <v>0</v>
      </c>
      <c r="BM199" s="25">
        <f>IF(_xlfn.XLOOKUP(B199,'Base stats'!B:B,'Base stats'!AL:AL)="Standard","No",MROUND((_xlfn.XLOOKUP(B199,'Base stats'!B:B,'Base stats'!AL:AL)/3.6)/I199,0.1))</f>
        <v>2.8000000000000003</v>
      </c>
      <c r="BN199" s="25" t="str">
        <f t="shared" si="67"/>
        <v>true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true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stats'!AC:AC)&lt;&gt;"No",_xlfn.XLOOKUP(B199,'Base stats'!B:B,'Base stats'!AC:AC),"")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stats'!AC:AC)&lt;&gt;"No",_xlfn.XLOOKUP(B199,'Base stats'!B:B,'Base stats'!AC:AC),"")
  )
)</f>
        <v>No</v>
      </c>
      <c r="BQ199" s="25">
        <f>IF(
   AND(
      'Base stats'!AL199="Standard",_xlfn.XLOOKUP(_xlfn.XLOOKUP(B199,'Base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1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stats'!AT:AT) * 1.8) * 2) * 2.5 + 10 + I199 * 2,5)+IF(_xlfn.XLOOKUP(B199,'Base stats'!B:B,'Base stats'!AI:AI)=1,50,0)</f>
        <v>390</v>
      </c>
      <c r="BS199" s="8">
        <f t="shared" si="68"/>
        <v>1.1000000000000001</v>
      </c>
      <c r="BT199" s="8" t="str">
        <f>_xlfn.XLOOKUP(B199,'Base stats'!B:B,'Base stats'!AD:AD)</f>
        <v>No</v>
      </c>
      <c r="BU199" s="2" t="str">
        <f>IF(AND(J199&lt;=0.95,OR(_xlfn.XLOOKUP(B199,'Base stats'!B:B,'Base stats'!AI:AI)=1,_xlfn.XLOOKUP(B199,'Base stats'!B:B,'Base stats'!Y:Y)="Carnivore",_xlfn.XLOOKUP(B199,'Base stats'!B:B,'Base stats'!Y:Y)="Omnivore",BE199&gt;0.1)),"true","false")</f>
        <v>false</v>
      </c>
      <c r="BV199" s="2" t="str">
        <f>IF(_xlfn.XLOOKUP(B199,'Base stats'!B:B,'Base stats'!AG:AG)=1,"true","false")</f>
        <v>false</v>
      </c>
      <c r="BW199" s="25" t="str">
        <f>IF(E199="BaseInsect","AnimalInsect",
IF(J199&gt;0.95,"AnimalExotic",
_xlfn.TEXTJOIN(", ",TRUE,
IF(OR(_xlfn.XLOOKUP(B199,'Base stats'!B:B,'Base stats'!AK:AK)=1,AND(_xlfn.XLOOKUP(B199,'Base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stats'!AI:AI)=1,AND(BI199&lt;&gt;"None",BR199&gt;=60),ISNUMBER(SEARCH("Attack target",BP199))),"AnimalFighter","")
)))</f>
        <v>AnimalExotic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TemperateSwamp TropicalSwamp Glowforest Scarlands</v>
      </c>
      <c r="BY199" s="25" t="str">
        <f>IF(_xlfn.XLOOKUP(B199,'Base stats'!B:B,'Base stats'!AH:AH)=1,"true","false")</f>
        <v>false</v>
      </c>
      <c r="BZ199" s="25" t="str">
        <f>IF(_xlfn.XLOOKUP(B199,'Base stats'!B:B,'Base stats'!N:N)=1,"No",MAX(0.01,MIN(MROUND(IF(OR(_xlfn.XLOOKUP(B199,'Base stats'!B:B,'Base stats'!AK:AK)=1,AND(BJ199="True",CC199="False")),POWER(10,3.47*LOG10(_xlfn.XLOOKUP(B199,'Base stats'!B:B,'Base stats'!C:C)*1000)^-0.96),POWER(10,4.15*LOG10(_xlfn.XLOOKUP(B199,'Base stats'!B:B,'Base stats'!C:C)*1000)^-0.73))*IF(OR(_xlfn.XLOOKUP(B199,'Base stats'!B:B,'Base stats'!AK:AK)=1,_xlfn.XLOOKUP(B199,'Base stats'!B:B,'Base stats'!AI:AI)=1),0.5,1)/100,0.025),1)))</f>
        <v>No</v>
      </c>
      <c r="CA199" s="25">
        <f>IF(P199="Standard","No",MAX(0.01,IF(_xlfn.XLOOKUP(B199,'Base stats'!B:B,'Base stats'!N:N)=0,MROUND(BZ199*P199,0.05),MIN(1,MAX(0.025,MROUND(IF(OR(CC199="true",AND(BJ199="false",BO199="false")),POWER(10,4.15*LOG10(_xlfn.XLOOKUP(B199,'Base stats'!B:B,'Base stats'!C:C)*1000)^-0.73),POWER(10,3.47*LOG10(_xlfn.XLOOKUP(B199,'Base stats'!B:B,'Base stats'!C:C)*1000)^-0.96))*IF(_xlfn.XLOOKUP(B199,'Base stats'!B:B,'Base stats'!AI:AI)=1,0.5,1)/100,0.025))))))</f>
        <v>0.125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69"/>
        <v>True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Bone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False</v>
      </c>
    </row>
    <row r="200" spans="1:88" s="16" customFormat="1" ht="16.5" thickTop="1" thickBot="1" x14ac:dyDescent="0.3">
      <c r="A200" s="26" t="str">
        <f>_xlfn.XLOOKUP(B200,'Base stats'!B:B,'Base stats'!A:A)</f>
        <v>Toxafox</v>
      </c>
      <c r="B200" s="6" t="s">
        <v>1346</v>
      </c>
      <c r="C200" s="28" t="s">
        <v>1347</v>
      </c>
      <c r="D200" s="28" t="s">
        <v>1336</v>
      </c>
      <c r="E200" s="28" t="s">
        <v>685</v>
      </c>
      <c r="F200" s="28" t="s">
        <v>685</v>
      </c>
      <c r="G200" s="28" t="s">
        <v>685</v>
      </c>
      <c r="H200" s="2">
        <f>MROUND((
  (IF(AND(_xlfn.XLOOKUP(B200,'Base stats'!B:B,'Base stats'!AJ:AJ)=0,BI200="None",_xlfn.XLOOKUP(_xlfn.XLOOKUP(B200,'Base stats'!B:B,'Base stats'!E:E),Groups!A:A,Groups!B:B)=0), (18 + BR200 * 2.7) * 0.5,
    IF(AND(_xlfn.XLOOKUP(B200,'Base stats'!B:B,'Base stats'!AJ:AJ)=0,OR(AO200&lt;0.55,AND(BI200="Intermediate",_xlfn.XLOOKUP(_xlfn.XLOOKUP(B200,'Base stats'!B:B,'Base stats'!E:E),Groups!A:A,Groups!B:B)&lt;2))), (18 + BR200 * 2.7),
      IF(OR(BI200="Advanced",_xlfn.XLOOKUP(B200,'Base stats'!B:B,'Base stats'!AJ:AJ)=1,_xlfn.XLOOKUP(_xlfn.XLOOKUP(B200,'Base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150</v>
      </c>
      <c r="I200" s="2">
        <f>MROUND(ROUNDDOWN(_xlfn.XLOOKUP(B200,'Base stats'!B:B,'Base stats'!L:L)/3.6/(23.3/11),1),0.5)</f>
        <v>5.5</v>
      </c>
      <c r="J200" s="2">
        <f>IF(_xlfn.XLOOKUP(_xlfn.XLOOKUP(B200,'Base stats'!B:B,'Base stats'!E:E),Groups!A:A,Groups!C:C)="Untamable",1,IF(_xlfn.XLOOKUP(B200,'Base stats'!B:B,'Base stats'!AJ:AJ)=1,0.99,MIN(MROUND((1-0.6282*EXP(-0.459*AO200))*_xlfn.XLOOKUP(_xlfn.XLOOKUP(B200,'Base stats'!B:B,'Base stats'!E:E),Groups!A:A,Groups!C:C)*IF(_xlfn.XLOOKUP(B200,'Base stats'!B:B,'Base stats'!O:O)=1,0.5,IF(_xlfn.XLOOKUP(B200,'Base stats'!B:B,'Base stats'!O:O)=2,0,1)),0.05),0.985)))</f>
        <v>0.60000000000000009</v>
      </c>
      <c r="K200" s="2">
        <f>ROUNDUP(AO200*_xlfn.XLOOKUP(_xlfn.XLOOKUP(B200,'Base stats'!B:B,'Base stats'!E:E),Groups!A:A,Groups!E:E),0)</f>
        <v>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-45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35</v>
      </c>
      <c r="N200" s="8" t="str">
        <f>IF(_xlfn.XLOOKUP(_xlfn.XLOOKUP(B200,'Base stats'!B:B,'Base stats'!E:E),Groups!A:A,Groups!L:L)=1,MIN(MROUND(_xlfn.XLOOKUP(B200,'Animals CE'!B:B,'Animals CE'!Z:Z)/2+0.05,0.05),200%),"No")</f>
        <v>No</v>
      </c>
      <c r="O200" s="8" t="str">
        <f>IF(_xlfn.XLOOKUP(_xlfn.XLOOKUP(B200,'Base stats'!B:B,'Base stats'!E:E),Groups!A:A,Groups!L:L)=1,MIN(MROUND(_xlfn.XLOOKUP(B200,'Animals CE'!B:B,'Animals CE'!AA:AA)/2+0.05,0.05),200%),"No")</f>
        <v>No</v>
      </c>
      <c r="P200" s="2">
        <f>_xlfn.XLOOKUP(B200,'Base stats'!B:B,'Base stats'!R:R)</f>
        <v>1</v>
      </c>
      <c r="Q200" s="13">
        <f>MROUND((LOG10(_xlfn.XLOOKUP(B200,'Base stats'!B:B,'Base stats'!AP:AP))*(AO200^0.5)+(_xlfn.XLOOKUP(B200,'Base stats'!B:B,'Base stats'!AP:AP)/1000)^(2/3)+_xlfn.XLOOKUP(B200,'Base stats'!B:B,'Base stats'!AY:AY)/2)+0.5,0.5)</f>
        <v>3</v>
      </c>
      <c r="R200" s="7">
        <f>IF(Q200="No","No",MAX(1,MROUND(_xlfn.XLOOKUP(B200,'Base stats'!B:B,'Base stats'!C:C)^0.165,0.05)))</f>
        <v>1.35</v>
      </c>
      <c r="S200" s="13" t="str">
        <f>IF(_xlfn.XLOOKUP(_xlfn.XLOOKUP(B200,'Base stats'!B:B,'Base stats'!E:E),Groups!A:A,Groups!P:P)=0,"No",MROUND((LOG10(_xlfn.XLOOKUP(B200,'Base stats'!B:B,'Base stats'!AQ:AQ))*(AO200^0.5)+(_xlfn.XLOOKUP(B200,'Base stats'!B:B,'Base stats'!AQ:AQ)/1000)^(2/3)+_xlfn.XLOOKUP(B200,'Base stats'!B:B,'Base stats'!AY:AY))+_xlfn.XLOOKUP(B200,'Base stats'!B:B,'Base stats'!AW:AW)+0.5,0.5))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stats'!AS:AS))*(AO200^0.5)+(_xlfn.XLOOKUP(B200,'Base stats'!B:B,'Base stats'!AS:AS)/1000)^(2/3)+_xlfn.XLOOKUP(B200,'Base stats'!B:B,'Base stats'!AX:AX))+0.5+IF(_xlfn.XLOOKUP(_xlfn.XLOOKUP(B200,'Base stats'!B:B,'Base stats'!E:E),Groups!A:A,Groups!U:U)&lt;&gt;3,_xlfn.XLOOKUP(B200,'Base stats'!B:B,'Base stats'!AY:AY),0),0.5))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stats'!AR:AR)="No","No",MROUND((LOG10(_xlfn.XLOOKUP(B200,'Base stats'!B:B,'Base stats'!AR:AR))*(AO200^0.75)+(_xlfn.XLOOKUP(B200,'Base stats'!B:B,'Base stats'!AR:AR)/1000)^(2/3)+_xlfn.XLOOKUP(B200,'Base stats'!B:B,'Base stats'!AV:AV)+_xlfn.XLOOKUP(B200,'Base stats'!B:B,'Base stats'!AY:AY))+0.5,0.5))</f>
        <v>5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1.1000000000000001</v>
      </c>
      <c r="AF200" s="7" t="str">
        <f>IF(AD200="No","No",_xlfn.XLOOKUP(_xlfn.XLOOKUP(B200,'Base stats'!B:B,'Base stats'!E:E),Groups!A:A,Groups!AA:AA))</f>
        <v>Teeth</v>
      </c>
      <c r="AG200" s="7" t="str">
        <f>IF(AD200="No","No",_xlfn.XLOOKUP(_xlfn.XLOOKUP(B200,'Base stats'!B:B,'Base stats'!E:E),Groups!A:A,Groups!AB:AB))</f>
        <v>canines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stats'!AQ:AQ))*(AO200^0.75)+(_xlfn.XLOOKUP(B200,'Base stats'!B:B,'Base stats'!AQ:AQ)/1000)^(2/3)+_xlfn.XLOOKUP(B200,'Base stats'!B:B,'Base stats'!AW:AW)+_xlfn.XLOOKUP(B200,'Base stats'!B:B,'Base stats'!AY:AY))+0.5,0.5))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>
        <f t="shared" si="64"/>
        <v>15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0.35000000000000003</v>
      </c>
      <c r="AP200" s="8">
        <f>MROUND(AO200*_xlfn.XLOOKUP(_xlfn.XLOOKUP(B200,'Base stats'!B:B,'Base stats'!E:E),Groups!A:A,Groups!AI:AI),0.05)</f>
        <v>0.4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0.30000000000000004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12</v>
      </c>
      <c r="AS200" s="35">
        <f>IFERROR(IF(_xlfn.XLOOKUP(B200,'Base stats'!B:B,'Base stats'!F:F)="Lay eggs","Lay eggs",MIN(20,MAX(5.5,ROUND(((_xlfn.XLOOKUP(B200,'Base stats'!B:B,'Base stats'!F:F)-25)*(14.5/615) + 5.5)*2,0)/2))),"Cannot breed")</f>
        <v>6</v>
      </c>
      <c r="AT200" s="8">
        <f>IF(OR(A200="Queen",A200="Larva",A200="Megachicken",A200="Megatardi",A200="Toxscorpion"),"No",IFERROR(MAX(IF(_xlfn.XLOOKUP(B200,'Base stats'!B:B,'Base stats'!G:G)&lt;0.5,0.2,0.3),MROUND(_xlfn.XLOOKUP(B200,'Base stats'!B:B,'Base stats'!G:G)/(365/60),0.2)),"Unknown"))</f>
        <v>0.3</v>
      </c>
      <c r="AU200" s="8">
        <f t="shared" si="70"/>
        <v>0.15000000000000002</v>
      </c>
      <c r="AV200" s="8">
        <f>IFERROR(IFERROR(MROUND(_xlfn.XLOOKUP(B200,'Base stats'!B:B,'Base stats'!J:J),0.1),"Lay eggs"),"Cannot breed")</f>
        <v>5</v>
      </c>
      <c r="AW200" s="2" t="str">
        <f t="shared" si="65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</f>
        <v>CarnivoreAnimal, OvivoreAnimal</v>
      </c>
      <c r="AZ200" s="2" t="str">
        <f>IF(_xlfn.XLOOKUP(_xlfn.XLOOKUP(B200,'Base stats'!B:B,'Base stats'!E:E),Groups!A:A,Groups!D:D)=1,MROUND((1-J200)*5+1,2)*IF(J200&lt;=0.4,2,1),"No")</f>
        <v>No</v>
      </c>
      <c r="BA200" s="2" t="str">
        <f>_xlfn.XLOOKUP(B200,'Base stats'!B:B,'Base stats'!AF:AF)</f>
        <v>No</v>
      </c>
      <c r="BB200" s="2" t="str">
        <f>_xlfn.XLOOKUP(B200,'Base stats'!B:B,'Base stats'!AE:AE)</f>
        <v>ToxicLeather</v>
      </c>
      <c r="BC200" s="23" t="str">
        <f>_xlfn.XLOOKUP(_xlfn.XLOOKUP(B200,'Base stats'!B:B,'Base stats'!E:E),Groups!A:A,Groups!AL:AL)</f>
        <v>QuadrupedAnimalWithPawsAndTail</v>
      </c>
      <c r="BD200" s="23">
        <f>MIN(1,MROUND(IF(AND(AO200&lt;0.5,_xlfn.XLOOKUP(B200,'Base stats'!B:B,'Base stats'!Z:Z)=0),0,IF(OR(_xlfn.XLOOKUP(Animals!B200,'Base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stats'!AA:AA),0.005))</f>
        <v>0.1</v>
      </c>
      <c r="BE200" s="23">
        <f>MIN(1,MROUND(IF(AND(AO200&lt;0.5,_xlfn.XLOOKUP(B200,'Base stats'!B:B,'Base stats'!Z:Z)=0),0,IF(_xlfn.XLOOKUP(_xlfn.XLOOKUP(B200,'Base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stats'!AB:AB),0.005))</f>
        <v>0.3</v>
      </c>
      <c r="BF200" s="2" t="str">
        <f>IF(J200&gt;0.3,"No",_xlfn.XLOOKUP(_xlfn.XLOOKUP(Animals!B200,'Base stats'!B:B,'Base stats'!E:E),Groups!A:A,Groups!AP:AP))</f>
        <v>No</v>
      </c>
      <c r="BG200" s="2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36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Advanced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true</v>
      </c>
      <c r="BK200" s="2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0.2</v>
      </c>
      <c r="BL200" s="2">
        <f t="shared" si="66"/>
        <v>1</v>
      </c>
      <c r="BM200" s="25" t="str">
        <f>IF(_xlfn.XLOOKUP(B200,'Base stats'!B:B,'Base stats'!AL:AL)="Standard","No",MROUND((_xlfn.XLOOKUP(B200,'Base stats'!B:B,'Base stats'!AL:AL)/3.6)/I200,0.1))</f>
        <v>No</v>
      </c>
      <c r="BN200" s="25" t="str">
        <f t="shared" si="67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stats'!AC:AC)&lt;&gt;"No",_xlfn.XLOOKUP(B200,'Base stats'!B:B,'Base stats'!AC:AC),"")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stats'!AC:AC)&lt;&gt;"No",_xlfn.XLOOKUP(B200,'Base stats'!B:B,'Base stats'!AC:AC),"")
  )
)</f>
        <v>Comfort</v>
      </c>
      <c r="BQ200" s="25" t="str">
        <f>IF(
   AND(
      'Base stats'!AL200="Standard",_xlfn.XLOOKUP(_xlfn.XLOOKUP(B200,'Base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stats'!AT:AT) * 1.8) * 2) * 2.5 + 10 + I200 * 2,5)+IF(_xlfn.XLOOKUP(B200,'Base stats'!B:B,'Base stats'!AI:AI)=1,50,0)</f>
        <v>50</v>
      </c>
      <c r="BS200" s="8">
        <f t="shared" si="68"/>
        <v>0.30000000000000004</v>
      </c>
      <c r="BT200" s="8" t="str">
        <f>_xlfn.XLOOKUP(B200,'Base stats'!B:B,'Base stats'!AD:AD)</f>
        <v>No</v>
      </c>
      <c r="BU200" s="2" t="str">
        <f>IF(AND(J200&lt;=0.95,OR(_xlfn.XLOOKUP(B200,'Base stats'!B:B,'Base stats'!AI:AI)=1,_xlfn.XLOOKUP(B200,'Base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stats'!AG:AG)=1,"true","false")</f>
        <v>false</v>
      </c>
      <c r="BW200" s="25" t="str">
        <f>IF(E200="BaseInsect","AnimalInsect",
IF(J200&gt;0.95,"AnimalExotic",
_xlfn.TEXTJOIN(", ",TRUE,
IF(OR(_xlfn.XLOOKUP(B200,'Base stats'!B:B,'Base stats'!AK:AK)=1,AND(_xlfn.XLOOKUP(B200,'Base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stats'!AI:AI)=1,AND(BI200&lt;&gt;"None",BR200&gt;=60),ISNUMBER(SEARCH("Attack target",BP200))),"AnimalFighter","")
)))</f>
        <v>AnimalCommon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Tundra BorealForest ColdBog TemperateForest TemperateSwamp GlacialPlain Scarlands</v>
      </c>
      <c r="BY200" s="25" t="str">
        <f>IF(_xlfn.XLOOKUP(B200,'Base stats'!B:B,'Base stats'!AH:AH)=1,"true","false")</f>
        <v>false</v>
      </c>
      <c r="BZ200" s="25" t="str">
        <f>IF(_xlfn.XLOOKUP(B200,'Base stats'!B:B,'Base stats'!N:N)=1,"No",MAX(0.01,MIN(MROUND(IF(OR(_xlfn.XLOOKUP(B200,'Base stats'!B:B,'Base stats'!AK:AK)=1,AND(BJ200="True",CC200="False")),POWER(10,3.47*LOG10(_xlfn.XLOOKUP(B200,'Base stats'!B:B,'Base stats'!C:C)*1000)^-0.96),POWER(10,4.15*LOG10(_xlfn.XLOOKUP(B200,'Base stats'!B:B,'Base stats'!C:C)*1000)^-0.73))*IF(OR(_xlfn.XLOOKUP(B200,'Base stats'!B:B,'Base stats'!AK:AK)=1,_xlfn.XLOOKUP(B200,'Base stats'!B:B,'Base stats'!AI:AI)=1),0.5,1)/100,0.025),1)))</f>
        <v>No</v>
      </c>
      <c r="CA200" s="25">
        <f>IF(P200="Standard","No",MAX(0.01,IF(_xlfn.XLOOKUP(B200,'Base stats'!B:B,'Base stats'!N:N)=0,MROUND(BZ200*P200,0.05),MIN(1,MAX(0.025,MROUND(IF(OR(CC200="true",AND(BJ200="false",BO200="false")),POWER(10,4.15*LOG10(_xlfn.XLOOKUP(B200,'Base stats'!B:B,'Base stats'!C:C)*1000)^-0.73),POWER(10,3.47*LOG10(_xlfn.XLOOKUP(B200,'Base stats'!B:B,'Base stats'!C:C)*1000)^-0.96))*IF(_xlfn.XLOOKUP(B200,'Base stats'!B:B,'Base stats'!AI:AI)=1,0.5,1)/100,0.025))))))</f>
        <v>0.1</v>
      </c>
      <c r="CB200" s="25" t="str">
        <f>IF(_xlfn.XLOOKUP(_xlfn.XLOOKUP(B200,'Base stats'!B:B,'Base stats'!E:E),Groups!A:A,Groups!AJ:AJ)="Mammal","True","False")</f>
        <v>True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False</v>
      </c>
      <c r="CD200" s="25" t="str">
        <f t="shared" si="69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No</v>
      </c>
      <c r="CI200" s="25" t="str">
        <f>IF(_xlfn.XLOOKUP(_xlfn.XLOOKUP(B200,'Base stats'!B:B,'Base stats'!E:E),Groups!A:A,Groups!BB:BB),"True","False")</f>
        <v>True</v>
      </c>
      <c r="CJ200" s="25" t="str">
        <f>IF(_xlfn.XLOOKUP(_xlfn.XLOOKUP(B200,'Base stats'!B:B,'Base stats'!E:E),Groups!A:A,Groups!BA:BA),"True","False")</f>
        <v>False</v>
      </c>
    </row>
    <row r="201" spans="1:88" ht="16.5" thickTop="1" thickBot="1" x14ac:dyDescent="0.3">
      <c r="A201" s="26" t="str">
        <f>_xlfn.XLOOKUP(B201,'Base stats'!B:B,'Base stats'!A:A)</f>
        <v>Toxbear</v>
      </c>
      <c r="B201" s="6" t="s">
        <v>1351</v>
      </c>
      <c r="C201" s="28" t="s">
        <v>1350</v>
      </c>
      <c r="D201" s="28" t="s">
        <v>1336</v>
      </c>
      <c r="E201" s="28" t="s">
        <v>685</v>
      </c>
      <c r="F201" s="28" t="s">
        <v>685</v>
      </c>
      <c r="G201" s="28" t="s">
        <v>685</v>
      </c>
      <c r="H201" s="2">
        <f>MROUND((
  (IF(AND(_xlfn.XLOOKUP(B201,'Base stats'!B:B,'Base stats'!AJ:AJ)=0,BI201="None",_xlfn.XLOOKUP(_xlfn.XLOOKUP(B201,'Base stats'!B:B,'Base stats'!E:E),Groups!A:A,Groups!B:B)=0), (18 + BR201 * 2.7) * 0.5,
    IF(AND(_xlfn.XLOOKUP(B201,'Base stats'!B:B,'Base stats'!AJ:AJ)=0,OR(AO201&lt;0.55,AND(BI201="Intermediate",_xlfn.XLOOKUP(_xlfn.XLOOKUP(B201,'Base stats'!B:B,'Base stats'!E:E),Groups!A:A,Groups!B:B)&lt;2))), (18 + BR201 * 2.7),
      IF(OR(BI201="Advanced",_xlfn.XLOOKUP(B201,'Base stats'!B:B,'Base stats'!AJ:AJ)=1,_xlfn.XLOOKUP(_xlfn.XLOOKUP(B201,'Base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1825</v>
      </c>
      <c r="I201" s="2">
        <f>MROUND(ROUNDDOWN(_xlfn.XLOOKUP(B201,'Base stats'!B:B,'Base stats'!L:L)/3.6/(23.3/11),1),0.5)</f>
        <v>6</v>
      </c>
      <c r="J201" s="2">
        <f>IF(_xlfn.XLOOKUP(_xlfn.XLOOKUP(B201,'Base stats'!B:B,'Base stats'!E:E),Groups!A:A,Groups!C:C)="Untamable",1,IF(_xlfn.XLOOKUP(B201,'Base stats'!B:B,'Base stats'!AJ:AJ)=1,0.99,MIN(MROUND((1-0.6282*EXP(-0.459*AO201))*_xlfn.XLOOKUP(_xlfn.XLOOKUP(B201,'Base stats'!B:B,'Base stats'!E:E),Groups!A:A,Groups!C:C)*IF(_xlfn.XLOOKUP(B201,'Base stats'!B:B,'Base stats'!O:O)=1,0.5,IF(_xlfn.XLOOKUP(B201,'Base stats'!B:B,'Base stats'!O:O)=2,0,1)),0.05),0.985)))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-60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35</v>
      </c>
      <c r="N201" s="8" t="str">
        <f>IF(_xlfn.XLOOKUP(_xlfn.XLOOKUP(B201,'Base stats'!B:B,'Base stats'!E:E),Groups!A:A,Groups!L:L)=1,MIN(MROUND(_xlfn.XLOOKUP(B201,'Animals CE'!B:B,'Animals CE'!Z:Z)/2+0.05,0.05),200%),"No")</f>
        <v>No</v>
      </c>
      <c r="O201" s="8" t="str">
        <f>IF(_xlfn.XLOOKUP(_xlfn.XLOOKUP(B201,'Base stats'!B:B,'Base stats'!E:E),Groups!A:A,Groups!L:L)=1,MIN(MROUND(_xlfn.XLOOKUP(B201,'Animals CE'!B:B,'Animals CE'!AA:AA)/2+0.05,0.05),200%),"No")</f>
        <v>No</v>
      </c>
      <c r="P201" s="2">
        <f>_xlfn.XLOOKUP(B201,'Base stats'!B:B,'Base stats'!R:R)</f>
        <v>1</v>
      </c>
      <c r="Q201" s="13">
        <f>MROUND((LOG10(_xlfn.XLOOKUP(B201,'Base stats'!B:B,'Base stats'!AP:AP))*(AO201^0.5)+(_xlfn.XLOOKUP(B201,'Base stats'!B:B,'Base stats'!AP:AP)/1000)^(2/3)+_xlfn.XLOOKUP(B201,'Base stats'!B:B,'Base stats'!AY:AY)/2)+0.5,0.5)</f>
        <v>26</v>
      </c>
      <c r="R201" s="7">
        <f>IF(Q201="No","No",MAX(1,MROUND(_xlfn.XLOOKUP(B201,'Base stats'!B:B,'Base stats'!C:C)^0.165,0.05)))</f>
        <v>3.5</v>
      </c>
      <c r="S201" s="13" t="str">
        <f>IF(_xlfn.XLOOKUP(_xlfn.XLOOKUP(B201,'Base stats'!B:B,'Base stats'!E:E),Groups!A:A,Groups!P:P)=0,"No",MROUND((LOG10(_xlfn.XLOOKUP(B201,'Base stats'!B:B,'Base stats'!AQ:AQ))*(AO201^0.5)+(_xlfn.XLOOKUP(B201,'Base stats'!B:B,'Base stats'!AQ:AQ)/1000)^(2/3)+_xlfn.XLOOKUP(B201,'Base stats'!B:B,'Base stats'!AY:AY))+_xlfn.XLOOKUP(B201,'Base stats'!B:B,'Base stats'!AW:AW)+0.5,0.5))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stats'!AS:AS))*(AO201^0.5)+(_xlfn.XLOOKUP(B201,'Base stats'!B:B,'Base stats'!AS:AS)/1000)^(2/3)+_xlfn.XLOOKUP(B201,'Base stats'!B:B,'Base stats'!AX:AX))+0.5+IF(_xlfn.XLOOKUP(_xlfn.XLOOKUP(B201,'Base stats'!B:B,'Base stats'!E:E),Groups!A:A,Groups!U:U)&lt;&gt;3,_xlfn.XLOOKUP(B201,'Base stats'!B:B,'Base stats'!AY:AY),0),0.5))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stats'!AR:AR)="No","No",MROUND((LOG10(_xlfn.XLOOKUP(B201,'Base stats'!B:B,'Base stats'!AR:AR))*(AO201^0.75)+(_xlfn.XLOOKUP(B201,'Base stats'!B:B,'Base stats'!AR:AR)/1000)^(2/3)+_xlfn.XLOOKUP(B201,'Base stats'!B:B,'Base stats'!AV:AV)+_xlfn.XLOOKUP(B201,'Base stats'!B:B,'Base stats'!AY:AY))+0.5,0.5))</f>
        <v>39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3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canines</v>
      </c>
      <c r="AH201" s="7" t="str">
        <f>IF(AD201="No","No",_xlfn.XLOOKUP(_xlfn.XLOOKUP(B201,'Base stats'!B:B,'Base stats'!E:E),Groups!A:A,Groups!AC:AC))</f>
        <v>Bite</v>
      </c>
      <c r="AI201" s="13">
        <f>IF(_xlfn.XLOOKUP(_xlfn.XLOOKUP(B201,'Base stats'!B:B,'Base stats'!E:E),Groups!A:A,Groups!AD:AD)=0,"No",MROUND((LOG10(_xlfn.XLOOKUP(B201,'Base stats'!B:B,'Base stats'!AQ:AQ))*(AO201^0.75)+(_xlfn.XLOOKUP(B201,'Base stats'!B:B,'Base stats'!AQ:AQ)/1000)^(2/3)+_xlfn.XLOOKUP(B201,'Base stats'!B:B,'Base stats'!AW:AW)+_xlfn.XLOOKUP(B201,'Base stats'!B:B,'Base stats'!AY:AY))+0.5,0.5))</f>
        <v>38</v>
      </c>
      <c r="AJ201" s="7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2.3000000000000003</v>
      </c>
      <c r="AK201" s="7" t="str">
        <f>IF(AI201="No","No",_xlfn.XLOOKUP(_xlfn.XLOOKUP(B201,'Base stats'!B:B,'Base stats'!E:E),Groups!A:A,Groups!AF:AF))</f>
        <v>FrontRightPaw, FrontRightPaw</v>
      </c>
      <c r="AL201" s="7" t="str">
        <f>IF(AI201="No","No",_xlfn.XLOOKUP(_xlfn.XLOOKUP(B201,'Base stats'!B:B,'Base stats'!E:E),Groups!A:A,Groups!AG:AG))</f>
        <v>left claw, right claw</v>
      </c>
      <c r="AM201" s="7" t="str">
        <f>IF(AI201="No","No",_xlfn.XLOOKUP(_xlfn.XLOOKUP(B201,'Base stats'!B:B,'Base stats'!E:E),Groups!A:A,Groups!AH:AH))</f>
        <v>Scratch</v>
      </c>
      <c r="AN201" s="2">
        <f t="shared" ref="AN201:AN205" si="71">IF(BJ201="false","No",MROUND(AO201*5+15*1,5))</f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4</v>
      </c>
      <c r="AP201" s="8">
        <f>MROUND(AO201*_xlfn.XLOOKUP(_xlfn.XLOOKUP(B201,'Base stats'!B:B,'Base stats'!E:E),Groups!A:A,Groups!AI:AI),0.05)</f>
        <v>4.8000000000000007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2.3000000000000003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25</v>
      </c>
      <c r="AS201" s="35">
        <f>IFERROR(IF(_xlfn.XLOOKUP(B201,'Base stats'!B:B,'Base stats'!F:F)="Lay eggs","Lay eggs",MIN(20,MAX(5.5,ROUND(((_xlfn.XLOOKUP(B201,'Base stats'!B:B,'Base stats'!F:F)-25)*(14.5/615) + 5.5)*2,0)/2))),"Cannot breed")</f>
        <v>7.5</v>
      </c>
      <c r="AT201" s="8">
        <f>IF(OR(A201="Queen",A201="Larva",A201="Megachicken",A201="Megatardi",A201="Toxscorpion"),"No",IFERROR(MAX(IF(_xlfn.XLOOKUP(B201,'Base stats'!B:B,'Base stats'!G:G)&lt;0.5,0.2,0.3),MROUND(_xlfn.XLOOKUP(B201,'Base stats'!B:B,'Base stats'!G:G)/(365/60),0.2)),"Unknown"))</f>
        <v>0.8</v>
      </c>
      <c r="AU201" s="8">
        <f t="shared" si="70"/>
        <v>0.4</v>
      </c>
      <c r="AV201" s="8">
        <f>IFERROR(IFERROR(MROUND(_xlfn.XLOOKUP(B201,'Base stats'!B:B,'Base stats'!J:J),0.1),"Lay eggs"),"Cannot breed")</f>
        <v>2</v>
      </c>
      <c r="AW201" s="2" t="str">
        <f t="shared" ref="AW201:AW205" si="72">IF(BT201="No","false","true")</f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</f>
        <v>OmnivoreAnimal,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_xlfn.XLOOKUP(B201,'Base stats'!B:B,'Base stats'!AF:AF)</f>
        <v>No</v>
      </c>
      <c r="BB201" s="2" t="str">
        <f>_xlfn.XLOOKUP(B201,'Base stats'!B:B,'Base stats'!AE:AE)</f>
        <v>ToxicLeather</v>
      </c>
      <c r="BC201" s="23" t="str">
        <f>_xlfn.XLOOKUP(_xlfn.XLOOKUP(B201,'Base stats'!B:B,'Base stats'!E:E),Groups!A:A,Groups!AL:AL)</f>
        <v>QuadrupedAnimalWithPaws</v>
      </c>
      <c r="BD201" s="23">
        <f>MIN(1,MROUND(IF(AND(AO201&lt;0.5,_xlfn.XLOOKUP(B201,'Base stats'!B:B,'Base stats'!Z:Z)=0),0,IF(OR(_xlfn.XLOOKUP(Animals!B201,'Base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stats'!AA:AA),0.005))</f>
        <v>0.1</v>
      </c>
      <c r="BE201" s="23">
        <f>MIN(1,MROUND(IF(AND(AO201&lt;0.5,_xlfn.XLOOKUP(B201,'Base stats'!B:B,'Base stats'!Z:Z)=0),0,IF(_xlfn.XLOOKUP(_xlfn.XLOOKUP(B201,'Base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stats'!AB:AB),0.005))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Advanced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7</v>
      </c>
      <c r="BL201" s="2">
        <f t="shared" ref="BL201:BL205" si="73">IF(BI201&lt;&gt;"None",1,0)</f>
        <v>1</v>
      </c>
      <c r="BM201" s="25" t="str">
        <f>IF(_xlfn.XLOOKUP(B201,'Base stats'!B:B,'Base stats'!AL:AL)="Standard","No",MROUND((_xlfn.XLOOKUP(B201,'Base stats'!B:B,'Base stats'!AL:AL)/3.6)/I201,0.1))</f>
        <v>No</v>
      </c>
      <c r="BN201" s="25" t="str">
        <f t="shared" ref="BN201:BN205" si="74">IF(OR(BM201&lt;&gt;"No",BQ201=1),"true","false")</f>
        <v>false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stats'!AC:AC)&lt;&gt;"No",_xlfn.XLOOKUP(B201,'Base stats'!B:B,'Base stats'!AC:AC),"")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stats'!AC:AC)&lt;&gt;"No",_xlfn.XLOOKUP(B201,'Base stats'!B:B,'Base stats'!AC:AC),"")
  )
)</f>
        <v>AttackTarget, Forage</v>
      </c>
      <c r="BQ201" s="25" t="str">
        <f>IF(
   AND(
      'Base stats'!AL201="Standard",_xlfn.XLOOKUP(_xlfn.XLOOKUP(B201,'Base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No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stats'!AT:AT) * 1.8) * 2) * 2.5 + 10 + I201 * 2,5)+IF(_xlfn.XLOOKUP(B201,'Base stats'!B:B,'Base stats'!AI:AI)=1,50,0)</f>
        <v>535</v>
      </c>
      <c r="BS201" s="8">
        <f t="shared" ref="BS201:BS205" si="75">MROUND(AO201 * 0.2 + AQ201 * 0.8,0.05)</f>
        <v>2.6500000000000004</v>
      </c>
      <c r="BT201" s="8" t="str">
        <f>_xlfn.XLOOKUP(B201,'Base stats'!B:B,'Base stats'!AD:AD)</f>
        <v>No</v>
      </c>
      <c r="BU201" s="2" t="str">
        <f>IF(AND(J201&lt;=0.95,OR(_xlfn.XLOOKUP(B201,'Base stats'!B:B,'Base stats'!AI:AI)=1,_xlfn.XLOOKUP(B201,'Base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stats'!AG:AG)=1,"true","false")</f>
        <v>false</v>
      </c>
      <c r="BW201" s="25" t="str">
        <f>IF(E201="BaseInsect","AnimalInsect",
IF(J201&gt;0.95,"AnimalExotic",
_xlfn.TEXTJOIN(", ",TRUE,
IF(OR(_xlfn.XLOOKUP(B201,'Base stats'!B:B,'Base stats'!AK:AK)=1,AND(_xlfn.XLOOKUP(B201,'Base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stats'!AI:AI)=1,AND(BI201&lt;&gt;"None",BR201&gt;=60),ISNUMBER(SEARCH("Attack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Tundra BorealForest ColdBog TemperateForest TemperateSwamp GlacialPlain Scarlands</v>
      </c>
      <c r="BY201" s="25" t="str">
        <f>IF(_xlfn.XLOOKUP(B201,'Base stats'!B:B,'Base stats'!AH:AH)=1,"true","false")</f>
        <v>false</v>
      </c>
      <c r="BZ201" s="25" t="str">
        <f>IF(_xlfn.XLOOKUP(B201,'Base stats'!B:B,'Base stats'!N:N)=1,"No",MAX(0.01,MIN(MROUND(IF(OR(_xlfn.XLOOKUP(B201,'Base stats'!B:B,'Base stats'!AK:AK)=1,AND(BJ201="True",CC201="False")),POWER(10,3.47*LOG10(_xlfn.XLOOKUP(B201,'Base stats'!B:B,'Base stats'!C:C)*1000)^-0.96),POWER(10,4.15*LOG10(_xlfn.XLOOKUP(B201,'Base stats'!B:B,'Base stats'!C:C)*1000)^-0.73))*IF(OR(_xlfn.XLOOKUP(B201,'Base stats'!B:B,'Base stats'!AK:AK)=1,_xlfn.XLOOKUP(B201,'Base stats'!B:B,'Base stats'!AI:AI)=1),0.5,1)/100,0.025),1)))</f>
        <v>No</v>
      </c>
      <c r="CA201" s="25">
        <f>IF(P201="Standard","No",MAX(0.01,IF(_xlfn.XLOOKUP(B201,'Base stats'!B:B,'Base stats'!N:N)=0,MROUND(BZ201*P201,0.05),MIN(1,MAX(0.025,MROUND(IF(OR(CC201="true",AND(BJ201="false",BO201="false")),POWER(10,4.15*LOG10(_xlfn.XLOOKUP(B201,'Base stats'!B:B,'Base stats'!C:C)*1000)^-0.73),POWER(10,3.47*LOG10(_xlfn.XLOOKUP(B201,'Base stats'!B:B,'Base stats'!C:C)*1000)^-0.96))*IF(_xlfn.XLOOKUP(B201,'Base stats'!B:B,'Base stats'!AI:AI)=1,0.5,1)/100,0.025))))))</f>
        <v>0.05</v>
      </c>
      <c r="CB201" s="25" t="str">
        <f>IF(_xlfn.XLOOKUP(_xlfn.XLOOKUP(B201,'Base stats'!B:B,'Base stats'!E:E),Groups!A:A,Groups!AJ:AJ)="Mammal","True","False")</f>
        <v>True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False</v>
      </c>
      <c r="CD201" s="25" t="str">
        <f t="shared" ref="CD201:CD205" si="76">IF(J201&gt;0.95,"True","False")</f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True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Toxiguana</v>
      </c>
      <c r="B202" s="6" t="s">
        <v>1354</v>
      </c>
      <c r="C202" s="28" t="s">
        <v>1353</v>
      </c>
      <c r="D202" s="28" t="s">
        <v>1336</v>
      </c>
      <c r="E202" s="28" t="s">
        <v>685</v>
      </c>
      <c r="F202" s="28" t="s">
        <v>685</v>
      </c>
      <c r="G202" s="28" t="s">
        <v>685</v>
      </c>
      <c r="H202" s="2">
        <f>MROUND((
  (IF(AND(_xlfn.XLOOKUP(B202,'Base stats'!B:B,'Base stats'!AJ:AJ)=0,BI202="None",_xlfn.XLOOKUP(_xlfn.XLOOKUP(B202,'Base stats'!B:B,'Base stats'!E:E),Groups!A:A,Groups!B:B)=0), (18 + BR202 * 2.7) * 0.5,
    IF(AND(_xlfn.XLOOKUP(B202,'Base stats'!B:B,'Base stats'!AJ:AJ)=0,OR(AO202&lt;0.55,AND(BI202="Intermediate",_xlfn.XLOOKUP(_xlfn.XLOOKUP(B202,'Base stats'!B:B,'Base stats'!E:E),Groups!A:A,Groups!B:B)&lt;2))), (18 + BR202 * 2.7),
      IF(OR(BI202="Advanced",_xlfn.XLOOKUP(B202,'Base stats'!B:B,'Base stats'!AJ:AJ)=1,_xlfn.XLOOKUP(_xlfn.XLOOKUP(B202,'Base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175</v>
      </c>
      <c r="I202" s="2">
        <f>MROUND(ROUNDDOWN(_xlfn.XLOOKUP(B202,'Base stats'!B:B,'Base stats'!L:L)/3.6/(23.3/11),1),0.5)</f>
        <v>3.5</v>
      </c>
      <c r="J202" s="2">
        <f>IF(_xlfn.XLOOKUP(_xlfn.XLOOKUP(B202,'Base stats'!B:B,'Base stats'!E:E),Groups!A:A,Groups!C:C)="Untamable",1,IF(_xlfn.XLOOKUP(B202,'Base stats'!B:B,'Base stats'!AJ:AJ)=1,0.99,MIN(MROUND((1-0.6282*EXP(-0.459*AO202))*_xlfn.XLOOKUP(_xlfn.XLOOKUP(B202,'Base stats'!B:B,'Base stats'!E:E),Groups!A:A,Groups!C:C)*IF(_xlfn.XLOOKUP(B202,'Base stats'!B:B,'Base stats'!O:O)=1,0.5,IF(_xlfn.XLOOKUP(B202,'Base stats'!B:B,'Base stats'!O:O)=2,0,1)),0.05),0.985)))</f>
        <v>0.55000000000000004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15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40</v>
      </c>
      <c r="N202" s="8" t="str">
        <f>IF(_xlfn.XLOOKUP(_xlfn.XLOOKUP(B202,'Base stats'!B:B,'Base stats'!E:E),Groups!A:A,Groups!L:L)=1,MIN(MROUND(_xlfn.XLOOKUP(B202,'Animals CE'!B:B,'Animals CE'!Z:Z)/2+0.05,0.05),200%),"No")</f>
        <v>No</v>
      </c>
      <c r="O202" s="8" t="str">
        <f>IF(_xlfn.XLOOKUP(_xlfn.XLOOKUP(B202,'Base stats'!B:B,'Base stats'!E:E),Groups!A:A,Groups!L:L)=1,MIN(MROUND(_xlfn.XLOOKUP(B202,'Animals CE'!B:B,'Animals CE'!AA:AA)/2+0.05,0.05),200%),"No")</f>
        <v>No</v>
      </c>
      <c r="P202" s="2">
        <f>_xlfn.XLOOKUP(B202,'Base stats'!B:B,'Base stats'!R:R)</f>
        <v>1</v>
      </c>
      <c r="Q202" s="13">
        <f>MROUND((LOG10(_xlfn.XLOOKUP(B202,'Base stats'!B:B,'Base stats'!AP:AP))*(AO202^0.5)+(_xlfn.XLOOKUP(B202,'Base stats'!B:B,'Base stats'!AP:AP)/1000)^(2/3)+_xlfn.XLOOKUP(B202,'Base stats'!B:B,'Base stats'!AY:AY)/2)+0.5,0.5)</f>
        <v>2.5</v>
      </c>
      <c r="R202" s="7">
        <f>IF(Q202="No","No",MAX(1,MROUND(_xlfn.XLOOKUP(B202,'Base stats'!B:B,'Base stats'!C:C)^0.165,0.05)))</f>
        <v>1.2000000000000002</v>
      </c>
      <c r="S202" s="13" t="str">
        <f>IF(_xlfn.XLOOKUP(_xlfn.XLOOKUP(B202,'Base stats'!B:B,'Base stats'!E:E),Groups!A:A,Groups!P:P)=0,"No",MROUND((LOG10(_xlfn.XLOOKUP(B202,'Base stats'!B:B,'Base stats'!AQ:AQ))*(AO202^0.5)+(_xlfn.XLOOKUP(B202,'Base stats'!B:B,'Base stats'!AQ:AQ)/1000)^(2/3)+_xlfn.XLOOKUP(B202,'Base stats'!B:B,'Base stats'!AY:AY))+_xlfn.XLOOKUP(B202,'Base stats'!B:B,'Base stats'!AW:AW)+0.5,0.5))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stats'!AS:AS))*(AO202^0.5)+(_xlfn.XLOOKUP(B202,'Base stats'!B:B,'Base stats'!AS:AS)/1000)^(2/3)+_xlfn.XLOOKUP(B202,'Base stats'!B:B,'Base stats'!AX:AX))+0.5+IF(_xlfn.XLOOKUP(_xlfn.XLOOKUP(B202,'Base stats'!B:B,'Base stats'!E:E),Groups!A:A,Groups!U:U)&lt;&gt;3,_xlfn.XLOOKUP(B202,'Base stats'!B:B,'Base stats'!AY:AY),0),0.5))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stats'!AR:AR)="No","No",MROUND((LOG10(_xlfn.XLOOKUP(B202,'Base stats'!B:B,'Base stats'!AR:AR))*(AO202^0.75)+(_xlfn.XLOOKUP(B202,'Base stats'!B:B,'Base stats'!AR:AR)/1000)^(2/3)+_xlfn.XLOOKUP(B202,'Base stats'!B:B,'Base stats'!AV:AV)+_xlfn.XLOOKUP(B202,'Base stats'!B:B,'Base stats'!AY:AY))+0.5,0.5))</f>
        <v>3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1.1000000000000001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teeth</v>
      </c>
      <c r="AH202" s="7" t="str">
        <f>IF(AD202="No","No",_xlfn.XLOOKUP(_xlfn.XLOOKUP(B202,'Base stats'!B:B,'Base stats'!E:E),Groups!A:A,Groups!AC:AC))</f>
        <v>Bite</v>
      </c>
      <c r="AI202" s="13">
        <f>IF(_xlfn.XLOOKUP(_xlfn.XLOOKUP(B202,'Base stats'!B:B,'Base stats'!E:E),Groups!A:A,Groups!AD:AD)=0,"No",MROUND((LOG10(_xlfn.XLOOKUP(B202,'Base stats'!B:B,'Base stats'!AQ:AQ))*(AO202^0.75)+(_xlfn.XLOOKUP(B202,'Base stats'!B:B,'Base stats'!AQ:AQ)/1000)^(2/3)+_xlfn.XLOOKUP(B202,'Base stats'!B:B,'Base stats'!AW:AW)+_xlfn.XLOOKUP(B202,'Base stats'!B:B,'Base stats'!AY:AY))+0.5,0.5))</f>
        <v>3</v>
      </c>
      <c r="AJ202" s="7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0.85000000000000009</v>
      </c>
      <c r="AK202" s="7" t="str">
        <f>IF(AI202="No","No",_xlfn.XLOOKUP(_xlfn.XLOOKUP(B202,'Base stats'!B:B,'Base stats'!E:E),Groups!A:A,Groups!AF:AF))</f>
        <v>FrontLeftClaws, FrontRightClaws</v>
      </c>
      <c r="AL202" s="7" t="str">
        <f>IF(AI202="No","No",_xlfn.XLOOKUP(_xlfn.XLOOKUP(B202,'Base stats'!B:B,'Base stats'!E:E),Groups!A:A,Groups!AG:AG))</f>
        <v>left claw, right claw</v>
      </c>
      <c r="AM202" s="7" t="str">
        <f>IF(AI202="No","No",_xlfn.XLOOKUP(_xlfn.XLOOKUP(B202,'Base stats'!B:B,'Base stats'!E:E),Groups!A:A,Groups!AH:AH))</f>
        <v>Scratch</v>
      </c>
      <c r="AN202" s="2" t="str">
        <f t="shared" si="71"/>
        <v>No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0.25</v>
      </c>
      <c r="AP202" s="8">
        <f>MROUND(AO202*_xlfn.XLOOKUP(_xlfn.XLOOKUP(B202,'Base stats'!B:B,'Base stats'!E:E),Groups!A:A,Groups!AI:AI),0.05)</f>
        <v>0.30000000000000004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0.05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 t="str">
        <f>IFERROR(IF(_xlfn.XLOOKUP(B202,'Base stats'!B:B,'Base stats'!F:F)="Lay eggs","Lay eggs",MIN(20,MAX(5.5,ROUND(((_xlfn.XLOOKUP(B202,'Base stats'!B:B,'Base stats'!F:F)-25)*(14.5/615) + 5.5)*2,0)/2))),"Cannot breed")</f>
        <v>Lay eggs</v>
      </c>
      <c r="AT202" s="8">
        <f>IF(OR(A202="Queen",A202="Larva",A202="Megachicken",A202="Megatardi",A202="Toxscorpion"),"No",IFERROR(MAX(IF(_xlfn.XLOOKUP(B202,'Base stats'!B:B,'Base stats'!G:G)&lt;0.5,0.2,0.3),MROUND(_xlfn.XLOOKUP(B202,'Base stats'!B:B,'Base stats'!G:G)/(365/60),0.2)),"Unknown"))</f>
        <v>0.8</v>
      </c>
      <c r="AU202" s="8">
        <f t="shared" si="70"/>
        <v>0.4</v>
      </c>
      <c r="AV202" s="8" t="str">
        <f>IFERROR(IFERROR(MROUND(_xlfn.XLOOKUP(B202,'Base stats'!B:B,'Base stats'!J:J),0.1),"Lay eggs"),"Cannot breed")</f>
        <v>Lay eggs</v>
      </c>
      <c r="AW202" s="2" t="str">
        <f t="shared" si="72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</f>
        <v>VegetarianRoughAnimal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_xlfn.XLOOKUP(B202,'Base stats'!B:B,'Base stats'!AF:AF)</f>
        <v>No</v>
      </c>
      <c r="BB202" s="2" t="str">
        <f>_xlfn.XLOOKUP(B202,'Base stats'!B:B,'Base stats'!AE:AE)</f>
        <v>ToxicLeather</v>
      </c>
      <c r="BC202" s="23" t="str">
        <f>_xlfn.XLOOKUP(_xlfn.XLOOKUP(B202,'Base stats'!B:B,'Base stats'!E:E),Groups!A:A,Groups!AL:AL)</f>
        <v>QuadrupedAnimalWithClawsTailAndJowl</v>
      </c>
      <c r="BD202" s="23">
        <f>MIN(1,MROUND(IF(AND(AO202&lt;0.5,_xlfn.XLOOKUP(B202,'Base stats'!B:B,'Base stats'!Z:Z)=0),0,IF(OR(_xlfn.XLOOKUP(Animals!B202,'Base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stats'!AA:AA),0.005))</f>
        <v>0</v>
      </c>
      <c r="BE202" s="23">
        <f>MIN(1,MROUND(IF(AND(AO202&lt;0.5,_xlfn.XLOOKUP(B202,'Base stats'!B:B,'Base stats'!Z:Z)=0),0,IF(_xlfn.XLOOKUP(_xlfn.XLOOKUP(B202,'Base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stats'!AB:AB),0.005))</f>
        <v>0</v>
      </c>
      <c r="BF202" s="2" t="str">
        <f>IF(J202&gt;0.3,"No",_xlfn.XLOOKUP(_xlfn.XLOOKUP(Animals!B202,'Base stats'!B:B,'Base stats'!E:E),Groups!A:A,Groups!AP:AP))</f>
        <v>No</v>
      </c>
      <c r="BG202" s="2" t="str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No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None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false</v>
      </c>
      <c r="BK202" s="2" t="str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No</v>
      </c>
      <c r="BL202" s="2">
        <f t="shared" si="73"/>
        <v>0</v>
      </c>
      <c r="BM202" s="25" t="str">
        <f>IF(_xlfn.XLOOKUP(B202,'Base stats'!B:B,'Base stats'!AL:AL)="Standard","No",MROUND((_xlfn.XLOOKUP(B202,'Base stats'!B:B,'Base stats'!AL:AL)/3.6)/I202,0.1))</f>
        <v>No</v>
      </c>
      <c r="BN202" s="25" t="str">
        <f t="shared" si="74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stats'!AC:AC)&lt;&gt;"No",_xlfn.XLOOKUP(B202,'Base stats'!B:B,'Base stats'!AC:AC),"")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stats'!AC:AC)&lt;&gt;"No",_xlfn.XLOOKUP(B202,'Base stats'!B:B,'Base stats'!AC:AC),"")
  )
)</f>
        <v>No</v>
      </c>
      <c r="BQ202" s="25" t="str">
        <f>IF(
   AND(
      'Base stats'!AL202="Standard",_xlfn.XLOOKUP(_xlfn.XLOOKUP(B202,'Base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stats'!AT:AT) * 1.8) * 2) * 2.5 + 10 + I202 * 2,5)+IF(_xlfn.XLOOKUP(B202,'Base stats'!B:B,'Base stats'!AI:AI)=1,50,0)</f>
        <v>35</v>
      </c>
      <c r="BS202" s="8">
        <f t="shared" si="75"/>
        <v>0.1</v>
      </c>
      <c r="BT202" s="8" t="str">
        <f>_xlfn.XLOOKUP(B202,'Base stats'!B:B,'Base stats'!AD:AD)</f>
        <v>No</v>
      </c>
      <c r="BU202" s="2" t="str">
        <f>IF(AND(J202&lt;=0.95,OR(_xlfn.XLOOKUP(B202,'Base stats'!B:B,'Base stats'!AI:AI)=1,_xlfn.XLOOKUP(B202,'Base stats'!B:B,'Base stats'!Y:Y)="Carnivore",_xlfn.XLOOKUP(B202,'Base stats'!B:B,'Base stats'!Y:Y)="Omnivore",BE202&gt;0.1)),"true","false")</f>
        <v>false</v>
      </c>
      <c r="BV202" s="2" t="str">
        <f>IF(_xlfn.XLOOKUP(B202,'Base stats'!B:B,'Base stats'!AG:AG)=1,"true","false")</f>
        <v>false</v>
      </c>
      <c r="BW202" s="25" t="str">
        <f>IF(E202="BaseInsect","AnimalInsect",
IF(J202&gt;0.95,"AnimalExotic",
_xlfn.TEXTJOIN(", ",TRUE,
IF(OR(_xlfn.XLOOKUP(B202,'Base stats'!B:B,'Base stats'!AK:AK)=1,AND(_xlfn.XLOOKUP(B202,'Base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stats'!AI:AI)=1,AND(BI202&lt;&gt;"None",BR202&gt;=60),ISNUMBER(SEARCH("Attack target",BP202))),"AnimalFighter","")
)))</f>
        <v>AnimalUncommon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TropicalRainforest TropicalSwamp Scarlands</v>
      </c>
      <c r="BY202" s="25" t="str">
        <f>IF(_xlfn.XLOOKUP(B202,'Base stats'!B:B,'Base stats'!AH:AH)=1,"true","false")</f>
        <v>false</v>
      </c>
      <c r="BZ202" s="25" t="str">
        <f>IF(_xlfn.XLOOKUP(B202,'Base stats'!B:B,'Base stats'!N:N)=1,"No",MAX(0.01,MIN(MROUND(IF(OR(_xlfn.XLOOKUP(B202,'Base stats'!B:B,'Base stats'!AK:AK)=1,AND(BJ202="True",CC202="False")),POWER(10,3.47*LOG10(_xlfn.XLOOKUP(B202,'Base stats'!B:B,'Base stats'!C:C)*1000)^-0.96),POWER(10,4.15*LOG10(_xlfn.XLOOKUP(B202,'Base stats'!B:B,'Base stats'!C:C)*1000)^-0.73))*IF(OR(_xlfn.XLOOKUP(B202,'Base stats'!B:B,'Base stats'!AK:AK)=1,_xlfn.XLOOKUP(B202,'Base stats'!B:B,'Base stats'!AI:AI)=1),0.5,1)/100,0.025),1)))</f>
        <v>No</v>
      </c>
      <c r="CA202" s="25">
        <f>IF(P202="Standard","No",MAX(0.01,IF(_xlfn.XLOOKUP(B202,'Base stats'!B:B,'Base stats'!N:N)=0,MROUND(BZ202*P202,0.05),MIN(1,MAX(0.025,MROUND(IF(OR(CC202="true",AND(BJ202="false",BO202="false")),POWER(10,4.15*LOG10(_xlfn.XLOOKUP(B202,'Base stats'!B:B,'Base stats'!C:C)*1000)^-0.73),POWER(10,3.47*LOG10(_xlfn.XLOOKUP(B202,'Base stats'!B:B,'Base stats'!C:C)*1000)^-0.96))*IF(_xlfn.XLOOKUP(B202,'Base stats'!B:B,'Base stats'!AI:AI)=1,0.5,1)/100,0.025))))))</f>
        <v>0.47500000000000003</v>
      </c>
      <c r="CB202" s="25" t="str">
        <f>IF(_xlfn.XLOOKUP(_xlfn.XLOOKUP(B202,'Base stats'!B:B,'Base stats'!E:E),Groups!A:A,Groups!AJ:AJ)="Mammal","True","False")</f>
        <v>False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True</v>
      </c>
      <c r="CD202" s="25" t="str">
        <f t="shared" si="76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False</v>
      </c>
      <c r="CJ202" s="25" t="str">
        <f>IF(_xlfn.XLOOKUP(_xlfn.XLOOKUP(B202,'Base stats'!B:B,'Base stats'!E:E),Groups!A:A,Groups!BA:BA),"True","False")</f>
        <v>False</v>
      </c>
    </row>
    <row r="203" spans="1:88" s="16" customFormat="1" ht="16.5" thickTop="1" thickBot="1" x14ac:dyDescent="0.3">
      <c r="A203" s="26" t="str">
        <f>_xlfn.XLOOKUP(B203,'Base stats'!B:B,'Base stats'!A:A)</f>
        <v>Toxlion</v>
      </c>
      <c r="B203" s="6" t="s">
        <v>1355</v>
      </c>
      <c r="C203" s="28" t="s">
        <v>1356</v>
      </c>
      <c r="D203" s="28" t="s">
        <v>1336</v>
      </c>
      <c r="E203" s="28" t="s">
        <v>685</v>
      </c>
      <c r="F203" s="28" t="s">
        <v>685</v>
      </c>
      <c r="G203" s="28" t="s">
        <v>685</v>
      </c>
      <c r="H203" s="2">
        <f>MROUND((
  (IF(AND(_xlfn.XLOOKUP(B203,'Base stats'!B:B,'Base stats'!AJ:AJ)=0,BI203="None",_xlfn.XLOOKUP(_xlfn.XLOOKUP(B203,'Base stats'!B:B,'Base stats'!E:E),Groups!A:A,Groups!B:B)=0), (18 + BR203 * 2.7) * 0.5,
    IF(AND(_xlfn.XLOOKUP(B203,'Base stats'!B:B,'Base stats'!AJ:AJ)=0,OR(AO203&lt;0.55,AND(BI203="Intermediate",_xlfn.XLOOKUP(_xlfn.XLOOKUP(B203,'Base stats'!B:B,'Base stats'!E:E),Groups!A:A,Groups!B:B)&lt;2))), (18 + BR203 * 2.7),
      IF(OR(BI203="Advanced",_xlfn.XLOOKUP(B203,'Base stats'!B:B,'Base stats'!AJ:AJ)=1,_xlfn.XLOOKUP(_xlfn.XLOOKUP(B203,'Base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775</v>
      </c>
      <c r="I203" s="2">
        <f>MROUND(ROUNDDOWN(_xlfn.XLOOKUP(B203,'Base stats'!B:B,'Base stats'!L:L)/3.6/(23.3/11),1),0.5)</f>
        <v>7.5</v>
      </c>
      <c r="J203" s="2">
        <f>IF(_xlfn.XLOOKUP(_xlfn.XLOOKUP(B203,'Base stats'!B:B,'Base stats'!E:E),Groups!A:A,Groups!C:C)="Untamable",1,IF(_xlfn.XLOOKUP(B203,'Base stats'!B:B,'Base stats'!AJ:AJ)=1,0.99,MIN(MROUND((1-0.6282*EXP(-0.459*AO203))*_xlfn.XLOOKUP(_xlfn.XLOOKUP(B203,'Base stats'!B:B,'Base stats'!E:E),Groups!A:A,Groups!C:C)*IF(_xlfn.XLOOKUP(B203,'Base stats'!B:B,'Base stats'!O:O)=1,0.5,IF(_xlfn.XLOOKUP(B203,'Base stats'!B:B,'Base stats'!O:O)=2,0,1)),0.05),0.985)))</f>
        <v>0.85000000000000009</v>
      </c>
      <c r="K203" s="2">
        <f>ROUNDUP(AO203*_xlfn.XLOOKUP(_xlfn.XLOOKUP(B203,'Base stats'!B:B,'Base stats'!E:E),Groups!A:A,Groups!E:E),0)</f>
        <v>2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-30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50</v>
      </c>
      <c r="N203" s="8" t="str">
        <f>IF(_xlfn.XLOOKUP(_xlfn.XLOOKUP(B203,'Base stats'!B:B,'Base stats'!E:E),Groups!A:A,Groups!L:L)=1,MIN(MROUND(_xlfn.XLOOKUP(B203,'Animals CE'!B:B,'Animals CE'!Z:Z)/2+0.05,0.05),200%),"No")</f>
        <v>No</v>
      </c>
      <c r="O203" s="8" t="str">
        <f>IF(_xlfn.XLOOKUP(_xlfn.XLOOKUP(B203,'Base stats'!B:B,'Base stats'!E:E),Groups!A:A,Groups!L:L)=1,MIN(MROUND(_xlfn.XLOOKUP(B203,'Animals CE'!B:B,'Animals CE'!AA:AA)/2+0.05,0.05),200%),"No")</f>
        <v>No</v>
      </c>
      <c r="P203" s="2">
        <f>_xlfn.XLOOKUP(B203,'Base stats'!B:B,'Base stats'!R:R)</f>
        <v>1</v>
      </c>
      <c r="Q203" s="13">
        <f>MROUND((LOG10(_xlfn.XLOOKUP(B203,'Base stats'!B:B,'Base stats'!AP:AP))*(AO203^0.5)+(_xlfn.XLOOKUP(B203,'Base stats'!B:B,'Base stats'!AP:AP)/1000)^(2/3)+_xlfn.XLOOKUP(B203,'Base stats'!B:B,'Base stats'!AY:AY)/2)+0.5,0.5)</f>
        <v>10</v>
      </c>
      <c r="R203" s="7">
        <f>IF(Q203="No","No",MAX(1,MROUND(_xlfn.XLOOKUP(B203,'Base stats'!B:B,'Base stats'!C:C)^0.165,0.05)))</f>
        <v>2.3000000000000003</v>
      </c>
      <c r="S203" s="13" t="str">
        <f>IF(_xlfn.XLOOKUP(_xlfn.XLOOKUP(B203,'Base stats'!B:B,'Base stats'!E:E),Groups!A:A,Groups!P:P)=0,"No",MROUND((LOG10(_xlfn.XLOOKUP(B203,'Base stats'!B:B,'Base stats'!AQ:AQ))*(AO203^0.5)+(_xlfn.XLOOKUP(B203,'Base stats'!B:B,'Base stats'!AQ:AQ)/1000)^(2/3)+_xlfn.XLOOKUP(B203,'Base stats'!B:B,'Base stats'!AY:AY))+_xlfn.XLOOKUP(B203,'Base stats'!B:B,'Base stats'!AW:AW)+0.5,0.5))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stats'!AS:AS))*(AO203^0.5)+(_xlfn.XLOOKUP(B203,'Base stats'!B:B,'Base stats'!AS:AS)/1000)^(2/3)+_xlfn.XLOOKUP(B203,'Base stats'!B:B,'Base stats'!AX:AX))+0.5+IF(_xlfn.XLOOKUP(_xlfn.XLOOKUP(B203,'Base stats'!B:B,'Base stats'!E:E),Groups!A:A,Groups!U:U)&lt;&gt;3,_xlfn.XLOOKUP(B203,'Base stats'!B:B,'Base stats'!AY:AY),0),0.5))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stats'!AR:AR)="No","No",MROUND((LOG10(_xlfn.XLOOKUP(B203,'Base stats'!B:B,'Base stats'!AR:AR))*(AO203^0.75)+(_xlfn.XLOOKUP(B203,'Base stats'!B:B,'Base stats'!AR:AR)/1000)^(2/3)+_xlfn.XLOOKUP(B203,'Base stats'!B:B,'Base stats'!AV:AV)+_xlfn.XLOOKUP(B203,'Base stats'!B:B,'Base stats'!AY:AY))+0.5,0.5))</f>
        <v>18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1.6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VAEWaste_FluBite</v>
      </c>
      <c r="AI203" s="13">
        <f>IF(_xlfn.XLOOKUP(_xlfn.XLOOKUP(B203,'Base stats'!B:B,'Base stats'!E:E),Groups!A:A,Groups!AD:AD)=0,"No",MROUND((LOG10(_xlfn.XLOOKUP(B203,'Base stats'!B:B,'Base stats'!AQ:AQ))*(AO203^0.75)+(_xlfn.XLOOKUP(B203,'Base stats'!B:B,'Base stats'!AQ:AQ)/1000)^(2/3)+_xlfn.XLOOKUP(B203,'Base stats'!B:B,'Base stats'!AW:AW)+_xlfn.XLOOKUP(B203,'Base stats'!B:B,'Base stats'!AY:AY))+0.5,0.5))</f>
        <v>15.5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1.5</v>
      </c>
      <c r="AK203" s="7" t="str">
        <f>IF(AI203="No","No",_xlfn.XLOOKUP(_xlfn.XLOOKUP(B203,'Base stats'!B:B,'Base stats'!E:E),Groups!A:A,Groups!AF:AF))</f>
        <v>FrontRightPaw,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VAEWaste_FluClaws</v>
      </c>
      <c r="AN203" s="2">
        <f t="shared" si="71"/>
        <v>25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1.6</v>
      </c>
      <c r="AP203" s="8">
        <f>MROUND(AO203*_xlfn.XLOOKUP(_xlfn.XLOOKUP(B203,'Base stats'!B:B,'Base stats'!E:E),Groups!A:A,Groups!AI:AI),0.05)</f>
        <v>1.9000000000000001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0.75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15</v>
      </c>
      <c r="AS203" s="35">
        <f>IFERROR(IF(_xlfn.XLOOKUP(B203,'Base stats'!B:B,'Base stats'!F:F)="Lay eggs","Lay eggs",MIN(20,MAX(5.5,ROUND(((_xlfn.XLOOKUP(B203,'Base stats'!B:B,'Base stats'!F:F)-25)*(14.5/615) + 5.5)*2,0)/2))),"Cannot breed")</f>
        <v>7.5</v>
      </c>
      <c r="AT203" s="8">
        <f>IF(OR(A203="Queen",A203="Larva",A203="Megachicken",A203="Megatardi",A203="Toxscorpion"),"No",IFERROR(MAX(IF(_xlfn.XLOOKUP(B203,'Base stats'!B:B,'Base stats'!G:G)&lt;0.5,0.2,0.3),MROUND(_xlfn.XLOOKUP(B203,'Base stats'!B:B,'Base stats'!G:G)/(365/60),0.2)),"Unknown"))</f>
        <v>0.4</v>
      </c>
      <c r="AU203" s="8">
        <f t="shared" si="70"/>
        <v>0.2</v>
      </c>
      <c r="AV203" s="8">
        <f>IFERROR(IFERROR(MROUND(_xlfn.XLOOKUP(B203,'Base stats'!B:B,'Base stats'!J:J),0.1),"Lay eggs"),"Cannot breed")</f>
        <v>3</v>
      </c>
      <c r="AW203" s="2" t="str">
        <f t="shared" si="72"/>
        <v>true</v>
      </c>
      <c r="AX203" s="2" t="str">
        <f>IF(_xlfn.XLOOKUP(_xlfn.XLOOKUP(Animals!B203,'Base stats'!B:B,'Base stats'!E:E),Groups!A:A,Groups!AK:AK)=1,"true","false")</f>
        <v>false</v>
      </c>
      <c r="AY203" s="25" t="str">
        <f>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</f>
        <v>CarnivoreAnimal,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_xlfn.XLOOKUP(B203,'Base stats'!B:B,'Base stats'!AF:AF)</f>
        <v>No</v>
      </c>
      <c r="BB203" s="2" t="str">
        <f>_xlfn.XLOOKUP(B203,'Base stats'!B:B,'Base stats'!AE:AE)</f>
        <v>ToxicLeather</v>
      </c>
      <c r="BC203" s="23" t="str">
        <f>_xlfn.XLOOKUP(_xlfn.XLOOKUP(B203,'Base stats'!B:B,'Base stats'!E:E),Groups!A:A,Groups!AL:AL)</f>
        <v>QuadrupedAnimalWithPawsAndTail</v>
      </c>
      <c r="BD203" s="23">
        <f>MIN(1,MROUND(IF(AND(AO203&lt;0.5,_xlfn.XLOOKUP(B203,'Base stats'!B:B,'Base stats'!Z:Z)=0),0,IF(OR(_xlfn.XLOOKUP(Animals!B203,'Base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stats'!AA:AA),0.005))</f>
        <v>0.1</v>
      </c>
      <c r="BE203" s="23">
        <f>MIN(1,MROUND(IF(AND(AO203&lt;0.5,_xlfn.XLOOKUP(B203,'Base stats'!B:B,'Base stats'!Z:Z)=0),0,IF(_xlfn.XLOOKUP(_xlfn.XLOOKUP(B203,'Base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stats'!AB:AB),0.005))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Intermediate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4.25</v>
      </c>
      <c r="BL203" s="2">
        <f t="shared" si="73"/>
        <v>1</v>
      </c>
      <c r="BM203" s="25" t="str">
        <f>IF(_xlfn.XLOOKUP(B203,'Base stats'!B:B,'Base stats'!AL:AL)="Standard","No",MROUND((_xlfn.XLOOKUP(B203,'Base stats'!B:B,'Base stats'!AL:AL)/3.6)/I203,0.1))</f>
        <v>No</v>
      </c>
      <c r="BN203" s="25" t="str">
        <f t="shared" si="74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false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stats'!AC:AC)&lt;&gt;"No",_xlfn.XLOOKUP(B203,'Base stats'!B:B,'Base stats'!AC:AC),"")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stats'!AC:AC)&lt;&gt;"No",_xlfn.XLOOKUP(B203,'Base stats'!B:B,'Base stats'!AC:AC),"")
  )
)</f>
        <v>AttackTarget</v>
      </c>
      <c r="BQ203" s="25" t="str">
        <f>IF(
   AND(
      'Base stats'!AL203="Standard",_xlfn.XLOOKUP(_xlfn.XLOOKUP(B203,'Base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No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stats'!AT:AT) * 1.8) * 2) * 2.5 + 10 + I203 * 2,5)+IF(_xlfn.XLOOKUP(B203,'Base stats'!B:B,'Base stats'!AI:AI)=1,50,0)</f>
        <v>190</v>
      </c>
      <c r="BS203" s="8">
        <f t="shared" si="75"/>
        <v>0.9</v>
      </c>
      <c r="BT203" s="8" t="str">
        <f>_xlfn.XLOOKUP(B203,'Base stats'!B:B,'Base stats'!AD:AD)</f>
        <v>2~6</v>
      </c>
      <c r="BU203" s="2" t="str">
        <f>IF(AND(J203&lt;=0.95,OR(_xlfn.XLOOKUP(B203,'Base stats'!B:B,'Base stats'!AI:AI)=1,_xlfn.XLOOKUP(B203,'Base stats'!B:B,'Base stats'!Y:Y)="Carnivore",_xlfn.XLOOKUP(B203,'Base stats'!B:B,'Base stats'!Y:Y)="Omnivore",BE203&gt;0.1)),"true","false")</f>
        <v>true</v>
      </c>
      <c r="BV203" s="2" t="str">
        <f>IF(_xlfn.XLOOKUP(B203,'Base stats'!B:B,'Base stats'!AG:AG)=1,"true","false")</f>
        <v>false</v>
      </c>
      <c r="BW203" s="25" t="str">
        <f>IF(E203="BaseInsect","AnimalInsect",
IF(J203&gt;0.95,"AnimalExotic",
_xlfn.TEXTJOIN(", ",TRUE,
IF(OR(_xlfn.XLOOKUP(B203,'Base stats'!B:B,'Base stats'!AK:AK)=1,AND(_xlfn.XLOOKUP(B203,'Base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stats'!AI:AI)=1,AND(BI203&lt;&gt;"None",BR203&gt;=60),ISNUMBER(SEARCH("Attack target",BP203))),"AnimalFighter","")
)))</f>
        <v>AnimalUncommon, AnimalFighter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AridShrubland Desert Grasslands LavaField Scarlands</v>
      </c>
      <c r="BY203" s="25" t="str">
        <f>IF(_xlfn.XLOOKUP(B203,'Base stats'!B:B,'Base stats'!AH:AH)=1,"true","false")</f>
        <v>false</v>
      </c>
      <c r="BZ203" s="25" t="str">
        <f>IF(_xlfn.XLOOKUP(B203,'Base stats'!B:B,'Base stats'!N:N)=1,"No",MAX(0.01,MIN(MROUND(IF(OR(_xlfn.XLOOKUP(B203,'Base stats'!B:B,'Base stats'!AK:AK)=1,AND(BJ203="True",CC203="False")),POWER(10,3.47*LOG10(_xlfn.XLOOKUP(B203,'Base stats'!B:B,'Base stats'!C:C)*1000)^-0.96),POWER(10,4.15*LOG10(_xlfn.XLOOKUP(B203,'Base stats'!B:B,'Base stats'!C:C)*1000)^-0.73))*IF(OR(_xlfn.XLOOKUP(B203,'Base stats'!B:B,'Base stats'!AK:AK)=1,_xlfn.XLOOKUP(B203,'Base stats'!B:B,'Base stats'!AI:AI)=1),0.5,1)/100,0.025),1)))</f>
        <v>No</v>
      </c>
      <c r="CA203" s="25">
        <f>IF(P203="Standard","No",MAX(0.01,IF(_xlfn.XLOOKUP(B203,'Base stats'!B:B,'Base stats'!N:N)=0,MROUND(BZ203*P203,0.05),MIN(1,MAX(0.025,MROUND(IF(OR(CC203="true",AND(BJ203="false",BO203="false")),POWER(10,4.15*LOG10(_xlfn.XLOOKUP(B203,'Base stats'!B:B,'Base stats'!C:C)*1000)^-0.73),POWER(10,3.47*LOG10(_xlfn.XLOOKUP(B203,'Base stats'!B:B,'Base stats'!C:C)*1000)^-0.96))*IF(_xlfn.XLOOKUP(B203,'Base stats'!B:B,'Base stats'!AI:AI)=1,0.5,1)/100,0.025))))))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76"/>
        <v>False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No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Toxscorpion</v>
      </c>
      <c r="B204" s="6" t="s">
        <v>1358</v>
      </c>
      <c r="C204" s="28" t="s">
        <v>1357</v>
      </c>
      <c r="D204" s="28" t="s">
        <v>1336</v>
      </c>
      <c r="E204" s="28" t="s">
        <v>1338</v>
      </c>
      <c r="F204" s="28" t="s">
        <v>685</v>
      </c>
      <c r="G204" s="28" t="s">
        <v>685</v>
      </c>
      <c r="H204" s="2">
        <f>MROUND((
  (IF(AND(_xlfn.XLOOKUP(B204,'Base stats'!B:B,'Base stats'!AJ:AJ)=0,BI204="None",_xlfn.XLOOKUP(_xlfn.XLOOKUP(B204,'Base stats'!B:B,'Base stats'!E:E),Groups!A:A,Groups!B:B)=0), (18 + BR204 * 2.7) * 0.5,
    IF(AND(_xlfn.XLOOKUP(B204,'Base stats'!B:B,'Base stats'!AJ:AJ)=0,OR(AO204&lt;0.55,AND(BI204="Intermediate",_xlfn.XLOOKUP(_xlfn.XLOOKUP(B204,'Base stats'!B:B,'Base stats'!E:E),Groups!A:A,Groups!B:B)&lt;2))), (18 + BR204 * 2.7),
      IF(OR(BI204="Advanced",_xlfn.XLOOKUP(B204,'Base stats'!B:B,'Base stats'!AJ:AJ)=1,_xlfn.XLOOKUP(_xlfn.XLOOKUP(B204,'Base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1200</v>
      </c>
      <c r="I204" s="2">
        <f>MROUND(ROUNDDOWN(_xlfn.XLOOKUP(B204,'Base stats'!B:B,'Base stats'!L:L)/3.6/(23.3/11),1),0.5)</f>
        <v>2.5</v>
      </c>
      <c r="J204" s="2">
        <f>IF(_xlfn.XLOOKUP(_xlfn.XLOOKUP(B204,'Base stats'!B:B,'Base stats'!E:E),Groups!A:A,Groups!C:C)="Untamable",1,IF(_xlfn.XLOOKUP(B204,'Base stats'!B:B,'Base stats'!AJ:AJ)=1,0.99,MIN(MROUND((1-0.6282*EXP(-0.459*AO204))*_xlfn.XLOOKUP(_xlfn.XLOOKUP(B204,'Base stats'!B:B,'Base stats'!E:E),Groups!A:A,Groups!C:C)*IF(_xlfn.XLOOKUP(B204,'Base stats'!B:B,'Base stats'!O:O)=1,0.5,IF(_xlfn.XLOOKUP(B204,'Base stats'!B:B,'Base stats'!O:O)=2,0,1)),0.05),0.985)))</f>
        <v>0.9</v>
      </c>
      <c r="K204" s="2">
        <f>ROUNDUP(AO204*_xlfn.XLOOKUP(_xlfn.XLOOKUP(B204,'Base stats'!B:B,'Base stats'!E:E),Groups!A:A,Groups!E:E),0)</f>
        <v>3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-5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50</v>
      </c>
      <c r="N204" s="8">
        <f>IF(_xlfn.XLOOKUP(_xlfn.XLOOKUP(B204,'Base stats'!B:B,'Base stats'!E:E),Groups!A:A,Groups!L:L)=1,MIN(MROUND(_xlfn.XLOOKUP(B204,'Animals CE'!B:B,'Animals CE'!Z:Z)/2+0.05,0.05),200%),"No")</f>
        <v>1</v>
      </c>
      <c r="O204" s="8">
        <f>IF(_xlfn.XLOOKUP(_xlfn.XLOOKUP(B204,'Base stats'!B:B,'Base stats'!E:E),Groups!A:A,Groups!L:L)=1,MIN(MROUND(_xlfn.XLOOKUP(B204,'Animals CE'!B:B,'Animals CE'!AA:AA)/2+0.05,0.05),200%),"No")</f>
        <v>0.1</v>
      </c>
      <c r="P204" s="2">
        <f>_xlfn.XLOOKUP(B204,'Base stats'!B:B,'Base stats'!R:R)</f>
        <v>1</v>
      </c>
      <c r="Q204" s="13">
        <f>MROUND((LOG10(_xlfn.XLOOKUP(B204,'Base stats'!B:B,'Base stats'!AP:AP))*(AO204^0.5)+(_xlfn.XLOOKUP(B204,'Base stats'!B:B,'Base stats'!AP:AP)/1000)^(2/3)+_xlfn.XLOOKUP(B204,'Base stats'!B:B,'Base stats'!AY:AY)/2)+0.5,0.5)</f>
        <v>14.5</v>
      </c>
      <c r="R204" s="7">
        <f>IF(Q204="No","No",MAX(1,MROUND(_xlfn.XLOOKUP(B204,'Base stats'!B:B,'Base stats'!C:C)^0.165,0.05)))</f>
        <v>2.7</v>
      </c>
      <c r="S204" s="13" t="str">
        <f>IF(_xlfn.XLOOKUP(_xlfn.XLOOKUP(B204,'Base stats'!B:B,'Base stats'!E:E),Groups!A:A,Groups!P:P)=0,"No",MROUND((LOG10(_xlfn.XLOOKUP(B204,'Base stats'!B:B,'Base stats'!AQ:AQ))*(AO204^0.5)+(_xlfn.XLOOKUP(B204,'Base stats'!B:B,'Base stats'!AQ:AQ)/1000)^(2/3)+_xlfn.XLOOKUP(B204,'Base stats'!B:B,'Base stats'!AY:AY))+_xlfn.XLOOKUP(B204,'Base stats'!B:B,'Base stats'!AW:AW)+0.5,0.5))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>
        <f>IF(_xlfn.XLOOKUP(B204,'Base stats'!B:B,'Base stats'!W:W)="No","No",MROUND((LOG10(_xlfn.XLOOKUP(B204,'Base stats'!B:B,'Base stats'!AS:AS))*(AO204^0.5)+(_xlfn.XLOOKUP(B204,'Base stats'!B:B,'Base stats'!AS:AS)/1000)^(2/3)+_xlfn.XLOOKUP(B204,'Base stats'!B:B,'Base stats'!AX:AX))+0.5+IF(_xlfn.XLOOKUP(_xlfn.XLOOKUP(B204,'Base stats'!B:B,'Base stats'!E:E),Groups!A:A,Groups!U:U)&lt;&gt;3,_xlfn.XLOOKUP(B204,'Base stats'!B:B,'Base stats'!AY:AY),0),0.5))</f>
        <v>27</v>
      </c>
      <c r="Y204" s="7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3.5</v>
      </c>
      <c r="Z204" s="7" t="str">
        <f>IF(X204="No","No",_xlfn.XLOOKUP(_xlfn.XLOOKUP(B204,'Base stats'!B:B,'Base stats'!E:E),Groups!A:A,Groups!W:W))</f>
        <v>Sting</v>
      </c>
      <c r="AA204" s="7" t="str">
        <f>IF(X204="No","No",_xlfn.XLOOKUP(_xlfn.XLOOKUP(B204,'Base stats'!B:B,'Base stats'!E:E),Groups!A:A,Groups!X:X))</f>
        <v>stinger</v>
      </c>
      <c r="AB204" s="7" t="str">
        <f>IF(X204="No","No",_xlfn.XLOOKUP(_xlfn.XLOOKUP(B204,'Base stats'!B:B,'Base stats'!E:E),Groups!A:A,Groups!Y:Y))</f>
        <v>VAEWaste_Sting</v>
      </c>
      <c r="AC204" s="7" t="str">
        <f>_xlfn.XLOOKUP(Animals!B204,'Base stats'!B:B,'Base stats'!X:X)</f>
        <v>False</v>
      </c>
      <c r="AD204" s="13">
        <f>IF(_xlfn.XLOOKUP(B204,'Base stats'!B:B,'Base stats'!AR:AR)="No","No",MROUND((LOG10(_xlfn.XLOOKUP(B204,'Base stats'!B:B,'Base stats'!AR:AR))*(AO204^0.75)+(_xlfn.XLOOKUP(B204,'Base stats'!B:B,'Base stats'!AR:AR)/1000)^(2/3)+_xlfn.XLOOKUP(B204,'Base stats'!B:B,'Base stats'!AV:AV)+_xlfn.XLOOKUP(B204,'Base stats'!B:B,'Base stats'!AY:AY))+0.5,0.5))</f>
        <v>37.5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3.2</v>
      </c>
      <c r="AF204" s="7" t="str">
        <f>IF(AD204="No","No",_xlfn.XLOOKUP(_xlfn.XLOOKUP(B204,'Base stats'!B:B,'Base stats'!E:E),Groups!A:A,Groups!AA:AA))</f>
        <v>Mouth</v>
      </c>
      <c r="AG204" s="7" t="str">
        <f>IF(AD204="No","No",_xlfn.XLOOKUP(_xlfn.XLOOKUP(B204,'Base stats'!B:B,'Base stats'!E:E),Groups!A:A,Groups!AB:AB))</f>
        <v>mandibles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stats'!AQ:AQ))*(AO204^0.75)+(_xlfn.XLOOKUP(B204,'Base stats'!B:B,'Base stats'!AQ:AQ)/1000)^(2/3)+_xlfn.XLOOKUP(B204,'Base stats'!B:B,'Base stats'!AW:AW)+_xlfn.XLOOKUP(B204,'Base stats'!B:B,'Base stats'!AY:AY))+0.5,0.5))</f>
        <v>37.5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2.95</v>
      </c>
      <c r="AK204" s="7" t="str">
        <f>IF(AI204="No","No",_xlfn.XLOOKUP(_xlfn.XLOOKUP(B204,'Base stats'!B:B,'Base stats'!E:E),Groups!A:A,Groups!AF:AF))</f>
        <v>LeftPincer, RightPincer</v>
      </c>
      <c r="AL204" s="7" t="str">
        <f>IF(AI204="No","No",_xlfn.XLOOKUP(_xlfn.XLOOKUP(B204,'Base stats'!B:B,'Base stats'!E:E),Groups!A:A,Groups!AG:AG))</f>
        <v>left pincer, right pincer</v>
      </c>
      <c r="AM204" s="7" t="str">
        <f>IF(AI204="No","No",_xlfn.XLOOKUP(_xlfn.XLOOKUP(B204,'Base stats'!B:B,'Base stats'!E:E),Groups!A:A,Groups!AH:AH))</f>
        <v>Scratch</v>
      </c>
      <c r="AN204" s="2">
        <f t="shared" si="71"/>
        <v>30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2.75</v>
      </c>
      <c r="AP204" s="8">
        <f>MROUND(AO204*_xlfn.XLOOKUP(_xlfn.XLOOKUP(B204,'Base stats'!B:B,'Base stats'!E:E),Groups!A:A,Groups!AI:AI),0.05)</f>
        <v>2.75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0.30000000000000004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IFERROR(IF(_xlfn.XLOOKUP(B204,'Base stats'!B:B,'Base stats'!F:F)="Lay eggs","Lay eggs",MIN(20,MAX(5.5,ROUND(((_xlfn.XLOOKUP(B204,'Base stats'!B:B,'Base stats'!F:F)-25)*(14.5/615) + 5.5)*2,0)/2))),"Cannot breed")</f>
        <v>Lay eggs</v>
      </c>
      <c r="AT204" s="8" t="str">
        <f>IF(OR(A204="Queen",A204="Larva",A204="Megachicken",A204="Megatardi",A204="Toxscorpion"),"No",IFERROR(MAX(IF(_xlfn.XLOOKUP(B204,'Base stats'!B:B,'Base stats'!G:G)&lt;0.5,0.2,0.3),MROUND(_xlfn.XLOOKUP(B204,'Base stats'!B:B,'Base stats'!G:G)/(365/60),0.2)),"Unknown"))</f>
        <v>No</v>
      </c>
      <c r="AU204" s="8" t="str">
        <f t="shared" si="70"/>
        <v>No</v>
      </c>
      <c r="AV204" s="8" t="str">
        <f>IFERROR(IFERROR(MROUND(_xlfn.XLOOKUP(B204,'Base stats'!B:B,'Base stats'!J:J),0.1),"Lay eggs"),"Cannot breed")</f>
        <v>Lay eggs</v>
      </c>
      <c r="AW204" s="2" t="str">
        <f t="shared" si="72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</f>
        <v>OmnivoreAnimal, OvivoreAnimal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_xlfn.XLOOKUP(B204,'Base stats'!B:B,'Base stats'!AF:AF)</f>
        <v>No</v>
      </c>
      <c r="BB204" s="2" t="str">
        <f>_xlfn.XLOOKUP(B204,'Base stats'!B:B,'Base stats'!AE:AE)</f>
        <v>No</v>
      </c>
      <c r="BC204" s="23" t="str">
        <f>_xlfn.XLOOKUP(_xlfn.XLOOKUP(B204,'Base stats'!B:B,'Base stats'!E:E),Groups!A:A,Groups!AL:AL)</f>
        <v>ScorpionLike</v>
      </c>
      <c r="BD204" s="23">
        <f>MIN(1,MROUND(IF(AND(AO204&lt;0.5,_xlfn.XLOOKUP(B204,'Base stats'!B:B,'Base stats'!Z:Z)=0),0,IF(OR(_xlfn.XLOOKUP(Animals!B204,'Base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stats'!AA:AA),0.005))</f>
        <v>1</v>
      </c>
      <c r="BE204" s="23">
        <f>MIN(1,MROUND(IF(AND(AO204&lt;0.5,_xlfn.XLOOKUP(B204,'Base stats'!B:B,'Base stats'!Z:Z)=0),0,IF(_xlfn.XLOOKUP(_xlfn.XLOOKUP(B204,'Base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stats'!AB:AB),0.005))</f>
        <v>1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Advanced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true</v>
      </c>
      <c r="BK204" s="2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3</v>
      </c>
      <c r="BL204" s="2">
        <f t="shared" si="73"/>
        <v>1</v>
      </c>
      <c r="BM204" s="25" t="str">
        <f>IF(_xlfn.XLOOKUP(B204,'Base stats'!B:B,'Base stats'!AL:AL)="Standard","No",MROUND((_xlfn.XLOOKUP(B204,'Base stats'!B:B,'Base stats'!AL:AL)/3.6)/I204,0.1))</f>
        <v>No</v>
      </c>
      <c r="BN204" s="25" t="str">
        <f t="shared" si="74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stats'!AC:AC)&lt;&gt;"No",_xlfn.XLOOKUP(B204,'Base stats'!B:B,'Base stats'!AC:AC),"")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stats'!AC:AC)&lt;&gt;"No",_xlfn.XLOOKUP(B204,'Base stats'!B:B,'Base stats'!AC:AC),"")
  )
)</f>
        <v>AttackTarget, AttackTarget</v>
      </c>
      <c r="BQ204" s="25" t="str">
        <f>IF(
   AND(
      'Base stats'!AL204="Standard",_xlfn.XLOOKUP(_xlfn.XLOOKUP(B204,'Base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stats'!AT:AT) * 1.8) * 2) * 2.5 + 10 + I204 * 2,5)+IF(_xlfn.XLOOKUP(B204,'Base stats'!B:B,'Base stats'!AI:AI)=1,50,0)</f>
        <v>325</v>
      </c>
      <c r="BS204" s="8">
        <f t="shared" si="75"/>
        <v>0.8</v>
      </c>
      <c r="BT204" s="8" t="str">
        <f>_xlfn.XLOOKUP(B204,'Base stats'!B:B,'Base stats'!AD:AD)</f>
        <v>No</v>
      </c>
      <c r="BU204" s="2" t="str">
        <f>IF(AND(J204&lt;=0.95,OR(_xlfn.XLOOKUP(B204,'Base stats'!B:B,'Base stats'!AI:AI)=1,_xlfn.XLOOKUP(B204,'Base stats'!B:B,'Base stats'!Y:Y)="Carnivore",_xlfn.XLOOKUP(B204,'Base stats'!B:B,'Base stats'!Y:Y)="Omnivore",BE204&gt;0.1)),"true","false")</f>
        <v>true</v>
      </c>
      <c r="BV204" s="2" t="str">
        <f>IF(_xlfn.XLOOKUP(B204,'Base stats'!B:B,'Base stats'!AG:AG)=1,"true","false")</f>
        <v>false</v>
      </c>
      <c r="BW204" s="25" t="str">
        <f>IF(E204="BaseInsect","AnimalInsect",
IF(J204&gt;0.95,"AnimalExotic",
_xlfn.TEXTJOIN(", ",TRUE,
IF(OR(_xlfn.XLOOKUP(B204,'Base stats'!B:B,'Base stats'!AK:AK)=1,AND(_xlfn.XLOOKUP(B204,'Base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stats'!AI:AI)=1,AND(BI204&lt;&gt;"None",BR204&gt;=60),ISNUMBER(SEARCH("Attack target",BP204))),"AnimalFighter","")
)))</f>
        <v>AnimalUncommon, AnimalFighter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AridShrubland Desert ExtremeDesert TropicalRainforest TropicalSwamp Grasslands Glowforest LavaField Scarlands</v>
      </c>
      <c r="BY204" s="25" t="str">
        <f>IF(_xlfn.XLOOKUP(B204,'Base stats'!B:B,'Base stats'!AH:AH)=1,"true","false")</f>
        <v>false</v>
      </c>
      <c r="BZ204" s="25" t="str">
        <f>IF(_xlfn.XLOOKUP(B204,'Base stats'!B:B,'Base stats'!N:N)=1,"No",MAX(0.01,MIN(MROUND(IF(OR(_xlfn.XLOOKUP(B204,'Base stats'!B:B,'Base stats'!AK:AK)=1,AND(BJ204="True",CC204="False")),POWER(10,3.47*LOG10(_xlfn.XLOOKUP(B204,'Base stats'!B:B,'Base stats'!C:C)*1000)^-0.96),POWER(10,4.15*LOG10(_xlfn.XLOOKUP(B204,'Base stats'!B:B,'Base stats'!C:C)*1000)^-0.73))*IF(OR(_xlfn.XLOOKUP(B204,'Base stats'!B:B,'Base stats'!AK:AK)=1,_xlfn.XLOOKUP(B204,'Base stats'!B:B,'Base stats'!AI:AI)=1),0.5,1)/100,0.025),1)))</f>
        <v>No</v>
      </c>
      <c r="CA204" s="25">
        <f>IF(P204="Standard","No",MAX(0.01,IF(_xlfn.XLOOKUP(B204,'Base stats'!B:B,'Base stats'!N:N)=0,MROUND(BZ204*P204,0.05),MIN(1,MAX(0.025,MROUND(IF(OR(CC204="true",AND(BJ204="false",BO204="false")),POWER(10,4.15*LOG10(_xlfn.XLOOKUP(B204,'Base stats'!B:B,'Base stats'!C:C)*1000)^-0.73),POWER(10,3.47*LOG10(_xlfn.XLOOKUP(B204,'Base stats'!B:B,'Base stats'!C:C)*1000)^-0.96))*IF(_xlfn.XLOOKUP(B204,'Base stats'!B:B,'Base stats'!AI:AI)=1,0.5,1)/100,0.025))))))</f>
        <v>0.15000000000000002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76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Bone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Wasteboar</v>
      </c>
      <c r="B205" s="6" t="s">
        <v>1359</v>
      </c>
      <c r="C205" s="28" t="s">
        <v>1364</v>
      </c>
      <c r="D205" s="28" t="s">
        <v>1336</v>
      </c>
      <c r="E205" s="28" t="s">
        <v>685</v>
      </c>
      <c r="F205" s="28" t="s">
        <v>685</v>
      </c>
      <c r="G205" s="28" t="s">
        <v>685</v>
      </c>
      <c r="H205" s="2">
        <f>MROUND((
  (IF(AND(_xlfn.XLOOKUP(B205,'Base stats'!B:B,'Base stats'!AJ:AJ)=0,BI205="None",_xlfn.XLOOKUP(_xlfn.XLOOKUP(B205,'Base stats'!B:B,'Base stats'!E:E),Groups!A:A,Groups!B:B)=0), (18 + BR205 * 2.7) * 0.5,
    IF(AND(_xlfn.XLOOKUP(B205,'Base stats'!B:B,'Base stats'!AJ:AJ)=0,OR(AO205&lt;0.55,AND(BI205="Intermediate",_xlfn.XLOOKUP(_xlfn.XLOOKUP(B205,'Base stats'!B:B,'Base stats'!E:E),Groups!A:A,Groups!B:B)&lt;2))), (18 + BR205 * 2.7),
      IF(OR(BI205="Advanced",_xlfn.XLOOKUP(B205,'Base stats'!B:B,'Base stats'!AJ:AJ)=1,_xlfn.XLOOKUP(_xlfn.XLOOKUP(B205,'Base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250</v>
      </c>
      <c r="I205" s="2">
        <f>MROUND(ROUNDDOWN(_xlfn.XLOOKUP(B205,'Base stats'!B:B,'Base stats'!L:L)/3.6/(23.3/11),1),0.5)</f>
        <v>5</v>
      </c>
      <c r="J205" s="2">
        <f>IF(_xlfn.XLOOKUP(_xlfn.XLOOKUP(B205,'Base stats'!B:B,'Base stats'!E:E),Groups!A:A,Groups!C:C)="Untamable",1,IF(_xlfn.XLOOKUP(B205,'Base stats'!B:B,'Base stats'!AJ:AJ)=1,0.99,MIN(MROUND((1-0.6282*EXP(-0.459*AO205))*_xlfn.XLOOKUP(_xlfn.XLOOKUP(B205,'Base stats'!B:B,'Base stats'!E:E),Groups!A:A,Groups!C:C)*IF(_xlfn.XLOOKUP(B205,'Base stats'!B:B,'Base stats'!O:O)=1,0.5,IF(_xlfn.XLOOKUP(B205,'Base stats'!B:B,'Base stats'!O:O)=2,0,1)),0.05),0.985)))</f>
        <v>0.70000000000000007</v>
      </c>
      <c r="K205" s="2">
        <f>ROUNDUP(AO205*_xlfn.XLOOKUP(_xlfn.XLOOKUP(B205,'Base stats'!B:B,'Base stats'!E:E),Groups!A:A,Groups!E:E),0)</f>
        <v>8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-45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40</v>
      </c>
      <c r="N205" s="8" t="str">
        <f>IF(_xlfn.XLOOKUP(_xlfn.XLOOKUP(B205,'Base stats'!B:B,'Base stats'!E:E),Groups!A:A,Groups!L:L)=1,MIN(MROUND(_xlfn.XLOOKUP(B205,'Animals CE'!B:B,'Animals CE'!Z:Z)/2+0.05,0.05),200%),"No")</f>
        <v>No</v>
      </c>
      <c r="O205" s="8" t="str">
        <f>IF(_xlfn.XLOOKUP(_xlfn.XLOOKUP(B205,'Base stats'!B:B,'Base stats'!E:E),Groups!A:A,Groups!L:L)=1,MIN(MROUND(_xlfn.XLOOKUP(B205,'Animals CE'!B:B,'Animals CE'!AA:AA)/2+0.05,0.05),200%),"No")</f>
        <v>No</v>
      </c>
      <c r="P205" s="2">
        <f>_xlfn.XLOOKUP(B205,'Base stats'!B:B,'Base stats'!R:R)</f>
        <v>1</v>
      </c>
      <c r="Q205" s="13">
        <f>MROUND((LOG10(_xlfn.XLOOKUP(B205,'Base stats'!B:B,'Base stats'!AP:AP))*(AO205^0.5)+(_xlfn.XLOOKUP(B205,'Base stats'!B:B,'Base stats'!AP:AP)/1000)^(2/3)+_xlfn.XLOOKUP(B205,'Base stats'!B:B,'Base stats'!AY:AY)/2)+0.5,0.5)</f>
        <v>9.5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stats'!AQ:AQ))*(AO205^0.5)+(_xlfn.XLOOKUP(B205,'Base stats'!B:B,'Base stats'!AQ:AQ)/1000)^(2/3)+_xlfn.XLOOKUP(B205,'Base stats'!B:B,'Base stats'!AY:AY))+_xlfn.XLOOKUP(B205,'Base stats'!B:B,'Base stats'!AW:AW)+0.5,0.5))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>
        <f>IF(_xlfn.XLOOKUP(B205,'Base stats'!B:B,'Base stats'!W:W)="No","No",MROUND((LOG10(_xlfn.XLOOKUP(B205,'Base stats'!B:B,'Base stats'!AS:AS))*(AO205^0.5)+(_xlfn.XLOOKUP(B205,'Base stats'!B:B,'Base stats'!AS:AS)/1000)^(2/3)+_xlfn.XLOOKUP(B205,'Base stats'!B:B,'Base stats'!AX:AX))+0.5+IF(_xlfn.XLOOKUP(_xlfn.XLOOKUP(B205,'Base stats'!B:B,'Base stats'!E:E),Groups!A:A,Groups!U:U)&lt;&gt;3,_xlfn.XLOOKUP(B205,'Base stats'!B:B,'Base stats'!AY:AY),0),0.5))</f>
        <v>17</v>
      </c>
      <c r="Y205" s="7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1.85</v>
      </c>
      <c r="Z205" s="7" t="str">
        <f>IF(X205="No","No",_xlfn.XLOOKUP(_xlfn.XLOOKUP(B205,'Base stats'!B:B,'Base stats'!E:E),Groups!A:A,Groups!W:W))</f>
        <v>TuskAttackTool</v>
      </c>
      <c r="AA205" s="7" t="str">
        <f>IF(X205="No","No",_xlfn.XLOOKUP(_xlfn.XLOOKUP(B205,'Base stats'!B:B,'Base stats'!E:E),Groups!A:A,Groups!X:X))</f>
        <v>tusk</v>
      </c>
      <c r="AB205" s="7" t="str">
        <f>IF(X205="No","No",_xlfn.XLOOKUP(_xlfn.XLOOKUP(B205,'Base stats'!B:B,'Base stats'!E:E),Groups!A:A,Groups!Y:Y))</f>
        <v>Scratch</v>
      </c>
      <c r="AC205" s="7" t="str">
        <f>_xlfn.XLOOKUP(Animals!B205,'Base stats'!B:B,'Base stats'!X:X)</f>
        <v>True</v>
      </c>
      <c r="AD205" s="13">
        <f>IF(_xlfn.XLOOKUP(B205,'Base stats'!B:B,'Base stats'!AR:AR)="No","No",MROUND((LOG10(_xlfn.XLOOKUP(B205,'Base stats'!B:B,'Base stats'!AR:AR))*(AO205^0.75)+(_xlfn.XLOOKUP(B205,'Base stats'!B:B,'Base stats'!AR:AR)/1000)^(2/3)+_xlfn.XLOOKUP(B205,'Base stats'!B:B,'Base stats'!AV:AV)+_xlfn.XLOOKUP(B205,'Base stats'!B:B,'Base stats'!AY:AY))+0.5,0.5))</f>
        <v>19.5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2.15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teeth</v>
      </c>
      <c r="AH205" s="7" t="str">
        <f>IF(AD205="No","No",_xlfn.XLOOKUP(_xlfn.XLOOKUP(B205,'Base stats'!B:B,'Base stats'!E:E),Groups!A:A,Groups!AC:AC))</f>
        <v>Bite</v>
      </c>
      <c r="AI205" s="13" t="str">
        <f>IF(_xlfn.XLOOKUP(_xlfn.XLOOKUP(B205,'Base stats'!B:B,'Base stats'!E:E),Groups!A:A,Groups!AD:AD)=0,"No",MROUND((LOG10(_xlfn.XLOOKUP(B205,'Base stats'!B:B,'Base stats'!AQ:AQ))*(AO205^0.75)+(_xlfn.XLOOKUP(B205,'Base stats'!B:B,'Base stats'!AQ:AQ)/1000)^(2/3)+_xlfn.XLOOKUP(B205,'Base stats'!B:B,'Base stats'!AW:AW)+_xlfn.XLOOKUP(B205,'Base stats'!B:B,'Base stats'!AY:AY))+0.5,0.5))</f>
        <v>No</v>
      </c>
      <c r="AJ205" s="7" t="str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No</v>
      </c>
      <c r="AK205" s="7" t="str">
        <f>IF(AI205="No","No",_xlfn.XLOOKUP(_xlfn.XLOOKUP(B205,'Base stats'!B:B,'Base stats'!E:E),Groups!A:A,Groups!AF:AF))</f>
        <v>No</v>
      </c>
      <c r="AL205" s="7" t="str">
        <f>IF(AI205="No","No",_xlfn.XLOOKUP(_xlfn.XLOOKUP(B205,'Base stats'!B:B,'Base stats'!E:E),Groups!A:A,Groups!AG:AG))</f>
        <v>No</v>
      </c>
      <c r="AM205" s="7" t="str">
        <f>IF(AI205="No","No",_xlfn.XLOOKUP(_xlfn.XLOOKUP(B205,'Base stats'!B:B,'Base stats'!E:E),Groups!A:A,Groups!AH:AH))</f>
        <v>No</v>
      </c>
      <c r="AN205" s="2" t="str">
        <f t="shared" si="71"/>
        <v>No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1.5</v>
      </c>
      <c r="AP205" s="8">
        <f>MROUND(AO205*_xlfn.XLOOKUP(_xlfn.XLOOKUP(B205,'Base stats'!B:B,'Base stats'!E:E),Groups!A:A,Groups!AI:AI),0.05)</f>
        <v>1.5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IFERROR(IF(_xlfn.XLOOKUP(B205,'Base stats'!B:B,'Base stats'!F:F)="Lay eggs","Lay eggs",MIN(20,MAX(5.5,ROUND(((_xlfn.XLOOKUP(B205,'Base stats'!B:B,'Base stats'!F:F)-25)*(14.5/615) + 5.5)*2,0)/2))),"Cannot breed")</f>
        <v>7.5</v>
      </c>
      <c r="AT205" s="8">
        <f>IF(OR(A205="Queen",A205="Larva",A205="Megachicken",A205="Megatardi",A205="Toxscorpion"),"No",IFERROR(MAX(IF(_xlfn.XLOOKUP(B205,'Base stats'!B:B,'Base stats'!G:G)&lt;0.5,0.2,0.3),MROUND(_xlfn.XLOOKUP(B205,'Base stats'!B:B,'Base stats'!G:G)/(365/60),0.2)),"Unknown"))</f>
        <v>0.3</v>
      </c>
      <c r="AU205" s="8">
        <f t="shared" si="70"/>
        <v>0.15000000000000002</v>
      </c>
      <c r="AV205" s="8">
        <f>IFERROR(IFERROR(MROUND(_xlfn.XLOOKUP(B205,'Base stats'!B:B,'Base stats'!J:J),0.1),"Lay eggs"),"Cannot breed")</f>
        <v>7</v>
      </c>
      <c r="AW205" s="2" t="str">
        <f t="shared" si="72"/>
        <v>true</v>
      </c>
      <c r="AX205" s="2" t="str">
        <f>IF(_xlfn.XLOOKUP(_xlfn.XLOOKUP(Animals!B205,'Base stats'!B:B,'Base stats'!E:E),Groups!A:A,Groups!AK:AK)=1,"true","false")</f>
        <v>true</v>
      </c>
      <c r="AY205" s="25" t="str">
        <f>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</f>
        <v>OmnivoreRoughAnimal, OvivoreAnimal</v>
      </c>
      <c r="AZ205" s="2">
        <f>IF(_xlfn.XLOOKUP(_xlfn.XLOOKUP(B205,'Base stats'!B:B,'Base stats'!E:E),Groups!A:A,Groups!D:D)=1,MROUND((1-J205)*5+1,2)*IF(J205&lt;=0.4,2,1),"No")</f>
        <v>2</v>
      </c>
      <c r="BA205" s="2" t="str">
        <f>_xlfn.XLOOKUP(B205,'Base stats'!B:B,'Base stats'!AF:AF)</f>
        <v>No</v>
      </c>
      <c r="BB205" s="2" t="str">
        <f>_xlfn.XLOOKUP(B205,'Base stats'!B:B,'Base stats'!AE:AE)</f>
        <v>ToxicLeather</v>
      </c>
      <c r="BC205" s="23" t="str">
        <f>_xlfn.XLOOKUP(_xlfn.XLOOKUP(B205,'Base stats'!B:B,'Base stats'!E:E),Groups!A:A,Groups!AL:AL)</f>
        <v>QuadrupedAnimalWithHoovesAndTusks</v>
      </c>
      <c r="BD205" s="23">
        <f>MIN(1,MROUND(IF(AND(AO205&lt;0.5,_xlfn.XLOOKUP(B205,'Base stats'!B:B,'Base stats'!Z:Z)=0),0,IF(OR(_xlfn.XLOOKUP(Animals!B205,'Base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stats'!AA:AA),0.005))</f>
        <v>2.5000000000000001E-2</v>
      </c>
      <c r="BE205" s="23">
        <f>MIN(1,MROUND(IF(AND(AO205&lt;0.5,_xlfn.XLOOKUP(B205,'Base stats'!B:B,'Base stats'!Z:Z)=0),0,IF(_xlfn.XLOOKUP(_xlfn.XLOOKUP(B205,'Base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stats'!AB:AB),0.005))</f>
        <v>0.1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None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false</v>
      </c>
      <c r="BK205" s="2" t="str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No</v>
      </c>
      <c r="BL205" s="2">
        <f t="shared" si="73"/>
        <v>0</v>
      </c>
      <c r="BM205" s="25" t="str">
        <f>IF(_xlfn.XLOOKUP(B205,'Base stats'!B:B,'Base stats'!AL:AL)="Standard","No",MROUND((_xlfn.XLOOKUP(B205,'Base stats'!B:B,'Base stats'!AL:AL)/3.6)/I205,0.1))</f>
        <v>No</v>
      </c>
      <c r="BN205" s="25" t="str">
        <f t="shared" si="74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stats'!AC:AC)&lt;&gt;"No",_xlfn.XLOOKUP(B205,'Base stats'!B:B,'Base stats'!AC:AC),"")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stats'!AC:AC)&lt;&gt;"No",_xlfn.XLOOKUP(B205,'Base stats'!B:B,'Base stats'!AC:AC),"")
  )
)</f>
        <v>Forage</v>
      </c>
      <c r="BQ205" s="25" t="str">
        <f>IF(
   AND(
      'Base stats'!AL205="Standard",_xlfn.XLOOKUP(_xlfn.XLOOKUP(B205,'Base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stats'!AT:AT) * 1.8) * 2) * 2.5 + 10 + I205 * 2,5)+IF(_xlfn.XLOOKUP(B205,'Base stats'!B:B,'Base stats'!AI:AI)=1,50,0)</f>
        <v>140</v>
      </c>
      <c r="BS205" s="8">
        <f t="shared" si="75"/>
        <v>0.9</v>
      </c>
      <c r="BT205" s="8" t="str">
        <f>_xlfn.XLOOKUP(B205,'Base stats'!B:B,'Base stats'!AD:AD)</f>
        <v>3~10</v>
      </c>
      <c r="BU205" s="2" t="str">
        <f>IF(AND(J205&lt;=0.95,OR(_xlfn.XLOOKUP(B205,'Base stats'!B:B,'Base stats'!AI:AI)=1,_xlfn.XLOOKUP(B205,'Base stats'!B:B,'Base stats'!Y:Y)="Carnivore",_xlfn.XLOOKUP(B205,'Base stats'!B:B,'Base stats'!Y:Y)="Omnivore",BE205&gt;0.1)),"true","false")</f>
        <v>false</v>
      </c>
      <c r="BV205" s="2" t="str">
        <f>IF(_xlfn.XLOOKUP(B205,'Base stats'!B:B,'Base stats'!AG:AG)=1,"true","false")</f>
        <v>false</v>
      </c>
      <c r="BW205" s="25" t="str">
        <f>IF(E205="BaseInsect","AnimalInsect",
IF(J205&gt;0.95,"AnimalExotic",
_xlfn.TEXTJOIN(", ",TRUE,
IF(OR(_xlfn.XLOOKUP(B205,'Base stats'!B:B,'Base stats'!AK:AK)=1,AND(_xlfn.XLOOKUP(B205,'Base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stats'!AI:AI)=1,AND(BI205&lt;&gt;"None",BR205&gt;=60),ISNUMBER(SEARCH("Attack target",BP205))),"AnimalFighter","")
)))</f>
        <v>AnimalCommon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BorealForest ColdBog TemperateForest TemperateSwamp TropicalRainforest TropicalSwamp Glowforest Scarlands</v>
      </c>
      <c r="BY205" s="25" t="str">
        <f>IF(_xlfn.XLOOKUP(B205,'Base stats'!B:B,'Base stats'!AH:AH)=1,"true","false")</f>
        <v>false</v>
      </c>
      <c r="BZ205" s="25" t="str">
        <f>IF(_xlfn.XLOOKUP(B205,'Base stats'!B:B,'Base stats'!N:N)=1,"No",MAX(0.01,MIN(MROUND(IF(OR(_xlfn.XLOOKUP(B205,'Base stats'!B:B,'Base stats'!AK:AK)=1,AND(BJ205="True",CC205="False")),POWER(10,3.47*LOG10(_xlfn.XLOOKUP(B205,'Base stats'!B:B,'Base stats'!C:C)*1000)^-0.96),POWER(10,4.15*LOG10(_xlfn.XLOOKUP(B205,'Base stats'!B:B,'Base stats'!C:C)*1000)^-0.73))*IF(OR(_xlfn.XLOOKUP(B205,'Base stats'!B:B,'Base stats'!AK:AK)=1,_xlfn.XLOOKUP(B205,'Base stats'!B:B,'Base stats'!AI:AI)=1),0.5,1)/100,0.025),1)))</f>
        <v>No</v>
      </c>
      <c r="CA205" s="25">
        <f>IF(P205="Standard","No",MAX(0.01,IF(_xlfn.XLOOKUP(B205,'Base stats'!B:B,'Base stats'!N:N)=0,MROUND(BZ205*P205,0.05),MIN(1,MAX(0.025,MROUND(IF(OR(CC205="true",AND(BJ205="false",BO205="false")),POWER(10,4.15*LOG10(_xlfn.XLOOKUP(B205,'Base stats'!B:B,'Base stats'!C:C)*1000)^-0.73),POWER(10,3.47*LOG10(_xlfn.XLOOKUP(B205,'Base stats'!B:B,'Base stats'!C:C)*1000)^-0.96))*IF(_xlfn.XLOOKUP(B205,'Base stats'!B:B,'Base stats'!AI:AI)=1,0.5,1)/100,0.025))))))</f>
        <v>0.17500000000000002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76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Bone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Wastedeer</v>
      </c>
      <c r="B206" s="6" t="s">
        <v>1360</v>
      </c>
      <c r="C206" s="28" t="s">
        <v>1363</v>
      </c>
      <c r="D206" s="28" t="s">
        <v>1336</v>
      </c>
      <c r="E206" s="28" t="s">
        <v>685</v>
      </c>
      <c r="F206" s="28" t="s">
        <v>685</v>
      </c>
      <c r="G206" s="28" t="s">
        <v>685</v>
      </c>
      <c r="H206" s="2">
        <f>MROUND((
  (IF(AND(_xlfn.XLOOKUP(B206,'Base stats'!B:B,'Base stats'!AJ:AJ)=0,BI206="None",_xlfn.XLOOKUP(_xlfn.XLOOKUP(B206,'Base stats'!B:B,'Base stats'!E:E),Groups!A:A,Groups!B:B)=0), (18 + BR206 * 2.7) * 0.5,
    IF(AND(_xlfn.XLOOKUP(B206,'Base stats'!B:B,'Base stats'!AJ:AJ)=0,OR(AO206&lt;0.55,AND(BI206="Intermediate",_xlfn.XLOOKUP(_xlfn.XLOOKUP(B206,'Base stats'!B:B,'Base stats'!E:E),Groups!A:A,Groups!B:B)&lt;2))), (18 + BR206 * 2.7),
      IF(OR(BI206="Advanced",_xlfn.XLOOKUP(B206,'Base stats'!B:B,'Base stats'!AJ:AJ)=1,_xlfn.XLOOKUP(_xlfn.XLOOKUP(B206,'Base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150</v>
      </c>
      <c r="I206" s="2">
        <f>MROUND(ROUNDDOWN(_xlfn.XLOOKUP(B206,'Base stats'!B:B,'Base stats'!L:L)/3.6/(23.3/11),1),0.5)</f>
        <v>8.5</v>
      </c>
      <c r="J206" s="2">
        <f>IF(_xlfn.XLOOKUP(_xlfn.XLOOKUP(B206,'Base stats'!B:B,'Base stats'!E:E),Groups!A:A,Groups!C:C)="Untamable",1,IF(_xlfn.XLOOKUP(B206,'Base stats'!B:B,'Base stats'!AJ:AJ)=1,0.99,MIN(MROUND((1-0.6282*EXP(-0.459*AO206))*_xlfn.XLOOKUP(_xlfn.XLOOKUP(B206,'Base stats'!B:B,'Base stats'!E:E),Groups!A:A,Groups!C:C)*IF(_xlfn.XLOOKUP(B206,'Base stats'!B:B,'Base stats'!O:O)=1,0.5,IF(_xlfn.XLOOKUP(B206,'Base stats'!B:B,'Base stats'!O:O)=2,0,1)),0.05),0.985)))</f>
        <v>0.5</v>
      </c>
      <c r="K206" s="2">
        <f>ROUNDUP(AO206*_xlfn.XLOOKUP(_xlfn.XLOOKUP(B206,'Base stats'!B:B,'Base stats'!E:E),Groups!A:A,Groups!E:E),0)</f>
        <v>5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-50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35</v>
      </c>
      <c r="N206" s="8" t="str">
        <f>IF(_xlfn.XLOOKUP(_xlfn.XLOOKUP(B206,'Base stats'!B:B,'Base stats'!E:E),Groups!A:A,Groups!L:L)=1,MIN(MROUND(_xlfn.XLOOKUP(B206,'Animals CE'!B:B,'Animals CE'!Z:Z)/2+0.05,0.05),200%),"No")</f>
        <v>No</v>
      </c>
      <c r="O206" s="8" t="str">
        <f>IF(_xlfn.XLOOKUP(_xlfn.XLOOKUP(B206,'Base stats'!B:B,'Base stats'!E:E),Groups!A:A,Groups!L:L)=1,MIN(MROUND(_xlfn.XLOOKUP(B206,'Animals CE'!B:B,'Animals CE'!AA:AA)/2+0.05,0.05),200%),"No")</f>
        <v>No</v>
      </c>
      <c r="P206" s="2">
        <f>_xlfn.XLOOKUP(B206,'Base stats'!B:B,'Base stats'!R:R)</f>
        <v>1</v>
      </c>
      <c r="Q206" s="13">
        <f>MROUND((LOG10(_xlfn.XLOOKUP(B206,'Base stats'!B:B,'Base stats'!AP:AP))*(AO206^0.5)+(_xlfn.XLOOKUP(B206,'Base stats'!B:B,'Base stats'!AP:AP)/1000)^(2/3)+_xlfn.XLOOKUP(B206,'Base stats'!B:B,'Base stats'!AY:AY)/2)+0.5,0.5)</f>
        <v>7</v>
      </c>
      <c r="R206" s="7">
        <f>IF(Q206="No","No",MAX(1,MROUND(_xlfn.XLOOKUP(B206,'Base stats'!B:B,'Base stats'!C:C)^0.165,0.05)))</f>
        <v>2</v>
      </c>
      <c r="S206" s="13">
        <f>IF(_xlfn.XLOOKUP(_xlfn.XLOOKUP(B206,'Base stats'!B:B,'Base stats'!E:E),Groups!A:A,Groups!P:P)=0,"No",MROUND((LOG10(_xlfn.XLOOKUP(B206,'Base stats'!B:B,'Base stats'!AQ:AQ))*(AO206^0.5)+(_xlfn.XLOOKUP(B206,'Base stats'!B:B,'Base stats'!AQ:AQ)/1000)^(2/3)+_xlfn.XLOOKUP(B206,'Base stats'!B:B,'Base stats'!AY:AY))+_xlfn.XLOOKUP(B206,'Base stats'!B:B,'Base stats'!AW:AW)+0.5,0.5))</f>
        <v>9</v>
      </c>
      <c r="T206" s="7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2</v>
      </c>
      <c r="U206" s="7" t="str">
        <f>IF(S206="No","No",_xlfn.XLOOKUP(_xlfn.XLOOKUP(B206,'Base stats'!B:B,'Base stats'!E:E),Groups!A:A,Groups!R:R))</f>
        <v>FrontLeftLeg, FrontRightLeg</v>
      </c>
      <c r="V206" s="7" t="str">
        <f>IF(S206="No","No",_xlfn.XLOOKUP(_xlfn.XLOOKUP(B206,'Base stats'!B:B,'Base stats'!E:E),Groups!A:A,Groups!S:S))</f>
        <v>left hoof, right hoof</v>
      </c>
      <c r="W206" s="7" t="str">
        <f>IF(S206="No","No",_xlfn.XLOOKUP(_xlfn.XLOOKUP(B206,'Base stats'!B:B,'Base stats'!E:E),Groups!A:A,Groups!T:T))</f>
        <v>Blunt</v>
      </c>
      <c r="X206" s="13">
        <f>IF(_xlfn.XLOOKUP(B206,'Base stats'!B:B,'Base stats'!W:W)="No","No",MROUND((LOG10(_xlfn.XLOOKUP(B206,'Base stats'!B:B,'Base stats'!AS:AS))*(AO206^0.5)+(_xlfn.XLOOKUP(B206,'Base stats'!B:B,'Base stats'!AS:AS)/1000)^(2/3)+_xlfn.XLOOKUP(B206,'Base stats'!B:B,'Base stats'!AX:AX))+0.5+IF(_xlfn.XLOOKUP(_xlfn.XLOOKUP(B206,'Base stats'!B:B,'Base stats'!E:E),Groups!A:A,Groups!U:U)&lt;&gt;3,_xlfn.XLOOKUP(B206,'Base stats'!B:B,'Base stats'!AY:AY),0),0.5))</f>
        <v>12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1.7000000000000002</v>
      </c>
      <c r="Z206" s="7" t="str">
        <f>IF(X206="No","No",_xlfn.XLOOKUP(_xlfn.XLOOKUP(B206,'Base stats'!B:B,'Base stats'!E:E),Groups!A:A,Groups!W:W))</f>
        <v>HeadAttackTool</v>
      </c>
      <c r="AA206" s="7" t="str">
        <f>IF(X206="No","No",_xlfn.XLOOKUP(_xlfn.XLOOKUP(B206,'Base stats'!B:B,'Base stats'!E:E),Groups!A:A,Groups!X:X))</f>
        <v>antler</v>
      </c>
      <c r="AB206" s="7" t="str">
        <f>IF(X206="No","No",_xlfn.XLOOKUP(_xlfn.XLOOKUP(B206,'Base stats'!B:B,'Base stats'!E:E),Groups!A:A,Groups!Y:Y))</f>
        <v>Scratch</v>
      </c>
      <c r="AC206" s="7" t="str">
        <f>_xlfn.XLOOKUP(Animals!B206,'Base stats'!B:B,'Base stats'!X:X)</f>
        <v>True</v>
      </c>
      <c r="AD206" s="13" t="str">
        <f>IF(_xlfn.XLOOKUP(B206,'Base stats'!B:B,'Base stats'!AR:AR)="No","No",MROUND((LOG10(_xlfn.XLOOKUP(B206,'Base stats'!B:B,'Base stats'!AR:AR))*(AO206^0.75)+(_xlfn.XLOOKUP(B206,'Base stats'!B:B,'Base stats'!AR:AR)/1000)^(2/3)+_xlfn.XLOOKUP(B206,'Base stats'!B:B,'Base stats'!AV:AV)+_xlfn.XLOOKUP(B206,'Base stats'!B:B,'Base stats'!AY:AY))+0.5,0.5))</f>
        <v>No</v>
      </c>
      <c r="AE206" s="7" t="str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No</v>
      </c>
      <c r="AF206" s="7" t="str">
        <f>IF(AD206="No","No",_xlfn.XLOOKUP(_xlfn.XLOOKUP(B206,'Base stats'!B:B,'Base stats'!E:E),Groups!A:A,Groups!AA:AA))</f>
        <v>No</v>
      </c>
      <c r="AG206" s="7" t="str">
        <f>IF(AD206="No","No",_xlfn.XLOOKUP(_xlfn.XLOOKUP(B206,'Base stats'!B:B,'Base stats'!E:E),Groups!A:A,Groups!AB:AB))</f>
        <v>No</v>
      </c>
      <c r="AH206" s="7" t="str">
        <f>IF(AD206="No","No",_xlfn.XLOOKUP(_xlfn.XLOOKUP(B206,'Base stats'!B:B,'Base stats'!E:E),Groups!A:A,Groups!AC:AC))</f>
        <v>No</v>
      </c>
      <c r="AI206" s="13" t="str">
        <f>IF(_xlfn.XLOOKUP(_xlfn.XLOOKUP(B206,'Base stats'!B:B,'Base stats'!E:E),Groups!A:A,Groups!AD:AD)=0,"No",MROUND((LOG10(_xlfn.XLOOKUP(B206,'Base stats'!B:B,'Base stats'!AQ:AQ))*(AO206^0.75)+(_xlfn.XLOOKUP(B206,'Base stats'!B:B,'Base stats'!AQ:AQ)/1000)^(2/3)+_xlfn.XLOOKUP(B206,'Base stats'!B:B,'Base stats'!AW:AW)+_xlfn.XLOOKUP(B206,'Base stats'!B:B,'Base stats'!AY:AY))+0.5,0.5))</f>
        <v>No</v>
      </c>
      <c r="AJ206" s="7" t="str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No</v>
      </c>
      <c r="AK206" s="7" t="str">
        <f>IF(AI206="No","No",_xlfn.XLOOKUP(_xlfn.XLOOKUP(B206,'Base stats'!B:B,'Base stats'!E:E),Groups!A:A,Groups!AF:AF))</f>
        <v>No</v>
      </c>
      <c r="AL206" s="7" t="str">
        <f>IF(AI206="No","No",_xlfn.XLOOKUP(_xlfn.XLOOKUP(B206,'Base stats'!B:B,'Base stats'!E:E),Groups!A:A,Groups!AG:AG))</f>
        <v>No</v>
      </c>
      <c r="AM206" s="7" t="str">
        <f>IF(AI206="No","No",_xlfn.XLOOKUP(_xlfn.XLOOKUP(B206,'Base stats'!B:B,'Base stats'!E:E),Groups!A:A,Groups!AH:AH))</f>
        <v>No</v>
      </c>
      <c r="AN206" s="2" t="str">
        <f t="shared" ref="AN206:AN207" si="77">IF(BJ206="false","No",MROUND(AO206*5+15*1,5))</f>
        <v>No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1</v>
      </c>
      <c r="AP206" s="8">
        <f>MROUND(AO206*_xlfn.XLOOKUP(_xlfn.XLOOKUP(B206,'Base stats'!B:B,'Base stats'!E:E),Groups!A:A,Groups!AI:AI),0.05)</f>
        <v>1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0.55000000000000004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>
        <f>IFERROR(IF(_xlfn.XLOOKUP(B206,'Base stats'!B:B,'Base stats'!F:F)="Lay eggs","Lay eggs",MIN(20,MAX(5.5,ROUND(((_xlfn.XLOOKUP(B206,'Base stats'!B:B,'Base stats'!F:F)-25)*(14.5/615) + 5.5)*2,0)/2))),"Cannot breed")</f>
        <v>8.5</v>
      </c>
      <c r="AT206" s="8">
        <f>IF(OR(A206="Queen",A206="Larva",A206="Megachicken",A206="Megatardi",A206="Toxscorpion"),"No",IFERROR(MAX(IF(_xlfn.XLOOKUP(B206,'Base stats'!B:B,'Base stats'!G:G)&lt;0.5,0.2,0.3),MROUND(_xlfn.XLOOKUP(B206,'Base stats'!B:B,'Base stats'!G:G)/(365/60),0.2)),"Unknown"))</f>
        <v>0.3</v>
      </c>
      <c r="AU206" s="8">
        <f t="shared" si="70"/>
        <v>0.15000000000000002</v>
      </c>
      <c r="AV206" s="8">
        <f>IFERROR(IFERROR(MROUND(_xlfn.XLOOKUP(B206,'Base stats'!B:B,'Base stats'!J:J),0.1),"Lay eggs"),"Cannot breed")</f>
        <v>1</v>
      </c>
      <c r="AW206" s="2" t="str">
        <f t="shared" ref="AW206:AW207" si="78">IF(BT206="No","false","true")</f>
        <v>true</v>
      </c>
      <c r="AX206" s="2" t="str">
        <f>IF(_xlfn.XLOOKUP(_xlfn.XLOOKUP(Animals!B206,'Base stats'!B:B,'Base stats'!E:E),Groups!A:A,Groups!AK:AK)=1,"true","false")</f>
        <v>true</v>
      </c>
      <c r="AY206" s="25" t="str">
        <f>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</f>
        <v>VegetarianRoughAnimal</v>
      </c>
      <c r="AZ206" s="2">
        <f>IF(_xlfn.XLOOKUP(_xlfn.XLOOKUP(B206,'Base stats'!B:B,'Base stats'!E:E),Groups!A:A,Groups!D:D)=1,MROUND((1-J206)*5+1,2)*IF(J206&lt;=0.4,2,1),"No")</f>
        <v>4</v>
      </c>
      <c r="BA206" s="2" t="str">
        <f>_xlfn.XLOOKUP(B206,'Base stats'!B:B,'Base stats'!AF:AF)</f>
        <v>No</v>
      </c>
      <c r="BB206" s="2" t="str">
        <f>_xlfn.XLOOKUP(B206,'Base stats'!B:B,'Base stats'!AE:AE)</f>
        <v>ToxicLeather</v>
      </c>
      <c r="BC206" s="23" t="str">
        <f>_xlfn.XLOOKUP(_xlfn.XLOOKUP(B206,'Base stats'!B:B,'Base stats'!E:E),Groups!A:A,Groups!AL:AL)</f>
        <v>Wasteffalo_Body</v>
      </c>
      <c r="BD206" s="23">
        <f>MIN(1,MROUND(IF(AND(AO206&lt;0.5,_xlfn.XLOOKUP(B206,'Base stats'!B:B,'Base stats'!Z:Z)=0),0,IF(OR(_xlfn.XLOOKUP(Animals!B206,'Base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stats'!AA:AA),0.005))</f>
        <v>0</v>
      </c>
      <c r="BE206" s="23">
        <f>MIN(1,MROUND(IF(AND(AO206&lt;0.5,_xlfn.XLOOKUP(B206,'Base stats'!B:B,'Base stats'!Z:Z)=0),0,IF(_xlfn.XLOOKUP(_xlfn.XLOOKUP(B206,'Base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stats'!AB:AB),0.005))</f>
        <v>0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None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false</v>
      </c>
      <c r="BK206" s="2" t="str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No</v>
      </c>
      <c r="BL206" s="2">
        <f t="shared" ref="BL206:BL207" si="79">IF(BI206&lt;&gt;"None",1,0)</f>
        <v>0</v>
      </c>
      <c r="BM206" s="25" t="str">
        <f>IF(_xlfn.XLOOKUP(B206,'Base stats'!B:B,'Base stats'!AL:AL)="Standard","No",MROUND((_xlfn.XLOOKUP(B206,'Base stats'!B:B,'Base stats'!AL:AL)/3.6)/I206,0.1))</f>
        <v>No</v>
      </c>
      <c r="BN206" s="25" t="str">
        <f t="shared" ref="BN206:BN207" si="80">IF(OR(BM206&lt;&gt;"No",BQ206=1),"true","false")</f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stats'!AC:AC)&lt;&gt;"No",_xlfn.XLOOKUP(B206,'Base stats'!B:B,'Base stats'!AC:AC),"")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stats'!AC:AC)&lt;&gt;"No",_xlfn.XLOOKUP(B206,'Base stats'!B:B,'Base stats'!AC:AC),"")
  )
)</f>
        <v>No</v>
      </c>
      <c r="BQ206" s="25" t="str">
        <f>IF(
   AND(
      'Base stats'!AL206="Standard",_xlfn.XLOOKUP(_xlfn.XLOOKUP(B206,'Base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stats'!AT:AT) * 1.8) * 2) * 2.5 + 10 + I206 * 2,5)+IF(_xlfn.XLOOKUP(B206,'Base stats'!B:B,'Base stats'!AI:AI)=1,50,0)</f>
        <v>85</v>
      </c>
      <c r="BS206" s="8">
        <f t="shared" ref="BS206:BS207" si="81">MROUND(AO206 * 0.2 + AQ206 * 0.8,0.05)</f>
        <v>0.65</v>
      </c>
      <c r="BT206" s="8" t="str">
        <f>_xlfn.XLOOKUP(B206,'Base stats'!B:B,'Base stats'!AD:AD)</f>
        <v>3~10</v>
      </c>
      <c r="BU206" s="2" t="str">
        <f>IF(AND(J206&lt;=0.95,OR(_xlfn.XLOOKUP(B206,'Base stats'!B:B,'Base stats'!AI:AI)=1,_xlfn.XLOOKUP(B206,'Base stats'!B:B,'Base stats'!Y:Y)="Carnivore",_xlfn.XLOOKUP(B206,'Base stats'!B:B,'Base stats'!Y:Y)="Omnivore",BE206&gt;0.1)),"true","false")</f>
        <v>false</v>
      </c>
      <c r="BV206" s="2" t="str">
        <f>IF(_xlfn.XLOOKUP(B206,'Base stats'!B:B,'Base stats'!AG:AG)=1,"true","false")</f>
        <v>false</v>
      </c>
      <c r="BW206" s="25" t="str">
        <f>IF(E206="BaseInsect","AnimalInsect",
IF(J206&gt;0.95,"AnimalExotic",
_xlfn.TEXTJOIN(", ",TRUE,
IF(OR(_xlfn.XLOOKUP(B206,'Base stats'!B:B,'Base stats'!AK:AK)=1,AND(_xlfn.XLOOKUP(B206,'Base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stats'!AI:AI)=1,AND(BI206&lt;&gt;"None",BR206&gt;=60),ISNUMBER(SEARCH("Attack target",BP206))),"AnimalFighter","")
)))</f>
        <v>AnimalCommon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BorealForest ColdBog TemperateForest TemperateSwamp GlacialPlain Scarlands</v>
      </c>
      <c r="BY206" s="25" t="str">
        <f>IF(_xlfn.XLOOKUP(B206,'Base stats'!B:B,'Base stats'!AH:AH)=1,"true","false")</f>
        <v>false</v>
      </c>
      <c r="BZ206" s="25" t="str">
        <f>IF(_xlfn.XLOOKUP(B206,'Base stats'!B:B,'Base stats'!N:N)=1,"No",MAX(0.01,MIN(MROUND(IF(OR(_xlfn.XLOOKUP(B206,'Base stats'!B:B,'Base stats'!AK:AK)=1,AND(BJ206="True",CC206="False")),POWER(10,3.47*LOG10(_xlfn.XLOOKUP(B206,'Base stats'!B:B,'Base stats'!C:C)*1000)^-0.96),POWER(10,4.15*LOG10(_xlfn.XLOOKUP(B206,'Base stats'!B:B,'Base stats'!C:C)*1000)^-0.73))*IF(OR(_xlfn.XLOOKUP(B206,'Base stats'!B:B,'Base stats'!AK:AK)=1,_xlfn.XLOOKUP(B206,'Base stats'!B:B,'Base stats'!AI:AI)=1),0.5,1)/100,0.025),1)))</f>
        <v>No</v>
      </c>
      <c r="CA206" s="25">
        <f>IF(P206="Standard","No",MAX(0.01,IF(_xlfn.XLOOKUP(B206,'Base stats'!B:B,'Base stats'!N:N)=0,MROUND(BZ206*P206,0.05),MIN(1,MAX(0.025,MROUND(IF(OR(CC206="true",AND(BJ206="false",BO206="false")),POWER(10,4.15*LOG10(_xlfn.XLOOKUP(B206,'Base stats'!B:B,'Base stats'!C:C)*1000)^-0.73),POWER(10,3.47*LOG10(_xlfn.XLOOKUP(B206,'Base stats'!B:B,'Base stats'!C:C)*1000)^-0.96))*IF(_xlfn.XLOOKUP(B206,'Base stats'!B:B,'Base stats'!AI:AI)=1,0.5,1)/100,0.025))))))</f>
        <v>0.2</v>
      </c>
      <c r="CB206" s="25" t="str">
        <f>IF(_xlfn.XLOOKUP(_xlfn.XLOOKUP(B206,'Base stats'!B:B,'Base stats'!E:E),Groups!A:A,Groups!AJ:AJ)="Mammal","True","False")</f>
        <v>True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False</v>
      </c>
      <c r="CD206" s="25" t="str">
        <f t="shared" ref="CD206:CD207" si="82">IF(J206&gt;0.95,"True","False")</f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No</v>
      </c>
      <c r="CI206" s="25" t="str">
        <f>IF(_xlfn.XLOOKUP(_xlfn.XLOOKUP(B206,'Base stats'!B:B,'Base stats'!E:E),Groups!A:A,Groups!BB:BB),"True","False")</f>
        <v>True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Wasteffalo</v>
      </c>
      <c r="B207" s="6" t="s">
        <v>1361</v>
      </c>
      <c r="C207" s="28" t="s">
        <v>1362</v>
      </c>
      <c r="D207" s="28" t="s">
        <v>1336</v>
      </c>
      <c r="E207" s="28" t="s">
        <v>685</v>
      </c>
      <c r="F207" s="28" t="s">
        <v>685</v>
      </c>
      <c r="G207" s="28" t="s">
        <v>685</v>
      </c>
      <c r="H207" s="2">
        <f>MROUND((
  (IF(AND(_xlfn.XLOOKUP(B207,'Base stats'!B:B,'Base stats'!AJ:AJ)=0,BI207="None",_xlfn.XLOOKUP(_xlfn.XLOOKUP(B207,'Base stats'!B:B,'Base stats'!E:E),Groups!A:A,Groups!B:B)=0), (18 + BR207 * 2.7) * 0.5,
    IF(AND(_xlfn.XLOOKUP(B207,'Base stats'!B:B,'Base stats'!AJ:AJ)=0,OR(AO207&lt;0.55,AND(BI207="Intermediate",_xlfn.XLOOKUP(_xlfn.XLOOKUP(B207,'Base stats'!B:B,'Base stats'!E:E),Groups!A:A,Groups!B:B)&lt;2))), (18 + BR207 * 2.7),
      IF(OR(BI207="Advanced",_xlfn.XLOOKUP(B207,'Base stats'!B:B,'Base stats'!AJ:AJ)=1,_xlfn.XLOOKUP(_xlfn.XLOOKUP(B207,'Base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375</v>
      </c>
      <c r="I207" s="2">
        <f>MROUND(ROUNDDOWN(_xlfn.XLOOKUP(B207,'Base stats'!B:B,'Base stats'!L:L)/3.6/(23.3/11),1),0.5)</f>
        <v>7</v>
      </c>
      <c r="J207" s="2">
        <f>IF(_xlfn.XLOOKUP(_xlfn.XLOOKUP(B207,'Base stats'!B:B,'Base stats'!E:E),Groups!A:A,Groups!C:C)="Untamable",1,IF(_xlfn.XLOOKUP(B207,'Base stats'!B:B,'Base stats'!AJ:AJ)=1,0.99,MIN(MROUND((1-0.6282*EXP(-0.459*AO207))*_xlfn.XLOOKUP(_xlfn.XLOOKUP(B207,'Base stats'!B:B,'Base stats'!E:E),Groups!A:A,Groups!C:C)*IF(_xlfn.XLOOKUP(B207,'Base stats'!B:B,'Base stats'!O:O)=1,0.5,IF(_xlfn.XLOOKUP(B207,'Base stats'!B:B,'Base stats'!O:O)=2,0,1)),0.05),0.985)))</f>
        <v>0.70000000000000007</v>
      </c>
      <c r="K207" s="2">
        <f>ROUNDUP(AO207*_xlfn.XLOOKUP(_xlfn.XLOOKUP(B207,'Base stats'!B:B,'Base stats'!E:E),Groups!A:A,Groups!E:E),0)</f>
        <v>14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-55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35</v>
      </c>
      <c r="N207" s="8" t="str">
        <f>IF(_xlfn.XLOOKUP(_xlfn.XLOOKUP(B207,'Base stats'!B:B,'Base stats'!E:E),Groups!A:A,Groups!L:L)=1,MIN(MROUND(_xlfn.XLOOKUP(B207,'Animals CE'!B:B,'Animals CE'!Z:Z)/2+0.05,0.05),200%),"No")</f>
        <v>No</v>
      </c>
      <c r="O207" s="8" t="str">
        <f>IF(_xlfn.XLOOKUP(_xlfn.XLOOKUP(B207,'Base stats'!B:B,'Base stats'!E:E),Groups!A:A,Groups!L:L)=1,MIN(MROUND(_xlfn.XLOOKUP(B207,'Animals CE'!B:B,'Animals CE'!AA:AA)/2+0.05,0.05),200%),"No")</f>
        <v>No</v>
      </c>
      <c r="P207" s="2">
        <f>_xlfn.XLOOKUP(B207,'Base stats'!B:B,'Base stats'!R:R)</f>
        <v>1</v>
      </c>
      <c r="Q207" s="13">
        <f>MROUND((LOG10(_xlfn.XLOOKUP(B207,'Base stats'!B:B,'Base stats'!AP:AP))*(AO207^0.5)+(_xlfn.XLOOKUP(B207,'Base stats'!B:B,'Base stats'!AP:AP)/1000)^(2/3)+_xlfn.XLOOKUP(B207,'Base stats'!B:B,'Base stats'!AY:AY)/2)+0.5,0.5)</f>
        <v>14.5</v>
      </c>
      <c r="R207" s="7">
        <f>IF(Q207="No","No",MAX(1,MROUND(_xlfn.XLOOKUP(B207,'Base stats'!B:B,'Base stats'!C:C)^0.165,0.05)))</f>
        <v>2.7</v>
      </c>
      <c r="S207" s="13">
        <f>IF(_xlfn.XLOOKUP(_xlfn.XLOOKUP(B207,'Base stats'!B:B,'Base stats'!E:E),Groups!A:A,Groups!P:P)=0,"No",MROUND((LOG10(_xlfn.XLOOKUP(B207,'Base stats'!B:B,'Base stats'!AQ:AQ))*(AO207^0.5)+(_xlfn.XLOOKUP(B207,'Base stats'!B:B,'Base stats'!AQ:AQ)/1000)^(2/3)+_xlfn.XLOOKUP(B207,'Base stats'!B:B,'Base stats'!AY:AY))+_xlfn.XLOOKUP(B207,'Base stats'!B:B,'Base stats'!AW:AW)+0.5,0.5))</f>
        <v>18</v>
      </c>
      <c r="T207" s="7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2.7</v>
      </c>
      <c r="U207" s="7" t="str">
        <f>IF(S207="No","No",_xlfn.XLOOKUP(_xlfn.XLOOKUP(B207,'Base stats'!B:B,'Base stats'!E:E),Groups!A:A,Groups!R:R))</f>
        <v>FrontLeftLeg, FrontRightLeg</v>
      </c>
      <c r="V207" s="7" t="str">
        <f>IF(S207="No","No",_xlfn.XLOOKUP(_xlfn.XLOOKUP(B207,'Base stats'!B:B,'Base stats'!E:E),Groups!A:A,Groups!S:S))</f>
        <v>left hoof, right hoof</v>
      </c>
      <c r="W207" s="7" t="str">
        <f>IF(S207="No","No",_xlfn.XLOOKUP(_xlfn.XLOOKUP(B207,'Base stats'!B:B,'Base stats'!E:E),Groups!A:A,Groups!T:T))</f>
        <v>Blunt</v>
      </c>
      <c r="X207" s="13">
        <f>IF(_xlfn.XLOOKUP(B207,'Base stats'!B:B,'Base stats'!W:W)="No","No",MROUND((LOG10(_xlfn.XLOOKUP(B207,'Base stats'!B:B,'Base stats'!AS:AS))*(AO207^0.5)+(_xlfn.XLOOKUP(B207,'Base stats'!B:B,'Base stats'!AS:AS)/1000)^(2/3)+_xlfn.XLOOKUP(B207,'Base stats'!B:B,'Base stats'!AX:AX))+0.5+IF(_xlfn.XLOOKUP(_xlfn.XLOOKUP(B207,'Base stats'!B:B,'Base stats'!E:E),Groups!A:A,Groups!U:U)&lt;&gt;3,_xlfn.XLOOKUP(B207,'Base stats'!B:B,'Base stats'!AY:AY),0),0.5))</f>
        <v>16.5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2.3000000000000003</v>
      </c>
      <c r="Z207" s="7" t="str">
        <f>IF(X207="No","No",_xlfn.XLOOKUP(_xlfn.XLOOKUP(B207,'Base stats'!B:B,'Base stats'!E:E),Groups!A:A,Groups!W:W))</f>
        <v>HeadAttackTool</v>
      </c>
      <c r="AA207" s="7" t="str">
        <f>IF(X207="No","No",_xlfn.XLOOKUP(_xlfn.XLOOKUP(B207,'Base stats'!B:B,'Base stats'!E:E),Groups!A:A,Groups!X:X))</f>
        <v>horn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False</v>
      </c>
      <c r="AD207" s="13" t="str">
        <f>IF(_xlfn.XLOOKUP(B207,'Base stats'!B:B,'Base stats'!AR:AR)="No","No",MROUND((LOG10(_xlfn.XLOOKUP(B207,'Base stats'!B:B,'Base stats'!AR:AR))*(AO207^0.75)+(_xlfn.XLOOKUP(B207,'Base stats'!B:B,'Base stats'!AR:AR)/1000)^(2/3)+_xlfn.XLOOKUP(B207,'Base stats'!B:B,'Base stats'!AV:AV)+_xlfn.XLOOKUP(B207,'Base stats'!B:B,'Base stats'!AY:AY))+0.5,0.5))</f>
        <v>No</v>
      </c>
      <c r="AE207" s="7" t="str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No</v>
      </c>
      <c r="AF207" s="7" t="str">
        <f>IF(AD207="No","No",_xlfn.XLOOKUP(_xlfn.XLOOKUP(B207,'Base stats'!B:B,'Base stats'!E:E),Groups!A:A,Groups!AA:AA))</f>
        <v>No</v>
      </c>
      <c r="AG207" s="7" t="str">
        <f>IF(AD207="No","No",_xlfn.XLOOKUP(_xlfn.XLOOKUP(B207,'Base stats'!B:B,'Base stats'!E:E),Groups!A:A,Groups!AB:AB))</f>
        <v>No</v>
      </c>
      <c r="AH207" s="7" t="str">
        <f>IF(AD207="No","No",_xlfn.XLOOKUP(_xlfn.XLOOKUP(B207,'Base stats'!B:B,'Base stats'!E:E),Groups!A:A,Groups!AC:AC))</f>
        <v>No</v>
      </c>
      <c r="AI207" s="13" t="str">
        <f>IF(_xlfn.XLOOKUP(_xlfn.XLOOKUP(B207,'Base stats'!B:B,'Base stats'!E:E),Groups!A:A,Groups!AD:AD)=0,"No",MROUND((LOG10(_xlfn.XLOOKUP(B207,'Base stats'!B:B,'Base stats'!AQ:AQ))*(AO207^0.75)+(_xlfn.XLOOKUP(B207,'Base stats'!B:B,'Base stats'!AQ:AQ)/1000)^(2/3)+_xlfn.XLOOKUP(B207,'Base stats'!B:B,'Base stats'!AW:AW)+_xlfn.XLOOKUP(B207,'Base stats'!B:B,'Base stats'!AY:AY))+0.5,0.5))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77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2.75</v>
      </c>
      <c r="AP207" s="8">
        <f>MROUND(AO207*_xlfn.XLOOKUP(_xlfn.XLOOKUP(B207,'Base stats'!B:B,'Base stats'!E:E),Groups!A:A,Groups!AI:AI),0.05)</f>
        <v>2.75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1.1000000000000001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IFERROR(IF(_xlfn.XLOOKUP(B207,'Base stats'!B:B,'Base stats'!F:F)="Lay eggs","Lay eggs",MIN(20,MAX(5.5,ROUND(((_xlfn.XLOOKUP(B207,'Base stats'!B:B,'Base stats'!F:F)-25)*(14.5/615) + 5.5)*2,0)/2))),"Cannot breed")</f>
        <v>10.5</v>
      </c>
      <c r="AT207" s="8">
        <f>IF(OR(A207="Queen",A207="Larva",A207="Megachicken",A207="Megatardi",A207="Toxscorpion"),"No",IFERROR(MAX(IF(_xlfn.XLOOKUP(B207,'Base stats'!B:B,'Base stats'!G:G)&lt;0.5,0.2,0.3),MROUND(_xlfn.XLOOKUP(B207,'Base stats'!B:B,'Base stats'!G:G)/(365/60),0.2)),"Unknown"))</f>
        <v>0.4</v>
      </c>
      <c r="AU207" s="8">
        <f t="shared" si="70"/>
        <v>0.2</v>
      </c>
      <c r="AV207" s="8">
        <f>IFERROR(IFERROR(MROUND(_xlfn.XLOOKUP(B207,'Base stats'!B:B,'Base stats'!J:J),0.1),"Lay eggs"),"Cannot breed")</f>
        <v>1</v>
      </c>
      <c r="AW207" s="2" t="str">
        <f t="shared" si="78"/>
        <v>true</v>
      </c>
      <c r="AX207" s="2" t="str">
        <f>IF(_xlfn.XLOOKUP(_xlfn.XLOOKUP(Animals!B207,'Base stats'!B:B,'Base stats'!E:E),Groups!A:A,Groups!AK:AK)=1,"true","false")</f>
        <v>false</v>
      </c>
      <c r="AY207" s="25" t="str">
        <f>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</f>
        <v>VegetarianRoughAnimal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_xlfn.XLOOKUP(B207,'Base stats'!B:B,'Base stats'!AF:AF)</f>
        <v>No</v>
      </c>
      <c r="BB207" s="2" t="str">
        <f>_xlfn.XLOOKUP(B207,'Base stats'!B:B,'Base stats'!AE:AE)</f>
        <v>ToxicLeather</v>
      </c>
      <c r="BC207" s="23" t="str">
        <f>_xlfn.XLOOKUP(_xlfn.XLOOKUP(B207,'Base stats'!B:B,'Base stats'!E:E),Groups!A:A,Groups!AL:AL)</f>
        <v>QuadrupedAnimalWithHooves</v>
      </c>
      <c r="BD207" s="23">
        <f>MIN(1,MROUND(IF(AND(AO207&lt;0.5,_xlfn.XLOOKUP(B207,'Base stats'!B:B,'Base stats'!Z:Z)=0),0,IF(OR(_xlfn.XLOOKUP(Animals!B207,'Base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stats'!AA:AA),0.005))</f>
        <v>2.5000000000000001E-2</v>
      </c>
      <c r="BE207" s="23">
        <f>MIN(1,MROUND(IF(AND(AO207&lt;0.5,_xlfn.XLOOKUP(B207,'Base stats'!B:B,'Base stats'!Z:Z)=0),0,IF(_xlfn.XLOOKUP(_xlfn.XLOOKUP(B207,'Base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stats'!AB:AB),0.005))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79"/>
        <v>0</v>
      </c>
      <c r="BM207" s="25" t="str">
        <f>IF(_xlfn.XLOOKUP(B207,'Base stats'!B:B,'Base stats'!AL:AL)="Standard","No",MROUND((_xlfn.XLOOKUP(B207,'Base stats'!B:B,'Base stats'!AL:AL)/3.6)/I207,0.1))</f>
        <v>No</v>
      </c>
      <c r="BN207" s="25" t="str">
        <f t="shared" si="80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stats'!AC:AC)&lt;&gt;"No",_xlfn.XLOOKUP(B207,'Base stats'!B:B,'Base stats'!AC:AC),"")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stats'!AC:AC)&lt;&gt;"No",_xlfn.XLOOKUP(B207,'Base stats'!B:B,'Base stats'!AC:AC),"")
  )
)</f>
        <v>No</v>
      </c>
      <c r="BQ207" s="25" t="str">
        <f>IF(
   AND(
      'Base stats'!AL207="Standard",_xlfn.XLOOKUP(_xlfn.XLOOKUP(B207,'Base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stats'!AT:AT) * 1.8) * 2) * 2.5 + 10 + I207 * 2,5)+IF(_xlfn.XLOOKUP(B207,'Base stats'!B:B,'Base stats'!AI:AI)=1,50,0)</f>
        <v>175</v>
      </c>
      <c r="BS207" s="8">
        <f t="shared" si="81"/>
        <v>1.4500000000000002</v>
      </c>
      <c r="BT207" s="8" t="str">
        <f>_xlfn.XLOOKUP(B207,'Base stats'!B:B,'Base stats'!AD:AD)</f>
        <v>3~10</v>
      </c>
      <c r="BU207" s="2" t="str">
        <f>IF(AND(J207&lt;=0.95,OR(_xlfn.XLOOKUP(B207,'Base stats'!B:B,'Base stats'!AI:AI)=1,_xlfn.XLOOKUP(B207,'Base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stats'!AG:AG)=1,"true","false")</f>
        <v>true</v>
      </c>
      <c r="BW207" s="25" t="str">
        <f>IF(E207="BaseInsect","AnimalInsect",
IF(J207&gt;0.95,"AnimalExotic",
_xlfn.TEXTJOIN(", ",TRUE,
IF(OR(_xlfn.XLOOKUP(B207,'Base stats'!B:B,'Base stats'!AK:AK)=1,AND(_xlfn.XLOOKUP(B207,'Base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stats'!AI:AI)=1,AND(BI207&lt;&gt;"None",BR207&gt;=60),ISNUMBER(SEARCH("Attack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GlacialPlain Scarlands</v>
      </c>
      <c r="BY207" s="25" t="str">
        <f>IF(_xlfn.XLOOKUP(B207,'Base stats'!B:B,'Base stats'!AH:AH)=1,"true","false")</f>
        <v>false</v>
      </c>
      <c r="BZ207" s="25" t="str">
        <f>IF(_xlfn.XLOOKUP(B207,'Base stats'!B:B,'Base stats'!N:N)=1,"No",MAX(0.01,MIN(MROUND(IF(OR(_xlfn.XLOOKUP(B207,'Base stats'!B:B,'Base stats'!AK:AK)=1,AND(BJ207="True",CC207="False")),POWER(10,3.47*LOG10(_xlfn.XLOOKUP(B207,'Base stats'!B:B,'Base stats'!C:C)*1000)^-0.96),POWER(10,4.15*LOG10(_xlfn.XLOOKUP(B207,'Base stats'!B:B,'Base stats'!C:C)*1000)^-0.73))*IF(OR(_xlfn.XLOOKUP(B207,'Base stats'!B:B,'Base stats'!AK:AK)=1,_xlfn.XLOOKUP(B207,'Base stats'!B:B,'Base stats'!AI:AI)=1),0.5,1)/100,0.025),1)))</f>
        <v>No</v>
      </c>
      <c r="CA207" s="25">
        <f>IF(P207="Standard","No",MAX(0.01,IF(_xlfn.XLOOKUP(B207,'Base stats'!B:B,'Base stats'!N:N)=0,MROUND(BZ207*P207,0.05),MIN(1,MAX(0.025,MROUND(IF(OR(CC207="true",AND(BJ207="false",BO207="false")),POWER(10,4.15*LOG10(_xlfn.XLOOKUP(B207,'Base stats'!B:B,'Base stats'!C:C)*1000)^-0.73),POWER(10,3.47*LOG10(_xlfn.XLOOKUP(B207,'Base stats'!B:B,'Base stats'!C:C)*1000)^-0.96))*IF(_xlfn.XLOOKUP(B207,'Base stats'!B:B,'Base stats'!AI:AI)=1,0.5,1)/100,0.025))))))</f>
        <v>0.15000000000000002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82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No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ht="15.75" thickTop="1" x14ac:dyDescent="0.25">
      <c r="A208" s="26"/>
      <c r="B208" s="6"/>
      <c r="C208" s="28"/>
      <c r="D208" s="28"/>
      <c r="E208" s="28"/>
      <c r="F208" s="28"/>
    </row>
    <row r="209" spans="1:6" x14ac:dyDescent="0.25">
      <c r="A209" s="26"/>
      <c r="B209" s="6"/>
      <c r="C209" s="28"/>
      <c r="D209" s="28"/>
      <c r="E209" s="28"/>
      <c r="F209" s="28"/>
    </row>
    <row r="210" spans="1:6" x14ac:dyDescent="0.25">
      <c r="A210" s="26"/>
      <c r="B210" s="6"/>
      <c r="C210" s="28"/>
      <c r="D210" s="28"/>
      <c r="E210" s="28"/>
      <c r="F210" s="28"/>
    </row>
    <row r="211" spans="1:6" x14ac:dyDescent="0.25">
      <c r="A211" s="26"/>
      <c r="B211" s="6"/>
      <c r="C211" s="28"/>
      <c r="D211" s="28"/>
      <c r="E211" s="28"/>
      <c r="F211" s="28"/>
    </row>
    <row r="212" spans="1:6" x14ac:dyDescent="0.25">
      <c r="A212" s="26"/>
      <c r="B212" s="6"/>
      <c r="C212" s="28"/>
      <c r="D212" s="28"/>
      <c r="E212" s="28"/>
      <c r="F212" s="28"/>
    </row>
    <row r="213" spans="1:6" x14ac:dyDescent="0.25">
      <c r="A213" s="26"/>
      <c r="B213" s="6"/>
      <c r="C213" s="28"/>
      <c r="D213" s="28"/>
      <c r="E213" s="28"/>
      <c r="F213" s="28"/>
    </row>
    <row r="214" spans="1:6" x14ac:dyDescent="0.25">
      <c r="A214" s="26"/>
      <c r="B214" s="6"/>
      <c r="C214" s="28"/>
      <c r="D214" s="28"/>
      <c r="E214" s="28"/>
      <c r="F214" s="28"/>
    </row>
    <row r="215" spans="1:6" x14ac:dyDescent="0.25">
      <c r="A215" s="26"/>
      <c r="B215" s="6"/>
      <c r="C215" s="28"/>
      <c r="D215" s="28"/>
      <c r="E215" s="28"/>
      <c r="F215" s="28"/>
    </row>
    <row r="216" spans="1:6" x14ac:dyDescent="0.25">
      <c r="A216" s="26"/>
      <c r="B216" s="6"/>
      <c r="C216" s="28"/>
      <c r="D216" s="28"/>
      <c r="E216" s="28"/>
      <c r="F216" s="28"/>
    </row>
    <row r="217" spans="1:6" x14ac:dyDescent="0.25">
      <c r="A217" s="26"/>
      <c r="B217" s="6"/>
      <c r="C217" s="28"/>
      <c r="D217" s="28"/>
      <c r="E217" s="28"/>
      <c r="F217" s="28"/>
    </row>
    <row r="218" spans="1:6" x14ac:dyDescent="0.25">
      <c r="A218" s="26"/>
      <c r="B218" s="6"/>
      <c r="C218" s="28"/>
      <c r="D218" s="28"/>
      <c r="E218" s="28"/>
      <c r="F218" s="28"/>
    </row>
    <row r="219" spans="1:6" x14ac:dyDescent="0.25">
      <c r="A219" s="26"/>
      <c r="B219" s="6"/>
      <c r="C219" s="28"/>
      <c r="D219" s="28"/>
      <c r="E219" s="28"/>
      <c r="F219" s="28"/>
    </row>
    <row r="220" spans="1:6" x14ac:dyDescent="0.25">
      <c r="A220" s="26"/>
      <c r="B220" s="6"/>
      <c r="C220" s="28"/>
      <c r="D220" s="28"/>
      <c r="E220" s="28"/>
      <c r="F220" s="28"/>
    </row>
    <row r="221" spans="1:6" x14ac:dyDescent="0.25">
      <c r="A221" s="26"/>
      <c r="B221" s="6"/>
      <c r="C221" s="28"/>
      <c r="D221" s="28"/>
      <c r="E221" s="28"/>
      <c r="F221" s="28"/>
    </row>
    <row r="222" spans="1:6" x14ac:dyDescent="0.25">
      <c r="A222" s="26"/>
      <c r="B222" s="6"/>
      <c r="C222" s="28"/>
      <c r="D222" s="28"/>
      <c r="E222" s="28"/>
      <c r="F222" s="28"/>
    </row>
    <row r="223" spans="1:6" x14ac:dyDescent="0.25">
      <c r="A223" s="26"/>
      <c r="B223" s="6"/>
      <c r="C223" s="28"/>
      <c r="D223" s="28"/>
      <c r="E223" s="28"/>
      <c r="F223" s="28"/>
    </row>
    <row r="224" spans="1:6" x14ac:dyDescent="0.25">
      <c r="A224" s="26"/>
      <c r="B224" s="6"/>
      <c r="C224" s="28"/>
      <c r="D224" s="28"/>
      <c r="E224" s="28"/>
      <c r="F224" s="28"/>
    </row>
    <row r="225" spans="1:6" x14ac:dyDescent="0.25">
      <c r="A225" s="26"/>
      <c r="B225" s="6"/>
      <c r="C225" s="28"/>
      <c r="D225" s="28"/>
      <c r="E225" s="28"/>
      <c r="F225" s="28"/>
    </row>
    <row r="226" spans="1:6" x14ac:dyDescent="0.25">
      <c r="A226" s="26"/>
      <c r="B226" s="6"/>
      <c r="C226" s="28"/>
      <c r="D226" s="28"/>
      <c r="E226" s="28"/>
      <c r="F226" s="28"/>
    </row>
    <row r="227" spans="1:6" x14ac:dyDescent="0.25">
      <c r="A227" s="26"/>
      <c r="B227" s="6"/>
      <c r="C227" s="28"/>
      <c r="D227" s="28"/>
      <c r="E227" s="28"/>
      <c r="F227" s="28"/>
    </row>
    <row r="228" spans="1:6" x14ac:dyDescent="0.25">
      <c r="A228" s="26"/>
      <c r="B228" s="6"/>
      <c r="C228" s="28"/>
      <c r="D228" s="28"/>
      <c r="E228" s="28"/>
      <c r="F228" s="28"/>
    </row>
    <row r="229" spans="1:6" x14ac:dyDescent="0.25">
      <c r="A229" s="26"/>
      <c r="B229" s="6"/>
      <c r="C229" s="28"/>
      <c r="D229" s="28"/>
      <c r="E229" s="28"/>
      <c r="F229" s="28"/>
    </row>
    <row r="230" spans="1:6" x14ac:dyDescent="0.25">
      <c r="A230" s="26"/>
      <c r="B230" s="6"/>
      <c r="C230" s="28"/>
      <c r="D230" s="28"/>
      <c r="E230" s="28"/>
      <c r="F230" s="28"/>
    </row>
    <row r="231" spans="1:6" x14ac:dyDescent="0.25">
      <c r="A231" s="26"/>
      <c r="B231" s="6"/>
      <c r="C231" s="28"/>
      <c r="D231" s="28"/>
      <c r="E231" s="28"/>
      <c r="F231" s="28"/>
    </row>
    <row r="232" spans="1:6" x14ac:dyDescent="0.25">
      <c r="A232" s="26"/>
      <c r="B232" s="6"/>
      <c r="C232" s="28"/>
      <c r="D232" s="28"/>
      <c r="E232" s="28"/>
      <c r="F232" s="28"/>
    </row>
    <row r="233" spans="1:6" x14ac:dyDescent="0.25">
      <c r="A233" s="26"/>
      <c r="B233" s="6"/>
      <c r="C233" s="28"/>
      <c r="D233" s="28"/>
      <c r="E233" s="28"/>
      <c r="F233" s="28"/>
    </row>
    <row r="234" spans="1:6" x14ac:dyDescent="0.25">
      <c r="A234" s="26"/>
      <c r="B234" s="6"/>
      <c r="C234" s="28"/>
      <c r="D234" s="28"/>
      <c r="E234" s="28"/>
      <c r="F234" s="28"/>
    </row>
    <row r="235" spans="1:6" x14ac:dyDescent="0.25">
      <c r="A235" s="26"/>
      <c r="B235" s="6"/>
      <c r="C235" s="28"/>
      <c r="D235" s="28"/>
      <c r="E235" s="28"/>
      <c r="F235" s="28"/>
    </row>
    <row r="236" spans="1:6" x14ac:dyDescent="0.25">
      <c r="A236" s="26"/>
      <c r="B236" s="6"/>
      <c r="C236" s="28"/>
      <c r="D236" s="28"/>
      <c r="E236" s="28"/>
      <c r="F236" s="28"/>
    </row>
    <row r="237" spans="1:6" x14ac:dyDescent="0.25">
      <c r="A237" s="26"/>
      <c r="B237" s="6"/>
      <c r="C237" s="28"/>
      <c r="D237" s="28"/>
      <c r="E237" s="28"/>
      <c r="F237" s="28"/>
    </row>
    <row r="238" spans="1:6" x14ac:dyDescent="0.25">
      <c r="A238" s="26"/>
      <c r="B238" s="6"/>
      <c r="C238" s="28"/>
      <c r="D238" s="28"/>
      <c r="E238" s="28"/>
      <c r="F238" s="28"/>
    </row>
    <row r="239" spans="1:6" x14ac:dyDescent="0.25">
      <c r="A239" s="26"/>
      <c r="B239" s="6"/>
      <c r="C239" s="28"/>
      <c r="D239" s="28"/>
      <c r="E239" s="28"/>
      <c r="F239" s="28"/>
    </row>
    <row r="240" spans="1:6" x14ac:dyDescent="0.25">
      <c r="A240" s="26"/>
      <c r="B240" s="6"/>
      <c r="C240" s="28"/>
      <c r="D240" s="28"/>
      <c r="E240" s="28"/>
      <c r="F240" s="28"/>
    </row>
    <row r="241" spans="1:6" x14ac:dyDescent="0.25">
      <c r="A241" s="26"/>
      <c r="B241" s="6"/>
      <c r="C241" s="28"/>
      <c r="D241" s="28"/>
      <c r="E241" s="28"/>
      <c r="F241" s="28"/>
    </row>
    <row r="242" spans="1:6" x14ac:dyDescent="0.25">
      <c r="A242" s="26"/>
      <c r="B242" s="6"/>
      <c r="C242" s="28"/>
      <c r="D242" s="28"/>
      <c r="E242" s="28"/>
      <c r="F242" s="28"/>
    </row>
    <row r="243" spans="1:6" x14ac:dyDescent="0.25">
      <c r="A243" s="26"/>
      <c r="B243" s="6"/>
      <c r="C243" s="28"/>
      <c r="D243" s="28"/>
      <c r="E243" s="28"/>
      <c r="F243" s="28"/>
    </row>
    <row r="244" spans="1:6" x14ac:dyDescent="0.25">
      <c r="A244" s="26"/>
      <c r="B244" s="6"/>
      <c r="C244" s="28"/>
      <c r="D244" s="28"/>
      <c r="E244" s="28"/>
      <c r="F244" s="28"/>
    </row>
    <row r="245" spans="1:6" x14ac:dyDescent="0.25">
      <c r="A245" s="26"/>
      <c r="B245" s="6"/>
      <c r="C245" s="28"/>
      <c r="D245" s="28"/>
      <c r="E245" s="28"/>
      <c r="F245" s="28"/>
    </row>
    <row r="246" spans="1:6" x14ac:dyDescent="0.25">
      <c r="A246" s="26"/>
      <c r="B246" s="6"/>
      <c r="C246" s="28"/>
      <c r="D246" s="28"/>
      <c r="E246" s="28"/>
      <c r="F246" s="28"/>
    </row>
    <row r="247" spans="1:6" x14ac:dyDescent="0.25">
      <c r="A247" s="26"/>
      <c r="B247" s="6"/>
      <c r="C247" s="28"/>
      <c r="D247" s="28"/>
      <c r="E247" s="28"/>
      <c r="F247" s="28"/>
    </row>
    <row r="248" spans="1:6" x14ac:dyDescent="0.25">
      <c r="A248" s="26"/>
      <c r="B248" s="6"/>
      <c r="C248" s="28"/>
      <c r="D248" s="28"/>
      <c r="E248" s="28"/>
      <c r="F248" s="28"/>
    </row>
    <row r="249" spans="1:6" x14ac:dyDescent="0.25">
      <c r="A249" s="26"/>
      <c r="B249" s="6"/>
      <c r="C249" s="28"/>
      <c r="D249" s="28"/>
      <c r="E249" s="28"/>
      <c r="F249" s="28"/>
    </row>
    <row r="250" spans="1:6" x14ac:dyDescent="0.25">
      <c r="A250" s="26"/>
      <c r="B250" s="6"/>
      <c r="C250" s="28"/>
      <c r="D250" s="28"/>
      <c r="E250" s="28"/>
      <c r="F250" s="28"/>
    </row>
    <row r="251" spans="1:6" x14ac:dyDescent="0.25">
      <c r="A251" s="26"/>
      <c r="B251" s="6"/>
      <c r="C251" s="28"/>
      <c r="D251" s="28"/>
      <c r="E251" s="28"/>
      <c r="F251" s="28"/>
    </row>
    <row r="252" spans="1:6" x14ac:dyDescent="0.25">
      <c r="A252" s="26"/>
      <c r="B252" s="6"/>
      <c r="C252" s="28"/>
      <c r="D252" s="28"/>
      <c r="E252" s="28"/>
      <c r="F252" s="28"/>
    </row>
    <row r="253" spans="1:6" x14ac:dyDescent="0.25">
      <c r="A253" s="26"/>
      <c r="B253" s="6"/>
      <c r="C253" s="28"/>
      <c r="D253" s="28"/>
      <c r="E253" s="28"/>
      <c r="F253" s="28"/>
    </row>
    <row r="254" spans="1:6" x14ac:dyDescent="0.25">
      <c r="A254" s="26"/>
      <c r="B254" s="6"/>
      <c r="C254" s="28"/>
      <c r="D254" s="28"/>
      <c r="E254" s="28"/>
      <c r="F254" s="28"/>
    </row>
    <row r="255" spans="1:6" x14ac:dyDescent="0.25">
      <c r="A255" s="26"/>
      <c r="B255" s="6"/>
      <c r="C255" s="28"/>
      <c r="D255" s="28"/>
      <c r="E255" s="28"/>
      <c r="F255" s="28"/>
    </row>
    <row r="256" spans="1:6" x14ac:dyDescent="0.25">
      <c r="A256" s="26"/>
      <c r="B256" s="6"/>
      <c r="C256" s="28"/>
      <c r="D256" s="28"/>
      <c r="E256" s="28"/>
      <c r="F256" s="28"/>
    </row>
    <row r="257" spans="1:6" x14ac:dyDescent="0.25">
      <c r="A257" s="26"/>
      <c r="B257" s="6"/>
      <c r="C257" s="28"/>
      <c r="D257" s="28"/>
      <c r="E257" s="28"/>
      <c r="F257" s="28"/>
    </row>
    <row r="258" spans="1:6" x14ac:dyDescent="0.25">
      <c r="A258" s="26"/>
      <c r="B258" s="6"/>
      <c r="C258" s="28"/>
      <c r="D258" s="28"/>
      <c r="E258" s="28"/>
      <c r="F258" s="28"/>
    </row>
    <row r="259" spans="1:6" x14ac:dyDescent="0.25">
      <c r="A259" s="26"/>
      <c r="B259" s="6"/>
      <c r="C259" s="28"/>
      <c r="D259" s="28"/>
      <c r="E259" s="28"/>
      <c r="F259" s="28"/>
    </row>
    <row r="260" spans="1:6" x14ac:dyDescent="0.25">
      <c r="A260" s="26"/>
      <c r="B260" s="6"/>
      <c r="C260" s="28"/>
      <c r="D260" s="28"/>
      <c r="E260" s="28"/>
      <c r="F260" s="28"/>
    </row>
    <row r="261" spans="1:6" x14ac:dyDescent="0.25">
      <c r="A261" s="26"/>
      <c r="B261" s="6"/>
      <c r="C261" s="28"/>
      <c r="D261" s="28"/>
      <c r="E261" s="28"/>
      <c r="F261" s="28"/>
    </row>
    <row r="262" spans="1:6" x14ac:dyDescent="0.25">
      <c r="A262" s="26"/>
      <c r="B262" s="6"/>
      <c r="C262" s="28"/>
      <c r="D262" s="28"/>
      <c r="E262" s="28"/>
      <c r="F262" s="28"/>
    </row>
    <row r="263" spans="1:6" x14ac:dyDescent="0.25">
      <c r="A263" s="26"/>
      <c r="B263" s="6"/>
      <c r="C263" s="28"/>
      <c r="D263" s="28"/>
      <c r="E263" s="28"/>
      <c r="F263" s="28"/>
    </row>
    <row r="264" spans="1:6" x14ac:dyDescent="0.25">
      <c r="A264" s="26"/>
      <c r="B264" s="6"/>
      <c r="C264" s="28"/>
      <c r="D264" s="28"/>
      <c r="E264" s="28"/>
      <c r="F264" s="28"/>
    </row>
    <row r="265" spans="1:6" x14ac:dyDescent="0.25">
      <c r="A265" s="26"/>
      <c r="B265" s="6"/>
      <c r="C265" s="28"/>
      <c r="D265" s="28"/>
      <c r="E265" s="28"/>
      <c r="F265" s="28"/>
    </row>
    <row r="266" spans="1:6" x14ac:dyDescent="0.25">
      <c r="A266" s="26"/>
      <c r="B266" s="6"/>
      <c r="C266" s="28"/>
      <c r="D266" s="28"/>
      <c r="E266" s="28"/>
      <c r="F266" s="28"/>
    </row>
    <row r="267" spans="1:6" x14ac:dyDescent="0.25">
      <c r="A267" s="26"/>
      <c r="B267" s="6"/>
      <c r="C267" s="28"/>
      <c r="D267" s="28"/>
      <c r="E267" s="28"/>
      <c r="F267" s="28"/>
    </row>
    <row r="268" spans="1:6" x14ac:dyDescent="0.25">
      <c r="A268" s="26"/>
      <c r="B268" s="6"/>
      <c r="C268" s="28"/>
      <c r="D268" s="28"/>
      <c r="E268" s="28"/>
      <c r="F268" s="28"/>
    </row>
    <row r="269" spans="1:6" x14ac:dyDescent="0.25">
      <c r="A269" s="26"/>
      <c r="B269" s="6"/>
      <c r="C269" s="28"/>
      <c r="D269" s="28"/>
      <c r="E269" s="28"/>
      <c r="F269" s="28"/>
    </row>
    <row r="270" spans="1:6" x14ac:dyDescent="0.25">
      <c r="A270" s="26"/>
      <c r="B270" s="6"/>
      <c r="C270" s="28"/>
      <c r="D270" s="28"/>
      <c r="E270" s="28"/>
      <c r="F270" s="28"/>
    </row>
    <row r="271" spans="1:6" x14ac:dyDescent="0.25">
      <c r="A271" s="26"/>
      <c r="B271" s="6"/>
      <c r="C271" s="28"/>
      <c r="D271" s="28"/>
      <c r="E271" s="28"/>
      <c r="F271" s="28"/>
    </row>
    <row r="272" spans="1:6" x14ac:dyDescent="0.25">
      <c r="A272" s="26"/>
      <c r="B272" s="6"/>
      <c r="C272" s="28"/>
      <c r="D272" s="28"/>
      <c r="E272" s="28"/>
      <c r="F272" s="28"/>
    </row>
    <row r="273" spans="1:6" x14ac:dyDescent="0.25">
      <c r="A273" s="26"/>
      <c r="B273" s="6"/>
      <c r="C273" s="28"/>
      <c r="D273" s="28"/>
      <c r="E273" s="28"/>
      <c r="F273" s="28"/>
    </row>
    <row r="274" spans="1:6" x14ac:dyDescent="0.25">
      <c r="A274" s="26"/>
      <c r="B274" s="6"/>
      <c r="C274" s="28"/>
      <c r="D274" s="28"/>
      <c r="E274" s="28"/>
      <c r="F274" s="28"/>
    </row>
    <row r="275" spans="1:6" x14ac:dyDescent="0.25">
      <c r="A275" s="26"/>
      <c r="B275" s="6"/>
      <c r="C275" s="28"/>
      <c r="D275" s="28"/>
      <c r="E275" s="28"/>
      <c r="F275" s="28"/>
    </row>
    <row r="276" spans="1:6" x14ac:dyDescent="0.25">
      <c r="A276" s="26"/>
      <c r="B276" s="6"/>
      <c r="C276" s="28"/>
      <c r="D276" s="28"/>
      <c r="E276" s="28"/>
      <c r="F276" s="28"/>
    </row>
    <row r="277" spans="1:6" x14ac:dyDescent="0.25">
      <c r="A277" s="26"/>
      <c r="B277" s="6"/>
      <c r="C277" s="28"/>
      <c r="D277" s="28"/>
      <c r="E277" s="28"/>
      <c r="F277" s="28"/>
    </row>
    <row r="278" spans="1:6" x14ac:dyDescent="0.25">
      <c r="A278" s="26"/>
      <c r="B278" s="6"/>
      <c r="C278" s="28"/>
      <c r="D278" s="28"/>
      <c r="E278" s="28"/>
      <c r="F278" s="28"/>
    </row>
    <row r="279" spans="1:6" x14ac:dyDescent="0.25">
      <c r="A279" s="26"/>
      <c r="B279" s="6"/>
      <c r="C279" s="28"/>
      <c r="D279" s="28"/>
      <c r="E279" s="28"/>
      <c r="F279" s="28"/>
    </row>
    <row r="280" spans="1:6" x14ac:dyDescent="0.25">
      <c r="A280" s="26"/>
      <c r="B280" s="6"/>
      <c r="C280" s="28"/>
      <c r="D280" s="28"/>
      <c r="E280" s="28"/>
      <c r="F280" s="28"/>
    </row>
    <row r="281" spans="1:6" x14ac:dyDescent="0.25">
      <c r="A281" s="26"/>
      <c r="B281" s="6"/>
      <c r="C281" s="28"/>
      <c r="D281" s="28"/>
      <c r="E281" s="28"/>
      <c r="F281" s="28"/>
    </row>
    <row r="282" spans="1:6" x14ac:dyDescent="0.25">
      <c r="A282" s="26"/>
      <c r="B282" s="6"/>
      <c r="C282" s="28"/>
      <c r="D282" s="28"/>
      <c r="E282" s="28"/>
      <c r="F282" s="28"/>
    </row>
    <row r="283" spans="1:6" x14ac:dyDescent="0.25">
      <c r="A283" s="26"/>
      <c r="B283" s="6"/>
      <c r="C283" s="28"/>
      <c r="D283" s="28"/>
      <c r="E283" s="28"/>
      <c r="F283" s="28"/>
    </row>
    <row r="284" spans="1:6" x14ac:dyDescent="0.25">
      <c r="A284" s="26"/>
      <c r="B284" s="6"/>
      <c r="C284" s="28"/>
      <c r="D284" s="28"/>
      <c r="E284" s="28"/>
      <c r="F284" s="28"/>
    </row>
    <row r="285" spans="1:6" x14ac:dyDescent="0.25">
      <c r="A285" s="26"/>
      <c r="B285" s="6"/>
      <c r="C285" s="28"/>
      <c r="D285" s="28"/>
      <c r="E285" s="28"/>
      <c r="F285" s="28"/>
    </row>
    <row r="286" spans="1:6" x14ac:dyDescent="0.25">
      <c r="A286" s="26"/>
      <c r="B286" s="6"/>
      <c r="C286" s="28"/>
      <c r="D286" s="28"/>
      <c r="E286" s="28"/>
      <c r="F286" s="28"/>
    </row>
    <row r="287" spans="1:6" x14ac:dyDescent="0.25">
      <c r="A287" s="26"/>
      <c r="B287" s="6"/>
      <c r="C287" s="28"/>
      <c r="D287" s="28"/>
      <c r="E287" s="28"/>
      <c r="F287" s="28"/>
    </row>
    <row r="288" spans="1:6" x14ac:dyDescent="0.25">
      <c r="A288" s="26"/>
      <c r="B288" s="6"/>
      <c r="C288" s="28"/>
      <c r="D288" s="28"/>
      <c r="E288" s="28"/>
      <c r="F288" s="28"/>
    </row>
    <row r="289" spans="1:6" x14ac:dyDescent="0.25">
      <c r="A289" s="26"/>
      <c r="B289" s="6"/>
      <c r="C289" s="28"/>
      <c r="D289" s="28"/>
      <c r="E289" s="28"/>
      <c r="F289" s="28"/>
    </row>
    <row r="290" spans="1:6" x14ac:dyDescent="0.25">
      <c r="A290" s="26"/>
      <c r="B290" s="6"/>
      <c r="C290" s="28"/>
      <c r="D290" s="28"/>
      <c r="E290" s="28"/>
      <c r="F290" s="28"/>
    </row>
    <row r="291" spans="1:6" x14ac:dyDescent="0.25">
      <c r="A291" s="26"/>
      <c r="B291" s="6"/>
      <c r="C291" s="28"/>
      <c r="D291" s="28"/>
      <c r="E291" s="28"/>
      <c r="F291" s="28"/>
    </row>
    <row r="292" spans="1:6" x14ac:dyDescent="0.25">
      <c r="A292" s="26"/>
      <c r="B292" s="6"/>
      <c r="C292" s="28"/>
      <c r="D292" s="28"/>
      <c r="E292" s="28"/>
      <c r="F292" s="28"/>
    </row>
    <row r="293" spans="1:6" x14ac:dyDescent="0.25">
      <c r="A293" s="26"/>
      <c r="B293" s="6"/>
      <c r="C293" s="28"/>
      <c r="D293" s="28"/>
      <c r="E293" s="28"/>
      <c r="F293" s="28"/>
    </row>
    <row r="294" spans="1:6" x14ac:dyDescent="0.25">
      <c r="A294" s="26"/>
      <c r="B294" s="6"/>
      <c r="C294" s="28"/>
      <c r="D294" s="28"/>
      <c r="E294" s="28"/>
      <c r="F294" s="28"/>
    </row>
    <row r="295" spans="1:6" x14ac:dyDescent="0.25">
      <c r="A295" s="26"/>
      <c r="B295" s="6"/>
      <c r="C295" s="28"/>
      <c r="D295" s="28"/>
      <c r="E295" s="28"/>
      <c r="F295" s="28"/>
    </row>
    <row r="296" spans="1:6" x14ac:dyDescent="0.25">
      <c r="A296" s="26"/>
      <c r="B296" s="6"/>
      <c r="C296" s="28"/>
      <c r="D296" s="28"/>
      <c r="E296" s="28"/>
      <c r="F296" s="28"/>
    </row>
    <row r="297" spans="1:6" x14ac:dyDescent="0.25">
      <c r="A297" s="26"/>
      <c r="B297" s="6"/>
      <c r="C297" s="28"/>
      <c r="D297" s="28"/>
      <c r="E297" s="28"/>
      <c r="F297" s="28"/>
    </row>
    <row r="298" spans="1:6" x14ac:dyDescent="0.25">
      <c r="A298" s="26"/>
      <c r="B298" s="6"/>
      <c r="C298" s="28"/>
      <c r="D298" s="28"/>
      <c r="E298" s="28"/>
      <c r="F298" s="28"/>
    </row>
    <row r="299" spans="1:6" x14ac:dyDescent="0.25">
      <c r="A299" s="26"/>
      <c r="B299" s="6"/>
      <c r="C299" s="28"/>
      <c r="D299" s="28"/>
      <c r="E299" s="28"/>
      <c r="F299" s="28"/>
    </row>
    <row r="300" spans="1:6" x14ac:dyDescent="0.25">
      <c r="A300" s="26"/>
      <c r="B300" s="6"/>
      <c r="C300" s="28"/>
      <c r="D300" s="28"/>
      <c r="E300" s="28"/>
      <c r="F300" s="28"/>
    </row>
    <row r="301" spans="1:6" x14ac:dyDescent="0.25">
      <c r="A301" s="26"/>
      <c r="B301" s="6"/>
      <c r="C301" s="28"/>
      <c r="D301" s="28"/>
      <c r="E301" s="28"/>
      <c r="F301" s="28"/>
    </row>
    <row r="302" spans="1:6" x14ac:dyDescent="0.25">
      <c r="A302" s="26"/>
      <c r="B302" s="6"/>
      <c r="C302" s="28"/>
      <c r="D302" s="28"/>
      <c r="E302" s="28"/>
      <c r="F302" s="28"/>
    </row>
    <row r="303" spans="1:6" x14ac:dyDescent="0.25">
      <c r="A303" s="26"/>
      <c r="B303" s="6"/>
      <c r="C303" s="28"/>
      <c r="D303" s="28"/>
      <c r="E303" s="28"/>
      <c r="F303" s="28"/>
    </row>
    <row r="304" spans="1:6" x14ac:dyDescent="0.25">
      <c r="A304" s="26"/>
      <c r="B304" s="6"/>
      <c r="C304" s="28"/>
      <c r="D304" s="28"/>
      <c r="E304" s="28"/>
      <c r="F304" s="28"/>
    </row>
    <row r="305" spans="1:6" x14ac:dyDescent="0.25">
      <c r="A305" s="26"/>
      <c r="B305" s="6"/>
      <c r="C305" s="28"/>
      <c r="D305" s="28"/>
      <c r="E305" s="28"/>
      <c r="F305" s="28"/>
    </row>
    <row r="306" spans="1:6" x14ac:dyDescent="0.25">
      <c r="A306" s="26"/>
      <c r="B306" s="6"/>
      <c r="C306" s="28"/>
      <c r="D306" s="28"/>
      <c r="E306" s="28"/>
      <c r="F306" s="28"/>
    </row>
    <row r="307" spans="1:6" x14ac:dyDescent="0.25">
      <c r="A307" s="26"/>
      <c r="B307" s="6"/>
      <c r="C307" s="28"/>
      <c r="D307" s="28"/>
      <c r="E307" s="28"/>
      <c r="F307" s="28"/>
    </row>
    <row r="308" spans="1:6" x14ac:dyDescent="0.25">
      <c r="A308" s="26"/>
      <c r="B308" s="6"/>
      <c r="C308" s="28"/>
      <c r="D308" s="28"/>
      <c r="E308" s="28"/>
      <c r="F308" s="28"/>
    </row>
    <row r="309" spans="1:6" x14ac:dyDescent="0.25">
      <c r="A309" s="26"/>
      <c r="B309" s="6"/>
      <c r="C309" s="28"/>
      <c r="D309" s="28"/>
      <c r="E309" s="28"/>
      <c r="F309" s="28"/>
    </row>
    <row r="310" spans="1:6" x14ac:dyDescent="0.25">
      <c r="A310" s="26"/>
      <c r="B310" s="6"/>
      <c r="C310" s="28"/>
      <c r="D310" s="28"/>
      <c r="E310" s="28"/>
      <c r="F310" s="28"/>
    </row>
    <row r="311" spans="1:6" x14ac:dyDescent="0.25">
      <c r="A311" s="26"/>
      <c r="B311" s="6"/>
      <c r="C311" s="28"/>
      <c r="D311" s="28"/>
      <c r="E311" s="28"/>
      <c r="F311" s="28"/>
    </row>
    <row r="312" spans="1:6" x14ac:dyDescent="0.25">
      <c r="A312" s="26"/>
      <c r="B312" s="6"/>
      <c r="C312" s="28"/>
      <c r="D312" s="28"/>
      <c r="E312" s="28"/>
      <c r="F312" s="28"/>
    </row>
    <row r="313" spans="1:6" x14ac:dyDescent="0.25">
      <c r="A313" s="26"/>
      <c r="B313" s="6"/>
      <c r="C313" s="28"/>
      <c r="D313" s="28"/>
      <c r="E313" s="28"/>
      <c r="F313" s="28"/>
    </row>
    <row r="314" spans="1:6" x14ac:dyDescent="0.25">
      <c r="A314" s="26"/>
      <c r="B314" s="6"/>
      <c r="C314" s="28"/>
      <c r="D314" s="28"/>
      <c r="E314" s="28"/>
      <c r="F314" s="28"/>
    </row>
    <row r="315" spans="1:6" x14ac:dyDescent="0.25">
      <c r="A315" s="26"/>
      <c r="B315" s="6"/>
      <c r="C315" s="28"/>
      <c r="D315" s="28"/>
      <c r="E315" s="28"/>
      <c r="F315" s="28"/>
    </row>
    <row r="316" spans="1:6" x14ac:dyDescent="0.25">
      <c r="A316" s="26"/>
      <c r="B316" s="6"/>
      <c r="C316" s="28"/>
      <c r="D316" s="28"/>
      <c r="E316" s="28"/>
      <c r="F316" s="28"/>
    </row>
    <row r="317" spans="1:6" x14ac:dyDescent="0.25">
      <c r="A317" s="26"/>
      <c r="B317" s="6"/>
      <c r="C317" s="28"/>
      <c r="D317" s="28"/>
      <c r="E317" s="28"/>
      <c r="F317" s="28"/>
    </row>
    <row r="318" spans="1:6" x14ac:dyDescent="0.25">
      <c r="A318" s="26"/>
      <c r="B318" s="6"/>
      <c r="C318" s="28"/>
      <c r="D318" s="28"/>
      <c r="E318" s="28"/>
      <c r="F318" s="28"/>
    </row>
    <row r="319" spans="1:6" x14ac:dyDescent="0.25">
      <c r="A319" s="26"/>
      <c r="B319" s="6"/>
      <c r="C319" s="28"/>
      <c r="D319" s="28"/>
      <c r="E319" s="28"/>
      <c r="F319" s="28"/>
    </row>
    <row r="320" spans="1:6" x14ac:dyDescent="0.25">
      <c r="A320" s="26"/>
      <c r="B320" s="6"/>
      <c r="C320" s="28"/>
      <c r="D320" s="28"/>
      <c r="E320" s="28"/>
      <c r="F320" s="28"/>
    </row>
    <row r="321" spans="1:6" x14ac:dyDescent="0.25">
      <c r="A321" s="26"/>
      <c r="B321" s="6"/>
      <c r="C321" s="28"/>
      <c r="D321" s="28"/>
      <c r="E321" s="28"/>
      <c r="F321" s="28"/>
    </row>
    <row r="322" spans="1:6" x14ac:dyDescent="0.25">
      <c r="A322" s="26"/>
      <c r="B322" s="6"/>
      <c r="C322" s="28"/>
      <c r="D322" s="28"/>
      <c r="E322" s="28"/>
      <c r="F322" s="28"/>
    </row>
    <row r="323" spans="1:6" x14ac:dyDescent="0.25">
      <c r="A323" s="26"/>
      <c r="B323" s="6"/>
      <c r="C323" s="28"/>
      <c r="D323" s="28"/>
      <c r="E323" s="28"/>
      <c r="F323" s="28"/>
    </row>
    <row r="324" spans="1:6" x14ac:dyDescent="0.25">
      <c r="A324" s="26"/>
      <c r="B324" s="6"/>
      <c r="C324" s="28"/>
      <c r="D324" s="28"/>
      <c r="E324" s="28"/>
      <c r="F324" s="28"/>
    </row>
    <row r="325" spans="1:6" x14ac:dyDescent="0.25">
      <c r="A325" s="26"/>
      <c r="B325" s="6"/>
      <c r="C325" s="28"/>
      <c r="D325" s="28"/>
      <c r="E325" s="28"/>
      <c r="F325" s="28"/>
    </row>
    <row r="326" spans="1:6" x14ac:dyDescent="0.25">
      <c r="A326" s="26"/>
      <c r="B326" s="6"/>
      <c r="C326" s="28"/>
      <c r="D326" s="28"/>
      <c r="E326" s="28"/>
      <c r="F326" s="28"/>
    </row>
    <row r="327" spans="1:6" x14ac:dyDescent="0.25">
      <c r="A327" s="26"/>
      <c r="B327" s="6"/>
      <c r="C327" s="28"/>
      <c r="D327" s="28"/>
      <c r="E327" s="28"/>
      <c r="F327" s="28"/>
    </row>
    <row r="328" spans="1:6" x14ac:dyDescent="0.25">
      <c r="A328" s="26"/>
      <c r="B328" s="6"/>
      <c r="C328" s="28"/>
      <c r="D328" s="28"/>
      <c r="E328" s="28"/>
      <c r="F328" s="28"/>
    </row>
    <row r="329" spans="1:6" x14ac:dyDescent="0.25">
      <c r="A329" s="26"/>
      <c r="B329" s="6"/>
      <c r="C329" s="28"/>
      <c r="D329" s="28"/>
      <c r="E329" s="28"/>
      <c r="F329" s="28"/>
    </row>
    <row r="330" spans="1:6" x14ac:dyDescent="0.25">
      <c r="A330" s="26"/>
      <c r="B330" s="6"/>
      <c r="C330" s="28"/>
      <c r="D330" s="28"/>
      <c r="E330" s="28"/>
      <c r="F330" s="28"/>
    </row>
    <row r="331" spans="1:6" x14ac:dyDescent="0.25">
      <c r="A331" s="26"/>
      <c r="B331" s="6"/>
      <c r="C331" s="28"/>
      <c r="D331" s="28"/>
      <c r="E331" s="28"/>
      <c r="F331" s="28"/>
    </row>
    <row r="332" spans="1:6" x14ac:dyDescent="0.25">
      <c r="A332" s="26"/>
      <c r="B332" s="6"/>
      <c r="C332" s="28"/>
      <c r="D332" s="28"/>
      <c r="E332" s="28"/>
      <c r="F332" s="28"/>
    </row>
    <row r="333" spans="1:6" x14ac:dyDescent="0.25">
      <c r="A333" s="26"/>
      <c r="B333" s="6"/>
      <c r="C333" s="28"/>
      <c r="D333" s="28"/>
      <c r="E333" s="28"/>
      <c r="F333" s="28"/>
    </row>
    <row r="334" spans="1:6" x14ac:dyDescent="0.25">
      <c r="A334" s="26"/>
      <c r="B334" s="6"/>
      <c r="C334" s="28"/>
      <c r="D334" s="28"/>
      <c r="E334" s="28"/>
      <c r="F334" s="28"/>
    </row>
    <row r="335" spans="1:6" x14ac:dyDescent="0.25">
      <c r="A335" s="26"/>
      <c r="B335" s="6"/>
      <c r="C335" s="28"/>
      <c r="D335" s="28"/>
      <c r="E335" s="28"/>
      <c r="F335" s="28"/>
    </row>
    <row r="336" spans="1:6" x14ac:dyDescent="0.25">
      <c r="A336" s="26"/>
      <c r="B336" s="6"/>
      <c r="C336" s="28"/>
      <c r="D336" s="28"/>
      <c r="E336" s="28"/>
      <c r="F336" s="28"/>
    </row>
    <row r="337" spans="1:6" x14ac:dyDescent="0.25">
      <c r="A337" s="26"/>
      <c r="B337" s="6"/>
      <c r="C337" s="28"/>
      <c r="D337" s="28"/>
      <c r="E337" s="28"/>
      <c r="F337" s="28"/>
    </row>
    <row r="338" spans="1:6" x14ac:dyDescent="0.25">
      <c r="A338" s="26"/>
      <c r="B338" s="6"/>
      <c r="C338" s="28"/>
      <c r="D338" s="28"/>
      <c r="E338" s="28"/>
      <c r="F338" s="28"/>
    </row>
    <row r="339" spans="1:6" x14ac:dyDescent="0.25">
      <c r="A339" s="26"/>
      <c r="B339" s="6"/>
      <c r="C339" s="28"/>
      <c r="D339" s="28"/>
      <c r="E339" s="28"/>
      <c r="F339" s="28"/>
    </row>
    <row r="340" spans="1:6" x14ac:dyDescent="0.25">
      <c r="A340" s="26"/>
      <c r="B340" s="6"/>
      <c r="C340" s="28"/>
      <c r="D340" s="28"/>
      <c r="E340" s="28"/>
      <c r="F340" s="28"/>
    </row>
    <row r="341" spans="1:6" x14ac:dyDescent="0.25">
      <c r="A341" s="26"/>
      <c r="B341" s="6"/>
      <c r="C341" s="28"/>
      <c r="D341" s="28"/>
      <c r="E341" s="28"/>
      <c r="F341" s="28"/>
    </row>
    <row r="342" spans="1:6" x14ac:dyDescent="0.25">
      <c r="A342" s="26"/>
      <c r="B342" s="6"/>
      <c r="C342" s="28"/>
      <c r="D342" s="28"/>
      <c r="E342" s="28"/>
      <c r="F342" s="28"/>
    </row>
    <row r="343" spans="1:6" x14ac:dyDescent="0.25">
      <c r="A343" s="26"/>
      <c r="B343" s="6"/>
      <c r="C343" s="28"/>
      <c r="D343" s="28"/>
      <c r="E343" s="28"/>
      <c r="F343" s="28"/>
    </row>
    <row r="344" spans="1:6" x14ac:dyDescent="0.25">
      <c r="A344" s="26"/>
      <c r="B344" s="6"/>
      <c r="C344" s="28"/>
      <c r="D344" s="28"/>
      <c r="E344" s="28"/>
      <c r="F344" s="28"/>
    </row>
    <row r="345" spans="1:6" x14ac:dyDescent="0.25">
      <c r="A345" s="26"/>
      <c r="B345" s="6"/>
      <c r="C345" s="28"/>
      <c r="D345" s="28"/>
      <c r="E345" s="28"/>
      <c r="F345" s="28"/>
    </row>
    <row r="346" spans="1:6" x14ac:dyDescent="0.25">
      <c r="A346" s="26"/>
      <c r="B346" s="6"/>
      <c r="C346" s="28"/>
      <c r="D346" s="28"/>
      <c r="E346" s="28"/>
      <c r="F346" s="28"/>
    </row>
    <row r="347" spans="1:6" x14ac:dyDescent="0.25">
      <c r="A347" s="26"/>
      <c r="B347" s="6"/>
      <c r="C347" s="28"/>
      <c r="D347" s="28"/>
      <c r="E347" s="28"/>
      <c r="F347" s="28"/>
    </row>
    <row r="348" spans="1:6" x14ac:dyDescent="0.25">
      <c r="A348" s="26"/>
      <c r="B348" s="6"/>
      <c r="C348" s="28"/>
      <c r="D348" s="28"/>
      <c r="E348" s="28"/>
      <c r="F348" s="28"/>
    </row>
    <row r="349" spans="1:6" x14ac:dyDescent="0.25">
      <c r="A349" s="26"/>
      <c r="B349" s="6"/>
      <c r="C349" s="28"/>
      <c r="D349" s="28"/>
      <c r="E349" s="28"/>
      <c r="F349" s="28"/>
    </row>
    <row r="350" spans="1:6" x14ac:dyDescent="0.25">
      <c r="A350" s="26"/>
      <c r="B350" s="6"/>
      <c r="C350" s="28"/>
      <c r="D350" s="28"/>
      <c r="E350" s="28"/>
      <c r="F350" s="28"/>
    </row>
    <row r="351" spans="1:6" x14ac:dyDescent="0.25">
      <c r="A351" s="26"/>
      <c r="B351" s="6"/>
      <c r="C351" s="28"/>
      <c r="D351" s="28"/>
      <c r="E351" s="28"/>
      <c r="F351" s="28"/>
    </row>
    <row r="352" spans="1:6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65AB59-D1CD-4262-915C-55F60400DCE6}">
          <x14:formula1>
            <xm:f>Leathers!$A$2:$A$100</xm:f>
          </x14:formula1>
          <xm:sqref>BB2:BB207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208"/>
  <sheetViews>
    <sheetView topLeftCell="A183" zoomScaleNormal="100" workbookViewId="0">
      <pane xSplit="1" topLeftCell="B1" activePane="topRight" state="frozen"/>
      <selection pane="topRight" activeCell="A208" sqref="A208:XFD210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651</v>
      </c>
      <c r="F1" s="4" t="str">
        <f>Animals!R1</f>
        <v>Head attack interval</v>
      </c>
      <c r="G1" s="3" t="str">
        <f>Animals!S1</f>
        <v>Poke/leg claws damage</v>
      </c>
      <c r="H1" s="1" t="s">
        <v>652</v>
      </c>
      <c r="I1" s="1" t="s">
        <v>653</v>
      </c>
      <c r="J1" s="4" t="str">
        <f>Animals!T1</f>
        <v>Poke/leg claws attack interval</v>
      </c>
      <c r="K1" s="3" t="str">
        <f>Animals!X1</f>
        <v>Horn/Antler/Tusks damage</v>
      </c>
      <c r="L1" s="1" t="s">
        <v>654</v>
      </c>
      <c r="M1" s="1" t="s">
        <v>655</v>
      </c>
      <c r="N1" s="4" t="s">
        <v>274</v>
      </c>
      <c r="O1" s="3" t="str">
        <f>Animals!AD1</f>
        <v>Bite damage</v>
      </c>
      <c r="P1" s="1" t="s">
        <v>656</v>
      </c>
      <c r="Q1" s="1" t="s">
        <v>657</v>
      </c>
      <c r="R1" s="4" t="str">
        <f>Animals!AE1</f>
        <v>Bite attack interval</v>
      </c>
      <c r="S1" s="3" t="str">
        <f>Animals!AI1</f>
        <v>Paw claw/punch damage</v>
      </c>
      <c r="T1" s="1" t="s">
        <v>658</v>
      </c>
      <c r="U1" s="1" t="s">
        <v>659</v>
      </c>
      <c r="V1" s="4" t="str">
        <f>Animals!AJ1</f>
        <v>Paw claw/punch attack interval</v>
      </c>
      <c r="W1" s="2" t="s">
        <v>300</v>
      </c>
      <c r="X1" s="1" t="s">
        <v>301</v>
      </c>
      <c r="Y1" s="1" t="s">
        <v>302</v>
      </c>
      <c r="Z1" s="1" t="s">
        <v>448</v>
      </c>
      <c r="AA1" s="1" t="s">
        <v>449</v>
      </c>
      <c r="AB1" s="1" t="s">
        <v>461</v>
      </c>
      <c r="AC1" s="1" t="s">
        <v>677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stats'!BQ:BQ) * (_xlfn.XLOOKUP(B2,'Base stats'!B:B,'Base stats'!AM:AM)*5%)^0.9 / 21,0.1),0.05)</f>
        <v>8.1</v>
      </c>
      <c r="E2" s="11">
        <f>MAX(0.01,MROUND(_xlfn.XLOOKUP(B2,'Base stats'!B:B,'Base stats'!BE:BE) * 0.01 * 2, 0.01))</f>
        <v>7.38</v>
      </c>
      <c r="F2" s="7">
        <f>MROUND(_xlfn.XLOOKUP(B2,'Base stats'!B:B,'Base stats'!BB:BB)^0.25 / (_xlfn.XLOOKUP(B2,'Base stats'!B:B,'Base stats'!BI:BI) * 10) * 150 + 0.5 + _xlfn.XLOOKUP(B2,'Base stats'!B:B,'Base stats'!BU:BU), 0.05)</f>
        <v>2.35</v>
      </c>
      <c r="G2" s="3" t="str">
        <f>IF(Animals!S2="No","No",
IF(_xlfn.XLOOKUP(B2,'Base stats'!B:B,'Base stats'!U:U)="No",
MAX(MROUND(_xlfn.XLOOKUP(B2,'Base stats'!B:B,'Base stats'!BR:BR) * _xlfn.XLOOKUP(B2,'Base stats'!B:B,'Base stats'!BN:BN)^0.9 / 21 * _xlfn.XLOOKUP(B2,'Base stats'!B:B,'Base stats'!BV:BV),0.1),0.05),
MAX(MROUND(((MIN(10,_xlfn.XLOOKUP(B2,'Base stats'!B:B,'Base stats'!U:U)))^0.4*_xlfn.XLOOKUP(B2,'Base stats'!B:B,'Base stats'!BF:BF)^0.73)^0.6 * _xlfn.XLOOKUP(B2,'Base stats'!B:B,'Base stats'!BV:BV),0.1),0.05)
))</f>
        <v>No</v>
      </c>
      <c r="H2" s="11" t="str">
        <f>IF(G2="No","No",
MAX(0.01,MROUND(_xlfn.XLOOKUP(B2,'Base stats'!B:B,'Base stats'!BF:BF) * 0.01 * 2, 0.01))
)</f>
        <v>No</v>
      </c>
      <c r="I2" s="11" t="str">
        <f>IF(G2="No","No",IF(_xlfn.XLOOKUP(B2,'Base stats'!B:B,'Base stats'!U:U)="No","No",
MAX(0.01,MROUND(_xlfn.XLOOKUP(B2,'Base stats'!B:B,'Base stats'!BR:BR)/10000,0.01))
))</f>
        <v>No</v>
      </c>
      <c r="J2" s="4" t="str">
        <f>IF(G2="No","No",
MROUND(_xlfn.XLOOKUP(B2,'Base stats'!B:B,'Base stats'!BC:BC)^0.25
/((_xlfn.XLOOKUP(B2,'Base stats'!B:B,'Base stats'!BJ:BJ))*10)*_xlfn.XLOOKUP(_xlfn.XLOOKUP(B2,'Base stats'!B:B,'Base stats'!E:E),Groups!A:A,Groups!Q:Q)*150 + 0.5 + _xlfn.XLOOKUP(B2,'Base stats'!B:B,'Base stats'!BU:BU),
0.05))</f>
        <v>No</v>
      </c>
      <c r="K2" s="3" t="str">
        <f>IF(Animals!X2="No","No",
IF(_xlfn.XLOOKUP(_xlfn.XLOOKUP(B2,'Base stats'!B:B,'Base stats'!E:E),Groups!A:A,Groups!BD:BD)=1,
MAX(MROUND(_xlfn.XLOOKUP(B2,'Base stats'!B:B,'Base stats'!BS:BS) * _xlfn.XLOOKUP(B2,'Base stats'!B:B,'Base stats'!BO:BO)^0.9 / 21 *_xlfn.XLOOKUP(B2,'Base stats'!B:B,'Base stats'!BV:BV),0.1),0.05),
MAX(MROUND(((MIN(10,_xlfn.XLOOKUP(B2,'Base stats'!B:B,'Base stats'!W:W)))^0.4*_xlfn.XLOOKUP(B2,'Base stats'!B:B,'Base stats'!BG:BG)^0.73)^0.6 *_xlfn.XLOOKUP(B2,'Base stats'!B:B,'Base stats'!BV:BV),0.1),0.05)
))</f>
        <v>No</v>
      </c>
      <c r="L2" s="11" t="str">
        <f>IF(K2="No","No",
MAX(0.01,MROUND(_xlfn.XLOOKUP(B2,'Base stats'!B:B,'Base stats'!BG:BG) * 0.01 *2, 0.01))
)</f>
        <v>No</v>
      </c>
      <c r="M2" s="5" t="str">
        <f>IF(K2="No","No",IF(_xlfn.XLOOKUP(_xlfn.XLOOKUP(B2,'Base stats'!B:B,'Base stats'!E:E),Groups!A:A,Groups!BD:BD)=1,"No",
MAX(0.01,MROUND(_xlfn.XLOOKUP(B2,'Base stats'!B:B,'Base stats'!BS:BS)/10000,0.01))
))</f>
        <v>No</v>
      </c>
      <c r="N2" s="4" t="str">
        <f>IF(K2="No","No",
MROUND(
  _xlfn.XLOOKUP(B2,'Base stats'!B:B,'Base stats'!BA:BA)^0.25
  / (_xlfn.XLOOKUP(B2,'Base stats'!B:B,'Base stats'!BK:BK)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stats'!BU:BU),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stats'!BH:BH)^0.73)^0.6 *_xlfn.XLOOKUP(B2,'Base stats'!B:B,'Base stats'!BV:BV),0.1),0.05)
)</f>
        <v>19.600000000000001</v>
      </c>
      <c r="P2" s="11">
        <f>IF(O2="No","No",
MAX(0.01,MROUND(_xlfn.XLOOKUP(B2,'Base stats'!B:B,'Base stats'!BH:BH) * 0.01 * 2, 0.01))
)</f>
        <v>7.18</v>
      </c>
      <c r="Q2" s="5">
        <f>IF(O2="No","No",
MAX(0.01,MROUND(_xlfn.XLOOKUP(B2,'Base stats'!B:B,'Base stats'!BT:BT)/10000,0.01))
)</f>
        <v>0.23</v>
      </c>
      <c r="R2" s="4">
        <f>IF(O2="No","No",
MROUND(_xlfn.XLOOKUP(B2,'Base stats'!B:B,'Base stats'!AZ:AZ)^0.25
/((_xlfn.XLOOKUP(B2,'Base stats'!B:B,'Base stats'!BL:BL))*10)*_xlfn.XLOOKUP(_xlfn.XLOOKUP(B2,'Base stats'!B:B,'Base stats'!E:E),Groups!A:A,Groups!Z:Z)*150 + 0.5 + _xlfn.XLOOKUP(B2,'Base stats'!B:B,'Base stats'!BU:BU),
0.05))</f>
        <v>2.25</v>
      </c>
      <c r="S2" s="3">
        <f>IF(Animals!AI2="No","No",
IF(_xlfn.XLOOKUP(B2,'Base stats'!B:B,'Base stats'!U:U)="No",
MAX(MROUND(_xlfn.XLOOKUP(B2,'Base stats'!B:B,'Base stats'!BR:BR) * _xlfn.XLOOKUP(B2,'Base stats'!B:B,'Base stats'!BN:BN)^0.9 / 21 * _xlfn.XLOOKUP(B2,'Base stats'!B:B,'Base stats'!BV:BV),0.1),0.05),
MAX(MROUND(((MIN(12,_xlfn.XLOOKUP(B2,'Base stats'!B:B,'Base stats'!U:U)))^0.4*_xlfn.XLOOKUP(B2,'Base stats'!B:B,'Base stats'!BF:BF)^0.73)^0.6 * _xlfn.XLOOKUP(B2,'Base stats'!B:B,'Base stats'!BV:BV),0.1),0.05)
))</f>
        <v>24.6</v>
      </c>
      <c r="T2" s="11">
        <f>IF(S2="No","No",
MAX(0.01,MROUND(_xlfn.XLOOKUP(B2,'Base stats'!B:B,'Base stats'!BF:BF) * 0.01 * 2, 0.01))
)</f>
        <v>8.7100000000000009</v>
      </c>
      <c r="U2" s="5">
        <f>IF(S2="No","No",IF(_xlfn.XLOOKUP(B2,'Base stats'!B:B,'Base stats'!U:U)="No","No",
MAX(0.01,MROUND(_xlfn.XLOOKUP(B2,'Base stats'!B:B,'Base stats'!BR:BR)/10000,0.01))
))</f>
        <v>0.28000000000000003</v>
      </c>
      <c r="V2" s="4">
        <f>IF(S2="No","No",
MROUND(_xlfn.XLOOKUP(B2,'Base stats'!B:B,'Base stats'!BD:BD)^0.25
/((_xlfn.XLOOKUP(B2,'Base stats'!B:B,'Base stats'!BM:BM))*10)*_xlfn.XLOOKUP(_xlfn.XLOOKUP(B2,'Base stats'!B:B,'Base stats'!E:E),Groups!A:A,Groups!AE:AE)*150 + 0.5 + _xlfn.XLOOKUP(B2,'Base stats'!B:B,'Base stats'!BU:BU),
0.05))</f>
        <v>1.6</v>
      </c>
      <c r="W2" s="8">
        <f>MROUND(_xlfn.XLOOKUP(_xlfn.XLOOKUP(B2,'Base stats'!B:B,'Base stats'!E:E),Groups!A:A,Groups!BG:BG)*_xlfn.XLOOKUP(B2,'Base stats'!B:B,'Base stats'!C:C)^-0.165,0.01)</f>
        <v>0.27</v>
      </c>
      <c r="X2" s="1">
        <f>MROUND(_xlfn.XLOOKUP(_xlfn.XLOOKUP(B2,'Base stats'!B:B,'Base stats'!E:E),Groups!A:A,Groups!BH:BH)*_xlfn.XLOOKUP(B2,'Base stats'!B:B,'Base stats'!C:C)^0.165,0.01)</f>
        <v>0.39</v>
      </c>
      <c r="Y2" s="8">
        <f>MROUND(_xlfn.XLOOKUP(_xlfn.XLOOKUP(B2,'Base stats'!B:B,'Base stats'!E:E),Groups!A:A,Groups!BI:BI)*_xlfn.XLOOKUP(B2,'Base stats'!B:B,'Base stats'!C:C)^0.165,0.01)</f>
        <v>0.06</v>
      </c>
      <c r="Z2" s="18">
        <f>ROUND(_xlfn.XLOOKUP(B2,'Base stats'!B:B,'Base stats'!AO:AO)*_xlfn.XLOOKUP(_xlfn.XLOOKUP(B2,'Base stats'!B:B,'Base stats'!E:E),Groups!A:A,Groups!H:H)/1000,2)</f>
        <v>0.17</v>
      </c>
      <c r="AA2" s="18">
        <f>ROUND((1/2)*(_xlfn.XLOOKUP(_xlfn.XLOOKUP(B2,'Base stats'!B:B,'Base stats'!E:E),Groups!A:A,Groups!H:H)*_xlfn.XLOOKUP(_xlfn.XLOOKUP(B2,'Base stats'!B:B,'Base stats'!E:E),Groups!A:A,Groups!I:I))*_xlfn.XLOOKUP(B2,'Base stats'!B:B,'Base stats'!AO:AO)*0.01,2)</f>
        <v>1.25</v>
      </c>
      <c r="AB2" s="18">
        <f>250*(Animals!AO2+Animals!AP2)</f>
        <v>1237.5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stats'!BQ:BQ) * (_xlfn.XLOOKUP(B3,'Base stats'!B:B,'Base stats'!AM:AM)*5%)^0.9 / 21,0.1),0.05)</f>
        <v>6.7</v>
      </c>
      <c r="E3" s="11">
        <f>MAX(0.01,MROUND(_xlfn.XLOOKUP(B3,'Base stats'!B:B,'Base stats'!BE:BE) * 0.01 * 2, 0.01))</f>
        <v>6.0600000000000005</v>
      </c>
      <c r="F3" s="7">
        <f>MROUND(_xlfn.XLOOKUP(B3,'Base stats'!B:B,'Base stats'!BB:BB)^0.25 / (_xlfn.XLOOKUP(B3,'Base stats'!B:B,'Base stats'!BI:BI) * 10) * 150 + 0.5 + _xlfn.XLOOKUP(B3,'Base stats'!B:B,'Base stats'!BU:BU), 0.05)</f>
        <v>2.25</v>
      </c>
      <c r="G3" s="3" t="str">
        <f>IF(Animals!S3="No","No",
IF(_xlfn.XLOOKUP(B3,'Base stats'!B:B,'Base stats'!U:U)="No",
MAX(MROUND(_xlfn.XLOOKUP(B3,'Base stats'!B:B,'Base stats'!BR:BR) * _xlfn.XLOOKUP(B3,'Base stats'!B:B,'Base stats'!BN:BN)^0.9 / 21 * _xlfn.XLOOKUP(B3,'Base stats'!B:B,'Base stats'!BV:BV),0.1),0.05),
MAX(MROUND(((MIN(10,_xlfn.XLOOKUP(B3,'Base stats'!B:B,'Base stats'!U:U)))^0.4*_xlfn.XLOOKUP(B3,'Base stats'!B:B,'Base stats'!BF:BF)^0.73)^0.6 * _xlfn.XLOOKUP(B3,'Base stats'!B:B,'Base stats'!BV:BV),0.1),0.05)
))</f>
        <v>No</v>
      </c>
      <c r="H3" s="11" t="str">
        <f>IF(G3="No","No",
MAX(0.01,MROUND(_xlfn.XLOOKUP(B3,'Base stats'!B:B,'Base stats'!BF:BF) * 0.01 * 2, 0.01))
)</f>
        <v>No</v>
      </c>
      <c r="I3" s="11" t="str">
        <f>IF(G3="No","No",IF(_xlfn.XLOOKUP(B3,'Base stats'!B:B,'Base stats'!U:U)="No","No",
MAX(0.01,MROUND(_xlfn.XLOOKUP(B3,'Base stats'!B:B,'Base stats'!BR:BR)/10000,0.01))
))</f>
        <v>No</v>
      </c>
      <c r="J3" s="4" t="str">
        <f>IF(G3="No","No",
MROUND(_xlfn.XLOOKUP(B3,'Base stats'!B:B,'Base stats'!BC:BC)^0.25
/((_xlfn.XLOOKUP(B3,'Base stats'!B:B,'Base stats'!BJ:BJ))*10)*_xlfn.XLOOKUP(_xlfn.XLOOKUP(B3,'Base stats'!B:B,'Base stats'!E:E),Groups!A:A,Groups!Q:Q)*150 + 0.5 + _xlfn.XLOOKUP(B3,'Base stats'!B:B,'Base stats'!BU:BU),
0.05))</f>
        <v>No</v>
      </c>
      <c r="K3" s="3" t="str">
        <f>IF(Animals!X3="No","No",
IF(_xlfn.XLOOKUP(_xlfn.XLOOKUP(B3,'Base stats'!B:B,'Base stats'!E:E),Groups!A:A,Groups!BD:BD)=1,
MAX(MROUND(_xlfn.XLOOKUP(B3,'Base stats'!B:B,'Base stats'!BS:BS) * _xlfn.XLOOKUP(B3,'Base stats'!B:B,'Base stats'!BO:BO)^0.9 / 21 *_xlfn.XLOOKUP(B3,'Base stats'!B:B,'Base stats'!BV:BV),0.1),0.05),
MAX(MROUND(((MIN(10,_xlfn.XLOOKUP(B3,'Base stats'!B:B,'Base stats'!W:W)))^0.4*_xlfn.XLOOKUP(B3,'Base stats'!B:B,'Base stats'!BG:BG)^0.73)^0.6 *_xlfn.XLOOKUP(B3,'Base stats'!B:B,'Base stats'!BV:BV),0.1),0.05)
))</f>
        <v>No</v>
      </c>
      <c r="L3" s="11" t="str">
        <f>IF(K3="No","No",
MAX(0.01,MROUND(_xlfn.XLOOKUP(B3,'Base stats'!B:B,'Base stats'!BG:BG) * 0.01 *2, 0.01))
)</f>
        <v>No</v>
      </c>
      <c r="M3" s="5" t="str">
        <f>IF(K3="No","No",IF(_xlfn.XLOOKUP(_xlfn.XLOOKUP(B3,'Base stats'!B:B,'Base stats'!E:E),Groups!A:A,Groups!BD:BD)=1,"No",
MAX(0.01,MROUND(_xlfn.XLOOKUP(B3,'Base stats'!B:B,'Base stats'!BS:BS)/10000,0.01))
))</f>
        <v>No</v>
      </c>
      <c r="N3" s="4" t="str">
        <f>IF(K3="No","No",
MROUND(
  _xlfn.XLOOKUP(B3,'Base stats'!B:B,'Base stats'!BA:BA)^0.25
  / (_xlfn.XLOOKUP(B3,'Base stats'!B:B,'Base stats'!BK:BK)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stats'!BU:BU),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stats'!BH:BH)^0.73)^0.6 *_xlfn.XLOOKUP(B3,'Base stats'!B:B,'Base stats'!BV:BV),0.1),0.05)
)</f>
        <v>18.2</v>
      </c>
      <c r="P3" s="11">
        <f>IF(O3="No","No",
MAX(0.01,MROUND(_xlfn.XLOOKUP(B3,'Base stats'!B:B,'Base stats'!BH:BH) * 0.01 * 2, 0.01))
)</f>
        <v>6.49</v>
      </c>
      <c r="Q3" s="5">
        <f>IF(O3="No","No",
MAX(0.01,MROUND(_xlfn.XLOOKUP(B3,'Base stats'!B:B,'Base stats'!BT:BT)/10000,0.01))
)</f>
        <v>0.23</v>
      </c>
      <c r="R3" s="4">
        <f>IF(O3="No","No",
MROUND(_xlfn.XLOOKUP(B3,'Base stats'!B:B,'Base stats'!AZ:AZ)^0.25
/((_xlfn.XLOOKUP(B3,'Base stats'!B:B,'Base stats'!BL:BL))*10)*_xlfn.XLOOKUP(_xlfn.XLOOKUP(B3,'Base stats'!B:B,'Base stats'!E:E),Groups!A:A,Groups!Z:Z)*150 + 0.5 + _xlfn.XLOOKUP(B3,'Base stats'!B:B,'Base stats'!BU:BU),
0.05))</f>
        <v>2.25</v>
      </c>
      <c r="S3" s="3">
        <f>IF(Animals!AI3="No","No",
IF(_xlfn.XLOOKUP(B3,'Base stats'!B:B,'Base stats'!U:U)="No",
MAX(MROUND(_xlfn.XLOOKUP(B3,'Base stats'!B:B,'Base stats'!BR:BR) * _xlfn.XLOOKUP(B3,'Base stats'!B:B,'Base stats'!BN:BN)^0.9 / 21 * _xlfn.XLOOKUP(B3,'Base stats'!B:B,'Base stats'!BV:BV),0.1),0.05),
MAX(MROUND(((MIN(12,_xlfn.XLOOKUP(B3,'Base stats'!B:B,'Base stats'!U:U)))^0.4*_xlfn.XLOOKUP(B3,'Base stats'!B:B,'Base stats'!BF:BF)^0.73)^0.6 * _xlfn.XLOOKUP(B3,'Base stats'!B:B,'Base stats'!BV:BV),0.1),0.05)
))</f>
        <v>21.5</v>
      </c>
      <c r="T3" s="11">
        <f>IF(S3="No","No",
MAX(0.01,MROUND(_xlfn.XLOOKUP(B3,'Base stats'!B:B,'Base stats'!BF:BF) * 0.01 * 2, 0.01))
)</f>
        <v>7.24</v>
      </c>
      <c r="U3" s="5">
        <f>IF(S3="No","No",IF(_xlfn.XLOOKUP(B3,'Base stats'!B:B,'Base stats'!U:U)="No","No",
MAX(0.01,MROUND(_xlfn.XLOOKUP(B3,'Base stats'!B:B,'Base stats'!BR:BR)/10000,0.01))
))</f>
        <v>0.26</v>
      </c>
      <c r="V3" s="4">
        <f>IF(S3="No","No",
MROUND(_xlfn.XLOOKUP(B3,'Base stats'!B:B,'Base stats'!BD:BD)^0.25
/((_xlfn.XLOOKUP(B3,'Base stats'!B:B,'Base stats'!BM:BM))*10)*_xlfn.XLOOKUP(_xlfn.XLOOKUP(B3,'Base stats'!B:B,'Base stats'!E:E),Groups!A:A,Groups!AE:AE)*150 + 0.5 + _xlfn.XLOOKUP(B3,'Base stats'!B:B,'Base stats'!BU:BU),
0.05))</f>
        <v>1.55</v>
      </c>
      <c r="W3" s="8">
        <f>MROUND(_xlfn.XLOOKUP(_xlfn.XLOOKUP(B3,'Base stats'!B:B,'Base stats'!E:E),Groups!A:A,Groups!BG:BG)*_xlfn.XLOOKUP(B3,'Base stats'!B:B,'Base stats'!C:C)^-0.165,0.01)</f>
        <v>0.28000000000000003</v>
      </c>
      <c r="X3" s="1">
        <f>MROUND(_xlfn.XLOOKUP(_xlfn.XLOOKUP(B3,'Base stats'!B:B,'Base stats'!E:E),Groups!A:A,Groups!BH:BH)*_xlfn.XLOOKUP(B3,'Base stats'!B:B,'Base stats'!C:C)^0.165,0.01)</f>
        <v>0.37</v>
      </c>
      <c r="Y3" s="8">
        <f>MROUND(_xlfn.XLOOKUP(_xlfn.XLOOKUP(B3,'Base stats'!B:B,'Base stats'!E:E),Groups!A:A,Groups!BI:BI)*_xlfn.XLOOKUP(B3,'Base stats'!B:B,'Base stats'!C:C)^0.165,0.01)</f>
        <v>0.06</v>
      </c>
      <c r="Z3" s="18">
        <f>ROUND(_xlfn.XLOOKUP(B3,'Base stats'!B:B,'Base stats'!AO:AO)*_xlfn.XLOOKUP(_xlfn.XLOOKUP(B3,'Base stats'!B:B,'Base stats'!E:E),Groups!A:A,Groups!H:H)/1000,2)</f>
        <v>0.15</v>
      </c>
      <c r="AA3" s="18">
        <f>ROUND((1/2)*(_xlfn.XLOOKUP(_xlfn.XLOOKUP(B3,'Base stats'!B:B,'Base stats'!E:E),Groups!A:A,Groups!H:H)*_xlfn.XLOOKUP(_xlfn.XLOOKUP(B3,'Base stats'!B:B,'Base stats'!E:E),Groups!A:A,Groups!I:I))*_xlfn.XLOOKUP(B3,'Base stats'!B:B,'Base stats'!AO:AO)*0.01,2)</f>
        <v>1.1599999999999999</v>
      </c>
      <c r="AB3" s="18">
        <f>250*(Animals!AO3+Animals!AP3)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stats'!BQ:BQ) * (_xlfn.XLOOKUP(B4,'Base stats'!B:B,'Base stats'!AM:AM)*5%)^0.9 / 21,0.1),0.05)</f>
        <v>0.30000000000000004</v>
      </c>
      <c r="E4" s="11">
        <f>MAX(0.01,MROUND(_xlfn.XLOOKUP(B4,'Base stats'!B:B,'Base stats'!BE:BE) * 0.01 * 2, 0.01))</f>
        <v>0.2</v>
      </c>
      <c r="F4" s="7">
        <f>MROUND(_xlfn.XLOOKUP(B4,'Base stats'!B:B,'Base stats'!BB:BB)^0.25 / (_xlfn.XLOOKUP(B4,'Base stats'!B:B,'Base stats'!BI:BI) * 10) * 150 + 0.5 + _xlfn.XLOOKUP(B4,'Base stats'!B:B,'Base stats'!BU:BU), 0.05)</f>
        <v>1.4500000000000002</v>
      </c>
      <c r="G4" s="3" t="str">
        <f>IF(Animals!S4="No","No",
IF(_xlfn.XLOOKUP(B4,'Base stats'!B:B,'Base stats'!U:U)="No",
MAX(MROUND(_xlfn.XLOOKUP(B4,'Base stats'!B:B,'Base stats'!BR:BR) * _xlfn.XLOOKUP(B4,'Base stats'!B:B,'Base stats'!BN:BN)^0.9 / 21 * _xlfn.XLOOKUP(B4,'Base stats'!B:B,'Base stats'!BV:BV),0.1),0.05),
MAX(MROUND(((MIN(10,_xlfn.XLOOKUP(B4,'Base stats'!B:B,'Base stats'!U:U)))^0.4*_xlfn.XLOOKUP(B4,'Base stats'!B:B,'Base stats'!BF:BF)^0.73)^0.6 * _xlfn.XLOOKUP(B4,'Base stats'!B:B,'Base stats'!BV:BV),0.1),0.05)
))</f>
        <v>No</v>
      </c>
      <c r="H4" s="11" t="str">
        <f>IF(G4="No","No",
MAX(0.01,MROUND(_xlfn.XLOOKUP(B4,'Base stats'!B:B,'Base stats'!BF:BF) * 0.01 * 2, 0.01))
)</f>
        <v>No</v>
      </c>
      <c r="I4" s="11" t="str">
        <f>IF(G4="No","No",IF(_xlfn.XLOOKUP(B4,'Base stats'!B:B,'Base stats'!U:U)="No","No",
MAX(0.01,MROUND(_xlfn.XLOOKUP(B4,'Base stats'!B:B,'Base stats'!BR:BR)/10000,0.01))
))</f>
        <v>No</v>
      </c>
      <c r="J4" s="4" t="str">
        <f>IF(G4="No","No",
MROUND(_xlfn.XLOOKUP(B4,'Base stats'!B:B,'Base stats'!BC:BC)^0.25
/((_xlfn.XLOOKUP(B4,'Base stats'!B:B,'Base stats'!BJ:BJ))*10)*_xlfn.XLOOKUP(_xlfn.XLOOKUP(B4,'Base stats'!B:B,'Base stats'!E:E),Groups!A:A,Groups!Q:Q)*150 + 0.5 + _xlfn.XLOOKUP(B4,'Base stats'!B:B,'Base stats'!BU:BU),
0.05))</f>
        <v>No</v>
      </c>
      <c r="K4" s="3" t="str">
        <f>IF(Animals!X4="No","No",
IF(_xlfn.XLOOKUP(_xlfn.XLOOKUP(B4,'Base stats'!B:B,'Base stats'!E:E),Groups!A:A,Groups!BD:BD)=1,
MAX(MROUND(_xlfn.XLOOKUP(B4,'Base stats'!B:B,'Base stats'!BS:BS) * _xlfn.XLOOKUP(B4,'Base stats'!B:B,'Base stats'!BO:BO)^0.9 / 21 *_xlfn.XLOOKUP(B4,'Base stats'!B:B,'Base stats'!BV:BV),0.1),0.05),
MAX(MROUND(((MIN(10,_xlfn.XLOOKUP(B4,'Base stats'!B:B,'Base stats'!W:W)))^0.4*_xlfn.XLOOKUP(B4,'Base stats'!B:B,'Base stats'!BG:BG)^0.73)^0.6 *_xlfn.XLOOKUP(B4,'Base stats'!B:B,'Base stats'!BV:BV),0.1),0.05)
))</f>
        <v>No</v>
      </c>
      <c r="L4" s="11" t="str">
        <f>IF(K4="No","No",
MAX(0.01,MROUND(_xlfn.XLOOKUP(B4,'Base stats'!B:B,'Base stats'!BG:BG) * 0.01 *2, 0.01))
)</f>
        <v>No</v>
      </c>
      <c r="M4" s="5" t="str">
        <f>IF(K4="No","No",IF(_xlfn.XLOOKUP(_xlfn.XLOOKUP(B4,'Base stats'!B:B,'Base stats'!E:E),Groups!A:A,Groups!BD:BD)=1,"No",
MAX(0.01,MROUND(_xlfn.XLOOKUP(B4,'Base stats'!B:B,'Base stats'!BS:BS)/10000,0.01))
))</f>
        <v>No</v>
      </c>
      <c r="N4" s="4" t="str">
        <f>IF(K4="No","No",
MROUND(
  _xlfn.XLOOKUP(B4,'Base stats'!B:B,'Base stats'!BA:BA)^0.25
  / (_xlfn.XLOOKUP(B4,'Base stats'!B:B,'Base stats'!BK:BK)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stats'!BU:BU),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stats'!BH:BH)^0.73)^0.6 *_xlfn.XLOOKUP(B4,'Base stats'!B:B,'Base stats'!BV:BV),0.1),0.05)
)</f>
        <v>3.2</v>
      </c>
      <c r="P4" s="11">
        <f>IF(O4="No","No",
MAX(0.01,MROUND(_xlfn.XLOOKUP(B4,'Base stats'!B:B,'Base stats'!BH:BH) * 0.01 * 2, 0.01))
)</f>
        <v>0.21</v>
      </c>
      <c r="Q4" s="5">
        <f>IF(O4="No","No",
MAX(0.01,MROUND(_xlfn.XLOOKUP(B4,'Base stats'!B:B,'Base stats'!BT:BT)/10000,0.01))
)</f>
        <v>0.04</v>
      </c>
      <c r="R4" s="4">
        <f>IF(O4="No","No",
MROUND(_xlfn.XLOOKUP(B4,'Base stats'!B:B,'Base stats'!AZ:AZ)^0.25
/((_xlfn.XLOOKUP(B4,'Base stats'!B:B,'Base stats'!BL:BL))*10)*_xlfn.XLOOKUP(_xlfn.XLOOKUP(B4,'Base stats'!B:B,'Base stats'!E:E),Groups!A:A,Groups!Z:Z)*150 + 0.5 + _xlfn.XLOOKUP(B4,'Base stats'!B:B,'Base stats'!BU:BU),
0.05))</f>
        <v>1.9000000000000001</v>
      </c>
      <c r="S4" s="3">
        <f>IF(Animals!AI4="No","No",
IF(_xlfn.XLOOKUP(B4,'Base stats'!B:B,'Base stats'!U:U)="No",
MAX(MROUND(_xlfn.XLOOKUP(B4,'Base stats'!B:B,'Base stats'!BR:BR) * _xlfn.XLOOKUP(B4,'Base stats'!B:B,'Base stats'!BN:BN)^0.9 / 21 * _xlfn.XLOOKUP(B4,'Base stats'!B:B,'Base stats'!BV:BV),0.1),0.05),
MAX(MROUND(((MIN(12,_xlfn.XLOOKUP(B4,'Base stats'!B:B,'Base stats'!U:U)))^0.4*_xlfn.XLOOKUP(B4,'Base stats'!B:B,'Base stats'!BF:BF)^0.73)^0.6 * _xlfn.XLOOKUP(B4,'Base stats'!B:B,'Base stats'!BV:BV),0.1),0.05)
))</f>
        <v>3.4000000000000004</v>
      </c>
      <c r="T4" s="11">
        <f>IF(S4="No","No",
MAX(0.01,MROUND(_xlfn.XLOOKUP(B4,'Base stats'!B:B,'Base stats'!BF:BF) * 0.01 * 2, 0.01))
)</f>
        <v>0.3</v>
      </c>
      <c r="U4" s="5">
        <f>IF(S4="No","No",IF(_xlfn.XLOOKUP(B4,'Base stats'!B:B,'Base stats'!U:U)="No","No",
MAX(0.01,MROUND(_xlfn.XLOOKUP(B4,'Base stats'!B:B,'Base stats'!BR:BR)/10000,0.01))
))</f>
        <v>0.05</v>
      </c>
      <c r="V4" s="4">
        <f>IF(S4="No","No",
MROUND(_xlfn.XLOOKUP(B4,'Base stats'!B:B,'Base stats'!BD:BD)^0.25
/((_xlfn.XLOOKUP(B4,'Base stats'!B:B,'Base stats'!BM:BM))*10)*_xlfn.XLOOKUP(_xlfn.XLOOKUP(B4,'Base stats'!B:B,'Base stats'!E:E),Groups!A:A,Groups!AE:AE)*150 + 0.5 + _xlfn.XLOOKUP(B4,'Base stats'!B:B,'Base stats'!BU:BU),
0.05))</f>
        <v>1.1000000000000001</v>
      </c>
      <c r="W4" s="8">
        <f>MROUND(_xlfn.XLOOKUP(_xlfn.XLOOKUP(B4,'Base stats'!B:B,'Base stats'!E:E),Groups!A:A,Groups!BG:BG)*_xlfn.XLOOKUP(B4,'Base stats'!B:B,'Base stats'!C:C)^-0.165,0.01)</f>
        <v>0.52</v>
      </c>
      <c r="X4" s="1">
        <f>MROUND(_xlfn.XLOOKUP(_xlfn.XLOOKUP(B4,'Base stats'!B:B,'Base stats'!E:E),Groups!A:A,Groups!BH:BH)*_xlfn.XLOOKUP(B4,'Base stats'!B:B,'Base stats'!C:C)^0.165,0.01)</f>
        <v>0.13</v>
      </c>
      <c r="Y4" s="8">
        <f>MROUND(_xlfn.XLOOKUP(_xlfn.XLOOKUP(B4,'Base stats'!B:B,'Base stats'!E:E),Groups!A:A,Groups!BI:BI)*_xlfn.XLOOKUP(B4,'Base stats'!B:B,'Base stats'!C:C)^0.165,0.01)</f>
        <v>0.03</v>
      </c>
      <c r="Z4" s="18">
        <f>ROUND(_xlfn.XLOOKUP(B4,'Base stats'!B:B,'Base stats'!AO:AO)*_xlfn.XLOOKUP(_xlfn.XLOOKUP(B4,'Base stats'!B:B,'Base stats'!E:E),Groups!A:A,Groups!H:H)/1000,2)</f>
        <v>0.04</v>
      </c>
      <c r="AA4" s="18">
        <f>ROUND((1/2)*(_xlfn.XLOOKUP(_xlfn.XLOOKUP(B4,'Base stats'!B:B,'Base stats'!E:E),Groups!A:A,Groups!H:H)*_xlfn.XLOOKUP(_xlfn.XLOOKUP(B4,'Base stats'!B:B,'Base stats'!E:E),Groups!A:A,Groups!I:I))*_xlfn.XLOOKUP(B4,'Base stats'!B:B,'Base stats'!AO:AO)*0.01,2)</f>
        <v>0.31</v>
      </c>
      <c r="AB4" s="18">
        <f>250*(Animals!AO4+Animals!AP4)</f>
        <v>187.5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stats'!BQ:BQ) * (_xlfn.XLOOKUP(B5,'Base stats'!B:B,'Base stats'!AM:AM)*5%)^0.9 / 21,0.1),0.05)</f>
        <v>3.3000000000000003</v>
      </c>
      <c r="E5" s="11">
        <f>MAX(0.01,MROUND(_xlfn.XLOOKUP(B5,'Base stats'!B:B,'Base stats'!BE:BE) * 0.01 * 2, 0.01))</f>
        <v>2.84</v>
      </c>
      <c r="F5" s="7">
        <f>MROUND(_xlfn.XLOOKUP(B5,'Base stats'!B:B,'Base stats'!BB:BB)^0.25 / (_xlfn.XLOOKUP(B5,'Base stats'!B:B,'Base stats'!BI:BI) * 10) * 150 + 0.5 + _xlfn.XLOOKUP(B5,'Base stats'!B:B,'Base stats'!BU:BU), 0.05)</f>
        <v>1.6500000000000001</v>
      </c>
      <c r="G5" s="3">
        <f>IF(Animals!S5="No","No",
IF(_xlfn.XLOOKUP(B5,'Base stats'!B:B,'Base stats'!U:U)="No",
MAX(MROUND(_xlfn.XLOOKUP(B5,'Base stats'!B:B,'Base stats'!BR:BR) * _xlfn.XLOOKUP(B5,'Base stats'!B:B,'Base stats'!BN:BN)^0.9 / 21 * _xlfn.XLOOKUP(B5,'Base stats'!B:B,'Base stats'!BV:BV),0.1),0.05),
MAX(MROUND(((MIN(10,_xlfn.XLOOKUP(B5,'Base stats'!B:B,'Base stats'!U:U)))^0.4*_xlfn.XLOOKUP(B5,'Base stats'!B:B,'Base stats'!BF:BF)^0.73)^0.6 * _xlfn.XLOOKUP(B5,'Base stats'!B:B,'Base stats'!BV:BV),0.1),0.05)
))</f>
        <v>14.5</v>
      </c>
      <c r="H5" s="11">
        <f>IF(G5="No","No",
MAX(0.01,MROUND(_xlfn.XLOOKUP(B5,'Base stats'!B:B,'Base stats'!BF:BF) * 0.01 * 2, 0.01))
)</f>
        <v>3.56</v>
      </c>
      <c r="I5" s="11">
        <f>IF(G5="No","No",IF(_xlfn.XLOOKUP(B5,'Base stats'!B:B,'Base stats'!U:U)="No","No",
MAX(0.01,MROUND(_xlfn.XLOOKUP(B5,'Base stats'!B:B,'Base stats'!BR:BR)/10000,0.01))
))</f>
        <v>0.18</v>
      </c>
      <c r="J5" s="4">
        <f>IF(G5="No","No",
MROUND(_xlfn.XLOOKUP(B5,'Base stats'!B:B,'Base stats'!BC:BC)^0.25
/((_xlfn.XLOOKUP(B5,'Base stats'!B:B,'Base stats'!BJ:BJ))*10)*_xlfn.XLOOKUP(_xlfn.XLOOKUP(B5,'Base stats'!B:B,'Base stats'!E:E),Groups!A:A,Groups!Q:Q)*150 + 0.5 + _xlfn.XLOOKUP(B5,'Base stats'!B:B,'Base stats'!BU:BU),
0.05))</f>
        <v>3.25</v>
      </c>
      <c r="K5" s="3" t="str">
        <f>IF(Animals!X5="No","No",
IF(_xlfn.XLOOKUP(_xlfn.XLOOKUP(B5,'Base stats'!B:B,'Base stats'!E:E),Groups!A:A,Groups!BD:BD)=1,
MAX(MROUND(_xlfn.XLOOKUP(B5,'Base stats'!B:B,'Base stats'!BS:BS) * _xlfn.XLOOKUP(B5,'Base stats'!B:B,'Base stats'!BO:BO)^0.9 / 21 *_xlfn.XLOOKUP(B5,'Base stats'!B:B,'Base stats'!BV:BV),0.1),0.05),
MAX(MROUND(((MIN(10,_xlfn.XLOOKUP(B5,'Base stats'!B:B,'Base stats'!W:W)))^0.4*_xlfn.XLOOKUP(B5,'Base stats'!B:B,'Base stats'!BG:BG)^0.73)^0.6 *_xlfn.XLOOKUP(B5,'Base stats'!B:B,'Base stats'!BV:BV),0.1),0.05)
))</f>
        <v>No</v>
      </c>
      <c r="L5" s="11" t="str">
        <f>IF(K5="No","No",
MAX(0.01,MROUND(_xlfn.XLOOKUP(B5,'Base stats'!B:B,'Base stats'!BG:BG) * 0.01 *2, 0.01))
)</f>
        <v>No</v>
      </c>
      <c r="M5" s="5" t="str">
        <f>IF(K5="No","No",IF(_xlfn.XLOOKUP(_xlfn.XLOOKUP(B5,'Base stats'!B:B,'Base stats'!E:E),Groups!A:A,Groups!BD:BD)=1,"No",
MAX(0.01,MROUND(_xlfn.XLOOKUP(B5,'Base stats'!B:B,'Base stats'!BS:BS)/10000,0.01))
))</f>
        <v>No</v>
      </c>
      <c r="N5" s="4" t="str">
        <f>IF(K5="No","No",
MROUND(
  _xlfn.XLOOKUP(B5,'Base stats'!B:B,'Base stats'!BA:BA)^0.25
  / (_xlfn.XLOOKUP(B5,'Base stats'!B:B,'Base stats'!BK:BK)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stats'!BU:BU),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stats'!BH:BH)^0.73)^0.6 *_xlfn.XLOOKUP(B5,'Base stats'!B:B,'Base stats'!BV:BV),0.1),0.05)
)</f>
        <v>4.7</v>
      </c>
      <c r="P5" s="11">
        <f>IF(O5="No","No",
MAX(0.01,MROUND(_xlfn.XLOOKUP(B5,'Base stats'!B:B,'Base stats'!BH:BH) * 0.01 * 2, 0.01))
)</f>
        <v>0.46</v>
      </c>
      <c r="Q5" s="5">
        <f>IF(O5="No","No",
MAX(0.01,MROUND(_xlfn.XLOOKUP(B5,'Base stats'!B:B,'Base stats'!BT:BT)/10000,0.01))
)</f>
        <v>0.02</v>
      </c>
      <c r="R5" s="4">
        <f>IF(O5="No","No",
MROUND(_xlfn.XLOOKUP(B5,'Base stats'!B:B,'Base stats'!AZ:AZ)^0.25
/((_xlfn.XLOOKUP(B5,'Base stats'!B:B,'Base stats'!BL:BL))*10)*_xlfn.XLOOKUP(_xlfn.XLOOKUP(B5,'Base stats'!B:B,'Base stats'!E:E),Groups!A:A,Groups!Z:Z)*150 + 0.5 + _xlfn.XLOOKUP(B5,'Base stats'!B:B,'Base stats'!BU:BU),
0.05))</f>
        <v>2.5</v>
      </c>
      <c r="S5" s="3" t="str">
        <f>IF(Animals!AI5="No","No",
IF(_xlfn.XLOOKUP(B5,'Base stats'!B:B,'Base stats'!U:U)="No",
MAX(MROUND(_xlfn.XLOOKUP(B5,'Base stats'!B:B,'Base stats'!BR:BR) * _xlfn.XLOOKUP(B5,'Base stats'!B:B,'Base stats'!BN:BN)^0.9 / 21 * _xlfn.XLOOKUP(B5,'Base stats'!B:B,'Base stats'!BV:BV),0.1),0.05),
MAX(MROUND(((MIN(12,_xlfn.XLOOKUP(B5,'Base stats'!B:B,'Base stats'!U:U)))^0.4*_xlfn.XLOOKUP(B5,'Base stats'!B:B,'Base stats'!BF:BF)^0.73)^0.6 * _xlfn.XLOOKUP(B5,'Base stats'!B:B,'Base stats'!BV:BV),0.1),0.05)
))</f>
        <v>No</v>
      </c>
      <c r="T5" s="11" t="str">
        <f>IF(S5="No","No",
MAX(0.01,MROUND(_xlfn.XLOOKUP(B5,'Base stats'!B:B,'Base stats'!BF:BF) * 0.01 * 2, 0.01))
)</f>
        <v>No</v>
      </c>
      <c r="U5" s="5" t="str">
        <f>IF(S5="No","No",IF(_xlfn.XLOOKUP(B5,'Base stats'!B:B,'Base stats'!U:U)="No","No",
MAX(0.01,MROUND(_xlfn.XLOOKUP(B5,'Base stats'!B:B,'Base stats'!BR:BR)/10000,0.01))
))</f>
        <v>No</v>
      </c>
      <c r="V5" s="4" t="str">
        <f>IF(S5="No","No",
MROUND(_xlfn.XLOOKUP(B5,'Base stats'!B:B,'Base stats'!BD:BD)^0.25
/((_xlfn.XLOOKUP(B5,'Base stats'!B:B,'Base stats'!BM:BM))*10)*_xlfn.XLOOKUP(_xlfn.XLOOKUP(B5,'Base stats'!B:B,'Base stats'!E:E),Groups!A:A,Groups!AE:AE)*150 + 0.5 + _xlfn.XLOOKUP(B5,'Base stats'!B:B,'Base stats'!BU:BU),
0.05))</f>
        <v>No</v>
      </c>
      <c r="W5" s="8">
        <f>MROUND(_xlfn.XLOOKUP(_xlfn.XLOOKUP(B5,'Base stats'!B:B,'Base stats'!E:E),Groups!A:A,Groups!BG:BG)*_xlfn.XLOOKUP(B5,'Base stats'!B:B,'Base stats'!C:C)^-0.165,0.01)</f>
        <v>0.46</v>
      </c>
      <c r="X5" s="1">
        <f>MROUND(_xlfn.XLOOKUP(_xlfn.XLOOKUP(B5,'Base stats'!B:B,'Base stats'!E:E),Groups!A:A,Groups!BH:BH)*_xlfn.XLOOKUP(B5,'Base stats'!B:B,'Base stats'!C:C)^0.165,0.01)</f>
        <v>0</v>
      </c>
      <c r="Y5" s="8">
        <f>MROUND(_xlfn.XLOOKUP(_xlfn.XLOOKUP(B5,'Base stats'!B:B,'Base stats'!E:E),Groups!A:A,Groups!BI:BI)*_xlfn.XLOOKUP(B5,'Base stats'!B:B,'Base stats'!C:C)^0.165,0.01)</f>
        <v>0</v>
      </c>
      <c r="Z5" s="18">
        <f>ROUND(_xlfn.XLOOKUP(B5,'Base stats'!B:B,'Base stats'!AO:AO)*_xlfn.XLOOKUP(_xlfn.XLOOKUP(B5,'Base stats'!B:B,'Base stats'!E:E),Groups!A:A,Groups!H:H)/1000,2)</f>
        <v>0</v>
      </c>
      <c r="AA5" s="18">
        <f>ROUND((1/2)*(_xlfn.XLOOKUP(_xlfn.XLOOKUP(B5,'Base stats'!B:B,'Base stats'!E:E),Groups!A:A,Groups!H:H)*_xlfn.XLOOKUP(_xlfn.XLOOKUP(B5,'Base stats'!B:B,'Base stats'!E:E),Groups!A:A,Groups!I:I))*_xlfn.XLOOKUP(B5,'Base stats'!B:B,'Base stats'!AO:AO)*0.01,2)</f>
        <v>0.02</v>
      </c>
      <c r="AB5" s="18">
        <f>250*(Animals!AO5+Animals!AP5)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stats'!BQ:BQ) * (_xlfn.XLOOKUP(B6,'Base stats'!B:B,'Base stats'!AM:AM)*5%)^0.9 / 21,0.1),0.05)</f>
        <v>1.5</v>
      </c>
      <c r="E6" s="11">
        <f>MAX(0.01,MROUND(_xlfn.XLOOKUP(B6,'Base stats'!B:B,'Base stats'!BE:BE) * 0.01 * 2, 0.01))</f>
        <v>1.23</v>
      </c>
      <c r="F6" s="7">
        <f>MROUND(_xlfn.XLOOKUP(B6,'Base stats'!B:B,'Base stats'!BB:BB)^0.25 / (_xlfn.XLOOKUP(B6,'Base stats'!B:B,'Base stats'!BI:BI) * 10) * 150 + 0.5 + _xlfn.XLOOKUP(B6,'Base stats'!B:B,'Base stats'!BU:BU), 0.05)</f>
        <v>1.55</v>
      </c>
      <c r="G6" s="3">
        <f>IF(Animals!S6="No","No",
IF(_xlfn.XLOOKUP(B6,'Base stats'!B:B,'Base stats'!U:U)="No",
MAX(MROUND(_xlfn.XLOOKUP(B6,'Base stats'!B:B,'Base stats'!BR:BR) * _xlfn.XLOOKUP(B6,'Base stats'!B:B,'Base stats'!BN:BN)^0.9 / 21 * _xlfn.XLOOKUP(B6,'Base stats'!B:B,'Base stats'!BV:BV),0.1),0.05),
MAX(MROUND(((MIN(10,_xlfn.XLOOKUP(B6,'Base stats'!B:B,'Base stats'!U:U)))^0.4*_xlfn.XLOOKUP(B6,'Base stats'!B:B,'Base stats'!BF:BF)^0.73)^0.6 * _xlfn.XLOOKUP(B6,'Base stats'!B:B,'Base stats'!BV:BV),0.1),0.05)
))</f>
        <v>11.9</v>
      </c>
      <c r="H6" s="11">
        <f>IF(G6="No","No",
MAX(0.01,MROUND(_xlfn.XLOOKUP(B6,'Base stats'!B:B,'Base stats'!BF:BF) * 0.01 * 2, 0.01))
)</f>
        <v>1.62</v>
      </c>
      <c r="I6" s="11">
        <f>IF(G6="No","No",IF(_xlfn.XLOOKUP(B6,'Base stats'!B:B,'Base stats'!U:U)="No","No",
MAX(0.01,MROUND(_xlfn.XLOOKUP(B6,'Base stats'!B:B,'Base stats'!BR:BR)/10000,0.01))
))</f>
        <v>0.12</v>
      </c>
      <c r="J6" s="4">
        <f>IF(G6="No","No",
MROUND(_xlfn.XLOOKUP(B6,'Base stats'!B:B,'Base stats'!BC:BC)^0.25
/((_xlfn.XLOOKUP(B6,'Base stats'!B:B,'Base stats'!BJ:BJ))*10)*_xlfn.XLOOKUP(_xlfn.XLOOKUP(B6,'Base stats'!B:B,'Base stats'!E:E),Groups!A:A,Groups!Q:Q)*150 + 0.5 + _xlfn.XLOOKUP(B6,'Base stats'!B:B,'Base stats'!BU:BU),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stats'!BS:BS) * _xlfn.XLOOKUP(B6,'Base stats'!B:B,'Base stats'!BO:BO)^0.9 / 21 *_xlfn.XLOOKUP(B6,'Base stats'!B:B,'Base stats'!BV:BV),0.1),0.05),
MAX(MROUND(((MIN(10,_xlfn.XLOOKUP(B6,'Base stats'!B:B,'Base stats'!W:W)))^0.4*_xlfn.XLOOKUP(B6,'Base stats'!B:B,'Base stats'!BG:BG)^0.73)^0.6 *_xlfn.XLOOKUP(B6,'Base stats'!B:B,'Base stats'!BV:BV),0.1),0.05)
))</f>
        <v>No</v>
      </c>
      <c r="L6" s="11" t="str">
        <f>IF(K6="No","No",
MAX(0.01,MROUND(_xlfn.XLOOKUP(B6,'Base stats'!B:B,'Base stats'!BG:BG) * 0.01 *2, 0.01))
)</f>
        <v>No</v>
      </c>
      <c r="M6" s="5" t="str">
        <f>IF(K6="No","No",IF(_xlfn.XLOOKUP(_xlfn.XLOOKUP(B6,'Base stats'!B:B,'Base stats'!E:E),Groups!A:A,Groups!BD:BD)=1,"No",
MAX(0.01,MROUND(_xlfn.XLOOKUP(B6,'Base stats'!B:B,'Base stats'!BS:BS)/10000,0.01))
))</f>
        <v>No</v>
      </c>
      <c r="N6" s="4" t="str">
        <f>IF(K6="No","No",
MROUND(
  _xlfn.XLOOKUP(B6,'Base stats'!B:B,'Base stats'!BA:BA)^0.25
  / (_xlfn.XLOOKUP(B6,'Base stats'!B:B,'Base stats'!BK:BK)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stats'!BU:BU),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stats'!BH:BH)^0.73)^0.6 *_xlfn.XLOOKUP(B6,'Base stats'!B:B,'Base stats'!BV:BV),0.1),0.05)
)</f>
        <v>4.2</v>
      </c>
      <c r="P6" s="11">
        <f>IF(O6="No","No",
MAX(0.01,MROUND(_xlfn.XLOOKUP(B6,'Base stats'!B:B,'Base stats'!BH:BH) * 0.01 * 2, 0.01))
)</f>
        <v>0.23</v>
      </c>
      <c r="Q6" s="5">
        <f>IF(O6="No","No",
MAX(0.01,MROUND(_xlfn.XLOOKUP(B6,'Base stats'!B:B,'Base stats'!BT:BT)/10000,0.01))
)</f>
        <v>0.02</v>
      </c>
      <c r="R6" s="4">
        <f>IF(O6="No","No",
MROUND(_xlfn.XLOOKUP(B6,'Base stats'!B:B,'Base stats'!AZ:AZ)^0.25
/((_xlfn.XLOOKUP(B6,'Base stats'!B:B,'Base stats'!BL:BL))*10)*_xlfn.XLOOKUP(_xlfn.XLOOKUP(B6,'Base stats'!B:B,'Base stats'!E:E),Groups!A:A,Groups!Z:Z)*150 + 0.5 + _xlfn.XLOOKUP(B6,'Base stats'!B:B,'Base stats'!BU:BU),
0.05))</f>
        <v>2.25</v>
      </c>
      <c r="S6" s="3" t="str">
        <f>IF(Animals!AI6="No","No",
IF(_xlfn.XLOOKUP(B6,'Base stats'!B:B,'Base stats'!U:U)="No",
MAX(MROUND(_xlfn.XLOOKUP(B6,'Base stats'!B:B,'Base stats'!BR:BR) * _xlfn.XLOOKUP(B6,'Base stats'!B:B,'Base stats'!BN:BN)^0.9 / 21 * _xlfn.XLOOKUP(B6,'Base stats'!B:B,'Base stats'!BV:BV),0.1),0.05),
MAX(MROUND(((MIN(12,_xlfn.XLOOKUP(B6,'Base stats'!B:B,'Base stats'!U:U)))^0.4*_xlfn.XLOOKUP(B6,'Base stats'!B:B,'Base stats'!BF:BF)^0.73)^0.6 * _xlfn.XLOOKUP(B6,'Base stats'!B:B,'Base stats'!BV:BV),0.1),0.05)
))</f>
        <v>No</v>
      </c>
      <c r="T6" s="11" t="str">
        <f>IF(S6="No","No",
MAX(0.01,MROUND(_xlfn.XLOOKUP(B6,'Base stats'!B:B,'Base stats'!BF:BF) * 0.01 * 2, 0.01))
)</f>
        <v>No</v>
      </c>
      <c r="U6" s="5" t="str">
        <f>IF(S6="No","No",IF(_xlfn.XLOOKUP(B6,'Base stats'!B:B,'Base stats'!U:U)="No","No",
MAX(0.01,MROUND(_xlfn.XLOOKUP(B6,'Base stats'!B:B,'Base stats'!BR:BR)/10000,0.01))
))</f>
        <v>No</v>
      </c>
      <c r="V6" s="4" t="str">
        <f>IF(S6="No","No",
MROUND(_xlfn.XLOOKUP(B6,'Base stats'!B:B,'Base stats'!BD:BD)^0.25
/((_xlfn.XLOOKUP(B6,'Base stats'!B:B,'Base stats'!BM:BM))*10)*_xlfn.XLOOKUP(_xlfn.XLOOKUP(B6,'Base stats'!B:B,'Base stats'!E:E),Groups!A:A,Groups!AE:AE)*150 + 0.5 + _xlfn.XLOOKUP(B6,'Base stats'!B:B,'Base stats'!BU:BU),
0.05))</f>
        <v>No</v>
      </c>
      <c r="W6" s="8">
        <f>MROUND(_xlfn.XLOOKUP(_xlfn.XLOOKUP(B6,'Base stats'!B:B,'Base stats'!E:E),Groups!A:A,Groups!BG:BG)*_xlfn.XLOOKUP(B6,'Base stats'!B:B,'Base stats'!C:C)^-0.165,0.01)</f>
        <v>0.54</v>
      </c>
      <c r="X6" s="1">
        <f>MROUND(_xlfn.XLOOKUP(_xlfn.XLOOKUP(B6,'Base stats'!B:B,'Base stats'!E:E),Groups!A:A,Groups!BH:BH)*_xlfn.XLOOKUP(B6,'Base stats'!B:B,'Base stats'!C:C)^0.165,0.01)</f>
        <v>0</v>
      </c>
      <c r="Y6" s="8">
        <f>MROUND(_xlfn.XLOOKUP(_xlfn.XLOOKUP(B6,'Base stats'!B:B,'Base stats'!E:E),Groups!A:A,Groups!BI:BI)*_xlfn.XLOOKUP(B6,'Base stats'!B:B,'Base stats'!C:C)^0.165,0.01)</f>
        <v>0</v>
      </c>
      <c r="Z6" s="18">
        <f>ROUND(_xlfn.XLOOKUP(B6,'Base stats'!B:B,'Base stats'!AO:AO)*_xlfn.XLOOKUP(_xlfn.XLOOKUP(B6,'Base stats'!B:B,'Base stats'!E:E),Groups!A:A,Groups!H:H)/1000,2)</f>
        <v>0</v>
      </c>
      <c r="AA6" s="18">
        <f>ROUND((1/2)*(_xlfn.XLOOKUP(_xlfn.XLOOKUP(B6,'Base stats'!B:B,'Base stats'!E:E),Groups!A:A,Groups!H:H)*_xlfn.XLOOKUP(_xlfn.XLOOKUP(B6,'Base stats'!B:B,'Base stats'!E:E),Groups!A:A,Groups!I:I))*_xlfn.XLOOKUP(B6,'Base stats'!B:B,'Base stats'!AO:AO)*0.01,2)</f>
        <v>0.01</v>
      </c>
      <c r="AB6" s="18">
        <f>250*(Animals!AO6+Animals!AP6)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stats'!BQ:BQ) * (_xlfn.XLOOKUP(B7,'Base stats'!B:B,'Base stats'!AM:AM)*5%)^0.9 / 21,0.1),0.05)</f>
        <v>1.4000000000000001</v>
      </c>
      <c r="E7" s="11">
        <f>MAX(0.01,MROUND(_xlfn.XLOOKUP(B7,'Base stats'!B:B,'Base stats'!BE:BE) * 0.01 * 2, 0.01))</f>
        <v>1.1000000000000001</v>
      </c>
      <c r="F7" s="7">
        <f>MROUND(_xlfn.XLOOKUP(B7,'Base stats'!B:B,'Base stats'!BB:BB)^0.25 / (_xlfn.XLOOKUP(B7,'Base stats'!B:B,'Base stats'!BI:BI) * 10) * 150 + 0.5 + _xlfn.XLOOKUP(B7,'Base stats'!B:B,'Base stats'!BU:BU), 0.05)</f>
        <v>1.5</v>
      </c>
      <c r="G7" s="3">
        <f>IF(Animals!S7="No","No",
IF(_xlfn.XLOOKUP(B7,'Base stats'!B:B,'Base stats'!U:U)="No",
MAX(MROUND(_xlfn.XLOOKUP(B7,'Base stats'!B:B,'Base stats'!BR:BR) * _xlfn.XLOOKUP(B7,'Base stats'!B:B,'Base stats'!BN:BN)^0.9 / 21 * _xlfn.XLOOKUP(B7,'Base stats'!B:B,'Base stats'!BV:BV),0.1),0.05),
MAX(MROUND(((MIN(10,_xlfn.XLOOKUP(B7,'Base stats'!B:B,'Base stats'!U:U)))^0.4*_xlfn.XLOOKUP(B7,'Base stats'!B:B,'Base stats'!BF:BF)^0.73)^0.6 * _xlfn.XLOOKUP(B7,'Base stats'!B:B,'Base stats'!BV:BV),0.1),0.05)
))</f>
        <v>8.2000000000000011</v>
      </c>
      <c r="H7" s="11">
        <f>IF(G7="No","No",
MAX(0.01,MROUND(_xlfn.XLOOKUP(B7,'Base stats'!B:B,'Base stats'!BF:BF) * 0.01 * 2, 0.01))
)</f>
        <v>1.46</v>
      </c>
      <c r="I7" s="11">
        <f>IF(G7="No","No",IF(_xlfn.XLOOKUP(B7,'Base stats'!B:B,'Base stats'!U:U)="No","No",
MAX(0.01,MROUND(_xlfn.XLOOKUP(B7,'Base stats'!B:B,'Base stats'!BR:BR)/10000,0.01))
))</f>
        <v>0.11</v>
      </c>
      <c r="J7" s="4">
        <f>IF(G7="No","No",
MROUND(_xlfn.XLOOKUP(B7,'Base stats'!B:B,'Base stats'!BC:BC)^0.25
/((_xlfn.XLOOKUP(B7,'Base stats'!B:B,'Base stats'!BJ:BJ))*10)*_xlfn.XLOOKUP(_xlfn.XLOOKUP(B7,'Base stats'!B:B,'Base stats'!E:E),Groups!A:A,Groups!Q:Q)*150 + 0.5 + _xlfn.XLOOKUP(B7,'Base stats'!B:B,'Base stats'!BU:BU),
0.05))</f>
        <v>2.75</v>
      </c>
      <c r="K7" s="3" t="str">
        <f>IF(Animals!X7="No","No",
IF(_xlfn.XLOOKUP(_xlfn.XLOOKUP(B7,'Base stats'!B:B,'Base stats'!E:E),Groups!A:A,Groups!BD:BD)=1,
MAX(MROUND(_xlfn.XLOOKUP(B7,'Base stats'!B:B,'Base stats'!BS:BS) * _xlfn.XLOOKUP(B7,'Base stats'!B:B,'Base stats'!BO:BO)^0.9 / 21 *_xlfn.XLOOKUP(B7,'Base stats'!B:B,'Base stats'!BV:BV),0.1),0.05),
MAX(MROUND(((MIN(10,_xlfn.XLOOKUP(B7,'Base stats'!B:B,'Base stats'!W:W)))^0.4*_xlfn.XLOOKUP(B7,'Base stats'!B:B,'Base stats'!BG:BG)^0.73)^0.6 *_xlfn.XLOOKUP(B7,'Base stats'!B:B,'Base stats'!BV:BV),0.1),0.05)
))</f>
        <v>No</v>
      </c>
      <c r="L7" s="11" t="str">
        <f>IF(K7="No","No",
MAX(0.01,MROUND(_xlfn.XLOOKUP(B7,'Base stats'!B:B,'Base stats'!BG:BG) * 0.01 *2, 0.01))
)</f>
        <v>No</v>
      </c>
      <c r="M7" s="5" t="str">
        <f>IF(K7="No","No",IF(_xlfn.XLOOKUP(_xlfn.XLOOKUP(B7,'Base stats'!B:B,'Base stats'!E:E),Groups!A:A,Groups!BD:BD)=1,"No",
MAX(0.01,MROUND(_xlfn.XLOOKUP(B7,'Base stats'!B:B,'Base stats'!BS:BS)/10000,0.01))
))</f>
        <v>No</v>
      </c>
      <c r="N7" s="4" t="str">
        <f>IF(K7="No","No",
MROUND(
  _xlfn.XLOOKUP(B7,'Base stats'!B:B,'Base stats'!BA:BA)^0.25
  / (_xlfn.XLOOKUP(B7,'Base stats'!B:B,'Base stats'!BK:BK)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stats'!BU:BU),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stats'!BH:BH)^0.73)^0.6 *_xlfn.XLOOKUP(B7,'Base stats'!B:B,'Base stats'!BV:BV),0.1),0.05)
)</f>
        <v>3.3000000000000003</v>
      </c>
      <c r="P7" s="11">
        <f>IF(O7="No","No",
MAX(0.01,MROUND(_xlfn.XLOOKUP(B7,'Base stats'!B:B,'Base stats'!BH:BH) * 0.01 * 2, 0.01))
)</f>
        <v>0.21</v>
      </c>
      <c r="Q7" s="5">
        <f>IF(O7="No","No",
MAX(0.01,MROUND(_xlfn.XLOOKUP(B7,'Base stats'!B:B,'Base stats'!BT:BT)/10000,0.01))
)</f>
        <v>0.02</v>
      </c>
      <c r="R7" s="4">
        <f>IF(O7="No","No",
MROUND(_xlfn.XLOOKUP(B7,'Base stats'!B:B,'Base stats'!AZ:AZ)^0.25
/((_xlfn.XLOOKUP(B7,'Base stats'!B:B,'Base stats'!BL:BL))*10)*_xlfn.XLOOKUP(_xlfn.XLOOKUP(B7,'Base stats'!B:B,'Base stats'!E:E),Groups!A:A,Groups!Z:Z)*150 + 0.5 + _xlfn.XLOOKUP(B7,'Base stats'!B:B,'Base stats'!BU:BU),
0.05))</f>
        <v>2.2000000000000002</v>
      </c>
      <c r="S7" s="3" t="str">
        <f>IF(Animals!AI7="No","No",
IF(_xlfn.XLOOKUP(B7,'Base stats'!B:B,'Base stats'!U:U)="No",
MAX(MROUND(_xlfn.XLOOKUP(B7,'Base stats'!B:B,'Base stats'!BR:BR) * _xlfn.XLOOKUP(B7,'Base stats'!B:B,'Base stats'!BN:BN)^0.9 / 21 * _xlfn.XLOOKUP(B7,'Base stats'!B:B,'Base stats'!BV:BV),0.1),0.05),
MAX(MROUND(((MIN(12,_xlfn.XLOOKUP(B7,'Base stats'!B:B,'Base stats'!U:U)))^0.4*_xlfn.XLOOKUP(B7,'Base stats'!B:B,'Base stats'!BF:BF)^0.73)^0.6 * _xlfn.XLOOKUP(B7,'Base stats'!B:B,'Base stats'!BV:BV),0.1),0.05)
))</f>
        <v>No</v>
      </c>
      <c r="T7" s="11" t="str">
        <f>IF(S7="No","No",
MAX(0.01,MROUND(_xlfn.XLOOKUP(B7,'Base stats'!B:B,'Base stats'!BF:BF) * 0.01 * 2, 0.01))
)</f>
        <v>No</v>
      </c>
      <c r="U7" s="5" t="str">
        <f>IF(S7="No","No",IF(_xlfn.XLOOKUP(B7,'Base stats'!B:B,'Base stats'!U:U)="No","No",
MAX(0.01,MROUND(_xlfn.XLOOKUP(B7,'Base stats'!B:B,'Base stats'!BR:BR)/10000,0.01))
))</f>
        <v>No</v>
      </c>
      <c r="V7" s="4" t="str">
        <f>IF(S7="No","No",
MROUND(_xlfn.XLOOKUP(B7,'Base stats'!B:B,'Base stats'!BD:BD)^0.25
/((_xlfn.XLOOKUP(B7,'Base stats'!B:B,'Base stats'!BM:BM))*10)*_xlfn.XLOOKUP(_xlfn.XLOOKUP(B7,'Base stats'!B:B,'Base stats'!E:E),Groups!A:A,Groups!AE:AE)*150 + 0.5 + _xlfn.XLOOKUP(B7,'Base stats'!B:B,'Base stats'!BU:BU),
0.05))</f>
        <v>No</v>
      </c>
      <c r="W7" s="8">
        <f>MROUND(_xlfn.XLOOKUP(_xlfn.XLOOKUP(B7,'Base stats'!B:B,'Base stats'!E:E),Groups!A:A,Groups!BG:BG)*_xlfn.XLOOKUP(B7,'Base stats'!B:B,'Base stats'!C:C)^-0.165,0.01)</f>
        <v>0.55000000000000004</v>
      </c>
      <c r="X7" s="1">
        <f>MROUND(_xlfn.XLOOKUP(_xlfn.XLOOKUP(B7,'Base stats'!B:B,'Base stats'!E:E),Groups!A:A,Groups!BH:BH)*_xlfn.XLOOKUP(B7,'Base stats'!B:B,'Base stats'!C:C)^0.165,0.01)</f>
        <v>0</v>
      </c>
      <c r="Y7" s="8">
        <f>MROUND(_xlfn.XLOOKUP(_xlfn.XLOOKUP(B7,'Base stats'!B:B,'Base stats'!E:E),Groups!A:A,Groups!BI:BI)*_xlfn.XLOOKUP(B7,'Base stats'!B:B,'Base stats'!C:C)^0.165,0.01)</f>
        <v>0</v>
      </c>
      <c r="Z7" s="18">
        <f>ROUND(_xlfn.XLOOKUP(B7,'Base stats'!B:B,'Base stats'!AO:AO)*_xlfn.XLOOKUP(_xlfn.XLOOKUP(B7,'Base stats'!B:B,'Base stats'!E:E),Groups!A:A,Groups!H:H)/1000,2)</f>
        <v>0</v>
      </c>
      <c r="AA7" s="18">
        <f>ROUND((1/2)*(_xlfn.XLOOKUP(_xlfn.XLOOKUP(B7,'Base stats'!B:B,'Base stats'!E:E),Groups!A:A,Groups!H:H)*_xlfn.XLOOKUP(_xlfn.XLOOKUP(B7,'Base stats'!B:B,'Base stats'!E:E),Groups!A:A,Groups!I:I))*_xlfn.XLOOKUP(B7,'Base stats'!B:B,'Base stats'!AO:AO)*0.01,2)</f>
        <v>0.01</v>
      </c>
      <c r="AB7" s="18">
        <f>250*(Animals!AO7+Animals!AP7)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stats'!BQ:BQ) * (_xlfn.XLOOKUP(B8,'Base stats'!B:B,'Base stats'!AM:AM)*5%)^0.9 / 21,0.1),0.05)</f>
        <v>0.30000000000000004</v>
      </c>
      <c r="E8" s="11">
        <f>MAX(0.01,MROUND(_xlfn.XLOOKUP(B8,'Base stats'!B:B,'Base stats'!BE:BE) * 0.01 * 2, 0.01))</f>
        <v>0.2</v>
      </c>
      <c r="F8" s="7">
        <f>MROUND(_xlfn.XLOOKUP(B8,'Base stats'!B:B,'Base stats'!BB:BB)^0.25 / (_xlfn.XLOOKUP(B8,'Base stats'!B:B,'Base stats'!BI:BI) * 10) * 150 + 0.5 + _xlfn.XLOOKUP(B8,'Base stats'!B:B,'Base stats'!BU:BU), 0.05)</f>
        <v>1.35</v>
      </c>
      <c r="G8" s="3">
        <f>IF(Animals!S8="No","No",
IF(_xlfn.XLOOKUP(B8,'Base stats'!B:B,'Base stats'!U:U)="No",
MAX(MROUND(_xlfn.XLOOKUP(B8,'Base stats'!B:B,'Base stats'!BR:BR) * _xlfn.XLOOKUP(B8,'Base stats'!B:B,'Base stats'!BN:BN)^0.9 / 21 * _xlfn.XLOOKUP(B8,'Base stats'!B:B,'Base stats'!BV:BV),0.1),0.05),
MAX(MROUND(((MIN(10,_xlfn.XLOOKUP(B8,'Base stats'!B:B,'Base stats'!U:U)))^0.4*_xlfn.XLOOKUP(B8,'Base stats'!B:B,'Base stats'!BF:BF)^0.73)^0.6 * _xlfn.XLOOKUP(B8,'Base stats'!B:B,'Base stats'!BV:BV),0.1),0.05)
))</f>
        <v>4.5</v>
      </c>
      <c r="H8" s="11">
        <f>IF(G8="No","No",
MAX(0.01,MROUND(_xlfn.XLOOKUP(B8,'Base stats'!B:B,'Base stats'!BF:BF) * 0.01 * 2, 0.01))
)</f>
        <v>0.3</v>
      </c>
      <c r="I8" s="11">
        <f>IF(G8="No","No",IF(_xlfn.XLOOKUP(B8,'Base stats'!B:B,'Base stats'!U:U)="No","No",
MAX(0.01,MROUND(_xlfn.XLOOKUP(B8,'Base stats'!B:B,'Base stats'!BR:BR)/10000,0.01))
))</f>
        <v>0.05</v>
      </c>
      <c r="J8" s="4">
        <f>IF(G8="No","No",
MROUND(_xlfn.XLOOKUP(B8,'Base stats'!B:B,'Base stats'!BC:BC)^0.25
/((_xlfn.XLOOKUP(B8,'Base stats'!B:B,'Base stats'!BJ:BJ))*10)*_xlfn.XLOOKUP(_xlfn.XLOOKUP(B8,'Base stats'!B:B,'Base stats'!E:E),Groups!A:A,Groups!Q:Q)*150 + 0.5 + _xlfn.XLOOKUP(B8,'Base stats'!B:B,'Base stats'!BU:BU),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stats'!BS:BS) * _xlfn.XLOOKUP(B8,'Base stats'!B:B,'Base stats'!BO:BO)^0.9 / 21 *_xlfn.XLOOKUP(B8,'Base stats'!B:B,'Base stats'!BV:BV),0.1),0.05),
MAX(MROUND(((MIN(10,_xlfn.XLOOKUP(B8,'Base stats'!B:B,'Base stats'!W:W)))^0.4*_xlfn.XLOOKUP(B8,'Base stats'!B:B,'Base stats'!BG:BG)^0.73)^0.6 *_xlfn.XLOOKUP(B8,'Base stats'!B:B,'Base stats'!BV:BV),0.1),0.05)
))</f>
        <v>No</v>
      </c>
      <c r="L8" s="11" t="str">
        <f>IF(K8="No","No",
MAX(0.01,MROUND(_xlfn.XLOOKUP(B8,'Base stats'!B:B,'Base stats'!BG:BG) * 0.01 *2, 0.01))
)</f>
        <v>No</v>
      </c>
      <c r="M8" s="5" t="str">
        <f>IF(K8="No","No",IF(_xlfn.XLOOKUP(_xlfn.XLOOKUP(B8,'Base stats'!B:B,'Base stats'!E:E),Groups!A:A,Groups!BD:BD)=1,"No",
MAX(0.01,MROUND(_xlfn.XLOOKUP(B8,'Base stats'!B:B,'Base stats'!BS:BS)/10000,0.01))
))</f>
        <v>No</v>
      </c>
      <c r="N8" s="4" t="str">
        <f>IF(K8="No","No",
MROUND(
  _xlfn.XLOOKUP(B8,'Base stats'!B:B,'Base stats'!BA:BA)^0.25
  / (_xlfn.XLOOKUP(B8,'Base stats'!B:B,'Base stats'!BK:BK)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stats'!BU:BU),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stats'!BH:BH)^0.73)^0.6 *_xlfn.XLOOKUP(B8,'Base stats'!B:B,'Base stats'!BV:BV),0.1),0.05)
)</f>
        <v>1.8</v>
      </c>
      <c r="P8" s="11">
        <f>IF(O8="No","No",
MAX(0.01,MROUND(_xlfn.XLOOKUP(B8,'Base stats'!B:B,'Base stats'!BH:BH) * 0.01 * 2, 0.01))
)</f>
        <v>0.05</v>
      </c>
      <c r="Q8" s="5">
        <f>IF(O8="No","No",
MAX(0.01,MROUND(_xlfn.XLOOKUP(B8,'Base stats'!B:B,'Base stats'!BT:BT)/10000,0.01))
)</f>
        <v>0.01</v>
      </c>
      <c r="R8" s="4">
        <f>IF(O8="No","No",
MROUND(_xlfn.XLOOKUP(B8,'Base stats'!B:B,'Base stats'!AZ:AZ)^0.25
/((_xlfn.XLOOKUP(B8,'Base stats'!B:B,'Base stats'!BL:BL))*10)*_xlfn.XLOOKUP(_xlfn.XLOOKUP(B8,'Base stats'!B:B,'Base stats'!E:E),Groups!A:A,Groups!Z:Z)*150 + 0.5 + _xlfn.XLOOKUP(B8,'Base stats'!B:B,'Base stats'!BU:BU),
0.05))</f>
        <v>2</v>
      </c>
      <c r="S8" s="3" t="str">
        <f>IF(Animals!AI8="No","No",
IF(_xlfn.XLOOKUP(B8,'Base stats'!B:B,'Base stats'!U:U)="No",
MAX(MROUND(_xlfn.XLOOKUP(B8,'Base stats'!B:B,'Base stats'!BR:BR) * _xlfn.XLOOKUP(B8,'Base stats'!B:B,'Base stats'!BN:BN)^0.9 / 21 * _xlfn.XLOOKUP(B8,'Base stats'!B:B,'Base stats'!BV:BV),0.1),0.05),
MAX(MROUND(((MIN(12,_xlfn.XLOOKUP(B8,'Base stats'!B:B,'Base stats'!U:U)))^0.4*_xlfn.XLOOKUP(B8,'Base stats'!B:B,'Base stats'!BF:BF)^0.73)^0.6 * _xlfn.XLOOKUP(B8,'Base stats'!B:B,'Base stats'!BV:BV),0.1),0.05)
))</f>
        <v>No</v>
      </c>
      <c r="T8" s="11" t="str">
        <f>IF(S8="No","No",
MAX(0.01,MROUND(_xlfn.XLOOKUP(B8,'Base stats'!B:B,'Base stats'!BF:BF) * 0.01 * 2, 0.01))
)</f>
        <v>No</v>
      </c>
      <c r="U8" s="5" t="str">
        <f>IF(S8="No","No",IF(_xlfn.XLOOKUP(B8,'Base stats'!B:B,'Base stats'!U:U)="No","No",
MAX(0.01,MROUND(_xlfn.XLOOKUP(B8,'Base stats'!B:B,'Base stats'!BR:BR)/10000,0.01))
))</f>
        <v>No</v>
      </c>
      <c r="V8" s="4" t="str">
        <f>IF(S8="No","No",
MROUND(_xlfn.XLOOKUP(B8,'Base stats'!B:B,'Base stats'!BD:BD)^0.25
/((_xlfn.XLOOKUP(B8,'Base stats'!B:B,'Base stats'!BM:BM))*10)*_xlfn.XLOOKUP(_xlfn.XLOOKUP(B8,'Base stats'!B:B,'Base stats'!E:E),Groups!A:A,Groups!AE:AE)*150 + 0.5 + _xlfn.XLOOKUP(B8,'Base stats'!B:B,'Base stats'!BU:BU),
0.05))</f>
        <v>No</v>
      </c>
      <c r="W8" s="8">
        <f>MROUND(_xlfn.XLOOKUP(_xlfn.XLOOKUP(B8,'Base stats'!B:B,'Base stats'!E:E),Groups!A:A,Groups!BG:BG)*_xlfn.XLOOKUP(B8,'Base stats'!B:B,'Base stats'!C:C)^-0.165,0.01)</f>
        <v>0.74</v>
      </c>
      <c r="X8" s="1">
        <f>MROUND(_xlfn.XLOOKUP(_xlfn.XLOOKUP(B8,'Base stats'!B:B,'Base stats'!E:E),Groups!A:A,Groups!BH:BH)*_xlfn.XLOOKUP(B8,'Base stats'!B:B,'Base stats'!C:C)^0.165,0.01)</f>
        <v>0</v>
      </c>
      <c r="Y8" s="8">
        <f>MROUND(_xlfn.XLOOKUP(_xlfn.XLOOKUP(B8,'Base stats'!B:B,'Base stats'!E:E),Groups!A:A,Groups!BI:BI)*_xlfn.XLOOKUP(B8,'Base stats'!B:B,'Base stats'!C:C)^0.165,0.01)</f>
        <v>0</v>
      </c>
      <c r="Z8" s="18">
        <f>ROUND(_xlfn.XLOOKUP(B8,'Base stats'!B:B,'Base stats'!AO:AO)*_xlfn.XLOOKUP(_xlfn.XLOOKUP(B8,'Base stats'!B:B,'Base stats'!E:E),Groups!A:A,Groups!H:H)/1000,2)</f>
        <v>0</v>
      </c>
      <c r="AA8" s="18">
        <f>ROUND((1/2)*(_xlfn.XLOOKUP(_xlfn.XLOOKUP(B8,'Base stats'!B:B,'Base stats'!E:E),Groups!A:A,Groups!H:H)*_xlfn.XLOOKUP(_xlfn.XLOOKUP(B8,'Base stats'!B:B,'Base stats'!E:E),Groups!A:A,Groups!I:I))*_xlfn.XLOOKUP(B8,'Base stats'!B:B,'Base stats'!AO:AO)*0.01,2)</f>
        <v>0.01</v>
      </c>
      <c r="AB8" s="18">
        <f>250*(Animals!AO8+Animals!AP8)</f>
        <v>175.00000000000003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stats'!BQ:BQ) * (_xlfn.XLOOKUP(B9,'Base stats'!B:B,'Base stats'!AM:AM)*5%)^0.9 / 21,0.1),0.05)</f>
        <v>0.30000000000000004</v>
      </c>
      <c r="E9" s="11">
        <f>MAX(0.01,MROUND(_xlfn.XLOOKUP(B9,'Base stats'!B:B,'Base stats'!BE:BE) * 0.01 * 2, 0.01))</f>
        <v>0.23</v>
      </c>
      <c r="F9" s="7">
        <f>MROUND(_xlfn.XLOOKUP(B9,'Base stats'!B:B,'Base stats'!BB:BB)^0.25 / (_xlfn.XLOOKUP(B9,'Base stats'!B:B,'Base stats'!BI:BI) * 10) * 150 + 0.5 + _xlfn.XLOOKUP(B9,'Base stats'!B:B,'Base stats'!BU:BU), 0.05)</f>
        <v>1.4000000000000001</v>
      </c>
      <c r="G9" s="3" t="str">
        <f>IF(Animals!S9="No","No",
IF(_xlfn.XLOOKUP(B9,'Base stats'!B:B,'Base stats'!U:U)="No",
MAX(MROUND(_xlfn.XLOOKUP(B9,'Base stats'!B:B,'Base stats'!BR:BR) * _xlfn.XLOOKUP(B9,'Base stats'!B:B,'Base stats'!BN:BN)^0.9 / 21 * _xlfn.XLOOKUP(B9,'Base stats'!B:B,'Base stats'!BV:BV),0.1),0.05),
MAX(MROUND(((MIN(10,_xlfn.XLOOKUP(B9,'Base stats'!B:B,'Base stats'!U:U)))^0.4*_xlfn.XLOOKUP(B9,'Base stats'!B:B,'Base stats'!BF:BF)^0.73)^0.6 * _xlfn.XLOOKUP(B9,'Base stats'!B:B,'Base stats'!BV:BV),0.1),0.05)
))</f>
        <v>No</v>
      </c>
      <c r="H9" s="11" t="str">
        <f>IF(G9="No","No",
MAX(0.01,MROUND(_xlfn.XLOOKUP(B9,'Base stats'!B:B,'Base stats'!BF:BF) * 0.01 * 2, 0.01))
)</f>
        <v>No</v>
      </c>
      <c r="I9" s="11" t="str">
        <f>IF(G9="No","No",IF(_xlfn.XLOOKUP(B9,'Base stats'!B:B,'Base stats'!U:U)="No","No",
MAX(0.01,MROUND(_xlfn.XLOOKUP(B9,'Base stats'!B:B,'Base stats'!BR:BR)/10000,0.01))
))</f>
        <v>No</v>
      </c>
      <c r="J9" s="4" t="str">
        <f>IF(G9="No","No",
MROUND(_xlfn.XLOOKUP(B9,'Base stats'!B:B,'Base stats'!BC:BC)^0.25
/((_xlfn.XLOOKUP(B9,'Base stats'!B:B,'Base stats'!BJ:BJ))*10)*_xlfn.XLOOKUP(_xlfn.XLOOKUP(B9,'Base stats'!B:B,'Base stats'!E:E),Groups!A:A,Groups!Q:Q)*150 + 0.5 + _xlfn.XLOOKUP(B9,'Base stats'!B:B,'Base stats'!BU:BU),
0.05))</f>
        <v>No</v>
      </c>
      <c r="K9" s="3" t="str">
        <f>IF(Animals!X9="No","No",
IF(_xlfn.XLOOKUP(_xlfn.XLOOKUP(B9,'Base stats'!B:B,'Base stats'!E:E),Groups!A:A,Groups!BD:BD)=1,
MAX(MROUND(_xlfn.XLOOKUP(B9,'Base stats'!B:B,'Base stats'!BS:BS) * _xlfn.XLOOKUP(B9,'Base stats'!B:B,'Base stats'!BO:BO)^0.9 / 21 *_xlfn.XLOOKUP(B9,'Base stats'!B:B,'Base stats'!BV:BV),0.1),0.05),
MAX(MROUND(((MIN(10,_xlfn.XLOOKUP(B9,'Base stats'!B:B,'Base stats'!W:W)))^0.4*_xlfn.XLOOKUP(B9,'Base stats'!B:B,'Base stats'!BG:BG)^0.73)^0.6 *_xlfn.XLOOKUP(B9,'Base stats'!B:B,'Base stats'!BV:BV),0.1),0.05)
))</f>
        <v>No</v>
      </c>
      <c r="L9" s="11" t="str">
        <f>IF(K9="No","No",
MAX(0.01,MROUND(_xlfn.XLOOKUP(B9,'Base stats'!B:B,'Base stats'!BG:BG) * 0.01 *2, 0.01))
)</f>
        <v>No</v>
      </c>
      <c r="M9" s="5" t="str">
        <f>IF(K9="No","No",IF(_xlfn.XLOOKUP(_xlfn.XLOOKUP(B9,'Base stats'!B:B,'Base stats'!E:E),Groups!A:A,Groups!BD:BD)=1,"No",
MAX(0.01,MROUND(_xlfn.XLOOKUP(B9,'Base stats'!B:B,'Base stats'!BS:BS)/10000,0.01))
))</f>
        <v>No</v>
      </c>
      <c r="N9" s="4" t="str">
        <f>IF(K9="No","No",
MROUND(
  _xlfn.XLOOKUP(B9,'Base stats'!B:B,'Base stats'!BA:BA)^0.25
  / (_xlfn.XLOOKUP(B9,'Base stats'!B:B,'Base stats'!BK:BK)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stats'!BU:BU),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stats'!BH:BH)^0.73)^0.6 *_xlfn.XLOOKUP(B9,'Base stats'!B:B,'Base stats'!BV:BV),0.1),0.05)
)</f>
        <v>1.9000000000000001</v>
      </c>
      <c r="P9" s="11">
        <f>IF(O9="No","No",
MAX(0.01,MROUND(_xlfn.XLOOKUP(B9,'Base stats'!B:B,'Base stats'!BH:BH) * 0.01 * 2, 0.01))
)</f>
        <v>0.06</v>
      </c>
      <c r="Q9" s="5">
        <f>IF(O9="No","No",
MAX(0.01,MROUND(_xlfn.XLOOKUP(B9,'Base stats'!B:B,'Base stats'!BT:BT)/10000,0.01))
)</f>
        <v>0.01</v>
      </c>
      <c r="R9" s="4">
        <f>IF(O9="No","No",
MROUND(_xlfn.XLOOKUP(B9,'Base stats'!B:B,'Base stats'!AZ:AZ)^0.25
/((_xlfn.XLOOKUP(B9,'Base stats'!B:B,'Base stats'!BL:BL))*10)*_xlfn.XLOOKUP(_xlfn.XLOOKUP(B9,'Base stats'!B:B,'Base stats'!E:E),Groups!A:A,Groups!Z:Z)*150 + 0.5 + _xlfn.XLOOKUP(B9,'Base stats'!B:B,'Base stats'!BU:BU),
0.05))</f>
        <v>1.75</v>
      </c>
      <c r="S9" s="3" t="str">
        <f>IF(Animals!AI9="No","No",
IF(_xlfn.XLOOKUP(B9,'Base stats'!B:B,'Base stats'!U:U)="No",
MAX(MROUND(_xlfn.XLOOKUP(B9,'Base stats'!B:B,'Base stats'!BR:BR) * _xlfn.XLOOKUP(B9,'Base stats'!B:B,'Base stats'!BN:BN)^0.9 / 21 * _xlfn.XLOOKUP(B9,'Base stats'!B:B,'Base stats'!BV:BV),0.1),0.05),
MAX(MROUND(((MIN(12,_xlfn.XLOOKUP(B9,'Base stats'!B:B,'Base stats'!U:U)))^0.4*_xlfn.XLOOKUP(B9,'Base stats'!B:B,'Base stats'!BF:BF)^0.73)^0.6 * _xlfn.XLOOKUP(B9,'Base stats'!B:B,'Base stats'!BV:BV),0.1),0.05)
))</f>
        <v>No</v>
      </c>
      <c r="T9" s="11" t="str">
        <f>IF(S9="No","No",
MAX(0.01,MROUND(_xlfn.XLOOKUP(B9,'Base stats'!B:B,'Base stats'!BF:BF) * 0.01 * 2, 0.01))
)</f>
        <v>No</v>
      </c>
      <c r="U9" s="5" t="str">
        <f>IF(S9="No","No",IF(_xlfn.XLOOKUP(B9,'Base stats'!B:B,'Base stats'!U:U)="No","No",
MAX(0.01,MROUND(_xlfn.XLOOKUP(B9,'Base stats'!B:B,'Base stats'!BR:BR)/10000,0.01))
))</f>
        <v>No</v>
      </c>
      <c r="V9" s="4" t="str">
        <f>IF(S9="No","No",
MROUND(_xlfn.XLOOKUP(B9,'Base stats'!B:B,'Base stats'!BD:BD)^0.25
/((_xlfn.XLOOKUP(B9,'Base stats'!B:B,'Base stats'!BM:BM))*10)*_xlfn.XLOOKUP(_xlfn.XLOOKUP(B9,'Base stats'!B:B,'Base stats'!E:E),Groups!A:A,Groups!AE:AE)*150 + 0.5 + _xlfn.XLOOKUP(B9,'Base stats'!B:B,'Base stats'!BU:BU),
0.05))</f>
        <v>No</v>
      </c>
      <c r="W9" s="8">
        <f>MROUND(_xlfn.XLOOKUP(_xlfn.XLOOKUP(B9,'Base stats'!B:B,'Base stats'!E:E),Groups!A:A,Groups!BG:BG)*_xlfn.XLOOKUP(B9,'Base stats'!B:B,'Base stats'!C:C)^-0.165,0.01)</f>
        <v>0.73</v>
      </c>
      <c r="X9" s="1">
        <f>MROUND(_xlfn.XLOOKUP(_xlfn.XLOOKUP(B9,'Base stats'!B:B,'Base stats'!E:E),Groups!A:A,Groups!BH:BH)*_xlfn.XLOOKUP(B9,'Base stats'!B:B,'Base stats'!C:C)^0.165,0.01)</f>
        <v>0</v>
      </c>
      <c r="Y9" s="8">
        <f>MROUND(_xlfn.XLOOKUP(_xlfn.XLOOKUP(B9,'Base stats'!B:B,'Base stats'!E:E),Groups!A:A,Groups!BI:BI)*_xlfn.XLOOKUP(B9,'Base stats'!B:B,'Base stats'!C:C)^0.165,0.01)</f>
        <v>0</v>
      </c>
      <c r="Z9" s="18">
        <f>ROUND(_xlfn.XLOOKUP(B9,'Base stats'!B:B,'Base stats'!AO:AO)*_xlfn.XLOOKUP(_xlfn.XLOOKUP(B9,'Base stats'!B:B,'Base stats'!E:E),Groups!A:A,Groups!H:H)/1000,2)</f>
        <v>0</v>
      </c>
      <c r="AA9" s="18">
        <f>ROUND((1/2)*(_xlfn.XLOOKUP(_xlfn.XLOOKUP(B9,'Base stats'!B:B,'Base stats'!E:E),Groups!A:A,Groups!H:H)*_xlfn.XLOOKUP(_xlfn.XLOOKUP(B9,'Base stats'!B:B,'Base stats'!E:E),Groups!A:A,Groups!I:I))*_xlfn.XLOOKUP(B9,'Base stats'!B:B,'Base stats'!AO:AO)*0.01,2)</f>
        <v>0.01</v>
      </c>
      <c r="AB9" s="18">
        <f>250*(Animals!AO9+Animals!AP9)</f>
        <v>175.00000000000003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stats'!BQ:BQ) * (_xlfn.XLOOKUP(B10,'Base stats'!B:B,'Base stats'!AM:AM)*5%)^0.9 / 21,0.1),0.05)</f>
        <v>0.1</v>
      </c>
      <c r="E10" s="11">
        <f>MAX(0.01,MROUND(_xlfn.XLOOKUP(B10,'Base stats'!B:B,'Base stats'!BE:BE) * 0.01 * 2, 0.01))</f>
        <v>0.04</v>
      </c>
      <c r="F10" s="7">
        <f>MROUND(_xlfn.XLOOKUP(B10,'Base stats'!B:B,'Base stats'!BB:BB)^0.25 / (_xlfn.XLOOKUP(B10,'Base stats'!B:B,'Base stats'!BI:BI) * 10) * 150 + 0.5 + _xlfn.XLOOKUP(B10,'Base stats'!B:B,'Base stats'!BU:BU), 0.05)</f>
        <v>1.1500000000000001</v>
      </c>
      <c r="G10" s="3" t="str">
        <f>IF(Animals!S10="No","No",
IF(_xlfn.XLOOKUP(B10,'Base stats'!B:B,'Base stats'!U:U)="No",
MAX(MROUND(_xlfn.XLOOKUP(B10,'Base stats'!B:B,'Base stats'!BR:BR) * _xlfn.XLOOKUP(B10,'Base stats'!B:B,'Base stats'!BN:BN)^0.9 / 21 * _xlfn.XLOOKUP(B10,'Base stats'!B:B,'Base stats'!BV:BV),0.1),0.05),
MAX(MROUND(((MIN(10,_xlfn.XLOOKUP(B10,'Base stats'!B:B,'Base stats'!U:U)))^0.4*_xlfn.XLOOKUP(B10,'Base stats'!B:B,'Base stats'!BF:BF)^0.73)^0.6 * _xlfn.XLOOKUP(B10,'Base stats'!B:B,'Base stats'!BV:BV),0.1),0.05)
))</f>
        <v>No</v>
      </c>
      <c r="H10" s="11" t="str">
        <f>IF(G10="No","No",
MAX(0.01,MROUND(_xlfn.XLOOKUP(B10,'Base stats'!B:B,'Base stats'!BF:BF) * 0.01 * 2, 0.01))
)</f>
        <v>No</v>
      </c>
      <c r="I10" s="11" t="str">
        <f>IF(G10="No","No",IF(_xlfn.XLOOKUP(B10,'Base stats'!B:B,'Base stats'!U:U)="No","No",
MAX(0.01,MROUND(_xlfn.XLOOKUP(B10,'Base stats'!B:B,'Base stats'!BR:BR)/10000,0.01))
))</f>
        <v>No</v>
      </c>
      <c r="J10" s="4" t="str">
        <f>IF(G10="No","No",
MROUND(_xlfn.XLOOKUP(B10,'Base stats'!B:B,'Base stats'!BC:BC)^0.25
/((_xlfn.XLOOKUP(B10,'Base stats'!B:B,'Base stats'!BJ:BJ))*10)*_xlfn.XLOOKUP(_xlfn.XLOOKUP(B10,'Base stats'!B:B,'Base stats'!E:E),Groups!A:A,Groups!Q:Q)*150 + 0.5 + _xlfn.XLOOKUP(B10,'Base stats'!B:B,'Base stats'!BU:BU),
0.05))</f>
        <v>No</v>
      </c>
      <c r="K10" s="3" t="str">
        <f>IF(Animals!X10="No","No",
IF(_xlfn.XLOOKUP(_xlfn.XLOOKUP(B10,'Base stats'!B:B,'Base stats'!E:E),Groups!A:A,Groups!BD:BD)=1,
MAX(MROUND(_xlfn.XLOOKUP(B10,'Base stats'!B:B,'Base stats'!BS:BS) * _xlfn.XLOOKUP(B10,'Base stats'!B:B,'Base stats'!BO:BO)^0.9 / 21 *_xlfn.XLOOKUP(B10,'Base stats'!B:B,'Base stats'!BV:BV),0.1),0.05),
MAX(MROUND(((MIN(10,_xlfn.XLOOKUP(B10,'Base stats'!B:B,'Base stats'!W:W)))^0.4*_xlfn.XLOOKUP(B10,'Base stats'!B:B,'Base stats'!BG:BG)^0.73)^0.6 *_xlfn.XLOOKUP(B10,'Base stats'!B:B,'Base stats'!BV:BV),0.1),0.05)
))</f>
        <v>No</v>
      </c>
      <c r="L10" s="11" t="str">
        <f>IF(K10="No","No",
MAX(0.01,MROUND(_xlfn.XLOOKUP(B10,'Base stats'!B:B,'Base stats'!BG:BG) * 0.01 *2, 0.01))
)</f>
        <v>No</v>
      </c>
      <c r="M10" s="5" t="str">
        <f>IF(K10="No","No",IF(_xlfn.XLOOKUP(_xlfn.XLOOKUP(B10,'Base stats'!B:B,'Base stats'!E:E),Groups!A:A,Groups!BD:BD)=1,"No",
MAX(0.01,MROUND(_xlfn.XLOOKUP(B10,'Base stats'!B:B,'Base stats'!BS:BS)/10000,0.01))
))</f>
        <v>No</v>
      </c>
      <c r="N10" s="4" t="str">
        <f>IF(K10="No","No",
MROUND(
  _xlfn.XLOOKUP(B10,'Base stats'!B:B,'Base stats'!BA:BA)^0.25
  / (_xlfn.XLOOKUP(B10,'Base stats'!B:B,'Base stats'!BK:BK)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stats'!BU:BU),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stats'!BH:BH)^0.73)^0.6 *_xlfn.XLOOKUP(B10,'Base stats'!B:B,'Base stats'!BV:BV),0.1),0.05)
)</f>
        <v>0.8</v>
      </c>
      <c r="P10" s="11">
        <f>IF(O10="No","No",
MAX(0.01,MROUND(_xlfn.XLOOKUP(B10,'Base stats'!B:B,'Base stats'!BH:BH) * 0.01 * 2, 0.01))
)</f>
        <v>0.01</v>
      </c>
      <c r="Q10" s="5">
        <f>IF(O10="No","No",
MAX(0.01,MROUND(_xlfn.XLOOKUP(B10,'Base stats'!B:B,'Base stats'!BT:BT)/10000,0.01))
)</f>
        <v>0.01</v>
      </c>
      <c r="R10" s="4">
        <f>IF(O10="No","No",
MROUND(_xlfn.XLOOKUP(B10,'Base stats'!B:B,'Base stats'!AZ:AZ)^0.25
/((_xlfn.XLOOKUP(B10,'Base stats'!B:B,'Base stats'!BL:BL))*10)*_xlfn.XLOOKUP(_xlfn.XLOOKUP(B10,'Base stats'!B:B,'Base stats'!E:E),Groups!A:A,Groups!Z:Z)*150 + 0.5 + _xlfn.XLOOKUP(B10,'Base stats'!B:B,'Base stats'!BU:BU),
0.05))</f>
        <v>1.6500000000000001</v>
      </c>
      <c r="S10" s="3" t="str">
        <f>IF(Animals!AI10="No","No",
IF(_xlfn.XLOOKUP(B10,'Base stats'!B:B,'Base stats'!U:U)="No",
MAX(MROUND(_xlfn.XLOOKUP(B10,'Base stats'!B:B,'Base stats'!BR:BR) * _xlfn.XLOOKUP(B10,'Base stats'!B:B,'Base stats'!BN:BN)^0.9 / 21 * _xlfn.XLOOKUP(B10,'Base stats'!B:B,'Base stats'!BV:BV),0.1),0.05),
MAX(MROUND(((MIN(12,_xlfn.XLOOKUP(B10,'Base stats'!B:B,'Base stats'!U:U)))^0.4*_xlfn.XLOOKUP(B10,'Base stats'!B:B,'Base stats'!BF:BF)^0.73)^0.6 * _xlfn.XLOOKUP(B10,'Base stats'!B:B,'Base stats'!BV:BV),0.1),0.05)
))</f>
        <v>No</v>
      </c>
      <c r="T10" s="11" t="str">
        <f>IF(S10="No","No",
MAX(0.01,MROUND(_xlfn.XLOOKUP(B10,'Base stats'!B:B,'Base stats'!BF:BF) * 0.01 * 2, 0.01))
)</f>
        <v>No</v>
      </c>
      <c r="U10" s="5" t="str">
        <f>IF(S10="No","No",IF(_xlfn.XLOOKUP(B10,'Base stats'!B:B,'Base stats'!U:U)="No","No",
MAX(0.01,MROUND(_xlfn.XLOOKUP(B10,'Base stats'!B:B,'Base stats'!BR:BR)/10000,0.01))
))</f>
        <v>No</v>
      </c>
      <c r="V10" s="4" t="str">
        <f>IF(S10="No","No",
MROUND(_xlfn.XLOOKUP(B10,'Base stats'!B:B,'Base stats'!BD:BD)^0.25
/((_xlfn.XLOOKUP(B10,'Base stats'!B:B,'Base stats'!BM:BM))*10)*_xlfn.XLOOKUP(_xlfn.XLOOKUP(B10,'Base stats'!B:B,'Base stats'!E:E),Groups!A:A,Groups!AE:AE)*150 + 0.5 + _xlfn.XLOOKUP(B10,'Base stats'!B:B,'Base stats'!BU:BU),
0.05))</f>
        <v>No</v>
      </c>
      <c r="W10" s="8">
        <f>MROUND(_xlfn.XLOOKUP(_xlfn.XLOOKUP(B10,'Base stats'!B:B,'Base stats'!E:E),Groups!A:A,Groups!BG:BG)*_xlfn.XLOOKUP(B10,'Base stats'!B:B,'Base stats'!C:C)^-0.165,0.01)</f>
        <v>0.99</v>
      </c>
      <c r="X10" s="1">
        <f>MROUND(_xlfn.XLOOKUP(_xlfn.XLOOKUP(B10,'Base stats'!B:B,'Base stats'!E:E),Groups!A:A,Groups!BH:BH)*_xlfn.XLOOKUP(B10,'Base stats'!B:B,'Base stats'!C:C)^0.165,0.01)</f>
        <v>0</v>
      </c>
      <c r="Y10" s="8">
        <f>MROUND(_xlfn.XLOOKUP(_xlfn.XLOOKUP(B10,'Base stats'!B:B,'Base stats'!E:E),Groups!A:A,Groups!BI:BI)*_xlfn.XLOOKUP(B10,'Base stats'!B:B,'Base stats'!C:C)^0.165,0.01)</f>
        <v>0</v>
      </c>
      <c r="Z10" s="18">
        <f>ROUND(_xlfn.XLOOKUP(B10,'Base stats'!B:B,'Base stats'!AO:AO)*_xlfn.XLOOKUP(_xlfn.XLOOKUP(B10,'Base stats'!B:B,'Base stats'!E:E),Groups!A:A,Groups!H:H)/1000,2)</f>
        <v>0</v>
      </c>
      <c r="AA10" s="18">
        <f>ROUND((1/2)*(_xlfn.XLOOKUP(_xlfn.XLOOKUP(B10,'Base stats'!B:B,'Base stats'!E:E),Groups!A:A,Groups!H:H)*_xlfn.XLOOKUP(_xlfn.XLOOKUP(B10,'Base stats'!B:B,'Base stats'!E:E),Groups!A:A,Groups!I:I))*_xlfn.XLOOKUP(B10,'Base stats'!B:B,'Base stats'!AO:AO)*0.01,2)</f>
        <v>0</v>
      </c>
      <c r="AB10" s="18">
        <f>250*(Animals!AO10+Animals!AP10)</f>
        <v>75.000000000000014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stats'!BQ:BQ) * (_xlfn.XLOOKUP(B11,'Base stats'!B:B,'Base stats'!AM:AM)*5%)^0.9 / 21,0.1),0.05)</f>
        <v>0.1</v>
      </c>
      <c r="E11" s="11">
        <f>MAX(0.01,MROUND(_xlfn.XLOOKUP(B11,'Base stats'!B:B,'Base stats'!BE:BE) * 0.01 * 2, 0.01))</f>
        <v>0.09</v>
      </c>
      <c r="F11" s="7">
        <f>MROUND(_xlfn.XLOOKUP(B11,'Base stats'!B:B,'Base stats'!BB:BB)^0.25 / (_xlfn.XLOOKUP(B11,'Base stats'!B:B,'Base stats'!BI:BI) * 10) * 150 + 0.5 + _xlfn.XLOOKUP(B11,'Base stats'!B:B,'Base stats'!BU:BU), 0.05)</f>
        <v>1.3</v>
      </c>
      <c r="G11" s="3">
        <f>IF(Animals!S11="No","No",
IF(_xlfn.XLOOKUP(B11,'Base stats'!B:B,'Base stats'!U:U)="No",
MAX(MROUND(_xlfn.XLOOKUP(B11,'Base stats'!B:B,'Base stats'!BR:BR) * _xlfn.XLOOKUP(B11,'Base stats'!B:B,'Base stats'!BN:BN)^0.9 / 21 * _xlfn.XLOOKUP(B11,'Base stats'!B:B,'Base stats'!BV:BV),0.1),0.05),
MAX(MROUND(((MIN(10,_xlfn.XLOOKUP(B11,'Base stats'!B:B,'Base stats'!U:U)))^0.4*_xlfn.XLOOKUP(B11,'Base stats'!B:B,'Base stats'!BF:BF)^0.73)^0.6 * _xlfn.XLOOKUP(B11,'Base stats'!B:B,'Base stats'!BV:BV),0.1),0.05)
))</f>
        <v>2.7</v>
      </c>
      <c r="H11" s="11">
        <f>IF(G11="No","No",
MAX(0.01,MROUND(_xlfn.XLOOKUP(B11,'Base stats'!B:B,'Base stats'!BF:BF) * 0.01 * 2, 0.01))
)</f>
        <v>0.13</v>
      </c>
      <c r="I11" s="11">
        <f>IF(G11="No","No",IF(_xlfn.XLOOKUP(B11,'Base stats'!B:B,'Base stats'!U:U)="No","No",
MAX(0.01,MROUND(_xlfn.XLOOKUP(B11,'Base stats'!B:B,'Base stats'!BR:BR)/10000,0.01))
))</f>
        <v>0.03</v>
      </c>
      <c r="J11" s="4">
        <f>IF(G11="No","No",
MROUND(_xlfn.XLOOKUP(B11,'Base stats'!B:B,'Base stats'!BC:BC)^0.25
/((_xlfn.XLOOKUP(B11,'Base stats'!B:B,'Base stats'!BJ:BJ))*10)*_xlfn.XLOOKUP(_xlfn.XLOOKUP(B11,'Base stats'!B:B,'Base stats'!E:E),Groups!A:A,Groups!Q:Q)*150 + 0.5 + _xlfn.XLOOKUP(B11,'Base stats'!B:B,'Base stats'!BU:BU),
0.05))</f>
        <v>2</v>
      </c>
      <c r="K11" s="3" t="str">
        <f>IF(Animals!X11="No","No",
IF(_xlfn.XLOOKUP(_xlfn.XLOOKUP(B11,'Base stats'!B:B,'Base stats'!E:E),Groups!A:A,Groups!BD:BD)=1,
MAX(MROUND(_xlfn.XLOOKUP(B11,'Base stats'!B:B,'Base stats'!BS:BS) * _xlfn.XLOOKUP(B11,'Base stats'!B:B,'Base stats'!BO:BO)^0.9 / 21 *_xlfn.XLOOKUP(B11,'Base stats'!B:B,'Base stats'!BV:BV),0.1),0.05),
MAX(MROUND(((MIN(10,_xlfn.XLOOKUP(B11,'Base stats'!B:B,'Base stats'!W:W)))^0.4*_xlfn.XLOOKUP(B11,'Base stats'!B:B,'Base stats'!BG:BG)^0.73)^0.6 *_xlfn.XLOOKUP(B11,'Base stats'!B:B,'Base stats'!BV:BV),0.1),0.05)
))</f>
        <v>No</v>
      </c>
      <c r="L11" s="11" t="str">
        <f>IF(K11="No","No",
MAX(0.01,MROUND(_xlfn.XLOOKUP(B11,'Base stats'!B:B,'Base stats'!BG:BG) * 0.01 *2, 0.01))
)</f>
        <v>No</v>
      </c>
      <c r="M11" s="5" t="str">
        <f>IF(K11="No","No",IF(_xlfn.XLOOKUP(_xlfn.XLOOKUP(B11,'Base stats'!B:B,'Base stats'!E:E),Groups!A:A,Groups!BD:BD)=1,"No",
MAX(0.01,MROUND(_xlfn.XLOOKUP(B11,'Base stats'!B:B,'Base stats'!BS:BS)/10000,0.01))
))</f>
        <v>No</v>
      </c>
      <c r="N11" s="4" t="str">
        <f>IF(K11="No","No",
MROUND(
  _xlfn.XLOOKUP(B11,'Base stats'!B:B,'Base stats'!BA:BA)^0.25
  / (_xlfn.XLOOKUP(B11,'Base stats'!B:B,'Base stats'!BK:BK)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stats'!BU:BU),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stats'!BH:BH)^0.73)^0.6 *_xlfn.XLOOKUP(B11,'Base stats'!B:B,'Base stats'!BV:BV),0.1),0.05)
)</f>
        <v>1</v>
      </c>
      <c r="P11" s="11">
        <f>IF(O11="No","No",
MAX(0.01,MROUND(_xlfn.XLOOKUP(B11,'Base stats'!B:B,'Base stats'!BH:BH) * 0.01 * 2, 0.01))
)</f>
        <v>0.03</v>
      </c>
      <c r="Q11" s="5">
        <f>IF(O11="No","No",
MAX(0.01,MROUND(_xlfn.XLOOKUP(B11,'Base stats'!B:B,'Base stats'!BT:BT)/10000,0.01))
)</f>
        <v>0.01</v>
      </c>
      <c r="R11" s="4">
        <f>IF(O11="No","No",
MROUND(_xlfn.XLOOKUP(B11,'Base stats'!B:B,'Base stats'!AZ:AZ)^0.25
/((_xlfn.XLOOKUP(B11,'Base stats'!B:B,'Base stats'!BL:BL))*10)*_xlfn.XLOOKUP(_xlfn.XLOOKUP(B11,'Base stats'!B:B,'Base stats'!E:E),Groups!A:A,Groups!Z:Z)*150 + 0.5 + _xlfn.XLOOKUP(B11,'Base stats'!B:B,'Base stats'!BU:BU),
0.05))</f>
        <v>2.1</v>
      </c>
      <c r="S11" s="3" t="str">
        <f>IF(Animals!AI11="No","No",
IF(_xlfn.XLOOKUP(B11,'Base stats'!B:B,'Base stats'!U:U)="No",
MAX(MROUND(_xlfn.XLOOKUP(B11,'Base stats'!B:B,'Base stats'!BR:BR) * _xlfn.XLOOKUP(B11,'Base stats'!B:B,'Base stats'!BN:BN)^0.9 / 21 * _xlfn.XLOOKUP(B11,'Base stats'!B:B,'Base stats'!BV:BV),0.1),0.05),
MAX(MROUND(((MIN(12,_xlfn.XLOOKUP(B11,'Base stats'!B:B,'Base stats'!U:U)))^0.4*_xlfn.XLOOKUP(B11,'Base stats'!B:B,'Base stats'!BF:BF)^0.73)^0.6 * _xlfn.XLOOKUP(B11,'Base stats'!B:B,'Base stats'!BV:BV),0.1),0.05)
))</f>
        <v>No</v>
      </c>
      <c r="T11" s="11" t="str">
        <f>IF(S11="No","No",
MAX(0.01,MROUND(_xlfn.XLOOKUP(B11,'Base stats'!B:B,'Base stats'!BF:BF) * 0.01 * 2, 0.01))
)</f>
        <v>No</v>
      </c>
      <c r="U11" s="5" t="str">
        <f>IF(S11="No","No",IF(_xlfn.XLOOKUP(B11,'Base stats'!B:B,'Base stats'!U:U)="No","No",
MAX(0.01,MROUND(_xlfn.XLOOKUP(B11,'Base stats'!B:B,'Base stats'!BR:BR)/10000,0.01))
))</f>
        <v>No</v>
      </c>
      <c r="V11" s="4" t="str">
        <f>IF(S11="No","No",
MROUND(_xlfn.XLOOKUP(B11,'Base stats'!B:B,'Base stats'!BD:BD)^0.25
/((_xlfn.XLOOKUP(B11,'Base stats'!B:B,'Base stats'!BM:BM))*10)*_xlfn.XLOOKUP(_xlfn.XLOOKUP(B11,'Base stats'!B:B,'Base stats'!E:E),Groups!A:A,Groups!AE:AE)*150 + 0.5 + _xlfn.XLOOKUP(B11,'Base stats'!B:B,'Base stats'!BU:BU),
0.05))</f>
        <v>No</v>
      </c>
      <c r="W11" s="8">
        <f>MROUND(_xlfn.XLOOKUP(_xlfn.XLOOKUP(B11,'Base stats'!B:B,'Base stats'!E:E),Groups!A:A,Groups!BG:BG)*_xlfn.XLOOKUP(B11,'Base stats'!B:B,'Base stats'!C:C)^-0.165,0.01)</f>
        <v>0.87</v>
      </c>
      <c r="X11" s="1">
        <f>MROUND(_xlfn.XLOOKUP(_xlfn.XLOOKUP(B11,'Base stats'!B:B,'Base stats'!E:E),Groups!A:A,Groups!BH:BH)*_xlfn.XLOOKUP(B11,'Base stats'!B:B,'Base stats'!C:C)^0.165,0.01)</f>
        <v>0</v>
      </c>
      <c r="Y11" s="8">
        <f>MROUND(_xlfn.XLOOKUP(_xlfn.XLOOKUP(B11,'Base stats'!B:B,'Base stats'!E:E),Groups!A:A,Groups!BI:BI)*_xlfn.XLOOKUP(B11,'Base stats'!B:B,'Base stats'!C:C)^0.165,0.01)</f>
        <v>0</v>
      </c>
      <c r="Z11" s="18">
        <f>ROUND(_xlfn.XLOOKUP(B11,'Base stats'!B:B,'Base stats'!AO:AO)*_xlfn.XLOOKUP(_xlfn.XLOOKUP(B11,'Base stats'!B:B,'Base stats'!E:E),Groups!A:A,Groups!H:H)/1000,2)</f>
        <v>0</v>
      </c>
      <c r="AA11" s="18">
        <f>ROUND((1/2)*(_xlfn.XLOOKUP(_xlfn.XLOOKUP(B11,'Base stats'!B:B,'Base stats'!E:E),Groups!A:A,Groups!H:H)*_xlfn.XLOOKUP(_xlfn.XLOOKUP(B11,'Base stats'!B:B,'Base stats'!E:E),Groups!A:A,Groups!I:I))*_xlfn.XLOOKUP(B11,'Base stats'!B:B,'Base stats'!AO:AO)*0.01,2)</f>
        <v>0.01</v>
      </c>
      <c r="AB11" s="18">
        <f>250*(Animals!AO11+Animals!AP11)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stats'!BQ:BQ) * (_xlfn.XLOOKUP(B12,'Base stats'!B:B,'Base stats'!AM:AM)*5%)^0.9 / 21,0.1),0.05)</f>
        <v>10.5</v>
      </c>
      <c r="E12" s="11">
        <f>MAX(0.01,MROUND(_xlfn.XLOOKUP(B12,'Base stats'!B:B,'Base stats'!BE:BE) * 0.01 * 2, 0.01))</f>
        <v>9.82</v>
      </c>
      <c r="F12" s="7">
        <f>MROUND(_xlfn.XLOOKUP(B12,'Base stats'!B:B,'Base stats'!BB:BB)^0.25 / (_xlfn.XLOOKUP(B12,'Base stats'!B:B,'Base stats'!BI:BI) * 10) * 150 + 0.5 + _xlfn.XLOOKUP(B12,'Base stats'!B:B,'Base stats'!BU:BU), 0.05)</f>
        <v>1.8</v>
      </c>
      <c r="G12" s="3">
        <f>IF(Animals!S12="No","No",
IF(_xlfn.XLOOKUP(B12,'Base stats'!B:B,'Base stats'!U:U)="No",
MAX(MROUND(_xlfn.XLOOKUP(B12,'Base stats'!B:B,'Base stats'!BR:BR) * _xlfn.XLOOKUP(B12,'Base stats'!B:B,'Base stats'!BN:BN)^0.9 / 21 * _xlfn.XLOOKUP(B12,'Base stats'!B:B,'Base stats'!BV:BV),0.1),0.05),
MAX(MROUND(((MIN(10,_xlfn.XLOOKUP(B12,'Base stats'!B:B,'Base stats'!U:U)))^0.4*_xlfn.XLOOKUP(B12,'Base stats'!B:B,'Base stats'!BF:BF)^0.73)^0.6 * _xlfn.XLOOKUP(B12,'Base stats'!B:B,'Base stats'!BV:BV),0.1),0.05)
))</f>
        <v>17.5</v>
      </c>
      <c r="H12" s="11">
        <f>IF(G12="No","No",
MAX(0.01,MROUND(_xlfn.XLOOKUP(B12,'Base stats'!B:B,'Base stats'!BF:BF) * 0.01 * 2, 0.01))
)</f>
        <v>11.38</v>
      </c>
      <c r="I12" s="11" t="str">
        <f>IF(G12="No","No",IF(_xlfn.XLOOKUP(B12,'Base stats'!B:B,'Base stats'!U:U)="No","No",
MAX(0.01,MROUND(_xlfn.XLOOKUP(B12,'Base stats'!B:B,'Base stats'!BR:BR)/10000,0.01))
))</f>
        <v>No</v>
      </c>
      <c r="J12" s="4">
        <f>IF(G12="No","No",
MROUND(_xlfn.XLOOKUP(B12,'Base stats'!B:B,'Base stats'!BC:BC)^0.25
/((_xlfn.XLOOKUP(B12,'Base stats'!B:B,'Base stats'!BJ:BJ))*10)*_xlfn.XLOOKUP(_xlfn.XLOOKUP(B12,'Base stats'!B:B,'Base stats'!E:E),Groups!A:A,Groups!Q:Q)*150 + 0.5 + _xlfn.XLOOKUP(B12,'Base stats'!B:B,'Base stats'!BU:BU),
0.05))</f>
        <v>2.7</v>
      </c>
      <c r="K12" s="3" t="str">
        <f>IF(Animals!X12="No","No",
IF(_xlfn.XLOOKUP(_xlfn.XLOOKUP(B12,'Base stats'!B:B,'Base stats'!E:E),Groups!A:A,Groups!BD:BD)=1,
MAX(MROUND(_xlfn.XLOOKUP(B12,'Base stats'!B:B,'Base stats'!BS:BS) * _xlfn.XLOOKUP(B12,'Base stats'!B:B,'Base stats'!BO:BO)^0.9 / 21 *_xlfn.XLOOKUP(B12,'Base stats'!B:B,'Base stats'!BV:BV),0.1),0.05),
MAX(MROUND(((MIN(10,_xlfn.XLOOKUP(B12,'Base stats'!B:B,'Base stats'!W:W)))^0.4*_xlfn.XLOOKUP(B12,'Base stats'!B:B,'Base stats'!BG:BG)^0.73)^0.6 *_xlfn.XLOOKUP(B12,'Base stats'!B:B,'Base stats'!BV:BV),0.1),0.05)
))</f>
        <v>No</v>
      </c>
      <c r="L12" s="11" t="str">
        <f>IF(K12="No","No",
MAX(0.01,MROUND(_xlfn.XLOOKUP(B12,'Base stats'!B:B,'Base stats'!BG:BG) * 0.01 *2, 0.01))
)</f>
        <v>No</v>
      </c>
      <c r="M12" s="5" t="str">
        <f>IF(K12="No","No",IF(_xlfn.XLOOKUP(_xlfn.XLOOKUP(B12,'Base stats'!B:B,'Base stats'!E:E),Groups!A:A,Groups!BD:BD)=1,"No",
MAX(0.01,MROUND(_xlfn.XLOOKUP(B12,'Base stats'!B:B,'Base stats'!BS:BS)/10000,0.01))
))</f>
        <v>No</v>
      </c>
      <c r="N12" s="4" t="str">
        <f>IF(K12="No","No",
MROUND(
  _xlfn.XLOOKUP(B12,'Base stats'!B:B,'Base stats'!BA:BA)^0.25
  / (_xlfn.XLOOKUP(B12,'Base stats'!B:B,'Base stats'!BK:BK)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stats'!BU:BU),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stats'!BH:BH)^0.73)^0.6 *_xlfn.XLOOKUP(B12,'Base stats'!B:B,'Base stats'!BV:BV),0.1),0.05)
)</f>
        <v>18.8</v>
      </c>
      <c r="P12" s="11">
        <f>IF(O12="No","No",
MAX(0.01,MROUND(_xlfn.XLOOKUP(B12,'Base stats'!B:B,'Base stats'!BH:BH) * 0.01 * 2, 0.01))
)</f>
        <v>7.13</v>
      </c>
      <c r="Q12" s="5">
        <f>IF(O12="No","No",
MAX(0.01,MROUND(_xlfn.XLOOKUP(B12,'Base stats'!B:B,'Base stats'!BT:BT)/10000,0.01))
)</f>
        <v>0.11</v>
      </c>
      <c r="R12" s="4">
        <f>IF(O12="No","No",
MROUND(_xlfn.XLOOKUP(B12,'Base stats'!B:B,'Base stats'!AZ:AZ)^0.25
/((_xlfn.XLOOKUP(B12,'Base stats'!B:B,'Base stats'!BL:BL))*10)*_xlfn.XLOOKUP(_xlfn.XLOOKUP(B12,'Base stats'!B:B,'Base stats'!E:E),Groups!A:A,Groups!Z:Z)*150 + 0.5 + _xlfn.XLOOKUP(B12,'Base stats'!B:B,'Base stats'!BU:BU),
0.05))</f>
        <v>2.9000000000000004</v>
      </c>
      <c r="S12" s="3" t="str">
        <f>IF(Animals!AI12="No","No",
IF(_xlfn.XLOOKUP(B12,'Base stats'!B:B,'Base stats'!U:U)="No",
MAX(MROUND(_xlfn.XLOOKUP(B12,'Base stats'!B:B,'Base stats'!BR:BR) * _xlfn.XLOOKUP(B12,'Base stats'!B:B,'Base stats'!BN:BN)^0.9 / 21 * _xlfn.XLOOKUP(B12,'Base stats'!B:B,'Base stats'!BV:BV),0.1),0.05),
MAX(MROUND(((MIN(12,_xlfn.XLOOKUP(B12,'Base stats'!B:B,'Base stats'!U:U)))^0.4*_xlfn.XLOOKUP(B12,'Base stats'!B:B,'Base stats'!BF:BF)^0.73)^0.6 * _xlfn.XLOOKUP(B12,'Base stats'!B:B,'Base stats'!BV:BV),0.1),0.05)
))</f>
        <v>No</v>
      </c>
      <c r="T12" s="11" t="str">
        <f>IF(S12="No","No",
MAX(0.01,MROUND(_xlfn.XLOOKUP(B12,'Base stats'!B:B,'Base stats'!BF:BF) * 0.01 * 2, 0.01))
)</f>
        <v>No</v>
      </c>
      <c r="U12" s="5" t="str">
        <f>IF(S12="No","No",IF(_xlfn.XLOOKUP(B12,'Base stats'!B:B,'Base stats'!U:U)="No","No",
MAX(0.01,MROUND(_xlfn.XLOOKUP(B12,'Base stats'!B:B,'Base stats'!BR:BR)/10000,0.01))
))</f>
        <v>No</v>
      </c>
      <c r="V12" s="4" t="str">
        <f>IF(S12="No","No",
MROUND(_xlfn.XLOOKUP(B12,'Base stats'!B:B,'Base stats'!BD:BD)^0.25
/((_xlfn.XLOOKUP(B12,'Base stats'!B:B,'Base stats'!BM:BM))*10)*_xlfn.XLOOKUP(_xlfn.XLOOKUP(B12,'Base stats'!B:B,'Base stats'!E:E),Groups!A:A,Groups!AE:AE)*150 + 0.5 + _xlfn.XLOOKUP(B12,'Base stats'!B:B,'Base stats'!BU:BU),
0.05))</f>
        <v>No</v>
      </c>
      <c r="W12" s="8">
        <f>MROUND(_xlfn.XLOOKUP(_xlfn.XLOOKUP(B12,'Base stats'!B:B,'Base stats'!E:E),Groups!A:A,Groups!BG:BG)*_xlfn.XLOOKUP(B12,'Base stats'!B:B,'Base stats'!C:C)^-0.165,0.01)</f>
        <v>0.18</v>
      </c>
      <c r="X12" s="1">
        <f>MROUND(_xlfn.XLOOKUP(_xlfn.XLOOKUP(B12,'Base stats'!B:B,'Base stats'!E:E),Groups!A:A,Groups!BH:BH)*_xlfn.XLOOKUP(B12,'Base stats'!B:B,'Base stats'!C:C)^0.165,0.01)</f>
        <v>0</v>
      </c>
      <c r="Y12" s="8">
        <f>MROUND(_xlfn.XLOOKUP(_xlfn.XLOOKUP(B12,'Base stats'!B:B,'Base stats'!E:E),Groups!A:A,Groups!BI:BI)*_xlfn.XLOOKUP(B12,'Base stats'!B:B,'Base stats'!C:C)^0.165,0.01)</f>
        <v>0</v>
      </c>
      <c r="Z12" s="18">
        <f>ROUND(_xlfn.XLOOKUP(B12,'Base stats'!B:B,'Base stats'!AO:AO)*_xlfn.XLOOKUP(_xlfn.XLOOKUP(B12,'Base stats'!B:B,'Base stats'!E:E),Groups!A:A,Groups!H:H)/1000,2)</f>
        <v>7.0000000000000007E-2</v>
      </c>
      <c r="AA12" s="18">
        <f>ROUND((1/2)*(_xlfn.XLOOKUP(_xlfn.XLOOKUP(B12,'Base stats'!B:B,'Base stats'!E:E),Groups!A:A,Groups!H:H)*_xlfn.XLOOKUP(_xlfn.XLOOKUP(B12,'Base stats'!B:B,'Base stats'!E:E),Groups!A:A,Groups!I:I))*_xlfn.XLOOKUP(B12,'Base stats'!B:B,'Base stats'!AO:AO)*0.01,2)</f>
        <v>0.4</v>
      </c>
      <c r="AB12" s="18">
        <f>250*(Animals!AO12+Animals!AP12)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stats'!BQ:BQ) * (_xlfn.XLOOKUP(B13,'Base stats'!B:B,'Base stats'!AM:AM)*5%)^0.9 / 21,0.1),0.05)</f>
        <v>2.5</v>
      </c>
      <c r="E13" s="11">
        <f>MAX(0.01,MROUND(_xlfn.XLOOKUP(B13,'Base stats'!B:B,'Base stats'!BE:BE) * 0.01 * 2, 0.01))</f>
        <v>2.0499999999999998</v>
      </c>
      <c r="F13" s="7">
        <f>MROUND(_xlfn.XLOOKUP(B13,'Base stats'!B:B,'Base stats'!BB:BB)^0.25 / (_xlfn.XLOOKUP(B13,'Base stats'!B:B,'Base stats'!BI:BI) * 10) * 150 + 0.5 + _xlfn.XLOOKUP(B13,'Base stats'!B:B,'Base stats'!BU:BU), 0.05)</f>
        <v>1.6</v>
      </c>
      <c r="G13" s="3">
        <f>IF(Animals!S13="No","No",
IF(_xlfn.XLOOKUP(B13,'Base stats'!B:B,'Base stats'!U:U)="No",
MAX(MROUND(_xlfn.XLOOKUP(B13,'Base stats'!B:B,'Base stats'!BR:BR) * _xlfn.XLOOKUP(B13,'Base stats'!B:B,'Base stats'!BN:BN)^0.9 / 21 * _xlfn.XLOOKUP(B13,'Base stats'!B:B,'Base stats'!BV:BV),0.1),0.05),
MAX(MROUND(((MIN(10,_xlfn.XLOOKUP(B13,'Base stats'!B:B,'Base stats'!U:U)))^0.4*_xlfn.XLOOKUP(B13,'Base stats'!B:B,'Base stats'!BF:BF)^0.73)^0.6 * _xlfn.XLOOKUP(B13,'Base stats'!B:B,'Base stats'!BV:BV),0.1),0.05)
))</f>
        <v>4.7</v>
      </c>
      <c r="H13" s="11">
        <f>IF(G13="No","No",
MAX(0.01,MROUND(_xlfn.XLOOKUP(B13,'Base stats'!B:B,'Base stats'!BF:BF) * 0.01 * 2, 0.01))
)</f>
        <v>2.62</v>
      </c>
      <c r="I13" s="11" t="str">
        <f>IF(G13="No","No",IF(_xlfn.XLOOKUP(B13,'Base stats'!B:B,'Base stats'!U:U)="No","No",
MAX(0.01,MROUND(_xlfn.XLOOKUP(B13,'Base stats'!B:B,'Base stats'!BR:BR)/10000,0.01))
))</f>
        <v>No</v>
      </c>
      <c r="J13" s="4">
        <f>IF(G13="No","No",
MROUND(_xlfn.XLOOKUP(B13,'Base stats'!B:B,'Base stats'!BC:BC)^0.25
/((_xlfn.XLOOKUP(B13,'Base stats'!B:B,'Base stats'!BJ:BJ))*10)*_xlfn.XLOOKUP(_xlfn.XLOOKUP(B13,'Base stats'!B:B,'Base stats'!E:E),Groups!A:A,Groups!Q:Q)*150 + 0.5 + _xlfn.XLOOKUP(B13,'Base stats'!B:B,'Base stats'!BU:BU),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stats'!BS:BS) * _xlfn.XLOOKUP(B13,'Base stats'!B:B,'Base stats'!BO:BO)^0.9 / 21 *_xlfn.XLOOKUP(B13,'Base stats'!B:B,'Base stats'!BV:BV),0.1),0.05),
MAX(MROUND(((MIN(10,_xlfn.XLOOKUP(B13,'Base stats'!B:B,'Base stats'!W:W)))^0.4*_xlfn.XLOOKUP(B13,'Base stats'!B:B,'Base stats'!BG:BG)^0.73)^0.6 *_xlfn.XLOOKUP(B13,'Base stats'!B:B,'Base stats'!BV:BV),0.1),0.05)
))</f>
        <v>No</v>
      </c>
      <c r="L13" s="11" t="str">
        <f>IF(K13="No","No",
MAX(0.01,MROUND(_xlfn.XLOOKUP(B13,'Base stats'!B:B,'Base stats'!BG:BG) * 0.01 *2, 0.01))
)</f>
        <v>No</v>
      </c>
      <c r="M13" s="5" t="str">
        <f>IF(K13="No","No",IF(_xlfn.XLOOKUP(_xlfn.XLOOKUP(B13,'Base stats'!B:B,'Base stats'!E:E),Groups!A:A,Groups!BD:BD)=1,"No",
MAX(0.01,MROUND(_xlfn.XLOOKUP(B13,'Base stats'!B:B,'Base stats'!BS:BS)/10000,0.01))
))</f>
        <v>No</v>
      </c>
      <c r="N13" s="4" t="str">
        <f>IF(K13="No","No",
MROUND(
  _xlfn.XLOOKUP(B13,'Base stats'!B:B,'Base stats'!BA:BA)^0.25
  / (_xlfn.XLOOKUP(B13,'Base stats'!B:B,'Base stats'!BK:BK)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stats'!BU:BU),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stats'!BH:BH)^0.73)^0.6 *_xlfn.XLOOKUP(B13,'Base stats'!B:B,'Base stats'!BV:BV),0.1),0.05)
)</f>
        <v>9.6000000000000014</v>
      </c>
      <c r="P13" s="11">
        <f>IF(O13="No","No",
MAX(0.01,MROUND(_xlfn.XLOOKUP(B13,'Base stats'!B:B,'Base stats'!BH:BH) * 0.01 * 2, 0.01))
)</f>
        <v>2.0699999999999998</v>
      </c>
      <c r="Q13" s="5">
        <f>IF(O13="No","No",
MAX(0.01,MROUND(_xlfn.XLOOKUP(B13,'Base stats'!B:B,'Base stats'!BT:BT)/10000,0.01))
)</f>
        <v>0.11</v>
      </c>
      <c r="R13" s="4">
        <f>IF(O13="No","No",
MROUND(_xlfn.XLOOKUP(B13,'Base stats'!B:B,'Base stats'!AZ:AZ)^0.25
/((_xlfn.XLOOKUP(B13,'Base stats'!B:B,'Base stats'!BL:BL))*10)*_xlfn.XLOOKUP(_xlfn.XLOOKUP(B13,'Base stats'!B:B,'Base stats'!E:E),Groups!A:A,Groups!Z:Z)*150 + 0.5 + _xlfn.XLOOKUP(B13,'Base stats'!B:B,'Base stats'!BU:BU),
0.05))</f>
        <v>2.6</v>
      </c>
      <c r="S13" s="3" t="str">
        <f>IF(Animals!AI13="No","No",
IF(_xlfn.XLOOKUP(B13,'Base stats'!B:B,'Base stats'!U:U)="No",
MAX(MROUND(_xlfn.XLOOKUP(B13,'Base stats'!B:B,'Base stats'!BR:BR) * _xlfn.XLOOKUP(B13,'Base stats'!B:B,'Base stats'!BN:BN)^0.9 / 21 * _xlfn.XLOOKUP(B13,'Base stats'!B:B,'Base stats'!BV:BV),0.1),0.05),
MAX(MROUND(((MIN(12,_xlfn.XLOOKUP(B13,'Base stats'!B:B,'Base stats'!U:U)))^0.4*_xlfn.XLOOKUP(B13,'Base stats'!B:B,'Base stats'!BF:BF)^0.73)^0.6 * _xlfn.XLOOKUP(B13,'Base stats'!B:B,'Base stats'!BV:BV),0.1),0.05)
))</f>
        <v>No</v>
      </c>
      <c r="T13" s="11" t="str">
        <f>IF(S13="No","No",
MAX(0.01,MROUND(_xlfn.XLOOKUP(B13,'Base stats'!B:B,'Base stats'!BF:BF) * 0.01 * 2, 0.01))
)</f>
        <v>No</v>
      </c>
      <c r="U13" s="5" t="str">
        <f>IF(S13="No","No",IF(_xlfn.XLOOKUP(B13,'Base stats'!B:B,'Base stats'!U:U)="No","No",
MAX(0.01,MROUND(_xlfn.XLOOKUP(B13,'Base stats'!B:B,'Base stats'!BR:BR)/10000,0.01))
))</f>
        <v>No</v>
      </c>
      <c r="V13" s="4" t="str">
        <f>IF(S13="No","No",
MROUND(_xlfn.XLOOKUP(B13,'Base stats'!B:B,'Base stats'!BD:BD)^0.25
/((_xlfn.XLOOKUP(B13,'Base stats'!B:B,'Base stats'!BM:BM))*10)*_xlfn.XLOOKUP(_xlfn.XLOOKUP(B13,'Base stats'!B:B,'Base stats'!E:E),Groups!A:A,Groups!AE:AE)*150 + 0.5 + _xlfn.XLOOKUP(B13,'Base stats'!B:B,'Base stats'!BU:BU),
0.05))</f>
        <v>No</v>
      </c>
      <c r="W13" s="8">
        <f>MROUND(_xlfn.XLOOKUP(_xlfn.XLOOKUP(B13,'Base stats'!B:B,'Base stats'!E:E),Groups!A:A,Groups!BG:BG)*_xlfn.XLOOKUP(B13,'Base stats'!B:B,'Base stats'!C:C)^-0.165,0.01)</f>
        <v>0.24</v>
      </c>
      <c r="X13" s="1">
        <f>MROUND(_xlfn.XLOOKUP(_xlfn.XLOOKUP(B13,'Base stats'!B:B,'Base stats'!E:E),Groups!A:A,Groups!BH:BH)*_xlfn.XLOOKUP(B13,'Base stats'!B:B,'Base stats'!C:C)^0.165,0.01)</f>
        <v>0</v>
      </c>
      <c r="Y13" s="8">
        <f>MROUND(_xlfn.XLOOKUP(_xlfn.XLOOKUP(B13,'Base stats'!B:B,'Base stats'!E:E),Groups!A:A,Groups!BI:BI)*_xlfn.XLOOKUP(B13,'Base stats'!B:B,'Base stats'!C:C)^0.165,0.01)</f>
        <v>0</v>
      </c>
      <c r="Z13" s="18">
        <f>ROUND(_xlfn.XLOOKUP(B13,'Base stats'!B:B,'Base stats'!AO:AO)*_xlfn.XLOOKUP(_xlfn.XLOOKUP(B13,'Base stats'!B:B,'Base stats'!E:E),Groups!A:A,Groups!H:H)/1000,2)</f>
        <v>0.04</v>
      </c>
      <c r="AA13" s="18">
        <f>ROUND((1/2)*(_xlfn.XLOOKUP(_xlfn.XLOOKUP(B13,'Base stats'!B:B,'Base stats'!E:E),Groups!A:A,Groups!H:H)*_xlfn.XLOOKUP(_xlfn.XLOOKUP(B13,'Base stats'!B:B,'Base stats'!E:E),Groups!A:A,Groups!I:I))*_xlfn.XLOOKUP(B13,'Base stats'!B:B,'Base stats'!AO:AO)*0.01,2)</f>
        <v>0.24</v>
      </c>
      <c r="AB13" s="18">
        <f>250*(Animals!AO13+Animals!AP13)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stats'!BQ:BQ) * (_xlfn.XLOOKUP(B14,'Base stats'!B:B,'Base stats'!AM:AM)*5%)^0.9 / 21,0.1),0.05)</f>
        <v>0.1</v>
      </c>
      <c r="E14" s="11">
        <f>MAX(0.01,MROUND(_xlfn.XLOOKUP(B14,'Base stats'!B:B,'Base stats'!BE:BE) * 0.01 * 2, 0.01))</f>
        <v>0.08</v>
      </c>
      <c r="F14" s="7">
        <f>MROUND(_xlfn.XLOOKUP(B14,'Base stats'!B:B,'Base stats'!BB:BB)^0.25 / (_xlfn.XLOOKUP(B14,'Base stats'!B:B,'Base stats'!BI:BI) * 10) * 150 + 0.5 + _xlfn.XLOOKUP(B14,'Base stats'!B:B,'Base stats'!BU:BU), 0.05)</f>
        <v>1.3</v>
      </c>
      <c r="G14" s="3" t="str">
        <f>IF(Animals!S14="No","No",
IF(_xlfn.XLOOKUP(B14,'Base stats'!B:B,'Base stats'!U:U)="No",
MAX(MROUND(_xlfn.XLOOKUP(B14,'Base stats'!B:B,'Base stats'!BR:BR) * _xlfn.XLOOKUP(B14,'Base stats'!B:B,'Base stats'!BN:BN)^0.9 / 21 * _xlfn.XLOOKUP(B14,'Base stats'!B:B,'Base stats'!BV:BV),0.1),0.05),
MAX(MROUND(((MIN(10,_xlfn.XLOOKUP(B14,'Base stats'!B:B,'Base stats'!U:U)))^0.4*_xlfn.XLOOKUP(B14,'Base stats'!B:B,'Base stats'!BF:BF)^0.73)^0.6 * _xlfn.XLOOKUP(B14,'Base stats'!B:B,'Base stats'!BV:BV),0.1),0.05)
))</f>
        <v>No</v>
      </c>
      <c r="H14" s="11" t="str">
        <f>IF(G14="No","No",
MAX(0.01,MROUND(_xlfn.XLOOKUP(B14,'Base stats'!B:B,'Base stats'!BF:BF) * 0.01 * 2, 0.01))
)</f>
        <v>No</v>
      </c>
      <c r="I14" s="11" t="str">
        <f>IF(G14="No","No",IF(_xlfn.XLOOKUP(B14,'Base stats'!B:B,'Base stats'!U:U)="No","No",
MAX(0.01,MROUND(_xlfn.XLOOKUP(B14,'Base stats'!B:B,'Base stats'!BR:BR)/10000,0.01))
))</f>
        <v>No</v>
      </c>
      <c r="J14" s="4" t="str">
        <f>IF(G14="No","No",
MROUND(_xlfn.XLOOKUP(B14,'Base stats'!B:B,'Base stats'!BC:BC)^0.25
/((_xlfn.XLOOKUP(B14,'Base stats'!B:B,'Base stats'!BJ:BJ))*10)*_xlfn.XLOOKUP(_xlfn.XLOOKUP(B14,'Base stats'!B:B,'Base stats'!E:E),Groups!A:A,Groups!Q:Q)*150 + 0.5 + _xlfn.XLOOKUP(B14,'Base stats'!B:B,'Base stats'!BU:BU),
0.05))</f>
        <v>No</v>
      </c>
      <c r="K14" s="3" t="str">
        <f>IF(Animals!X14="No","No",
IF(_xlfn.XLOOKUP(_xlfn.XLOOKUP(B14,'Base stats'!B:B,'Base stats'!E:E),Groups!A:A,Groups!BD:BD)=1,
MAX(MROUND(_xlfn.XLOOKUP(B14,'Base stats'!B:B,'Base stats'!BS:BS) * _xlfn.XLOOKUP(B14,'Base stats'!B:B,'Base stats'!BO:BO)^0.9 / 21 *_xlfn.XLOOKUP(B14,'Base stats'!B:B,'Base stats'!BV:BV),0.1),0.05),
MAX(MROUND(((MIN(10,_xlfn.XLOOKUP(B14,'Base stats'!B:B,'Base stats'!W:W)))^0.4*_xlfn.XLOOKUP(B14,'Base stats'!B:B,'Base stats'!BG:BG)^0.73)^0.6 *_xlfn.XLOOKUP(B14,'Base stats'!B:B,'Base stats'!BV:BV),0.1),0.05)
))</f>
        <v>No</v>
      </c>
      <c r="L14" s="11" t="str">
        <f>IF(K14="No","No",
MAX(0.01,MROUND(_xlfn.XLOOKUP(B14,'Base stats'!B:B,'Base stats'!BG:BG) * 0.01 *2, 0.01))
)</f>
        <v>No</v>
      </c>
      <c r="M14" s="5" t="str">
        <f>IF(K14="No","No",IF(_xlfn.XLOOKUP(_xlfn.XLOOKUP(B14,'Base stats'!B:B,'Base stats'!E:E),Groups!A:A,Groups!BD:BD)=1,"No",
MAX(0.01,MROUND(_xlfn.XLOOKUP(B14,'Base stats'!B:B,'Base stats'!BS:BS)/10000,0.01))
))</f>
        <v>No</v>
      </c>
      <c r="N14" s="4" t="str">
        <f>IF(K14="No","No",
MROUND(
  _xlfn.XLOOKUP(B14,'Base stats'!B:B,'Base stats'!BA:BA)^0.25
  / (_xlfn.XLOOKUP(B14,'Base stats'!B:B,'Base stats'!BK:BK)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stats'!BU:BU),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stats'!BH:BH)^0.73)^0.6 *_xlfn.XLOOKUP(B14,'Base stats'!B:B,'Base stats'!BV:BV),0.1),0.05)
)</f>
        <v>2.9000000000000004</v>
      </c>
      <c r="P14" s="11">
        <f>IF(O14="No","No",
MAX(0.01,MROUND(_xlfn.XLOOKUP(B14,'Base stats'!B:B,'Base stats'!BH:BH) * 0.01 * 2, 0.01))
)</f>
        <v>0.22</v>
      </c>
      <c r="Q14" s="5">
        <f>IF(O14="No","No",
MAX(0.01,MROUND(_xlfn.XLOOKUP(B14,'Base stats'!B:B,'Base stats'!BT:BT)/10000,0.01))
)</f>
        <v>0.05</v>
      </c>
      <c r="R14" s="4">
        <f>IF(O14="No","No",
MROUND(_xlfn.XLOOKUP(B14,'Base stats'!B:B,'Base stats'!AZ:AZ)^0.25
/((_xlfn.XLOOKUP(B14,'Base stats'!B:B,'Base stats'!BL:BL))*10)*_xlfn.XLOOKUP(_xlfn.XLOOKUP(B14,'Base stats'!B:B,'Base stats'!E:E),Groups!A:A,Groups!Z:Z)*150 + 0.5 + _xlfn.XLOOKUP(B14,'Base stats'!B:B,'Base stats'!BU:BU),
0.05))</f>
        <v>1.85</v>
      </c>
      <c r="S14" s="3" t="str">
        <f>IF(Animals!AI14="No","No",
IF(_xlfn.XLOOKUP(B14,'Base stats'!B:B,'Base stats'!U:U)="No",
MAX(MROUND(_xlfn.XLOOKUP(B14,'Base stats'!B:B,'Base stats'!BR:BR) * _xlfn.XLOOKUP(B14,'Base stats'!B:B,'Base stats'!BN:BN)^0.9 / 21 * _xlfn.XLOOKUP(B14,'Base stats'!B:B,'Base stats'!BV:BV),0.1),0.05),
MAX(MROUND(((MIN(12,_xlfn.XLOOKUP(B14,'Base stats'!B:B,'Base stats'!U:U)))^0.4*_xlfn.XLOOKUP(B14,'Base stats'!B:B,'Base stats'!BF:BF)^0.73)^0.6 * _xlfn.XLOOKUP(B14,'Base stats'!B:B,'Base stats'!BV:BV),0.1),0.05)
))</f>
        <v>No</v>
      </c>
      <c r="T14" s="11" t="str">
        <f>IF(S14="No","No",
MAX(0.01,MROUND(_xlfn.XLOOKUP(B14,'Base stats'!B:B,'Base stats'!BF:BF) * 0.01 * 2, 0.01))
)</f>
        <v>No</v>
      </c>
      <c r="U14" s="5" t="str">
        <f>IF(S14="No","No",IF(_xlfn.XLOOKUP(B14,'Base stats'!B:B,'Base stats'!U:U)="No","No",
MAX(0.01,MROUND(_xlfn.XLOOKUP(B14,'Base stats'!B:B,'Base stats'!BR:BR)/10000,0.01))
))</f>
        <v>No</v>
      </c>
      <c r="V14" s="4" t="str">
        <f>IF(S14="No","No",
MROUND(_xlfn.XLOOKUP(B14,'Base stats'!B:B,'Base stats'!BD:BD)^0.25
/((_xlfn.XLOOKUP(B14,'Base stats'!B:B,'Base stats'!BM:BM))*10)*_xlfn.XLOOKUP(_xlfn.XLOOKUP(B14,'Base stats'!B:B,'Base stats'!E:E),Groups!A:A,Groups!AE:AE)*150 + 0.5 + _xlfn.XLOOKUP(B14,'Base stats'!B:B,'Base stats'!BU:BU),
0.05))</f>
        <v>No</v>
      </c>
      <c r="W14" s="8">
        <f>MROUND(_xlfn.XLOOKUP(_xlfn.XLOOKUP(B14,'Base stats'!B:B,'Base stats'!E:E),Groups!A:A,Groups!BG:BG)*_xlfn.XLOOKUP(B14,'Base stats'!B:B,'Base stats'!C:C)^-0.165,0.01)</f>
        <v>0.87</v>
      </c>
      <c r="X14" s="1">
        <f>MROUND(_xlfn.XLOOKUP(_xlfn.XLOOKUP(B14,'Base stats'!B:B,'Base stats'!E:E),Groups!A:A,Groups!BH:BH)*_xlfn.XLOOKUP(B14,'Base stats'!B:B,'Base stats'!C:C)^0.165,0.01)</f>
        <v>0.23</v>
      </c>
      <c r="Y14" s="8">
        <f>MROUND(_xlfn.XLOOKUP(_xlfn.XLOOKUP(B14,'Base stats'!B:B,'Base stats'!E:E),Groups!A:A,Groups!BI:BI)*_xlfn.XLOOKUP(B14,'Base stats'!B:B,'Base stats'!C:C)^0.165,0.01)</f>
        <v>0.03</v>
      </c>
      <c r="Z14" s="18">
        <f>ROUND(_xlfn.XLOOKUP(B14,'Base stats'!B:B,'Base stats'!AO:AO)*_xlfn.XLOOKUP(_xlfn.XLOOKUP(B14,'Base stats'!B:B,'Base stats'!E:E),Groups!A:A,Groups!H:H)/1000,2)</f>
        <v>0.03</v>
      </c>
      <c r="AA14" s="18">
        <f>ROUND((1/2)*(_xlfn.XLOOKUP(_xlfn.XLOOKUP(B14,'Base stats'!B:B,'Base stats'!E:E),Groups!A:A,Groups!H:H)*_xlfn.XLOOKUP(_xlfn.XLOOKUP(B14,'Base stats'!B:B,'Base stats'!E:E),Groups!A:A,Groups!I:I))*_xlfn.XLOOKUP(B14,'Base stats'!B:B,'Base stats'!AO:AO)*0.01,2)</f>
        <v>0.22</v>
      </c>
      <c r="AB14" s="18">
        <f>250*(Animals!AO14+Animals!AP14)</f>
        <v>112.5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stats'!BQ:BQ) * (_xlfn.XLOOKUP(B15,'Base stats'!B:B,'Base stats'!AM:AM)*5%)^0.9 / 21,0.1),0.05)</f>
        <v>1.1000000000000001</v>
      </c>
      <c r="E15" s="11">
        <f>MAX(0.01,MROUND(_xlfn.XLOOKUP(B15,'Base stats'!B:B,'Base stats'!BE:BE) * 0.01 * 2, 0.01))</f>
        <v>0.88</v>
      </c>
      <c r="F15" s="7">
        <f>MROUND(_xlfn.XLOOKUP(B15,'Base stats'!B:B,'Base stats'!BB:BB)^0.25 / (_xlfn.XLOOKUP(B15,'Base stats'!B:B,'Base stats'!BI:BI) * 10) * 150 + 0.5 + _xlfn.XLOOKUP(B15,'Base stats'!B:B,'Base stats'!BU:BU), 0.05)</f>
        <v>1.75</v>
      </c>
      <c r="G15" s="3" t="str">
        <f>IF(Animals!S15="No","No",
IF(_xlfn.XLOOKUP(B15,'Base stats'!B:B,'Base stats'!U:U)="No",
MAX(MROUND(_xlfn.XLOOKUP(B15,'Base stats'!B:B,'Base stats'!BR:BR) * _xlfn.XLOOKUP(B15,'Base stats'!B:B,'Base stats'!BN:BN)^0.9 / 21 * _xlfn.XLOOKUP(B15,'Base stats'!B:B,'Base stats'!BV:BV),0.1),0.05),
MAX(MROUND(((MIN(10,_xlfn.XLOOKUP(B15,'Base stats'!B:B,'Base stats'!U:U)))^0.4*_xlfn.XLOOKUP(B15,'Base stats'!B:B,'Base stats'!BF:BF)^0.73)^0.6 * _xlfn.XLOOKUP(B15,'Base stats'!B:B,'Base stats'!BV:BV),0.1),0.05)
))</f>
        <v>No</v>
      </c>
      <c r="H15" s="11" t="str">
        <f>IF(G15="No","No",
MAX(0.01,MROUND(_xlfn.XLOOKUP(B15,'Base stats'!B:B,'Base stats'!BF:BF) * 0.01 * 2, 0.01))
)</f>
        <v>No</v>
      </c>
      <c r="I15" s="11" t="str">
        <f>IF(G15="No","No",IF(_xlfn.XLOOKUP(B15,'Base stats'!B:B,'Base stats'!U:U)="No","No",
MAX(0.01,MROUND(_xlfn.XLOOKUP(B15,'Base stats'!B:B,'Base stats'!BR:BR)/10000,0.01))
))</f>
        <v>No</v>
      </c>
      <c r="J15" s="4" t="str">
        <f>IF(G15="No","No",
MROUND(_xlfn.XLOOKUP(B15,'Base stats'!B:B,'Base stats'!BC:BC)^0.25
/((_xlfn.XLOOKUP(B15,'Base stats'!B:B,'Base stats'!BJ:BJ))*10)*_xlfn.XLOOKUP(_xlfn.XLOOKUP(B15,'Base stats'!B:B,'Base stats'!E:E),Groups!A:A,Groups!Q:Q)*150 + 0.5 + _xlfn.XLOOKUP(B15,'Base stats'!B:B,'Base stats'!BU:BU),
0.05))</f>
        <v>No</v>
      </c>
      <c r="K15" s="3" t="str">
        <f>IF(Animals!X15="No","No",
IF(_xlfn.XLOOKUP(_xlfn.XLOOKUP(B15,'Base stats'!B:B,'Base stats'!E:E),Groups!A:A,Groups!BD:BD)=1,
MAX(MROUND(_xlfn.XLOOKUP(B15,'Base stats'!B:B,'Base stats'!BS:BS) * _xlfn.XLOOKUP(B15,'Base stats'!B:B,'Base stats'!BO:BO)^0.9 / 21 *_xlfn.XLOOKUP(B15,'Base stats'!B:B,'Base stats'!BV:BV),0.1),0.05),
MAX(MROUND(((MIN(10,_xlfn.XLOOKUP(B15,'Base stats'!B:B,'Base stats'!W:W)))^0.4*_xlfn.XLOOKUP(B15,'Base stats'!B:B,'Base stats'!BG:BG)^0.73)^0.6 *_xlfn.XLOOKUP(B15,'Base stats'!B:B,'Base stats'!BV:BV),0.1),0.05)
))</f>
        <v>No</v>
      </c>
      <c r="L15" s="11" t="str">
        <f>IF(K15="No","No",
MAX(0.01,MROUND(_xlfn.XLOOKUP(B15,'Base stats'!B:B,'Base stats'!BG:BG) * 0.01 *2, 0.01))
)</f>
        <v>No</v>
      </c>
      <c r="M15" s="5" t="str">
        <f>IF(K15="No","No",IF(_xlfn.XLOOKUP(_xlfn.XLOOKUP(B15,'Base stats'!B:B,'Base stats'!E:E),Groups!A:A,Groups!BD:BD)=1,"No",
MAX(0.01,MROUND(_xlfn.XLOOKUP(B15,'Base stats'!B:B,'Base stats'!BS:BS)/10000,0.01))
))</f>
        <v>No</v>
      </c>
      <c r="N15" s="4" t="str">
        <f>IF(K15="No","No",
MROUND(
  _xlfn.XLOOKUP(B15,'Base stats'!B:B,'Base stats'!BA:BA)^0.25
  / (_xlfn.XLOOKUP(B15,'Base stats'!B:B,'Base stats'!BK:BK)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stats'!BU:BU),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stats'!BH:BH)^0.73)^0.6 *_xlfn.XLOOKUP(B15,'Base stats'!B:B,'Base stats'!BV:BV),0.1),0.05)
)</f>
        <v>10</v>
      </c>
      <c r="P15" s="11">
        <f>IF(O15="No","No",
MAX(0.01,MROUND(_xlfn.XLOOKUP(B15,'Base stats'!B:B,'Base stats'!BH:BH) * 0.01 * 2, 0.01))
)</f>
        <v>2.3000000000000003</v>
      </c>
      <c r="Q15" s="5">
        <f>IF(O15="No","No",
MAX(0.01,MROUND(_xlfn.XLOOKUP(B15,'Base stats'!B:B,'Base stats'!BT:BT)/10000,0.01))
)</f>
        <v>0.19</v>
      </c>
      <c r="R15" s="4">
        <f>IF(O15="No","No",
MROUND(_xlfn.XLOOKUP(B15,'Base stats'!B:B,'Base stats'!AZ:AZ)^0.25
/((_xlfn.XLOOKUP(B15,'Base stats'!B:B,'Base stats'!BL:BL))*10)*_xlfn.XLOOKUP(_xlfn.XLOOKUP(B15,'Base stats'!B:B,'Base stats'!E:E),Groups!A:A,Groups!Z:Z)*150 + 0.5 + _xlfn.XLOOKUP(B15,'Base stats'!B:B,'Base stats'!BU:BU),
0.05))</f>
        <v>2.15</v>
      </c>
      <c r="S15" s="3" t="str">
        <f>IF(Animals!AI15="No","No",
IF(_xlfn.XLOOKUP(B15,'Base stats'!B:B,'Base stats'!U:U)="No",
MAX(MROUND(_xlfn.XLOOKUP(B15,'Base stats'!B:B,'Base stats'!BR:BR) * _xlfn.XLOOKUP(B15,'Base stats'!B:B,'Base stats'!BN:BN)^0.9 / 21 * _xlfn.XLOOKUP(B15,'Base stats'!B:B,'Base stats'!BV:BV),0.1),0.05),
MAX(MROUND(((MIN(12,_xlfn.XLOOKUP(B15,'Base stats'!B:B,'Base stats'!U:U)))^0.4*_xlfn.XLOOKUP(B15,'Base stats'!B:B,'Base stats'!BF:BF)^0.73)^0.6 * _xlfn.XLOOKUP(B15,'Base stats'!B:B,'Base stats'!BV:BV),0.1),0.05)
))</f>
        <v>No</v>
      </c>
      <c r="T15" s="11" t="str">
        <f>IF(S15="No","No",
MAX(0.01,MROUND(_xlfn.XLOOKUP(B15,'Base stats'!B:B,'Base stats'!BF:BF) * 0.01 * 2, 0.01))
)</f>
        <v>No</v>
      </c>
      <c r="U15" s="5" t="str">
        <f>IF(S15="No","No",IF(_xlfn.XLOOKUP(B15,'Base stats'!B:B,'Base stats'!U:U)="No","No",
MAX(0.01,MROUND(_xlfn.XLOOKUP(B15,'Base stats'!B:B,'Base stats'!BR:BR)/10000,0.01))
))</f>
        <v>No</v>
      </c>
      <c r="V15" s="4" t="str">
        <f>IF(S15="No","No",
MROUND(_xlfn.XLOOKUP(B15,'Base stats'!B:B,'Base stats'!BD:BD)^0.25
/((_xlfn.XLOOKUP(B15,'Base stats'!B:B,'Base stats'!BM:BM))*10)*_xlfn.XLOOKUP(_xlfn.XLOOKUP(B15,'Base stats'!B:B,'Base stats'!E:E),Groups!A:A,Groups!AE:AE)*150 + 0.5 + _xlfn.XLOOKUP(B15,'Base stats'!B:B,'Base stats'!BU:BU),
0.05))</f>
        <v>No</v>
      </c>
      <c r="W15" s="8">
        <f>MROUND(_xlfn.XLOOKUP(_xlfn.XLOOKUP(B15,'Base stats'!B:B,'Base stats'!E:E),Groups!A:A,Groups!BG:BG)*_xlfn.XLOOKUP(B15,'Base stats'!B:B,'Base stats'!C:C)^-0.165,0.01)</f>
        <v>0.57000000000000006</v>
      </c>
      <c r="X15" s="1">
        <f>MROUND(_xlfn.XLOOKUP(_xlfn.XLOOKUP(B15,'Base stats'!B:B,'Base stats'!E:E),Groups!A:A,Groups!BH:BH)*_xlfn.XLOOKUP(B15,'Base stats'!B:B,'Base stats'!C:C)^0.165,0.01)</f>
        <v>0.35000000000000003</v>
      </c>
      <c r="Y15" s="8">
        <f>MROUND(_xlfn.XLOOKUP(_xlfn.XLOOKUP(B15,'Base stats'!B:B,'Base stats'!E:E),Groups!A:A,Groups!BI:BI)*_xlfn.XLOOKUP(B15,'Base stats'!B:B,'Base stats'!C:C)^0.165,0.01)</f>
        <v>0.04</v>
      </c>
      <c r="Z15" s="18">
        <f>ROUND(_xlfn.XLOOKUP(B15,'Base stats'!B:B,'Base stats'!AO:AO)*_xlfn.XLOOKUP(_xlfn.XLOOKUP(B15,'Base stats'!B:B,'Base stats'!E:E),Groups!A:A,Groups!H:H)/1000,2)</f>
        <v>7.0000000000000007E-2</v>
      </c>
      <c r="AA15" s="18">
        <f>ROUND((1/2)*(_xlfn.XLOOKUP(_xlfn.XLOOKUP(B15,'Base stats'!B:B,'Base stats'!E:E),Groups!A:A,Groups!H:H)*_xlfn.XLOOKUP(_xlfn.XLOOKUP(B15,'Base stats'!B:B,'Base stats'!E:E),Groups!A:A,Groups!I:I))*_xlfn.XLOOKUP(B15,'Base stats'!B:B,'Base stats'!AO:AO)*0.01,2)</f>
        <v>0.55000000000000004</v>
      </c>
      <c r="AB15" s="18">
        <f>250*(Animals!AO15+Animals!AP15)</f>
        <v>387.50000000000006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stats'!BQ:BQ) * (_xlfn.XLOOKUP(B16,'Base stats'!B:B,'Base stats'!AM:AM)*5%)^0.9 / 21,0.1),0.05)</f>
        <v>1.3</v>
      </c>
      <c r="E16" s="11">
        <f>MAX(0.01,MROUND(_xlfn.XLOOKUP(B16,'Base stats'!B:B,'Base stats'!BE:BE) * 0.01 * 2, 0.01))</f>
        <v>1.02</v>
      </c>
      <c r="F16" s="7">
        <f>MROUND(_xlfn.XLOOKUP(B16,'Base stats'!B:B,'Base stats'!BB:BB)^0.25 / (_xlfn.XLOOKUP(B16,'Base stats'!B:B,'Base stats'!BI:BI) * 10) * 150 + 0.5 + _xlfn.XLOOKUP(B16,'Base stats'!B:B,'Base stats'!BU:BU), 0.05)</f>
        <v>1.8</v>
      </c>
      <c r="G16" s="3" t="str">
        <f>IF(Animals!S16="No","No",
IF(_xlfn.XLOOKUP(B16,'Base stats'!B:B,'Base stats'!U:U)="No",
MAX(MROUND(_xlfn.XLOOKUP(B16,'Base stats'!B:B,'Base stats'!BR:BR) * _xlfn.XLOOKUP(B16,'Base stats'!B:B,'Base stats'!BN:BN)^0.9 / 21 * _xlfn.XLOOKUP(B16,'Base stats'!B:B,'Base stats'!BV:BV),0.1),0.05),
MAX(MROUND(((MIN(10,_xlfn.XLOOKUP(B16,'Base stats'!B:B,'Base stats'!U:U)))^0.4*_xlfn.XLOOKUP(B16,'Base stats'!B:B,'Base stats'!BF:BF)^0.73)^0.6 * _xlfn.XLOOKUP(B16,'Base stats'!B:B,'Base stats'!BV:BV),0.1),0.05)
))</f>
        <v>No</v>
      </c>
      <c r="H16" s="11" t="str">
        <f>IF(G16="No","No",
MAX(0.01,MROUND(_xlfn.XLOOKUP(B16,'Base stats'!B:B,'Base stats'!BF:BF) * 0.01 * 2, 0.01))
)</f>
        <v>No</v>
      </c>
      <c r="I16" s="11" t="str">
        <f>IF(G16="No","No",IF(_xlfn.XLOOKUP(B16,'Base stats'!B:B,'Base stats'!U:U)="No","No",
MAX(0.01,MROUND(_xlfn.XLOOKUP(B16,'Base stats'!B:B,'Base stats'!BR:BR)/10000,0.01))
))</f>
        <v>No</v>
      </c>
      <c r="J16" s="4" t="str">
        <f>IF(G16="No","No",
MROUND(_xlfn.XLOOKUP(B16,'Base stats'!B:B,'Base stats'!BC:BC)^0.25
/((_xlfn.XLOOKUP(B16,'Base stats'!B:B,'Base stats'!BJ:BJ))*10)*_xlfn.XLOOKUP(_xlfn.XLOOKUP(B16,'Base stats'!B:B,'Base stats'!E:E),Groups!A:A,Groups!Q:Q)*150 + 0.5 + _xlfn.XLOOKUP(B16,'Base stats'!B:B,'Base stats'!BU:BU),
0.05))</f>
        <v>No</v>
      </c>
      <c r="K16" s="3" t="str">
        <f>IF(Animals!X16="No","No",
IF(_xlfn.XLOOKUP(_xlfn.XLOOKUP(B16,'Base stats'!B:B,'Base stats'!E:E),Groups!A:A,Groups!BD:BD)=1,
MAX(MROUND(_xlfn.XLOOKUP(B16,'Base stats'!B:B,'Base stats'!BS:BS) * _xlfn.XLOOKUP(B16,'Base stats'!B:B,'Base stats'!BO:BO)^0.9 / 21 *_xlfn.XLOOKUP(B16,'Base stats'!B:B,'Base stats'!BV:BV),0.1),0.05),
MAX(MROUND(((MIN(10,_xlfn.XLOOKUP(B16,'Base stats'!B:B,'Base stats'!W:W)))^0.4*_xlfn.XLOOKUP(B16,'Base stats'!B:B,'Base stats'!BG:BG)^0.73)^0.6 *_xlfn.XLOOKUP(B16,'Base stats'!B:B,'Base stats'!BV:BV),0.1),0.05)
))</f>
        <v>No</v>
      </c>
      <c r="L16" s="11" t="str">
        <f>IF(K16="No","No",
MAX(0.01,MROUND(_xlfn.XLOOKUP(B16,'Base stats'!B:B,'Base stats'!BG:BG) * 0.01 *2, 0.01))
)</f>
        <v>No</v>
      </c>
      <c r="M16" s="5" t="str">
        <f>IF(K16="No","No",IF(_xlfn.XLOOKUP(_xlfn.XLOOKUP(B16,'Base stats'!B:B,'Base stats'!E:E),Groups!A:A,Groups!BD:BD)=1,"No",
MAX(0.01,MROUND(_xlfn.XLOOKUP(B16,'Base stats'!B:B,'Base stats'!BS:BS)/10000,0.01))
))</f>
        <v>No</v>
      </c>
      <c r="N16" s="4" t="str">
        <f>IF(K16="No","No",
MROUND(
  _xlfn.XLOOKUP(B16,'Base stats'!B:B,'Base stats'!BA:BA)^0.25
  / (_xlfn.XLOOKUP(B16,'Base stats'!B:B,'Base stats'!BK:BK)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stats'!BU:BU),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stats'!BH:BH)^0.73)^0.6 *_xlfn.XLOOKUP(B16,'Base stats'!B:B,'Base stats'!BV:BV),0.1),0.05)
)</f>
        <v>10.9</v>
      </c>
      <c r="P16" s="11">
        <f>IF(O16="No","No",
MAX(0.01,MROUND(_xlfn.XLOOKUP(B16,'Base stats'!B:B,'Base stats'!BH:BH) * 0.01 * 2, 0.01))
)</f>
        <v>2.67</v>
      </c>
      <c r="Q16" s="5">
        <f>IF(O16="No","No",
MAX(0.01,MROUND(_xlfn.XLOOKUP(B16,'Base stats'!B:B,'Base stats'!BT:BT)/10000,0.01))
)</f>
        <v>0.21</v>
      </c>
      <c r="R16" s="4">
        <f>IF(O16="No","No",
MROUND(_xlfn.XLOOKUP(B16,'Base stats'!B:B,'Base stats'!AZ:AZ)^0.25
/((_xlfn.XLOOKUP(B16,'Base stats'!B:B,'Base stats'!BL:BL))*10)*_xlfn.XLOOKUP(_xlfn.XLOOKUP(B16,'Base stats'!B:B,'Base stats'!E:E),Groups!A:A,Groups!Z:Z)*150 + 0.5 + _xlfn.XLOOKUP(B16,'Base stats'!B:B,'Base stats'!BU:BU),
0.05))</f>
        <v>2</v>
      </c>
      <c r="S16" s="3" t="str">
        <f>IF(Animals!AI16="No","No",
IF(_xlfn.XLOOKUP(B16,'Base stats'!B:B,'Base stats'!U:U)="No",
MAX(MROUND(_xlfn.XLOOKUP(B16,'Base stats'!B:B,'Base stats'!BR:BR) * _xlfn.XLOOKUP(B16,'Base stats'!B:B,'Base stats'!BN:BN)^0.9 / 21 * _xlfn.XLOOKUP(B16,'Base stats'!B:B,'Base stats'!BV:BV),0.1),0.05),
MAX(MROUND(((MIN(12,_xlfn.XLOOKUP(B16,'Base stats'!B:B,'Base stats'!U:U)))^0.4*_xlfn.XLOOKUP(B16,'Base stats'!B:B,'Base stats'!BF:BF)^0.73)^0.6 * _xlfn.XLOOKUP(B16,'Base stats'!B:B,'Base stats'!BV:BV),0.1),0.05)
))</f>
        <v>No</v>
      </c>
      <c r="T16" s="11" t="str">
        <f>IF(S16="No","No",
MAX(0.01,MROUND(_xlfn.XLOOKUP(B16,'Base stats'!B:B,'Base stats'!BF:BF) * 0.01 * 2, 0.01))
)</f>
        <v>No</v>
      </c>
      <c r="U16" s="5" t="str">
        <f>IF(S16="No","No",IF(_xlfn.XLOOKUP(B16,'Base stats'!B:B,'Base stats'!U:U)="No","No",
MAX(0.01,MROUND(_xlfn.XLOOKUP(B16,'Base stats'!B:B,'Base stats'!BR:BR)/10000,0.01))
))</f>
        <v>No</v>
      </c>
      <c r="V16" s="4" t="str">
        <f>IF(S16="No","No",
MROUND(_xlfn.XLOOKUP(B16,'Base stats'!B:B,'Base stats'!BD:BD)^0.25
/((_xlfn.XLOOKUP(B16,'Base stats'!B:B,'Base stats'!BM:BM))*10)*_xlfn.XLOOKUP(_xlfn.XLOOKUP(B16,'Base stats'!B:B,'Base stats'!E:E),Groups!A:A,Groups!AE:AE)*150 + 0.5 + _xlfn.XLOOKUP(B16,'Base stats'!B:B,'Base stats'!BU:BU),
0.05))</f>
        <v>No</v>
      </c>
      <c r="W16" s="8">
        <f>MROUND(_xlfn.XLOOKUP(_xlfn.XLOOKUP(B16,'Base stats'!B:B,'Base stats'!E:E),Groups!A:A,Groups!BG:BG)*_xlfn.XLOOKUP(B16,'Base stats'!B:B,'Base stats'!C:C)^-0.165,0.01)</f>
        <v>0.55000000000000004</v>
      </c>
      <c r="X16" s="1">
        <f>MROUND(_xlfn.XLOOKUP(_xlfn.XLOOKUP(B16,'Base stats'!B:B,'Base stats'!E:E),Groups!A:A,Groups!BH:BH)*_xlfn.XLOOKUP(B16,'Base stats'!B:B,'Base stats'!C:C)^0.165,0.01)</f>
        <v>0.36</v>
      </c>
      <c r="Y16" s="8">
        <f>MROUND(_xlfn.XLOOKUP(_xlfn.XLOOKUP(B16,'Base stats'!B:B,'Base stats'!E:E),Groups!A:A,Groups!BI:BI)*_xlfn.XLOOKUP(B16,'Base stats'!B:B,'Base stats'!C:C)^0.165,0.01)</f>
        <v>0.05</v>
      </c>
      <c r="Z16" s="18">
        <f>ROUND(_xlfn.XLOOKUP(B16,'Base stats'!B:B,'Base stats'!AO:AO)*_xlfn.XLOOKUP(_xlfn.XLOOKUP(B16,'Base stats'!B:B,'Base stats'!E:E),Groups!A:A,Groups!H:H)/1000,2)</f>
        <v>0.08</v>
      </c>
      <c r="AA16" s="18">
        <f>ROUND((1/2)*(_xlfn.XLOOKUP(_xlfn.XLOOKUP(B16,'Base stats'!B:B,'Base stats'!E:E),Groups!A:A,Groups!H:H)*_xlfn.XLOOKUP(_xlfn.XLOOKUP(B16,'Base stats'!B:B,'Base stats'!E:E),Groups!A:A,Groups!I:I))*_xlfn.XLOOKUP(B16,'Base stats'!B:B,'Base stats'!AO:AO)*0.01,2)</f>
        <v>0.59</v>
      </c>
      <c r="AB16" s="18">
        <f>250*(Animals!AO16+Animals!AP16)</f>
        <v>412.5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stats'!BQ:BQ) * (_xlfn.XLOOKUP(B17,'Base stats'!B:B,'Base stats'!AM:AM)*5%)^0.9 / 21,0.1),0.05)</f>
        <v>2.1</v>
      </c>
      <c r="E17" s="11">
        <f>MAX(0.01,MROUND(_xlfn.XLOOKUP(B17,'Base stats'!B:B,'Base stats'!BE:BE) * 0.01 * 2, 0.01))</f>
        <v>1.7</v>
      </c>
      <c r="F17" s="7">
        <f>MROUND(_xlfn.XLOOKUP(B17,'Base stats'!B:B,'Base stats'!BB:BB)^0.25 / (_xlfn.XLOOKUP(B17,'Base stats'!B:B,'Base stats'!BI:BI) * 10) * 150 + 0.5 + _xlfn.XLOOKUP(B17,'Base stats'!B:B,'Base stats'!BU:BU), 0.05)</f>
        <v>1.9500000000000002</v>
      </c>
      <c r="G17" s="3" t="str">
        <f>IF(Animals!S17="No","No",
IF(_xlfn.XLOOKUP(B17,'Base stats'!B:B,'Base stats'!U:U)="No",
MAX(MROUND(_xlfn.XLOOKUP(B17,'Base stats'!B:B,'Base stats'!BR:BR) * _xlfn.XLOOKUP(B17,'Base stats'!B:B,'Base stats'!BN:BN)^0.9 / 21 * _xlfn.XLOOKUP(B17,'Base stats'!B:B,'Base stats'!BV:BV),0.1),0.05),
MAX(MROUND(((MIN(10,_xlfn.XLOOKUP(B17,'Base stats'!B:B,'Base stats'!U:U)))^0.4*_xlfn.XLOOKUP(B17,'Base stats'!B:B,'Base stats'!BF:BF)^0.73)^0.6 * _xlfn.XLOOKUP(B17,'Base stats'!B:B,'Base stats'!BV:BV),0.1),0.05)
))</f>
        <v>No</v>
      </c>
      <c r="H17" s="11" t="str">
        <f>IF(G17="No","No",
MAX(0.01,MROUND(_xlfn.XLOOKUP(B17,'Base stats'!B:B,'Base stats'!BF:BF) * 0.01 * 2, 0.01))
)</f>
        <v>No</v>
      </c>
      <c r="I17" s="11" t="str">
        <f>IF(G17="No","No",IF(_xlfn.XLOOKUP(B17,'Base stats'!B:B,'Base stats'!U:U)="No","No",
MAX(0.01,MROUND(_xlfn.XLOOKUP(B17,'Base stats'!B:B,'Base stats'!BR:BR)/10000,0.01))
))</f>
        <v>No</v>
      </c>
      <c r="J17" s="4" t="str">
        <f>IF(G17="No","No",
MROUND(_xlfn.XLOOKUP(B17,'Base stats'!B:B,'Base stats'!BC:BC)^0.25
/((_xlfn.XLOOKUP(B17,'Base stats'!B:B,'Base stats'!BJ:BJ))*10)*_xlfn.XLOOKUP(_xlfn.XLOOKUP(B17,'Base stats'!B:B,'Base stats'!E:E),Groups!A:A,Groups!Q:Q)*150 + 0.5 + _xlfn.XLOOKUP(B17,'Base stats'!B:B,'Base stats'!BU:BU),
0.05))</f>
        <v>No</v>
      </c>
      <c r="K17" s="3" t="str">
        <f>IF(Animals!X17="No","No",
IF(_xlfn.XLOOKUP(_xlfn.XLOOKUP(B17,'Base stats'!B:B,'Base stats'!E:E),Groups!A:A,Groups!BD:BD)=1,
MAX(MROUND(_xlfn.XLOOKUP(B17,'Base stats'!B:B,'Base stats'!BS:BS) * _xlfn.XLOOKUP(B17,'Base stats'!B:B,'Base stats'!BO:BO)^0.9 / 21 *_xlfn.XLOOKUP(B17,'Base stats'!B:B,'Base stats'!BV:BV),0.1),0.05),
MAX(MROUND(((MIN(10,_xlfn.XLOOKUP(B17,'Base stats'!B:B,'Base stats'!W:W)))^0.4*_xlfn.XLOOKUP(B17,'Base stats'!B:B,'Base stats'!BG:BG)^0.73)^0.6 *_xlfn.XLOOKUP(B17,'Base stats'!B:B,'Base stats'!BV:BV),0.1),0.05)
))</f>
        <v>No</v>
      </c>
      <c r="L17" s="11" t="str">
        <f>IF(K17="No","No",
MAX(0.01,MROUND(_xlfn.XLOOKUP(B17,'Base stats'!B:B,'Base stats'!BG:BG) * 0.01 *2, 0.01))
)</f>
        <v>No</v>
      </c>
      <c r="M17" s="5" t="str">
        <f>IF(K17="No","No",IF(_xlfn.XLOOKUP(_xlfn.XLOOKUP(B17,'Base stats'!B:B,'Base stats'!E:E),Groups!A:A,Groups!BD:BD)=1,"No",
MAX(0.01,MROUND(_xlfn.XLOOKUP(B17,'Base stats'!B:B,'Base stats'!BS:BS)/10000,0.01))
))</f>
        <v>No</v>
      </c>
      <c r="N17" s="4" t="str">
        <f>IF(K17="No","No",
MROUND(
  _xlfn.XLOOKUP(B17,'Base stats'!B:B,'Base stats'!BA:BA)^0.25
  / (_xlfn.XLOOKUP(B17,'Base stats'!B:B,'Base stats'!BK:BK)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stats'!BU:BU),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stats'!BH:BH)^0.73)^0.6 *_xlfn.XLOOKUP(B17,'Base stats'!B:B,'Base stats'!BV:BV),0.1),0.05)
)</f>
        <v>13.200000000000001</v>
      </c>
      <c r="P17" s="11">
        <f>IF(O17="No","No",
MAX(0.01,MROUND(_xlfn.XLOOKUP(B17,'Base stats'!B:B,'Base stats'!BH:BH) * 0.01 * 2, 0.01))
)</f>
        <v>3.5300000000000002</v>
      </c>
      <c r="Q17" s="5">
        <f>IF(O17="No","No",
MAX(0.01,MROUND(_xlfn.XLOOKUP(B17,'Base stats'!B:B,'Base stats'!BT:BT)/10000,0.01))
)</f>
        <v>0.22</v>
      </c>
      <c r="R17" s="4">
        <f>IF(O17="No","No",
MROUND(_xlfn.XLOOKUP(B17,'Base stats'!B:B,'Base stats'!AZ:AZ)^0.25
/((_xlfn.XLOOKUP(B17,'Base stats'!B:B,'Base stats'!BL:BL))*10)*_xlfn.XLOOKUP(_xlfn.XLOOKUP(B17,'Base stats'!B:B,'Base stats'!E:E),Groups!A:A,Groups!Z:Z)*150 + 0.5 + _xlfn.XLOOKUP(B17,'Base stats'!B:B,'Base stats'!BU:BU),
0.05))</f>
        <v>1.9000000000000001</v>
      </c>
      <c r="S17" s="3">
        <f>IF(Animals!AI17="No","No",
IF(_xlfn.XLOOKUP(B17,'Base stats'!B:B,'Base stats'!U:U)="No",
MAX(MROUND(_xlfn.XLOOKUP(B17,'Base stats'!B:B,'Base stats'!BR:BR) * _xlfn.XLOOKUP(B17,'Base stats'!B:B,'Base stats'!BN:BN)^0.9 / 21 * _xlfn.XLOOKUP(B17,'Base stats'!B:B,'Base stats'!BV:BV),0.1),0.05),
MAX(MROUND(((MIN(12,_xlfn.XLOOKUP(B17,'Base stats'!B:B,'Base stats'!U:U)))^0.4*_xlfn.XLOOKUP(B17,'Base stats'!B:B,'Base stats'!BF:BF)^0.73)^0.6 * _xlfn.XLOOKUP(B17,'Base stats'!B:B,'Base stats'!BV:BV),0.1),0.05)
))</f>
        <v>11.9</v>
      </c>
      <c r="T17" s="11">
        <f>IF(S17="No","No",
MAX(0.01,MROUND(_xlfn.XLOOKUP(B17,'Base stats'!B:B,'Base stats'!BF:BF) * 0.01 * 2, 0.01))
)</f>
        <v>2.19</v>
      </c>
      <c r="U17" s="5">
        <f>IF(S17="No","No",IF(_xlfn.XLOOKUP(B17,'Base stats'!B:B,'Base stats'!U:U)="No","No",
MAX(0.01,MROUND(_xlfn.XLOOKUP(B17,'Base stats'!B:B,'Base stats'!BR:BR)/10000,0.01))
))</f>
        <v>0.14000000000000001</v>
      </c>
      <c r="V17" s="4">
        <f>IF(S17="No","No",
MROUND(_xlfn.XLOOKUP(B17,'Base stats'!B:B,'Base stats'!BD:BD)^0.25
/((_xlfn.XLOOKUP(B17,'Base stats'!B:B,'Base stats'!BM:BM))*10)*_xlfn.XLOOKUP(_xlfn.XLOOKUP(B17,'Base stats'!B:B,'Base stats'!E:E),Groups!A:A,Groups!AE:AE)*150 + 0.5 + _xlfn.XLOOKUP(B17,'Base stats'!B:B,'Base stats'!BU:BU),
0.05))</f>
        <v>1.4000000000000001</v>
      </c>
      <c r="W17" s="8">
        <f>MROUND(_xlfn.XLOOKUP(_xlfn.XLOOKUP(B17,'Base stats'!B:B,'Base stats'!E:E),Groups!A:A,Groups!BG:BG)*_xlfn.XLOOKUP(B17,'Base stats'!B:B,'Base stats'!C:C)^-0.165,0.01)</f>
        <v>0.63</v>
      </c>
      <c r="X17" s="1">
        <f>MROUND(_xlfn.XLOOKUP(_xlfn.XLOOKUP(B17,'Base stats'!B:B,'Base stats'!E:E),Groups!A:A,Groups!BH:BH)*_xlfn.XLOOKUP(B17,'Base stats'!B:B,'Base stats'!C:C)^0.165,0.01)</f>
        <v>0.5</v>
      </c>
      <c r="Y17" s="8">
        <f>MROUND(_xlfn.XLOOKUP(_xlfn.XLOOKUP(B17,'Base stats'!B:B,'Base stats'!E:E),Groups!A:A,Groups!BI:BI)*_xlfn.XLOOKUP(B17,'Base stats'!B:B,'Base stats'!C:C)^0.165,0.01)</f>
        <v>0.05</v>
      </c>
      <c r="Z17" s="18">
        <f>ROUND(_xlfn.XLOOKUP(B17,'Base stats'!B:B,'Base stats'!AO:AO)*_xlfn.XLOOKUP(_xlfn.XLOOKUP(B17,'Base stats'!B:B,'Base stats'!E:E),Groups!A:A,Groups!H:H)/1000,2)</f>
        <v>0.09</v>
      </c>
      <c r="AA17" s="18">
        <f>ROUND((1/2)*(_xlfn.XLOOKUP(_xlfn.XLOOKUP(B17,'Base stats'!B:B,'Base stats'!E:E),Groups!A:A,Groups!H:H)*_xlfn.XLOOKUP(_xlfn.XLOOKUP(B17,'Base stats'!B:B,'Base stats'!E:E),Groups!A:A,Groups!I:I))*_xlfn.XLOOKUP(B17,'Base stats'!B:B,'Base stats'!AO:AO)*0.01,2)</f>
        <v>0.71</v>
      </c>
      <c r="AB17" s="18">
        <f>250*(Animals!AO17+Animals!AP17)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stats'!BQ:BQ) * (_xlfn.XLOOKUP(B18,'Base stats'!B:B,'Base stats'!AM:AM)*5%)^0.9 / 21,0.1),0.05)</f>
        <v>1.8</v>
      </c>
      <c r="E18" s="11">
        <f>MAX(0.01,MROUND(_xlfn.XLOOKUP(B18,'Base stats'!B:B,'Base stats'!BE:BE) * 0.01 * 2, 0.01))</f>
        <v>1.47</v>
      </c>
      <c r="F18" s="7">
        <f>MROUND(_xlfn.XLOOKUP(B18,'Base stats'!B:B,'Base stats'!BB:BB)^0.25 / (_xlfn.XLOOKUP(B18,'Base stats'!B:B,'Base stats'!BI:BI) * 10) * 150 + 0.5 + _xlfn.XLOOKUP(B18,'Base stats'!B:B,'Base stats'!BU:BU), 0.05)</f>
        <v>1.9000000000000001</v>
      </c>
      <c r="G18" s="3" t="str">
        <f>IF(Animals!S18="No","No",
IF(_xlfn.XLOOKUP(B18,'Base stats'!B:B,'Base stats'!U:U)="No",
MAX(MROUND(_xlfn.XLOOKUP(B18,'Base stats'!B:B,'Base stats'!BR:BR) * _xlfn.XLOOKUP(B18,'Base stats'!B:B,'Base stats'!BN:BN)^0.9 / 21 * _xlfn.XLOOKUP(B18,'Base stats'!B:B,'Base stats'!BV:BV),0.1),0.05),
MAX(MROUND(((MIN(10,_xlfn.XLOOKUP(B18,'Base stats'!B:B,'Base stats'!U:U)))^0.4*_xlfn.XLOOKUP(B18,'Base stats'!B:B,'Base stats'!BF:BF)^0.73)^0.6 * _xlfn.XLOOKUP(B18,'Base stats'!B:B,'Base stats'!BV:BV),0.1),0.05)
))</f>
        <v>No</v>
      </c>
      <c r="H18" s="11" t="str">
        <f>IF(G18="No","No",
MAX(0.01,MROUND(_xlfn.XLOOKUP(B18,'Base stats'!B:B,'Base stats'!BF:BF) * 0.01 * 2, 0.01))
)</f>
        <v>No</v>
      </c>
      <c r="I18" s="11" t="str">
        <f>IF(G18="No","No",IF(_xlfn.XLOOKUP(B18,'Base stats'!B:B,'Base stats'!U:U)="No","No",
MAX(0.01,MROUND(_xlfn.XLOOKUP(B18,'Base stats'!B:B,'Base stats'!BR:BR)/10000,0.01))
))</f>
        <v>No</v>
      </c>
      <c r="J18" s="4" t="str">
        <f>IF(G18="No","No",
MROUND(_xlfn.XLOOKUP(B18,'Base stats'!B:B,'Base stats'!BC:BC)^0.25
/((_xlfn.XLOOKUP(B18,'Base stats'!B:B,'Base stats'!BJ:BJ))*10)*_xlfn.XLOOKUP(_xlfn.XLOOKUP(B18,'Base stats'!B:B,'Base stats'!E:E),Groups!A:A,Groups!Q:Q)*150 + 0.5 + _xlfn.XLOOKUP(B18,'Base stats'!B:B,'Base stats'!BU:BU),
0.05))</f>
        <v>No</v>
      </c>
      <c r="K18" s="3" t="str">
        <f>IF(Animals!X18="No","No",
IF(_xlfn.XLOOKUP(_xlfn.XLOOKUP(B18,'Base stats'!B:B,'Base stats'!E:E),Groups!A:A,Groups!BD:BD)=1,
MAX(MROUND(_xlfn.XLOOKUP(B18,'Base stats'!B:B,'Base stats'!BS:BS) * _xlfn.XLOOKUP(B18,'Base stats'!B:B,'Base stats'!BO:BO)^0.9 / 21 *_xlfn.XLOOKUP(B18,'Base stats'!B:B,'Base stats'!BV:BV),0.1),0.05),
MAX(MROUND(((MIN(10,_xlfn.XLOOKUP(B18,'Base stats'!B:B,'Base stats'!W:W)))^0.4*_xlfn.XLOOKUP(B18,'Base stats'!B:B,'Base stats'!BG:BG)^0.73)^0.6 *_xlfn.XLOOKUP(B18,'Base stats'!B:B,'Base stats'!BV:BV),0.1),0.05)
))</f>
        <v>No</v>
      </c>
      <c r="L18" s="11" t="str">
        <f>IF(K18="No","No",
MAX(0.01,MROUND(_xlfn.XLOOKUP(B18,'Base stats'!B:B,'Base stats'!BG:BG) * 0.01 *2, 0.01))
)</f>
        <v>No</v>
      </c>
      <c r="M18" s="5" t="str">
        <f>IF(K18="No","No",IF(_xlfn.XLOOKUP(_xlfn.XLOOKUP(B18,'Base stats'!B:B,'Base stats'!E:E),Groups!A:A,Groups!BD:BD)=1,"No",
MAX(0.01,MROUND(_xlfn.XLOOKUP(B18,'Base stats'!B:B,'Base stats'!BS:BS)/10000,0.01))
))</f>
        <v>No</v>
      </c>
      <c r="N18" s="4" t="str">
        <f>IF(K18="No","No",
MROUND(
  _xlfn.XLOOKUP(B18,'Base stats'!B:B,'Base stats'!BA:BA)^0.25
  / (_xlfn.XLOOKUP(B18,'Base stats'!B:B,'Base stats'!BK:BK)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stats'!BU:BU),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stats'!BH:BH)^0.73)^0.6 *_xlfn.XLOOKUP(B18,'Base stats'!B:B,'Base stats'!BV:BV),0.1),0.05)
)</f>
        <v>14.9</v>
      </c>
      <c r="P18" s="11">
        <f>IF(O18="No","No",
MAX(0.01,MROUND(_xlfn.XLOOKUP(B18,'Base stats'!B:B,'Base stats'!BH:BH) * 0.01 * 2, 0.01))
)</f>
        <v>4.79</v>
      </c>
      <c r="Q18" s="5">
        <f>IF(O18="No","No",
MAX(0.01,MROUND(_xlfn.XLOOKUP(B18,'Base stats'!B:B,'Base stats'!BT:BT)/10000,0.01))
)</f>
        <v>0.32</v>
      </c>
      <c r="R18" s="4">
        <f>IF(O18="No","No",
MROUND(_xlfn.XLOOKUP(B18,'Base stats'!B:B,'Base stats'!AZ:AZ)^0.25
/((_xlfn.XLOOKUP(B18,'Base stats'!B:B,'Base stats'!BL:BL))*10)*_xlfn.XLOOKUP(_xlfn.XLOOKUP(B18,'Base stats'!B:B,'Base stats'!E:E),Groups!A:A,Groups!Z:Z)*150 + 0.5 + _xlfn.XLOOKUP(B18,'Base stats'!B:B,'Base stats'!BU:BU),
0.05))</f>
        <v>2</v>
      </c>
      <c r="S18" s="3">
        <f>IF(Animals!AI18="No","No",
IF(_xlfn.XLOOKUP(B18,'Base stats'!B:B,'Base stats'!U:U)="No",
MAX(MROUND(_xlfn.XLOOKUP(B18,'Base stats'!B:B,'Base stats'!BR:BR) * _xlfn.XLOOKUP(B18,'Base stats'!B:B,'Base stats'!BN:BN)^0.9 / 21 * _xlfn.XLOOKUP(B18,'Base stats'!B:B,'Base stats'!BV:BV),0.1),0.05),
MAX(MROUND(((MIN(12,_xlfn.XLOOKUP(B18,'Base stats'!B:B,'Base stats'!U:U)))^0.4*_xlfn.XLOOKUP(B18,'Base stats'!B:B,'Base stats'!BF:BF)^0.73)^0.6 * _xlfn.XLOOKUP(B18,'Base stats'!B:B,'Base stats'!BV:BV),0.1),0.05)
))</f>
        <v>11.100000000000001</v>
      </c>
      <c r="T18" s="11">
        <f>IF(S18="No","No",
MAX(0.01,MROUND(_xlfn.XLOOKUP(B18,'Base stats'!B:B,'Base stats'!BF:BF) * 0.01 * 2, 0.01))
)</f>
        <v>1.92</v>
      </c>
      <c r="U18" s="5">
        <f>IF(S18="No","No",IF(_xlfn.XLOOKUP(B18,'Base stats'!B:B,'Base stats'!U:U)="No","No",
MAX(0.01,MROUND(_xlfn.XLOOKUP(B18,'Base stats'!B:B,'Base stats'!BR:BR)/10000,0.01))
))</f>
        <v>0.13</v>
      </c>
      <c r="V18" s="4">
        <f>IF(S18="No","No",
MROUND(_xlfn.XLOOKUP(B18,'Base stats'!B:B,'Base stats'!BD:BD)^0.25
/((_xlfn.XLOOKUP(B18,'Base stats'!B:B,'Base stats'!BM:BM))*10)*_xlfn.XLOOKUP(_xlfn.XLOOKUP(B18,'Base stats'!B:B,'Base stats'!E:E),Groups!A:A,Groups!AE:AE)*150 + 0.5 + _xlfn.XLOOKUP(B18,'Base stats'!B:B,'Base stats'!BU:BU),
0.05))</f>
        <v>1.35</v>
      </c>
      <c r="W18" s="8">
        <f>MROUND(_xlfn.XLOOKUP(_xlfn.XLOOKUP(B18,'Base stats'!B:B,'Base stats'!E:E),Groups!A:A,Groups!BG:BG)*_xlfn.XLOOKUP(B18,'Base stats'!B:B,'Base stats'!C:C)^-0.165,0.01)</f>
        <v>0.65</v>
      </c>
      <c r="X18" s="1">
        <f>MROUND(_xlfn.XLOOKUP(_xlfn.XLOOKUP(B18,'Base stats'!B:B,'Base stats'!E:E),Groups!A:A,Groups!BH:BH)*_xlfn.XLOOKUP(B18,'Base stats'!B:B,'Base stats'!C:C)^0.165,0.01)</f>
        <v>0.48</v>
      </c>
      <c r="Y18" s="8">
        <f>MROUND(_xlfn.XLOOKUP(_xlfn.XLOOKUP(B18,'Base stats'!B:B,'Base stats'!E:E),Groups!A:A,Groups!BI:BI)*_xlfn.XLOOKUP(B18,'Base stats'!B:B,'Base stats'!C:C)^0.165,0.01)</f>
        <v>0.05</v>
      </c>
      <c r="Z18" s="18">
        <f>ROUND(_xlfn.XLOOKUP(B18,'Base stats'!B:B,'Base stats'!AO:AO)*_xlfn.XLOOKUP(_xlfn.XLOOKUP(B18,'Base stats'!B:B,'Base stats'!E:E),Groups!A:A,Groups!H:H)/1000,2)</f>
        <v>0.09</v>
      </c>
      <c r="AA18" s="18">
        <f>ROUND((1/2)*(_xlfn.XLOOKUP(_xlfn.XLOOKUP(B18,'Base stats'!B:B,'Base stats'!E:E),Groups!A:A,Groups!H:H)*_xlfn.XLOOKUP(_xlfn.XLOOKUP(B18,'Base stats'!B:B,'Base stats'!E:E),Groups!A:A,Groups!I:I))*_xlfn.XLOOKUP(B18,'Base stats'!B:B,'Base stats'!AO:AO)*0.01,2)</f>
        <v>0.67</v>
      </c>
      <c r="AB18" s="18">
        <f>250*(Animals!AO18+Animals!AP18)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stats'!BQ:BQ) * (_xlfn.XLOOKUP(B19,'Base stats'!B:B,'Base stats'!AM:AM)*5%)^0.9 / 21,0.1),0.05)</f>
        <v>0.9</v>
      </c>
      <c r="E19" s="11">
        <f>MAX(0.01,MROUND(_xlfn.XLOOKUP(B19,'Base stats'!B:B,'Base stats'!BE:BE) * 0.01 * 2, 0.01))</f>
        <v>0.68</v>
      </c>
      <c r="F19" s="7">
        <f>MROUND(_xlfn.XLOOKUP(B19,'Base stats'!B:B,'Base stats'!BB:BB)^0.25 / (_xlfn.XLOOKUP(B19,'Base stats'!B:B,'Base stats'!BI:BI) * 10) * 150 + 0.5 + _xlfn.XLOOKUP(B19,'Base stats'!B:B,'Base stats'!BU:BU), 0.05)</f>
        <v>1.6500000000000001</v>
      </c>
      <c r="G19" s="3" t="str">
        <f>IF(Animals!S19="No","No",
IF(_xlfn.XLOOKUP(B19,'Base stats'!B:B,'Base stats'!U:U)="No",
MAX(MROUND(_xlfn.XLOOKUP(B19,'Base stats'!B:B,'Base stats'!BR:BR) * _xlfn.XLOOKUP(B19,'Base stats'!B:B,'Base stats'!BN:BN)^0.9 / 21 * _xlfn.XLOOKUP(B19,'Base stats'!B:B,'Base stats'!BV:BV),0.1),0.05),
MAX(MROUND(((MIN(10,_xlfn.XLOOKUP(B19,'Base stats'!B:B,'Base stats'!U:U)))^0.4*_xlfn.XLOOKUP(B19,'Base stats'!B:B,'Base stats'!BF:BF)^0.73)^0.6 * _xlfn.XLOOKUP(B19,'Base stats'!B:B,'Base stats'!BV:BV),0.1),0.05)
))</f>
        <v>No</v>
      </c>
      <c r="H19" s="11" t="str">
        <f>IF(G19="No","No",
MAX(0.01,MROUND(_xlfn.XLOOKUP(B19,'Base stats'!B:B,'Base stats'!BF:BF) * 0.01 * 2, 0.01))
)</f>
        <v>No</v>
      </c>
      <c r="I19" s="11" t="str">
        <f>IF(G19="No","No",IF(_xlfn.XLOOKUP(B19,'Base stats'!B:B,'Base stats'!U:U)="No","No",
MAX(0.01,MROUND(_xlfn.XLOOKUP(B19,'Base stats'!B:B,'Base stats'!BR:BR)/10000,0.01))
))</f>
        <v>No</v>
      </c>
      <c r="J19" s="4" t="str">
        <f>IF(G19="No","No",
MROUND(_xlfn.XLOOKUP(B19,'Base stats'!B:B,'Base stats'!BC:BC)^0.25
/((_xlfn.XLOOKUP(B19,'Base stats'!B:B,'Base stats'!BJ:BJ))*10)*_xlfn.XLOOKUP(_xlfn.XLOOKUP(B19,'Base stats'!B:B,'Base stats'!E:E),Groups!A:A,Groups!Q:Q)*150 + 0.5 + _xlfn.XLOOKUP(B19,'Base stats'!B:B,'Base stats'!BU:BU),
0.05))</f>
        <v>No</v>
      </c>
      <c r="K19" s="3" t="str">
        <f>IF(Animals!X19="No","No",
IF(_xlfn.XLOOKUP(_xlfn.XLOOKUP(B19,'Base stats'!B:B,'Base stats'!E:E),Groups!A:A,Groups!BD:BD)=1,
MAX(MROUND(_xlfn.XLOOKUP(B19,'Base stats'!B:B,'Base stats'!BS:BS) * _xlfn.XLOOKUP(B19,'Base stats'!B:B,'Base stats'!BO:BO)^0.9 / 21 *_xlfn.XLOOKUP(B19,'Base stats'!B:B,'Base stats'!BV:BV),0.1),0.05),
MAX(MROUND(((MIN(10,_xlfn.XLOOKUP(B19,'Base stats'!B:B,'Base stats'!W:W)))^0.4*_xlfn.XLOOKUP(B19,'Base stats'!B:B,'Base stats'!BG:BG)^0.73)^0.6 *_xlfn.XLOOKUP(B19,'Base stats'!B:B,'Base stats'!BV:BV),0.1),0.05)
))</f>
        <v>No</v>
      </c>
      <c r="L19" s="11" t="str">
        <f>IF(K19="No","No",
MAX(0.01,MROUND(_xlfn.XLOOKUP(B19,'Base stats'!B:B,'Base stats'!BG:BG) * 0.01 *2, 0.01))
)</f>
        <v>No</v>
      </c>
      <c r="M19" s="5" t="str">
        <f>IF(K19="No","No",IF(_xlfn.XLOOKUP(_xlfn.XLOOKUP(B19,'Base stats'!B:B,'Base stats'!E:E),Groups!A:A,Groups!BD:BD)=1,"No",
MAX(0.01,MROUND(_xlfn.XLOOKUP(B19,'Base stats'!B:B,'Base stats'!BS:BS)/10000,0.01))
))</f>
        <v>No</v>
      </c>
      <c r="N19" s="4" t="str">
        <f>IF(K19="No","No",
MROUND(
  _xlfn.XLOOKUP(B19,'Base stats'!B:B,'Base stats'!BA:BA)^0.25
  / (_xlfn.XLOOKUP(B19,'Base stats'!B:B,'Base stats'!BK:BK)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stats'!BU:BU),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stats'!BH:BH)^0.73)^0.6 *_xlfn.XLOOKUP(B19,'Base stats'!B:B,'Base stats'!BV:BV),0.1),0.05)
)</f>
        <v>8</v>
      </c>
      <c r="P19" s="11">
        <f>IF(O19="No","No",
MAX(0.01,MROUND(_xlfn.XLOOKUP(B19,'Base stats'!B:B,'Base stats'!BH:BH) * 0.01 * 2, 0.01))
)</f>
        <v>1.37</v>
      </c>
      <c r="Q19" s="5">
        <f>IF(O19="No","No",
MAX(0.01,MROUND(_xlfn.XLOOKUP(B19,'Base stats'!B:B,'Base stats'!BT:BT)/10000,0.01))
)</f>
        <v>0.13</v>
      </c>
      <c r="R19" s="4">
        <f>IF(O19="No","No",
MROUND(_xlfn.XLOOKUP(B19,'Base stats'!B:B,'Base stats'!AZ:AZ)^0.25
/((_xlfn.XLOOKUP(B19,'Base stats'!B:B,'Base stats'!BL:BL))*10)*_xlfn.XLOOKUP(_xlfn.XLOOKUP(B19,'Base stats'!B:B,'Base stats'!E:E),Groups!A:A,Groups!Z:Z)*150 + 0.5 + _xlfn.XLOOKUP(B19,'Base stats'!B:B,'Base stats'!BU:BU),
0.05))</f>
        <v>1.8</v>
      </c>
      <c r="S19" s="3">
        <f>IF(Animals!AI19="No","No",
IF(_xlfn.XLOOKUP(B19,'Base stats'!B:B,'Base stats'!U:U)="No",
MAX(MROUND(_xlfn.XLOOKUP(B19,'Base stats'!B:B,'Base stats'!BR:BR) * _xlfn.XLOOKUP(B19,'Base stats'!B:B,'Base stats'!BN:BN)^0.9 / 21 * _xlfn.XLOOKUP(B19,'Base stats'!B:B,'Base stats'!BV:BV),0.1),0.05),
MAX(MROUND(((MIN(12,_xlfn.XLOOKUP(B19,'Base stats'!B:B,'Base stats'!U:U)))^0.4*_xlfn.XLOOKUP(B19,'Base stats'!B:B,'Base stats'!BF:BF)^0.73)^0.6 * _xlfn.XLOOKUP(B19,'Base stats'!B:B,'Base stats'!BV:BV),0.1),0.05)
))</f>
        <v>7.4</v>
      </c>
      <c r="T19" s="11">
        <f>IF(S19="No","No",
MAX(0.01,MROUND(_xlfn.XLOOKUP(B19,'Base stats'!B:B,'Base stats'!BF:BF) * 0.01 * 2, 0.01))
)</f>
        <v>0.93</v>
      </c>
      <c r="U19" s="5">
        <f>IF(S19="No","No",IF(_xlfn.XLOOKUP(B19,'Base stats'!B:B,'Base stats'!U:U)="No","No",
MAX(0.01,MROUND(_xlfn.XLOOKUP(B19,'Base stats'!B:B,'Base stats'!BR:BR)/10000,0.01))
))</f>
        <v>0.09</v>
      </c>
      <c r="V19" s="4">
        <f>IF(S19="No","No",
MROUND(_xlfn.XLOOKUP(B19,'Base stats'!B:B,'Base stats'!BD:BD)^0.25
/((_xlfn.XLOOKUP(B19,'Base stats'!B:B,'Base stats'!BM:BM))*10)*_xlfn.XLOOKUP(_xlfn.XLOOKUP(B19,'Base stats'!B:B,'Base stats'!E:E),Groups!A:A,Groups!AE:AE)*150 + 0.5 + _xlfn.XLOOKUP(B19,'Base stats'!B:B,'Base stats'!BU:BU),
0.05))</f>
        <v>1.3</v>
      </c>
      <c r="W19" s="8">
        <f>MROUND(_xlfn.XLOOKUP(_xlfn.XLOOKUP(B19,'Base stats'!B:B,'Base stats'!E:E),Groups!A:A,Groups!BG:BG)*_xlfn.XLOOKUP(B19,'Base stats'!B:B,'Base stats'!C:C)^-0.165,0.01)</f>
        <v>0.75</v>
      </c>
      <c r="X19" s="1">
        <f>MROUND(_xlfn.XLOOKUP(_xlfn.XLOOKUP(B19,'Base stats'!B:B,'Base stats'!E:E),Groups!A:A,Groups!BH:BH)*_xlfn.XLOOKUP(B19,'Base stats'!B:B,'Base stats'!C:C)^0.165,0.01)</f>
        <v>0.42</v>
      </c>
      <c r="Y19" s="8">
        <f>MROUND(_xlfn.XLOOKUP(_xlfn.XLOOKUP(B19,'Base stats'!B:B,'Base stats'!E:E),Groups!A:A,Groups!BI:BI)*_xlfn.XLOOKUP(B19,'Base stats'!B:B,'Base stats'!C:C)^0.165,0.01)</f>
        <v>0.04</v>
      </c>
      <c r="Z19" s="18">
        <f>ROUND(_xlfn.XLOOKUP(B19,'Base stats'!B:B,'Base stats'!AO:AO)*_xlfn.XLOOKUP(_xlfn.XLOOKUP(B19,'Base stats'!B:B,'Base stats'!E:E),Groups!A:A,Groups!H:H)/1000,2)</f>
        <v>7.0000000000000007E-2</v>
      </c>
      <c r="AA19" s="18">
        <f>ROUND((1/2)*(_xlfn.XLOOKUP(_xlfn.XLOOKUP(B19,'Base stats'!B:B,'Base stats'!E:E),Groups!A:A,Groups!H:H)*_xlfn.XLOOKUP(_xlfn.XLOOKUP(B19,'Base stats'!B:B,'Base stats'!E:E),Groups!A:A,Groups!I:I))*_xlfn.XLOOKUP(B19,'Base stats'!B:B,'Base stats'!AO:AO)*0.01,2)</f>
        <v>0.5</v>
      </c>
      <c r="AB19" s="18">
        <f>250*(Animals!AO19+Animals!AP19)</f>
        <v>325.00000000000006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stats'!BQ:BQ) * (_xlfn.XLOOKUP(B20,'Base stats'!B:B,'Base stats'!AM:AM)*5%)^0.9 / 21,0.1),0.05)</f>
        <v>0.2</v>
      </c>
      <c r="E20" s="11">
        <f>MAX(0.01,MROUND(_xlfn.XLOOKUP(B20,'Base stats'!B:B,'Base stats'!BE:BE) * 0.01 * 2, 0.01))</f>
        <v>0.14000000000000001</v>
      </c>
      <c r="F20" s="7">
        <f>MROUND(_xlfn.XLOOKUP(B20,'Base stats'!B:B,'Base stats'!BB:BB)^0.25 / (_xlfn.XLOOKUP(B20,'Base stats'!B:B,'Base stats'!BI:BI) * 10) * 150 + 0.5 + _xlfn.XLOOKUP(B20,'Base stats'!B:B,'Base stats'!BU:BU), 0.05)</f>
        <v>1.4000000000000001</v>
      </c>
      <c r="G20" s="3" t="str">
        <f>IF(Animals!S20="No","No",
IF(_xlfn.XLOOKUP(B20,'Base stats'!B:B,'Base stats'!U:U)="No",
MAX(MROUND(_xlfn.XLOOKUP(B20,'Base stats'!B:B,'Base stats'!BR:BR) * _xlfn.XLOOKUP(B20,'Base stats'!B:B,'Base stats'!BN:BN)^0.9 / 21 * _xlfn.XLOOKUP(B20,'Base stats'!B:B,'Base stats'!BV:BV),0.1),0.05),
MAX(MROUND(((MIN(10,_xlfn.XLOOKUP(B20,'Base stats'!B:B,'Base stats'!U:U)))^0.4*_xlfn.XLOOKUP(B20,'Base stats'!B:B,'Base stats'!BF:BF)^0.73)^0.6 * _xlfn.XLOOKUP(B20,'Base stats'!B:B,'Base stats'!BV:BV),0.1),0.05)
))</f>
        <v>No</v>
      </c>
      <c r="H20" s="11" t="str">
        <f>IF(G20="No","No",
MAX(0.01,MROUND(_xlfn.XLOOKUP(B20,'Base stats'!B:B,'Base stats'!BF:BF) * 0.01 * 2, 0.01))
)</f>
        <v>No</v>
      </c>
      <c r="I20" s="11" t="str">
        <f>IF(G20="No","No",IF(_xlfn.XLOOKUP(B20,'Base stats'!B:B,'Base stats'!U:U)="No","No",
MAX(0.01,MROUND(_xlfn.XLOOKUP(B20,'Base stats'!B:B,'Base stats'!BR:BR)/10000,0.01))
))</f>
        <v>No</v>
      </c>
      <c r="J20" s="4" t="str">
        <f>IF(G20="No","No",
MROUND(_xlfn.XLOOKUP(B20,'Base stats'!B:B,'Base stats'!BC:BC)^0.25
/((_xlfn.XLOOKUP(B20,'Base stats'!B:B,'Base stats'!BJ:BJ))*10)*_xlfn.XLOOKUP(_xlfn.XLOOKUP(B20,'Base stats'!B:B,'Base stats'!E:E),Groups!A:A,Groups!Q:Q)*150 + 0.5 + _xlfn.XLOOKUP(B20,'Base stats'!B:B,'Base stats'!BU:BU),
0.05))</f>
        <v>No</v>
      </c>
      <c r="K20" s="3" t="str">
        <f>IF(Animals!X20="No","No",
IF(_xlfn.XLOOKUP(_xlfn.XLOOKUP(B20,'Base stats'!B:B,'Base stats'!E:E),Groups!A:A,Groups!BD:BD)=1,
MAX(MROUND(_xlfn.XLOOKUP(B20,'Base stats'!B:B,'Base stats'!BS:BS) * _xlfn.XLOOKUP(B20,'Base stats'!B:B,'Base stats'!BO:BO)^0.9 / 21 *_xlfn.XLOOKUP(B20,'Base stats'!B:B,'Base stats'!BV:BV),0.1),0.05),
MAX(MROUND(((MIN(10,_xlfn.XLOOKUP(B20,'Base stats'!B:B,'Base stats'!W:W)))^0.4*_xlfn.XLOOKUP(B20,'Base stats'!B:B,'Base stats'!BG:BG)^0.73)^0.6 *_xlfn.XLOOKUP(B20,'Base stats'!B:B,'Base stats'!BV:BV),0.1),0.05)
))</f>
        <v>No</v>
      </c>
      <c r="L20" s="11" t="str">
        <f>IF(K20="No","No",
MAX(0.01,MROUND(_xlfn.XLOOKUP(B20,'Base stats'!B:B,'Base stats'!BG:BG) * 0.01 *2, 0.01))
)</f>
        <v>No</v>
      </c>
      <c r="M20" s="5" t="str">
        <f>IF(K20="No","No",IF(_xlfn.XLOOKUP(_xlfn.XLOOKUP(B20,'Base stats'!B:B,'Base stats'!E:E),Groups!A:A,Groups!BD:BD)=1,"No",
MAX(0.01,MROUND(_xlfn.XLOOKUP(B20,'Base stats'!B:B,'Base stats'!BS:BS)/10000,0.01))
))</f>
        <v>No</v>
      </c>
      <c r="N20" s="4" t="str">
        <f>IF(K20="No","No",
MROUND(
  _xlfn.XLOOKUP(B20,'Base stats'!B:B,'Base stats'!BA:BA)^0.25
  / (_xlfn.XLOOKUP(B20,'Base stats'!B:B,'Base stats'!BK:BK)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stats'!BU:BU),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stats'!BH:BH)^0.73)^0.6 *_xlfn.XLOOKUP(B20,'Base stats'!B:B,'Base stats'!BV:BV),0.1),0.05)
)</f>
        <v>3.7</v>
      </c>
      <c r="P20" s="11">
        <f>IF(O20="No","No",
MAX(0.01,MROUND(_xlfn.XLOOKUP(B20,'Base stats'!B:B,'Base stats'!BH:BH) * 0.01 * 2, 0.01))
)</f>
        <v>0.37</v>
      </c>
      <c r="Q20" s="5">
        <f>IF(O20="No","No",
MAX(0.01,MROUND(_xlfn.XLOOKUP(B20,'Base stats'!B:B,'Base stats'!BT:BT)/10000,0.01))
)</f>
        <v>7.0000000000000007E-2</v>
      </c>
      <c r="R20" s="4">
        <f>IF(O20="No","No",
MROUND(_xlfn.XLOOKUP(B20,'Base stats'!B:B,'Base stats'!AZ:AZ)^0.25
/((_xlfn.XLOOKUP(B20,'Base stats'!B:B,'Base stats'!BL:BL))*10)*_xlfn.XLOOKUP(_xlfn.XLOOKUP(B20,'Base stats'!B:B,'Base stats'!E:E),Groups!A:A,Groups!Z:Z)*150 + 0.5 + _xlfn.XLOOKUP(B20,'Base stats'!B:B,'Base stats'!BU:BU),
0.05))</f>
        <v>1.6500000000000001</v>
      </c>
      <c r="S20" s="3">
        <f>IF(Animals!AI20="No","No",
IF(_xlfn.XLOOKUP(B20,'Base stats'!B:B,'Base stats'!U:U)="No",
MAX(MROUND(_xlfn.XLOOKUP(B20,'Base stats'!B:B,'Base stats'!BR:BR) * _xlfn.XLOOKUP(B20,'Base stats'!B:B,'Base stats'!BN:BN)^0.9 / 21 * _xlfn.XLOOKUP(B20,'Base stats'!B:B,'Base stats'!BV:BV),0.1),0.05),
MAX(MROUND(((MIN(12,_xlfn.XLOOKUP(B20,'Base stats'!B:B,'Base stats'!U:U)))^0.4*_xlfn.XLOOKUP(B20,'Base stats'!B:B,'Base stats'!BF:BF)^0.73)^0.6 * _xlfn.XLOOKUP(B20,'Base stats'!B:B,'Base stats'!BV:BV),0.1),0.05)
))</f>
        <v>2.9000000000000004</v>
      </c>
      <c r="T20" s="11">
        <f>IF(S20="No","No",
MAX(0.01,MROUND(_xlfn.XLOOKUP(B20,'Base stats'!B:B,'Base stats'!BF:BF) * 0.01 * 2, 0.01))
)</f>
        <v>0.2</v>
      </c>
      <c r="U20" s="5">
        <f>IF(S20="No","No",IF(_xlfn.XLOOKUP(B20,'Base stats'!B:B,'Base stats'!U:U)="No","No",
MAX(0.01,MROUND(_xlfn.XLOOKUP(B20,'Base stats'!B:B,'Base stats'!BR:BR)/10000,0.01))
))</f>
        <v>0.04</v>
      </c>
      <c r="V20" s="4">
        <f>IF(S20="No","No",
MROUND(_xlfn.XLOOKUP(B20,'Base stats'!B:B,'Base stats'!BD:BD)^0.25
/((_xlfn.XLOOKUP(B20,'Base stats'!B:B,'Base stats'!BM:BM))*10)*_xlfn.XLOOKUP(_xlfn.XLOOKUP(B20,'Base stats'!B:B,'Base stats'!E:E),Groups!A:A,Groups!AE:AE)*150 + 0.5 + _xlfn.XLOOKUP(B20,'Base stats'!B:B,'Base stats'!BU:BU),
0.05))</f>
        <v>1.05</v>
      </c>
      <c r="W20" s="8">
        <f>MROUND(_xlfn.XLOOKUP(_xlfn.XLOOKUP(B20,'Base stats'!B:B,'Base stats'!E:E),Groups!A:A,Groups!BG:BG)*_xlfn.XLOOKUP(B20,'Base stats'!B:B,'Base stats'!C:C)^-0.165,0.01)</f>
        <v>1</v>
      </c>
      <c r="X20" s="1">
        <f>MROUND(_xlfn.XLOOKUP(_xlfn.XLOOKUP(B20,'Base stats'!B:B,'Base stats'!E:E),Groups!A:A,Groups!BH:BH)*_xlfn.XLOOKUP(B20,'Base stats'!B:B,'Base stats'!C:C)^0.165,0.01)</f>
        <v>0.31</v>
      </c>
      <c r="Y20" s="8">
        <f>MROUND(_xlfn.XLOOKUP(_xlfn.XLOOKUP(B20,'Base stats'!B:B,'Base stats'!E:E),Groups!A:A,Groups!BI:BI)*_xlfn.XLOOKUP(B20,'Base stats'!B:B,'Base stats'!C:C)^0.165,0.01)</f>
        <v>0.03</v>
      </c>
      <c r="Z20" s="18">
        <f>ROUND(_xlfn.XLOOKUP(B20,'Base stats'!B:B,'Base stats'!AO:AO)*_xlfn.XLOOKUP(_xlfn.XLOOKUP(B20,'Base stats'!B:B,'Base stats'!E:E),Groups!A:A,Groups!H:H)/1000,2)</f>
        <v>0.04</v>
      </c>
      <c r="AA20" s="18">
        <f>ROUND((1/2)*(_xlfn.XLOOKUP(_xlfn.XLOOKUP(B20,'Base stats'!B:B,'Base stats'!E:E),Groups!A:A,Groups!H:H)*_xlfn.XLOOKUP(_xlfn.XLOOKUP(B20,'Base stats'!B:B,'Base stats'!E:E),Groups!A:A,Groups!I:I))*_xlfn.XLOOKUP(B20,'Base stats'!B:B,'Base stats'!AO:AO)*0.01,2)</f>
        <v>0.27</v>
      </c>
      <c r="AB20" s="18">
        <f>250*(Animals!AO20+Animals!AP20)</f>
        <v>162.50000000000003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stats'!BQ:BQ) * (_xlfn.XLOOKUP(B21,'Base stats'!B:B,'Base stats'!AM:AM)*5%)^0.9 / 21,0.1),0.05)</f>
        <v>10.100000000000001</v>
      </c>
      <c r="E21" s="11">
        <f>MAX(0.01,MROUND(_xlfn.XLOOKUP(B21,'Base stats'!B:B,'Base stats'!BE:BE) * 0.01 * 2, 0.01))</f>
        <v>9.33</v>
      </c>
      <c r="F21" s="7">
        <f>MROUND(_xlfn.XLOOKUP(B21,'Base stats'!B:B,'Base stats'!BB:BB)^0.25 / (_xlfn.XLOOKUP(B21,'Base stats'!B:B,'Base stats'!BI:BI) * 10) * 150 + 0.5 + _xlfn.XLOOKUP(B21,'Base stats'!B:B,'Base stats'!BU:BU), 0.05)</f>
        <v>1.9000000000000001</v>
      </c>
      <c r="G21" s="3">
        <f>IF(Animals!S21="No","No",
IF(_xlfn.XLOOKUP(B21,'Base stats'!B:B,'Base stats'!U:U)="No",
MAX(MROUND(_xlfn.XLOOKUP(B21,'Base stats'!B:B,'Base stats'!BR:BR) * _xlfn.XLOOKUP(B21,'Base stats'!B:B,'Base stats'!BN:BN)^0.9 / 21 * _xlfn.XLOOKUP(B21,'Base stats'!B:B,'Base stats'!BV:BV),0.1),0.05),
MAX(MROUND(((MIN(10,_xlfn.XLOOKUP(B21,'Base stats'!B:B,'Base stats'!U:U)))^0.4*_xlfn.XLOOKUP(B21,'Base stats'!B:B,'Base stats'!BF:BF)^0.73)^0.6 * _xlfn.XLOOKUP(B21,'Base stats'!B:B,'Base stats'!BV:BV),0.1),0.05)
))</f>
        <v>16.8</v>
      </c>
      <c r="H21" s="11">
        <f>IF(G21="No","No",
MAX(0.01,MROUND(_xlfn.XLOOKUP(B21,'Base stats'!B:B,'Base stats'!BF:BF) * 0.01 * 2, 0.01))
)</f>
        <v>10.85</v>
      </c>
      <c r="I21" s="11" t="str">
        <f>IF(G21="No","No",IF(_xlfn.XLOOKUP(B21,'Base stats'!B:B,'Base stats'!U:U)="No","No",
MAX(0.01,MROUND(_xlfn.XLOOKUP(B21,'Base stats'!B:B,'Base stats'!BR:BR)/10000,0.01))
))</f>
        <v>No</v>
      </c>
      <c r="J21" s="4">
        <f>IF(G21="No","No",
MROUND(_xlfn.XLOOKUP(B21,'Base stats'!B:B,'Base stats'!BC:BC)^0.25
/((_xlfn.XLOOKUP(B21,'Base stats'!B:B,'Base stats'!BJ:BJ))*10)*_xlfn.XLOOKUP(_xlfn.XLOOKUP(B21,'Base stats'!B:B,'Base stats'!E:E),Groups!A:A,Groups!Q:Q)*150 + 0.5 + _xlfn.XLOOKUP(B21,'Base stats'!B:B,'Base stats'!BU:BU),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stats'!BS:BS) * _xlfn.XLOOKUP(B21,'Base stats'!B:B,'Base stats'!BO:BO)^0.9 / 21 *_xlfn.XLOOKUP(B21,'Base stats'!B:B,'Base stats'!BV:BV),0.1),0.05),
MAX(MROUND(((MIN(10,_xlfn.XLOOKUP(B21,'Base stats'!B:B,'Base stats'!W:W)))^0.4*_xlfn.XLOOKUP(B21,'Base stats'!B:B,'Base stats'!BG:BG)^0.73)^0.6 *_xlfn.XLOOKUP(B21,'Base stats'!B:B,'Base stats'!BV:BV),0.1),0.05)
))</f>
        <v>No</v>
      </c>
      <c r="L21" s="11" t="str">
        <f>IF(K21="No","No",
MAX(0.01,MROUND(_xlfn.XLOOKUP(B21,'Base stats'!B:B,'Base stats'!BG:BG) * 0.01 *2, 0.01))
)</f>
        <v>No</v>
      </c>
      <c r="M21" s="5" t="str">
        <f>IF(K21="No","No",IF(_xlfn.XLOOKUP(_xlfn.XLOOKUP(B21,'Base stats'!B:B,'Base stats'!E:E),Groups!A:A,Groups!BD:BD)=1,"No",
MAX(0.01,MROUND(_xlfn.XLOOKUP(B21,'Base stats'!B:B,'Base stats'!BS:BS)/10000,0.01))
))</f>
        <v>No</v>
      </c>
      <c r="N21" s="4" t="str">
        <f>IF(K21="No","No",
MROUND(
  _xlfn.XLOOKUP(B21,'Base stats'!B:B,'Base stats'!BA:BA)^0.25
  / (_xlfn.XLOOKUP(B21,'Base stats'!B:B,'Base stats'!BK:BK)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stats'!BU:BU),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stats'!BH:BH)^0.73)^0.6 *_xlfn.XLOOKUP(B21,'Base stats'!B:B,'Base stats'!BV:BV),0.1),0.05)
)</f>
        <v>14.200000000000001</v>
      </c>
      <c r="P21" s="11">
        <f>IF(O21="No","No",
MAX(0.01,MROUND(_xlfn.XLOOKUP(B21,'Base stats'!B:B,'Base stats'!BH:BH) * 0.01 * 2, 0.01))
)</f>
        <v>6.8500000000000005</v>
      </c>
      <c r="Q21" s="5">
        <f>IF(O21="No","No",
MAX(0.01,MROUND(_xlfn.XLOOKUP(B21,'Base stats'!B:B,'Base stats'!BT:BT)/10000,0.01))
)</f>
        <v>0.11</v>
      </c>
      <c r="R21" s="4">
        <f>IF(O21="No","No",
MROUND(_xlfn.XLOOKUP(B21,'Base stats'!B:B,'Base stats'!AZ:AZ)^0.25
/((_xlfn.XLOOKUP(B21,'Base stats'!B:B,'Base stats'!BL:BL))*10)*_xlfn.XLOOKUP(_xlfn.XLOOKUP(B21,'Base stats'!B:B,'Base stats'!E:E),Groups!A:A,Groups!Z:Z)*150 + 0.5 + _xlfn.XLOOKUP(B21,'Base stats'!B:B,'Base stats'!BU:BU),
0.05))</f>
        <v>2.85</v>
      </c>
      <c r="S21" s="3" t="str">
        <f>IF(Animals!AI21="No","No",
IF(_xlfn.XLOOKUP(B21,'Base stats'!B:B,'Base stats'!U:U)="No",
MAX(MROUND(_xlfn.XLOOKUP(B21,'Base stats'!B:B,'Base stats'!BR:BR) * _xlfn.XLOOKUP(B21,'Base stats'!B:B,'Base stats'!BN:BN)^0.9 / 21 * _xlfn.XLOOKUP(B21,'Base stats'!B:B,'Base stats'!BV:BV),0.1),0.05),
MAX(MROUND(((MIN(12,_xlfn.XLOOKUP(B21,'Base stats'!B:B,'Base stats'!U:U)))^0.4*_xlfn.XLOOKUP(B21,'Base stats'!B:B,'Base stats'!BF:BF)^0.73)^0.6 * _xlfn.XLOOKUP(B21,'Base stats'!B:B,'Base stats'!BV:BV),0.1),0.05)
))</f>
        <v>No</v>
      </c>
      <c r="T21" s="11" t="str">
        <f>IF(S21="No","No",
MAX(0.01,MROUND(_xlfn.XLOOKUP(B21,'Base stats'!B:B,'Base stats'!BF:BF) * 0.01 * 2, 0.01))
)</f>
        <v>No</v>
      </c>
      <c r="U21" s="5" t="str">
        <f>IF(S21="No","No",IF(_xlfn.XLOOKUP(B21,'Base stats'!B:B,'Base stats'!U:U)="No","No",
MAX(0.01,MROUND(_xlfn.XLOOKUP(B21,'Base stats'!B:B,'Base stats'!BR:BR)/10000,0.01))
))</f>
        <v>No</v>
      </c>
      <c r="V21" s="4" t="str">
        <f>IF(S21="No","No",
MROUND(_xlfn.XLOOKUP(B21,'Base stats'!B:B,'Base stats'!BD:BD)^0.25
/((_xlfn.XLOOKUP(B21,'Base stats'!B:B,'Base stats'!BM:BM))*10)*_xlfn.XLOOKUP(_xlfn.XLOOKUP(B21,'Base stats'!B:B,'Base stats'!E:E),Groups!A:A,Groups!AE:AE)*150 + 0.5 + _xlfn.XLOOKUP(B21,'Base stats'!B:B,'Base stats'!BU:BU),
0.05))</f>
        <v>No</v>
      </c>
      <c r="W21" s="8">
        <f>MROUND(_xlfn.XLOOKUP(_xlfn.XLOOKUP(B21,'Base stats'!B:B,'Base stats'!E:E),Groups!A:A,Groups!BG:BG)*_xlfn.XLOOKUP(B21,'Base stats'!B:B,'Base stats'!C:C)^-0.165,0.01)</f>
        <v>0.26</v>
      </c>
      <c r="X21" s="1">
        <f>MROUND(_xlfn.XLOOKUP(_xlfn.XLOOKUP(B21,'Base stats'!B:B,'Base stats'!E:E),Groups!A:A,Groups!BH:BH)*_xlfn.XLOOKUP(B21,'Base stats'!B:B,'Base stats'!C:C)^0.165,0.01)</f>
        <v>0</v>
      </c>
      <c r="Y21" s="8">
        <f>MROUND(_xlfn.XLOOKUP(_xlfn.XLOOKUP(B21,'Base stats'!B:B,'Base stats'!E:E),Groups!A:A,Groups!BI:BI)*_xlfn.XLOOKUP(B21,'Base stats'!B:B,'Base stats'!C:C)^0.165,0.01)</f>
        <v>0</v>
      </c>
      <c r="Z21" s="18">
        <f>ROUND(_xlfn.XLOOKUP(B21,'Base stats'!B:B,'Base stats'!AO:AO)*_xlfn.XLOOKUP(_xlfn.XLOOKUP(B21,'Base stats'!B:B,'Base stats'!E:E),Groups!A:A,Groups!H:H)/1000,2)</f>
        <v>7.0000000000000007E-2</v>
      </c>
      <c r="AA21" s="18">
        <f>ROUND((1/2)*(_xlfn.XLOOKUP(_xlfn.XLOOKUP(B21,'Base stats'!B:B,'Base stats'!E:E),Groups!A:A,Groups!H:H)*_xlfn.XLOOKUP(_xlfn.XLOOKUP(B21,'Base stats'!B:B,'Base stats'!E:E),Groups!A:A,Groups!I:I))*_xlfn.XLOOKUP(B21,'Base stats'!B:B,'Base stats'!AO:AO)*0.01,2)</f>
        <v>0.39</v>
      </c>
      <c r="AB21" s="18">
        <f>250*(Animals!AO21+Animals!AP21)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stats'!BQ:BQ) * (_xlfn.XLOOKUP(B22,'Base stats'!B:B,'Base stats'!AM:AM)*5%)^0.9 / 21,0.1),0.05)</f>
        <v>4.7</v>
      </c>
      <c r="E22" s="11">
        <f>MAX(0.01,MROUND(_xlfn.XLOOKUP(B22,'Base stats'!B:B,'Base stats'!BE:BE) * 0.01 * 2, 0.01))</f>
        <v>4.08</v>
      </c>
      <c r="F22" s="7">
        <f>MROUND(_xlfn.XLOOKUP(B22,'Base stats'!B:B,'Base stats'!BB:BB)^0.25 / (_xlfn.XLOOKUP(B22,'Base stats'!B:B,'Base stats'!BI:BI) * 10) * 150 + 0.5 + _xlfn.XLOOKUP(B22,'Base stats'!B:B,'Base stats'!BU:BU), 0.05)</f>
        <v>1.75</v>
      </c>
      <c r="G22" s="3">
        <f>IF(Animals!S22="No","No",
IF(_xlfn.XLOOKUP(B22,'Base stats'!B:B,'Base stats'!U:U)="No",
MAX(MROUND(_xlfn.XLOOKUP(B22,'Base stats'!B:B,'Base stats'!BR:BR) * _xlfn.XLOOKUP(B22,'Base stats'!B:B,'Base stats'!BN:BN)^0.9 / 21 * _xlfn.XLOOKUP(B22,'Base stats'!B:B,'Base stats'!BV:BV),0.1),0.05),
MAX(MROUND(((MIN(10,_xlfn.XLOOKUP(B22,'Base stats'!B:B,'Base stats'!U:U)))^0.4*_xlfn.XLOOKUP(B22,'Base stats'!B:B,'Base stats'!BF:BF)^0.73)^0.6 * _xlfn.XLOOKUP(B22,'Base stats'!B:B,'Base stats'!BV:BV),0.1),0.05)
))</f>
        <v>8.4</v>
      </c>
      <c r="H22" s="11">
        <f>IF(G22="No","No",
MAX(0.01,MROUND(_xlfn.XLOOKUP(B22,'Base stats'!B:B,'Base stats'!BF:BF) * 0.01 * 2, 0.01))
)</f>
        <v>4.99</v>
      </c>
      <c r="I22" s="11" t="str">
        <f>IF(G22="No","No",IF(_xlfn.XLOOKUP(B22,'Base stats'!B:B,'Base stats'!U:U)="No","No",
MAX(0.01,MROUND(_xlfn.XLOOKUP(B22,'Base stats'!B:B,'Base stats'!BR:BR)/10000,0.01))
))</f>
        <v>No</v>
      </c>
      <c r="J22" s="4">
        <f>IF(G22="No","No",
MROUND(_xlfn.XLOOKUP(B22,'Base stats'!B:B,'Base stats'!BC:BC)^0.25
/((_xlfn.XLOOKUP(B22,'Base stats'!B:B,'Base stats'!BJ:BJ))*10)*_xlfn.XLOOKUP(_xlfn.XLOOKUP(B22,'Base stats'!B:B,'Base stats'!E:E),Groups!A:A,Groups!Q:Q)*150 + 0.5 + _xlfn.XLOOKUP(B22,'Base stats'!B:B,'Base stats'!BU:BU),
0.05))</f>
        <v>2.1</v>
      </c>
      <c r="K22" s="3" t="str">
        <f>IF(Animals!X22="No","No",
IF(_xlfn.XLOOKUP(_xlfn.XLOOKUP(B22,'Base stats'!B:B,'Base stats'!E:E),Groups!A:A,Groups!BD:BD)=1,
MAX(MROUND(_xlfn.XLOOKUP(B22,'Base stats'!B:B,'Base stats'!BS:BS) * _xlfn.XLOOKUP(B22,'Base stats'!B:B,'Base stats'!BO:BO)^0.9 / 21 *_xlfn.XLOOKUP(B22,'Base stats'!B:B,'Base stats'!BV:BV),0.1),0.05),
MAX(MROUND(((MIN(10,_xlfn.XLOOKUP(B22,'Base stats'!B:B,'Base stats'!W:W)))^0.4*_xlfn.XLOOKUP(B22,'Base stats'!B:B,'Base stats'!BG:BG)^0.73)^0.6 *_xlfn.XLOOKUP(B22,'Base stats'!B:B,'Base stats'!BV:BV),0.1),0.05)
))</f>
        <v>No</v>
      </c>
      <c r="L22" s="11" t="str">
        <f>IF(K22="No","No",
MAX(0.01,MROUND(_xlfn.XLOOKUP(B22,'Base stats'!B:B,'Base stats'!BG:BG) * 0.01 *2, 0.01))
)</f>
        <v>No</v>
      </c>
      <c r="M22" s="5" t="str">
        <f>IF(K22="No","No",IF(_xlfn.XLOOKUP(_xlfn.XLOOKUP(B22,'Base stats'!B:B,'Base stats'!E:E),Groups!A:A,Groups!BD:BD)=1,"No",
MAX(0.01,MROUND(_xlfn.XLOOKUP(B22,'Base stats'!B:B,'Base stats'!BS:BS)/10000,0.01))
))</f>
        <v>No</v>
      </c>
      <c r="N22" s="4" t="str">
        <f>IF(K22="No","No",
MROUND(
  _xlfn.XLOOKUP(B22,'Base stats'!B:B,'Base stats'!BA:BA)^0.25
  / (_xlfn.XLOOKUP(B22,'Base stats'!B:B,'Base stats'!BK:BK)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stats'!BU:BU),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stats'!BH:BH)^0.73)^0.6 *_xlfn.XLOOKUP(B22,'Base stats'!B:B,'Base stats'!BV:BV),0.1),0.05)
)</f>
        <v>10.700000000000001</v>
      </c>
      <c r="P22" s="11">
        <f>IF(O22="No","No",
MAX(0.01,MROUND(_xlfn.XLOOKUP(B22,'Base stats'!B:B,'Base stats'!BH:BH) * 0.01 * 2, 0.01))
)</f>
        <v>3.56</v>
      </c>
      <c r="Q22" s="5">
        <f>IF(O22="No","No",
MAX(0.01,MROUND(_xlfn.XLOOKUP(B22,'Base stats'!B:B,'Base stats'!BT:BT)/10000,0.01))
)</f>
        <v>0.12</v>
      </c>
      <c r="R22" s="4">
        <f>IF(O22="No","No",
MROUND(_xlfn.XLOOKUP(B22,'Base stats'!B:B,'Base stats'!AZ:AZ)^0.25
/((_xlfn.XLOOKUP(B22,'Base stats'!B:B,'Base stats'!BL:BL))*10)*_xlfn.XLOOKUP(_xlfn.XLOOKUP(B22,'Base stats'!B:B,'Base stats'!E:E),Groups!A:A,Groups!Z:Z)*150 + 0.5 + _xlfn.XLOOKUP(B22,'Base stats'!B:B,'Base stats'!BU:BU),
0.05))</f>
        <v>2.85</v>
      </c>
      <c r="S22" s="3" t="str">
        <f>IF(Animals!AI22="No","No",
IF(_xlfn.XLOOKUP(B22,'Base stats'!B:B,'Base stats'!U:U)="No",
MAX(MROUND(_xlfn.XLOOKUP(B22,'Base stats'!B:B,'Base stats'!BR:BR) * _xlfn.XLOOKUP(B22,'Base stats'!B:B,'Base stats'!BN:BN)^0.9 / 21 * _xlfn.XLOOKUP(B22,'Base stats'!B:B,'Base stats'!BV:BV),0.1),0.05),
MAX(MROUND(((MIN(12,_xlfn.XLOOKUP(B22,'Base stats'!B:B,'Base stats'!U:U)))^0.4*_xlfn.XLOOKUP(B22,'Base stats'!B:B,'Base stats'!BF:BF)^0.73)^0.6 * _xlfn.XLOOKUP(B22,'Base stats'!B:B,'Base stats'!BV:BV),0.1),0.05)
))</f>
        <v>No</v>
      </c>
      <c r="T22" s="11" t="str">
        <f>IF(S22="No","No",
MAX(0.01,MROUND(_xlfn.XLOOKUP(B22,'Base stats'!B:B,'Base stats'!BF:BF) * 0.01 * 2, 0.01))
)</f>
        <v>No</v>
      </c>
      <c r="U22" s="5" t="str">
        <f>IF(S22="No","No",IF(_xlfn.XLOOKUP(B22,'Base stats'!B:B,'Base stats'!U:U)="No","No",
MAX(0.01,MROUND(_xlfn.XLOOKUP(B22,'Base stats'!B:B,'Base stats'!BR:BR)/10000,0.01))
))</f>
        <v>No</v>
      </c>
      <c r="V22" s="4" t="str">
        <f>IF(S22="No","No",
MROUND(_xlfn.XLOOKUP(B22,'Base stats'!B:B,'Base stats'!BD:BD)^0.25
/((_xlfn.XLOOKUP(B22,'Base stats'!B:B,'Base stats'!BM:BM))*10)*_xlfn.XLOOKUP(_xlfn.XLOOKUP(B22,'Base stats'!B:B,'Base stats'!E:E),Groups!A:A,Groups!AE:AE)*150 + 0.5 + _xlfn.XLOOKUP(B22,'Base stats'!B:B,'Base stats'!BU:BU),
0.05))</f>
        <v>No</v>
      </c>
      <c r="W22" s="8">
        <f>MROUND(_xlfn.XLOOKUP(_xlfn.XLOOKUP(B22,'Base stats'!B:B,'Base stats'!E:E),Groups!A:A,Groups!BG:BG)*_xlfn.XLOOKUP(B22,'Base stats'!B:B,'Base stats'!C:C)^-0.165,0.01)</f>
        <v>0.3</v>
      </c>
      <c r="X22" s="1">
        <f>MROUND(_xlfn.XLOOKUP(_xlfn.XLOOKUP(B22,'Base stats'!B:B,'Base stats'!E:E),Groups!A:A,Groups!BH:BH)*_xlfn.XLOOKUP(B22,'Base stats'!B:B,'Base stats'!C:C)^0.165,0.01)</f>
        <v>0</v>
      </c>
      <c r="Y22" s="8">
        <f>MROUND(_xlfn.XLOOKUP(_xlfn.XLOOKUP(B22,'Base stats'!B:B,'Base stats'!E:E),Groups!A:A,Groups!BI:BI)*_xlfn.XLOOKUP(B22,'Base stats'!B:B,'Base stats'!C:C)^0.165,0.01)</f>
        <v>0</v>
      </c>
      <c r="Z22" s="18">
        <f>ROUND(_xlfn.XLOOKUP(B22,'Base stats'!B:B,'Base stats'!AO:AO)*_xlfn.XLOOKUP(_xlfn.XLOOKUP(B22,'Base stats'!B:B,'Base stats'!E:E),Groups!A:A,Groups!H:H)/1000,2)</f>
        <v>0.05</v>
      </c>
      <c r="AA22" s="18">
        <f>ROUND((1/2)*(_xlfn.XLOOKUP(_xlfn.XLOOKUP(B22,'Base stats'!B:B,'Base stats'!E:E),Groups!A:A,Groups!H:H)*_xlfn.XLOOKUP(_xlfn.XLOOKUP(B22,'Base stats'!B:B,'Base stats'!E:E),Groups!A:A,Groups!I:I))*_xlfn.XLOOKUP(B22,'Base stats'!B:B,'Base stats'!AO:AO)*0.01,2)</f>
        <v>0.3</v>
      </c>
      <c r="AB22" s="18">
        <f>250*(Animals!AO22+Animals!AP22)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stats'!BQ:BQ) * (_xlfn.XLOOKUP(B23,'Base stats'!B:B,'Base stats'!AM:AM)*5%)^0.9 / 21,0.1),0.05)</f>
        <v>0.2</v>
      </c>
      <c r="E23" s="11">
        <f>MAX(0.01,MROUND(_xlfn.XLOOKUP(B23,'Base stats'!B:B,'Base stats'!BE:BE) * 0.01 * 2, 0.01))</f>
        <v>0.14000000000000001</v>
      </c>
      <c r="F23" s="7">
        <f>MROUND(_xlfn.XLOOKUP(B23,'Base stats'!B:B,'Base stats'!BB:BB)^0.25 / (_xlfn.XLOOKUP(B23,'Base stats'!B:B,'Base stats'!BI:BI) * 10) * 150 + 0.5 + _xlfn.XLOOKUP(B23,'Base stats'!B:B,'Base stats'!BU:BU), 0.05)</f>
        <v>1.3</v>
      </c>
      <c r="G23" s="3" t="str">
        <f>IF(Animals!S23="No","No",
IF(_xlfn.XLOOKUP(B23,'Base stats'!B:B,'Base stats'!U:U)="No",
MAX(MROUND(_xlfn.XLOOKUP(B23,'Base stats'!B:B,'Base stats'!BR:BR) * _xlfn.XLOOKUP(B23,'Base stats'!B:B,'Base stats'!BN:BN)^0.9 / 21 * _xlfn.XLOOKUP(B23,'Base stats'!B:B,'Base stats'!BV:BV),0.1),0.05),
MAX(MROUND(((MIN(10,_xlfn.XLOOKUP(B23,'Base stats'!B:B,'Base stats'!U:U)))^0.4*_xlfn.XLOOKUP(B23,'Base stats'!B:B,'Base stats'!BF:BF)^0.73)^0.6 * _xlfn.XLOOKUP(B23,'Base stats'!B:B,'Base stats'!BV:BV),0.1),0.05)
))</f>
        <v>No</v>
      </c>
      <c r="H23" s="11" t="str">
        <f>IF(G23="No","No",
MAX(0.01,MROUND(_xlfn.XLOOKUP(B23,'Base stats'!B:B,'Base stats'!BF:BF) * 0.01 * 2, 0.01))
)</f>
        <v>No</v>
      </c>
      <c r="I23" s="11" t="str">
        <f>IF(G23="No","No",IF(_xlfn.XLOOKUP(B23,'Base stats'!B:B,'Base stats'!U:U)="No","No",
MAX(0.01,MROUND(_xlfn.XLOOKUP(B23,'Base stats'!B:B,'Base stats'!BR:BR)/10000,0.01))
))</f>
        <v>No</v>
      </c>
      <c r="J23" s="4" t="str">
        <f>IF(G23="No","No",
MROUND(_xlfn.XLOOKUP(B23,'Base stats'!B:B,'Base stats'!BC:BC)^0.25
/((_xlfn.XLOOKUP(B23,'Base stats'!B:B,'Base stats'!BJ:BJ))*10)*_xlfn.XLOOKUP(_xlfn.XLOOKUP(B23,'Base stats'!B:B,'Base stats'!E:E),Groups!A:A,Groups!Q:Q)*150 + 0.5 + _xlfn.XLOOKUP(B23,'Base stats'!B:B,'Base stats'!BU:BU),
0.05))</f>
        <v>No</v>
      </c>
      <c r="K23" s="3" t="str">
        <f>IF(Animals!X23="No","No",
IF(_xlfn.XLOOKUP(_xlfn.XLOOKUP(B23,'Base stats'!B:B,'Base stats'!E:E),Groups!A:A,Groups!BD:BD)=1,
MAX(MROUND(_xlfn.XLOOKUP(B23,'Base stats'!B:B,'Base stats'!BS:BS) * _xlfn.XLOOKUP(B23,'Base stats'!B:B,'Base stats'!BO:BO)^0.9 / 21 *_xlfn.XLOOKUP(B23,'Base stats'!B:B,'Base stats'!BV:BV),0.1),0.05),
MAX(MROUND(((MIN(10,_xlfn.XLOOKUP(B23,'Base stats'!B:B,'Base stats'!W:W)))^0.4*_xlfn.XLOOKUP(B23,'Base stats'!B:B,'Base stats'!BG:BG)^0.73)^0.6 *_xlfn.XLOOKUP(B23,'Base stats'!B:B,'Base stats'!BV:BV),0.1),0.05)
))</f>
        <v>No</v>
      </c>
      <c r="L23" s="11" t="str">
        <f>IF(K23="No","No",
MAX(0.01,MROUND(_xlfn.XLOOKUP(B23,'Base stats'!B:B,'Base stats'!BG:BG) * 0.01 *2, 0.01))
)</f>
        <v>No</v>
      </c>
      <c r="M23" s="5" t="str">
        <f>IF(K23="No","No",IF(_xlfn.XLOOKUP(_xlfn.XLOOKUP(B23,'Base stats'!B:B,'Base stats'!E:E),Groups!A:A,Groups!BD:BD)=1,"No",
MAX(0.01,MROUND(_xlfn.XLOOKUP(B23,'Base stats'!B:B,'Base stats'!BS:BS)/10000,0.01))
))</f>
        <v>No</v>
      </c>
      <c r="N23" s="4" t="str">
        <f>IF(K23="No","No",
MROUND(
  _xlfn.XLOOKUP(B23,'Base stats'!B:B,'Base stats'!BA:BA)^0.25
  / (_xlfn.XLOOKUP(B23,'Base stats'!B:B,'Base stats'!BK:BK)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stats'!BU:BU),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stats'!BH:BH)^0.73)^0.6 *_xlfn.XLOOKUP(B23,'Base stats'!B:B,'Base stats'!BV:BV),0.1),0.05)
)</f>
        <v>2.4000000000000004</v>
      </c>
      <c r="P23" s="11">
        <f>IF(O23="No","No",
MAX(0.01,MROUND(_xlfn.XLOOKUP(B23,'Base stats'!B:B,'Base stats'!BH:BH) * 0.01 * 2, 0.01))
)</f>
        <v>0.19</v>
      </c>
      <c r="Q23" s="5">
        <f>IF(O23="No","No",
MAX(0.01,MROUND(_xlfn.XLOOKUP(B23,'Base stats'!B:B,'Base stats'!BT:BT)/10000,0.01))
)</f>
        <v>0.04</v>
      </c>
      <c r="R23" s="4">
        <f>IF(O23="No","No",
MROUND(_xlfn.XLOOKUP(B23,'Base stats'!B:B,'Base stats'!AZ:AZ)^0.25
/((_xlfn.XLOOKUP(B23,'Base stats'!B:B,'Base stats'!BL:BL))*10)*_xlfn.XLOOKUP(_xlfn.XLOOKUP(B23,'Base stats'!B:B,'Base stats'!E:E),Groups!A:A,Groups!Z:Z)*150 + 0.5 + _xlfn.XLOOKUP(B23,'Base stats'!B:B,'Base stats'!BU:BU),
0.05))</f>
        <v>2.1</v>
      </c>
      <c r="S23" s="3" t="str">
        <f>IF(Animals!AI23="No","No",
IF(_xlfn.XLOOKUP(B23,'Base stats'!B:B,'Base stats'!U:U)="No",
MAX(MROUND(_xlfn.XLOOKUP(B23,'Base stats'!B:B,'Base stats'!BR:BR) * _xlfn.XLOOKUP(B23,'Base stats'!B:B,'Base stats'!BN:BN)^0.9 / 21 * _xlfn.XLOOKUP(B23,'Base stats'!B:B,'Base stats'!BV:BV),0.1),0.05),
MAX(MROUND(((MIN(12,_xlfn.XLOOKUP(B23,'Base stats'!B:B,'Base stats'!U:U)))^0.4*_xlfn.XLOOKUP(B23,'Base stats'!B:B,'Base stats'!BF:BF)^0.73)^0.6 * _xlfn.XLOOKUP(B23,'Base stats'!B:B,'Base stats'!BV:BV),0.1),0.05)
))</f>
        <v>No</v>
      </c>
      <c r="T23" s="11" t="str">
        <f>IF(S23="No","No",
MAX(0.01,MROUND(_xlfn.XLOOKUP(B23,'Base stats'!B:B,'Base stats'!BF:BF) * 0.01 * 2, 0.01))
)</f>
        <v>No</v>
      </c>
      <c r="U23" s="5" t="str">
        <f>IF(S23="No","No",IF(_xlfn.XLOOKUP(B23,'Base stats'!B:B,'Base stats'!U:U)="No","No",
MAX(0.01,MROUND(_xlfn.XLOOKUP(B23,'Base stats'!B:B,'Base stats'!BR:BR)/10000,0.01))
))</f>
        <v>No</v>
      </c>
      <c r="V23" s="4" t="str">
        <f>IF(S23="No","No",
MROUND(_xlfn.XLOOKUP(B23,'Base stats'!B:B,'Base stats'!BD:BD)^0.25
/((_xlfn.XLOOKUP(B23,'Base stats'!B:B,'Base stats'!BM:BM))*10)*_xlfn.XLOOKUP(_xlfn.XLOOKUP(B23,'Base stats'!B:B,'Base stats'!E:E),Groups!A:A,Groups!AE:AE)*150 + 0.5 + _xlfn.XLOOKUP(B23,'Base stats'!B:B,'Base stats'!BU:BU),
0.05))</f>
        <v>No</v>
      </c>
      <c r="W23" s="8">
        <f>MROUND(_xlfn.XLOOKUP(_xlfn.XLOOKUP(B23,'Base stats'!B:B,'Base stats'!E:E),Groups!A:A,Groups!BG:BG)*_xlfn.XLOOKUP(B23,'Base stats'!B:B,'Base stats'!C:C)^-0.165,0.01)</f>
        <v>0.55000000000000004</v>
      </c>
      <c r="X23" s="1">
        <f>MROUND(_xlfn.XLOOKUP(_xlfn.XLOOKUP(B23,'Base stats'!B:B,'Base stats'!E:E),Groups!A:A,Groups!BH:BH)*_xlfn.XLOOKUP(B23,'Base stats'!B:B,'Base stats'!C:C)^0.165,0.01)</f>
        <v>0</v>
      </c>
      <c r="Y23" s="8">
        <f>MROUND(_xlfn.XLOOKUP(_xlfn.XLOOKUP(B23,'Base stats'!B:B,'Base stats'!E:E),Groups!A:A,Groups!BI:BI)*_xlfn.XLOOKUP(B23,'Base stats'!B:B,'Base stats'!C:C)^0.165,0.01)</f>
        <v>0</v>
      </c>
      <c r="Z23" s="18">
        <f>ROUND(_xlfn.XLOOKUP(B23,'Base stats'!B:B,'Base stats'!AO:AO)*_xlfn.XLOOKUP(_xlfn.XLOOKUP(B23,'Base stats'!B:B,'Base stats'!E:E),Groups!A:A,Groups!H:H)/1000,2)</f>
        <v>0.02</v>
      </c>
      <c r="AA23" s="18">
        <f>ROUND((1/2)*(_xlfn.XLOOKUP(_xlfn.XLOOKUP(B23,'Base stats'!B:B,'Base stats'!E:E),Groups!A:A,Groups!H:H)*_xlfn.XLOOKUP(_xlfn.XLOOKUP(B23,'Base stats'!B:B,'Base stats'!E:E),Groups!A:A,Groups!I:I))*_xlfn.XLOOKUP(B23,'Base stats'!B:B,'Base stats'!AO:AO)*0.01,2)</f>
        <v>0.1</v>
      </c>
      <c r="AB23" s="18">
        <f>250*(Animals!AO23+Animals!AP23)</f>
        <v>150.00000000000003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stats'!BQ:BQ) * (_xlfn.XLOOKUP(B24,'Base stats'!B:B,'Base stats'!AM:AM)*5%)^0.9 / 21,0.1),0.05)</f>
        <v>0.2</v>
      </c>
      <c r="E24" s="11">
        <f>MAX(0.01,MROUND(_xlfn.XLOOKUP(B24,'Base stats'!B:B,'Base stats'!BE:BE) * 0.01 * 2, 0.01))</f>
        <v>0.14000000000000001</v>
      </c>
      <c r="F24" s="7">
        <f>MROUND(_xlfn.XLOOKUP(B24,'Base stats'!B:B,'Base stats'!BB:BB)^0.25 / (_xlfn.XLOOKUP(B24,'Base stats'!B:B,'Base stats'!BI:BI) * 10) * 150 + 0.5 + _xlfn.XLOOKUP(B24,'Base stats'!B:B,'Base stats'!BU:BU), 0.05)</f>
        <v>1.3</v>
      </c>
      <c r="G24" s="3" t="str">
        <f>IF(Animals!S24="No","No",
IF(_xlfn.XLOOKUP(B24,'Base stats'!B:B,'Base stats'!U:U)="No",
MAX(MROUND(_xlfn.XLOOKUP(B24,'Base stats'!B:B,'Base stats'!BR:BR) * _xlfn.XLOOKUP(B24,'Base stats'!B:B,'Base stats'!BN:BN)^0.9 / 21 * _xlfn.XLOOKUP(B24,'Base stats'!B:B,'Base stats'!BV:BV),0.1),0.05),
MAX(MROUND(((MIN(10,_xlfn.XLOOKUP(B24,'Base stats'!B:B,'Base stats'!U:U)))^0.4*_xlfn.XLOOKUP(B24,'Base stats'!B:B,'Base stats'!BF:BF)^0.73)^0.6 * _xlfn.XLOOKUP(B24,'Base stats'!B:B,'Base stats'!BV:BV),0.1),0.05)
))</f>
        <v>No</v>
      </c>
      <c r="H24" s="11" t="str">
        <f>IF(G24="No","No",
MAX(0.01,MROUND(_xlfn.XLOOKUP(B24,'Base stats'!B:B,'Base stats'!BF:BF) * 0.01 * 2, 0.01))
)</f>
        <v>No</v>
      </c>
      <c r="I24" s="11" t="str">
        <f>IF(G24="No","No",IF(_xlfn.XLOOKUP(B24,'Base stats'!B:B,'Base stats'!U:U)="No","No",
MAX(0.01,MROUND(_xlfn.XLOOKUP(B24,'Base stats'!B:B,'Base stats'!BR:BR)/10000,0.01))
))</f>
        <v>No</v>
      </c>
      <c r="J24" s="4" t="str">
        <f>IF(G24="No","No",
MROUND(_xlfn.XLOOKUP(B24,'Base stats'!B:B,'Base stats'!BC:BC)^0.25
/((_xlfn.XLOOKUP(B24,'Base stats'!B:B,'Base stats'!BJ:BJ))*10)*_xlfn.XLOOKUP(_xlfn.XLOOKUP(B24,'Base stats'!B:B,'Base stats'!E:E),Groups!A:A,Groups!Q:Q)*150 + 0.5 + _xlfn.XLOOKUP(B24,'Base stats'!B:B,'Base stats'!BU:BU),
0.05))</f>
        <v>No</v>
      </c>
      <c r="K24" s="3" t="str">
        <f>IF(Animals!X24="No","No",
IF(_xlfn.XLOOKUP(_xlfn.XLOOKUP(B24,'Base stats'!B:B,'Base stats'!E:E),Groups!A:A,Groups!BD:BD)=1,
MAX(MROUND(_xlfn.XLOOKUP(B24,'Base stats'!B:B,'Base stats'!BS:BS) * _xlfn.XLOOKUP(B24,'Base stats'!B:B,'Base stats'!BO:BO)^0.9 / 21 *_xlfn.XLOOKUP(B24,'Base stats'!B:B,'Base stats'!BV:BV),0.1),0.05),
MAX(MROUND(((MIN(10,_xlfn.XLOOKUP(B24,'Base stats'!B:B,'Base stats'!W:W)))^0.4*_xlfn.XLOOKUP(B24,'Base stats'!B:B,'Base stats'!BG:BG)^0.73)^0.6 *_xlfn.XLOOKUP(B24,'Base stats'!B:B,'Base stats'!BV:BV),0.1),0.05)
))</f>
        <v>No</v>
      </c>
      <c r="L24" s="11" t="str">
        <f>IF(K24="No","No",
MAX(0.01,MROUND(_xlfn.XLOOKUP(B24,'Base stats'!B:B,'Base stats'!BG:BG) * 0.01 *2, 0.01))
)</f>
        <v>No</v>
      </c>
      <c r="M24" s="5" t="str">
        <f>IF(K24="No","No",IF(_xlfn.XLOOKUP(_xlfn.XLOOKUP(B24,'Base stats'!B:B,'Base stats'!E:E),Groups!A:A,Groups!BD:BD)=1,"No",
MAX(0.01,MROUND(_xlfn.XLOOKUP(B24,'Base stats'!B:B,'Base stats'!BS:BS)/10000,0.01))
))</f>
        <v>No</v>
      </c>
      <c r="N24" s="4" t="str">
        <f>IF(K24="No","No",
MROUND(
  _xlfn.XLOOKUP(B24,'Base stats'!B:B,'Base stats'!BA:BA)^0.25
  / (_xlfn.XLOOKUP(B24,'Base stats'!B:B,'Base stats'!BK:BK)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stats'!BU:BU),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stats'!BH:BH)^0.73)^0.6 *_xlfn.XLOOKUP(B24,'Base stats'!B:B,'Base stats'!BV:BV),0.1),0.05)
)</f>
        <v>2.4000000000000004</v>
      </c>
      <c r="P24" s="11">
        <f>IF(O24="No","No",
MAX(0.01,MROUND(_xlfn.XLOOKUP(B24,'Base stats'!B:B,'Base stats'!BH:BH) * 0.01 * 2, 0.01))
)</f>
        <v>0.19</v>
      </c>
      <c r="Q24" s="5">
        <f>IF(O24="No","No",
MAX(0.01,MROUND(_xlfn.XLOOKUP(B24,'Base stats'!B:B,'Base stats'!BT:BT)/10000,0.01))
)</f>
        <v>0.04</v>
      </c>
      <c r="R24" s="4">
        <f>IF(O24="No","No",
MROUND(_xlfn.XLOOKUP(B24,'Base stats'!B:B,'Base stats'!AZ:AZ)^0.25
/((_xlfn.XLOOKUP(B24,'Base stats'!B:B,'Base stats'!BL:BL))*10)*_xlfn.XLOOKUP(_xlfn.XLOOKUP(B24,'Base stats'!B:B,'Base stats'!E:E),Groups!A:A,Groups!Z:Z)*150 + 0.5 + _xlfn.XLOOKUP(B24,'Base stats'!B:B,'Base stats'!BU:BU),
0.05))</f>
        <v>2.1</v>
      </c>
      <c r="S24" s="3" t="str">
        <f>IF(Animals!AI24="No","No",
IF(_xlfn.XLOOKUP(B24,'Base stats'!B:B,'Base stats'!U:U)="No",
MAX(MROUND(_xlfn.XLOOKUP(B24,'Base stats'!B:B,'Base stats'!BR:BR) * _xlfn.XLOOKUP(B24,'Base stats'!B:B,'Base stats'!BN:BN)^0.9 / 21 * _xlfn.XLOOKUP(B24,'Base stats'!B:B,'Base stats'!BV:BV),0.1),0.05),
MAX(MROUND(((MIN(12,_xlfn.XLOOKUP(B24,'Base stats'!B:B,'Base stats'!U:U)))^0.4*_xlfn.XLOOKUP(B24,'Base stats'!B:B,'Base stats'!BF:BF)^0.73)^0.6 * _xlfn.XLOOKUP(B24,'Base stats'!B:B,'Base stats'!BV:BV),0.1),0.05)
))</f>
        <v>No</v>
      </c>
      <c r="T24" s="11" t="str">
        <f>IF(S24="No","No",
MAX(0.01,MROUND(_xlfn.XLOOKUP(B24,'Base stats'!B:B,'Base stats'!BF:BF) * 0.01 * 2, 0.01))
)</f>
        <v>No</v>
      </c>
      <c r="U24" s="5" t="str">
        <f>IF(S24="No","No",IF(_xlfn.XLOOKUP(B24,'Base stats'!B:B,'Base stats'!U:U)="No","No",
MAX(0.01,MROUND(_xlfn.XLOOKUP(B24,'Base stats'!B:B,'Base stats'!BR:BR)/10000,0.01))
))</f>
        <v>No</v>
      </c>
      <c r="V24" s="4" t="str">
        <f>IF(S24="No","No",
MROUND(_xlfn.XLOOKUP(B24,'Base stats'!B:B,'Base stats'!BD:BD)^0.25
/((_xlfn.XLOOKUP(B24,'Base stats'!B:B,'Base stats'!BM:BM))*10)*_xlfn.XLOOKUP(_xlfn.XLOOKUP(B24,'Base stats'!B:B,'Base stats'!E:E),Groups!A:A,Groups!AE:AE)*150 + 0.5 + _xlfn.XLOOKUP(B24,'Base stats'!B:B,'Base stats'!BU:BU),
0.05))</f>
        <v>No</v>
      </c>
      <c r="W24" s="8">
        <f>MROUND(_xlfn.XLOOKUP(_xlfn.XLOOKUP(B24,'Base stats'!B:B,'Base stats'!E:E),Groups!A:A,Groups!BG:BG)*_xlfn.XLOOKUP(B24,'Base stats'!B:B,'Base stats'!C:C)^-0.165,0.01)</f>
        <v>0.55000000000000004</v>
      </c>
      <c r="X24" s="1">
        <f>MROUND(_xlfn.XLOOKUP(_xlfn.XLOOKUP(B24,'Base stats'!B:B,'Base stats'!E:E),Groups!A:A,Groups!BH:BH)*_xlfn.XLOOKUP(B24,'Base stats'!B:B,'Base stats'!C:C)^0.165,0.01)</f>
        <v>0</v>
      </c>
      <c r="Y24" s="8">
        <f>MROUND(_xlfn.XLOOKUP(_xlfn.XLOOKUP(B24,'Base stats'!B:B,'Base stats'!E:E),Groups!A:A,Groups!BI:BI)*_xlfn.XLOOKUP(B24,'Base stats'!B:B,'Base stats'!C:C)^0.165,0.01)</f>
        <v>0</v>
      </c>
      <c r="Z24" s="18">
        <f>ROUND(_xlfn.XLOOKUP(B24,'Base stats'!B:B,'Base stats'!AO:AO)*_xlfn.XLOOKUP(_xlfn.XLOOKUP(B24,'Base stats'!B:B,'Base stats'!E:E),Groups!A:A,Groups!H:H)/1000,2)</f>
        <v>0.02</v>
      </c>
      <c r="AA24" s="18">
        <f>ROUND((1/2)*(_xlfn.XLOOKUP(_xlfn.XLOOKUP(B24,'Base stats'!B:B,'Base stats'!E:E),Groups!A:A,Groups!H:H)*_xlfn.XLOOKUP(_xlfn.XLOOKUP(B24,'Base stats'!B:B,'Base stats'!E:E),Groups!A:A,Groups!I:I))*_xlfn.XLOOKUP(B24,'Base stats'!B:B,'Base stats'!AO:AO)*0.01,2)</f>
        <v>0.1</v>
      </c>
      <c r="AB24" s="18">
        <f>250*(Animals!AO24+Animals!AP24)</f>
        <v>150.00000000000003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stats'!BQ:BQ) * (_xlfn.XLOOKUP(B25,'Base stats'!B:B,'Base stats'!AM:AM)*5%)^0.9 / 21,0.1),0.05)</f>
        <v>41.1</v>
      </c>
      <c r="E25" s="11">
        <f>MAX(0.01,MROUND(_xlfn.XLOOKUP(B25,'Base stats'!B:B,'Base stats'!BE:BE) * 0.01 * 2, 0.01))</f>
        <v>42.480000000000004</v>
      </c>
      <c r="F25" s="7">
        <f>MROUND(_xlfn.XLOOKUP(B25,'Base stats'!B:B,'Base stats'!BB:BB)^0.25 / (_xlfn.XLOOKUP(B25,'Base stats'!B:B,'Base stats'!BI:BI) * 10) * 150 + 0.5 + _xlfn.XLOOKUP(B25,'Base stats'!B:B,'Base stats'!BU:BU), 0.05)</f>
        <v>2.1</v>
      </c>
      <c r="G25" s="3" t="str">
        <f>IF(Animals!S25="No","No",
IF(_xlfn.XLOOKUP(B25,'Base stats'!B:B,'Base stats'!U:U)="No",
MAX(MROUND(_xlfn.XLOOKUP(B25,'Base stats'!B:B,'Base stats'!BR:BR) * _xlfn.XLOOKUP(B25,'Base stats'!B:B,'Base stats'!BN:BN)^0.9 / 21 * _xlfn.XLOOKUP(B25,'Base stats'!B:B,'Base stats'!BV:BV),0.1),0.05),
MAX(MROUND(((MIN(10,_xlfn.XLOOKUP(B25,'Base stats'!B:B,'Base stats'!U:U)))^0.4*_xlfn.XLOOKUP(B25,'Base stats'!B:B,'Base stats'!BF:BF)^0.73)^0.6 * _xlfn.XLOOKUP(B25,'Base stats'!B:B,'Base stats'!BV:BV),0.1),0.05)
))</f>
        <v>No</v>
      </c>
      <c r="H25" s="11" t="str">
        <f>IF(G25="No","No",
MAX(0.01,MROUND(_xlfn.XLOOKUP(B25,'Base stats'!B:B,'Base stats'!BF:BF) * 0.01 * 2, 0.01))
)</f>
        <v>No</v>
      </c>
      <c r="I25" s="11" t="str">
        <f>IF(G25="No","No",IF(_xlfn.XLOOKUP(B25,'Base stats'!B:B,'Base stats'!U:U)="No","No",
MAX(0.01,MROUND(_xlfn.XLOOKUP(B25,'Base stats'!B:B,'Base stats'!BR:BR)/10000,0.01))
))</f>
        <v>No</v>
      </c>
      <c r="J25" s="4" t="str">
        <f>IF(G25="No","No",
MROUND(_xlfn.XLOOKUP(B25,'Base stats'!B:B,'Base stats'!BC:BC)^0.25
/((_xlfn.XLOOKUP(B25,'Base stats'!B:B,'Base stats'!BJ:BJ))*10)*_xlfn.XLOOKUP(_xlfn.XLOOKUP(B25,'Base stats'!B:B,'Base stats'!E:E),Groups!A:A,Groups!Q:Q)*150 + 0.5 + _xlfn.XLOOKUP(B25,'Base stats'!B:B,'Base stats'!BU:BU),
0.05))</f>
        <v>No</v>
      </c>
      <c r="K25" s="3">
        <f>IF(Animals!X25="No","No",
IF(_xlfn.XLOOKUP(_xlfn.XLOOKUP(B25,'Base stats'!B:B,'Base stats'!E:E),Groups!A:A,Groups!BD:BD)=1,
MAX(MROUND(_xlfn.XLOOKUP(B25,'Base stats'!B:B,'Base stats'!BS:BS) * _xlfn.XLOOKUP(B25,'Base stats'!B:B,'Base stats'!BO:BO)^0.9 / 21 *_xlfn.XLOOKUP(B25,'Base stats'!B:B,'Base stats'!BV:BV),0.1),0.05),
MAX(MROUND(((MIN(10,_xlfn.XLOOKUP(B25,'Base stats'!B:B,'Base stats'!W:W)))^0.4*_xlfn.XLOOKUP(B25,'Base stats'!B:B,'Base stats'!BG:BG)^0.73)^0.6 *_xlfn.XLOOKUP(B25,'Base stats'!B:B,'Base stats'!BV:BV),0.1),0.05)
))</f>
        <v>53.900000000000006</v>
      </c>
      <c r="L25" s="11">
        <f>IF(K25="No","No",
MAX(0.01,MROUND(_xlfn.XLOOKUP(B25,'Base stats'!B:B,'Base stats'!BG:BG) * 0.01 *2, 0.01))
)</f>
        <v>50.97</v>
      </c>
      <c r="M25" s="5">
        <f>IF(K25="No","No",IF(_xlfn.XLOOKUP(_xlfn.XLOOKUP(B25,'Base stats'!B:B,'Base stats'!E:E),Groups!A:A,Groups!BD:BD)=1,"No",
MAX(0.01,MROUND(_xlfn.XLOOKUP(B25,'Base stats'!B:B,'Base stats'!BS:BS)/10000,0.01))
))</f>
        <v>2.35</v>
      </c>
      <c r="N25" s="4">
        <f>IF(K25="No","No",
MROUND(
  _xlfn.XLOOKUP(B25,'Base stats'!B:B,'Base stats'!BA:BA)^0.25
  / (_xlfn.XLOOKUP(B25,'Base stats'!B:B,'Base stats'!BK:BK)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stats'!BU:BU),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stats'!BH:BH)^0.73)^0.6 *_xlfn.XLOOKUP(B25,'Base stats'!B:B,'Base stats'!BV:BV),0.1),0.05)
)</f>
        <v>26.400000000000002</v>
      </c>
      <c r="P25" s="11">
        <f>IF(O25="No","No",
MAX(0.01,MROUND(_xlfn.XLOOKUP(B25,'Base stats'!B:B,'Base stats'!BH:BH) * 0.01 * 2, 0.01))
)</f>
        <v>22.650000000000002</v>
      </c>
      <c r="Q25" s="5">
        <f>IF(O25="No","No",
MAX(0.01,MROUND(_xlfn.XLOOKUP(B25,'Base stats'!B:B,'Base stats'!BT:BT)/10000,0.01))
)</f>
        <v>0.34</v>
      </c>
      <c r="R25" s="4">
        <f>IF(O25="No","No",
MROUND(_xlfn.XLOOKUP(B25,'Base stats'!B:B,'Base stats'!AZ:AZ)^0.25
/((_xlfn.XLOOKUP(B25,'Base stats'!B:B,'Base stats'!BL:BL))*10)*_xlfn.XLOOKUP(_xlfn.XLOOKUP(B25,'Base stats'!B:B,'Base stats'!E:E),Groups!A:A,Groups!Z:Z)*150 + 0.5 + _xlfn.XLOOKUP(B25,'Base stats'!B:B,'Base stats'!BU:BU),
0.05))</f>
        <v>3</v>
      </c>
      <c r="S25" s="3" t="str">
        <f>IF(Animals!AI25="No","No",
IF(_xlfn.XLOOKUP(B25,'Base stats'!B:B,'Base stats'!U:U)="No",
MAX(MROUND(_xlfn.XLOOKUP(B25,'Base stats'!B:B,'Base stats'!BR:BR) * _xlfn.XLOOKUP(B25,'Base stats'!B:B,'Base stats'!BN:BN)^0.9 / 21 * _xlfn.XLOOKUP(B25,'Base stats'!B:B,'Base stats'!BV:BV),0.1),0.05),
MAX(MROUND(((MIN(12,_xlfn.XLOOKUP(B25,'Base stats'!B:B,'Base stats'!U:U)))^0.4*_xlfn.XLOOKUP(B25,'Base stats'!B:B,'Base stats'!BF:BF)^0.73)^0.6 * _xlfn.XLOOKUP(B25,'Base stats'!B:B,'Base stats'!BV:BV),0.1),0.05)
))</f>
        <v>No</v>
      </c>
      <c r="T25" s="11" t="str">
        <f>IF(S25="No","No",
MAX(0.01,MROUND(_xlfn.XLOOKUP(B25,'Base stats'!B:B,'Base stats'!BF:BF) * 0.01 * 2, 0.01))
)</f>
        <v>No</v>
      </c>
      <c r="U25" s="5" t="str">
        <f>IF(S25="No","No",IF(_xlfn.XLOOKUP(B25,'Base stats'!B:B,'Base stats'!U:U)="No","No",
MAX(0.01,MROUND(_xlfn.XLOOKUP(B25,'Base stats'!B:B,'Base stats'!BR:BR)/10000,0.01))
))</f>
        <v>No</v>
      </c>
      <c r="V25" s="4" t="str">
        <f>IF(S25="No","No",
MROUND(_xlfn.XLOOKUP(B25,'Base stats'!B:B,'Base stats'!BD:BD)^0.25
/((_xlfn.XLOOKUP(B25,'Base stats'!B:B,'Base stats'!BM:BM))*10)*_xlfn.XLOOKUP(_xlfn.XLOOKUP(B25,'Base stats'!B:B,'Base stats'!E:E),Groups!A:A,Groups!AE:AE)*150 + 0.5 + _xlfn.XLOOKUP(B25,'Base stats'!B:B,'Base stats'!BU:BU),
0.05))</f>
        <v>No</v>
      </c>
      <c r="W25" s="8">
        <f>MROUND(_xlfn.XLOOKUP(_xlfn.XLOOKUP(B25,'Base stats'!B:B,'Base stats'!E:E),Groups!A:A,Groups!BG:BG)*_xlfn.XLOOKUP(B25,'Base stats'!B:B,'Base stats'!C:C)^-0.165,0.01)</f>
        <v>0.14000000000000001</v>
      </c>
      <c r="X25" s="1">
        <f>MROUND(_xlfn.XLOOKUP(_xlfn.XLOOKUP(B25,'Base stats'!B:B,'Base stats'!E:E),Groups!A:A,Groups!BH:BH)*_xlfn.XLOOKUP(B25,'Base stats'!B:B,'Base stats'!C:C)^0.165,0.01)</f>
        <v>0.53</v>
      </c>
      <c r="Y25" s="8">
        <f>MROUND(_xlfn.XLOOKUP(_xlfn.XLOOKUP(B25,'Base stats'!B:B,'Base stats'!E:E),Groups!A:A,Groups!BI:BI)*_xlfn.XLOOKUP(B25,'Base stats'!B:B,'Base stats'!C:C)^0.165,0.01)</f>
        <v>0.09</v>
      </c>
      <c r="Z25" s="18">
        <f>ROUND(_xlfn.XLOOKUP(B25,'Base stats'!B:B,'Base stats'!AO:AO)*_xlfn.XLOOKUP(_xlfn.XLOOKUP(B25,'Base stats'!B:B,'Base stats'!E:E),Groups!A:A,Groups!H:H)/1000,2)</f>
        <v>0.25</v>
      </c>
      <c r="AA25" s="18">
        <f>ROUND((1/2)*(_xlfn.XLOOKUP(_xlfn.XLOOKUP(B25,'Base stats'!B:B,'Base stats'!E:E),Groups!A:A,Groups!H:H)*_xlfn.XLOOKUP(_xlfn.XLOOKUP(B25,'Base stats'!B:B,'Base stats'!E:E),Groups!A:A,Groups!I:I))*_xlfn.XLOOKUP(B25,'Base stats'!B:B,'Base stats'!AO:AO)*0.01,2)</f>
        <v>0.3</v>
      </c>
      <c r="AB25" s="18">
        <f>250*(Animals!AO25+Animals!AP25)</f>
        <v>2062.5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stats'!BQ:BQ) * (_xlfn.XLOOKUP(B26,'Base stats'!B:B,'Base stats'!AM:AM)*5%)^0.9 / 21,0.1),0.05)</f>
        <v>37.9</v>
      </c>
      <c r="E26" s="11">
        <f>MAX(0.01,MROUND(_xlfn.XLOOKUP(B26,'Base stats'!B:B,'Base stats'!BE:BE) * 0.01 * 2, 0.01))</f>
        <v>41.12</v>
      </c>
      <c r="F26" s="7">
        <f>MROUND(_xlfn.XLOOKUP(B26,'Base stats'!B:B,'Base stats'!BB:BB)^0.25 / (_xlfn.XLOOKUP(B26,'Base stats'!B:B,'Base stats'!BI:BI) * 10) * 150 + 0.5 + _xlfn.XLOOKUP(B26,'Base stats'!B:B,'Base stats'!BU:BU), 0.05)</f>
        <v>3</v>
      </c>
      <c r="G26" s="3">
        <f>IF(Animals!S26="No","No",
IF(_xlfn.XLOOKUP(B26,'Base stats'!B:B,'Base stats'!U:U)="No",
MAX(MROUND(_xlfn.XLOOKUP(B26,'Base stats'!B:B,'Base stats'!BR:BR) * _xlfn.XLOOKUP(B26,'Base stats'!B:B,'Base stats'!BN:BN)^0.9 / 21 * _xlfn.XLOOKUP(B26,'Base stats'!B:B,'Base stats'!BV:BV),0.1),0.05),
MAX(MROUND(((MIN(10,_xlfn.XLOOKUP(B26,'Base stats'!B:B,'Base stats'!U:U)))^0.4*_xlfn.XLOOKUP(B26,'Base stats'!B:B,'Base stats'!BF:BF)^0.73)^0.6 * _xlfn.XLOOKUP(B26,'Base stats'!B:B,'Base stats'!BV:BV),0.1),0.05)
))</f>
        <v>45</v>
      </c>
      <c r="H26" s="11">
        <f>IF(G26="No","No",
MAX(0.01,MROUND(_xlfn.XLOOKUP(B26,'Base stats'!B:B,'Base stats'!BF:BF) * 0.01 * 2, 0.01))
)</f>
        <v>36.26</v>
      </c>
      <c r="I26" s="11" t="str">
        <f>IF(G26="No","No",IF(_xlfn.XLOOKUP(B26,'Base stats'!B:B,'Base stats'!U:U)="No","No",
MAX(0.01,MROUND(_xlfn.XLOOKUP(B26,'Base stats'!B:B,'Base stats'!BR:BR)/10000,0.01))
))</f>
        <v>No</v>
      </c>
      <c r="J26" s="4">
        <f>IF(G26="No","No",
MROUND(_xlfn.XLOOKUP(B26,'Base stats'!B:B,'Base stats'!BC:BC)^0.25
/((_xlfn.XLOOKUP(B26,'Base stats'!B:B,'Base stats'!BJ:BJ))*10)*_xlfn.XLOOKUP(_xlfn.XLOOKUP(B26,'Base stats'!B:B,'Base stats'!E:E),Groups!A:A,Groups!Q:Q)*150 + 0.5 + _xlfn.XLOOKUP(B26,'Base stats'!B:B,'Base stats'!BU:BU),
0.05))</f>
        <v>3.35</v>
      </c>
      <c r="K26" s="3">
        <f>IF(Animals!X26="No","No",
IF(_xlfn.XLOOKUP(_xlfn.XLOOKUP(B26,'Base stats'!B:B,'Base stats'!E:E),Groups!A:A,Groups!BD:BD)=1,
MAX(MROUND(_xlfn.XLOOKUP(B26,'Base stats'!B:B,'Base stats'!BS:BS) * _xlfn.XLOOKUP(B26,'Base stats'!B:B,'Base stats'!BO:BO)^0.9 / 21 *_xlfn.XLOOKUP(B26,'Base stats'!B:B,'Base stats'!BV:BV),0.1),0.05),
MAX(MROUND(((MIN(10,_xlfn.XLOOKUP(B26,'Base stats'!B:B,'Base stats'!W:W)))^0.4*_xlfn.XLOOKUP(B26,'Base stats'!B:B,'Base stats'!BG:BG)^0.73)^0.6 *_xlfn.XLOOKUP(B26,'Base stats'!B:B,'Base stats'!BV:BV),0.1),0.05)
))</f>
        <v>50.300000000000004</v>
      </c>
      <c r="L26" s="11">
        <f>IF(K26="No","No",
MAX(0.01,MROUND(_xlfn.XLOOKUP(B26,'Base stats'!B:B,'Base stats'!BG:BG) * 0.01 *2, 0.01))
)</f>
        <v>43.51</v>
      </c>
      <c r="M26" s="5">
        <f>IF(K26="No","No",IF(_xlfn.XLOOKUP(_xlfn.XLOOKUP(B26,'Base stats'!B:B,'Base stats'!E:E),Groups!A:A,Groups!BD:BD)=1,"No",
MAX(0.01,MROUND(_xlfn.XLOOKUP(B26,'Base stats'!B:B,'Base stats'!BS:BS)/10000,0.01))
))</f>
        <v>1.8900000000000001</v>
      </c>
      <c r="N26" s="4">
        <f>IF(K26="No","No",
MROUND(
  _xlfn.XLOOKUP(B26,'Base stats'!B:B,'Base stats'!BA:BA)^0.25
  / (_xlfn.XLOOKUP(B26,'Base stats'!B:B,'Base stats'!BK:BK)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stats'!BU:BU),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stats'!BH:BH)^0.73)^0.6 *_xlfn.XLOOKUP(B26,'Base stats'!B:B,'Base stats'!BV:BV),0.1),0.05)
)</f>
        <v>No</v>
      </c>
      <c r="P26" s="11" t="str">
        <f>IF(O26="No","No",
MAX(0.01,MROUND(_xlfn.XLOOKUP(B26,'Base stats'!B:B,'Base stats'!BH:BH) * 0.01 * 2, 0.01))
)</f>
        <v>No</v>
      </c>
      <c r="Q26" s="5" t="str">
        <f>IF(O26="No","No",
MAX(0.01,MROUND(_xlfn.XLOOKUP(B26,'Base stats'!B:B,'Base stats'!BT:BT)/10000,0.01))
)</f>
        <v>No</v>
      </c>
      <c r="R26" s="4" t="str">
        <f>IF(O26="No","No",
MROUND(_xlfn.XLOOKUP(B26,'Base stats'!B:B,'Base stats'!AZ:AZ)^0.25
/((_xlfn.XLOOKUP(B26,'Base stats'!B:B,'Base stats'!BL:BL))*10)*_xlfn.XLOOKUP(_xlfn.XLOOKUP(B26,'Base stats'!B:B,'Base stats'!E:E),Groups!A:A,Groups!Z:Z)*150 + 0.5 + _xlfn.XLOOKUP(B26,'Base stats'!B:B,'Base stats'!BU:BU),
0.05))</f>
        <v>No</v>
      </c>
      <c r="S26" s="3" t="str">
        <f>IF(Animals!AI26="No","No",
IF(_xlfn.XLOOKUP(B26,'Base stats'!B:B,'Base stats'!U:U)="No",
MAX(MROUND(_xlfn.XLOOKUP(B26,'Base stats'!B:B,'Base stats'!BR:BR) * _xlfn.XLOOKUP(B26,'Base stats'!B:B,'Base stats'!BN:BN)^0.9 / 21 * _xlfn.XLOOKUP(B26,'Base stats'!B:B,'Base stats'!BV:BV),0.1),0.05),
MAX(MROUND(((MIN(12,_xlfn.XLOOKUP(B26,'Base stats'!B:B,'Base stats'!U:U)))^0.4*_xlfn.XLOOKUP(B26,'Base stats'!B:B,'Base stats'!BF:BF)^0.73)^0.6 * _xlfn.XLOOKUP(B26,'Base stats'!B:B,'Base stats'!BV:BV),0.1),0.05)
))</f>
        <v>No</v>
      </c>
      <c r="T26" s="11" t="str">
        <f>IF(S26="No","No",
MAX(0.01,MROUND(_xlfn.XLOOKUP(B26,'Base stats'!B:B,'Base stats'!BF:BF) * 0.01 * 2, 0.01))
)</f>
        <v>No</v>
      </c>
      <c r="U26" s="5" t="str">
        <f>IF(S26="No","No",IF(_xlfn.XLOOKUP(B26,'Base stats'!B:B,'Base stats'!U:U)="No","No",
MAX(0.01,MROUND(_xlfn.XLOOKUP(B26,'Base stats'!B:B,'Base stats'!BR:BR)/10000,0.01))
))</f>
        <v>No</v>
      </c>
      <c r="V26" s="4" t="str">
        <f>IF(S26="No","No",
MROUND(_xlfn.XLOOKUP(B26,'Base stats'!B:B,'Base stats'!BD:BD)^0.25
/((_xlfn.XLOOKUP(B26,'Base stats'!B:B,'Base stats'!BM:BM))*10)*_xlfn.XLOOKUP(_xlfn.XLOOKUP(B26,'Base stats'!B:B,'Base stats'!E:E),Groups!A:A,Groups!AE:AE)*150 + 0.5 + _xlfn.XLOOKUP(B26,'Base stats'!B:B,'Base stats'!BU:BU),
0.05))</f>
        <v>No</v>
      </c>
      <c r="W26" s="8">
        <f>MROUND(_xlfn.XLOOKUP(_xlfn.XLOOKUP(B26,'Base stats'!B:B,'Base stats'!E:E),Groups!A:A,Groups!BG:BG)*_xlfn.XLOOKUP(B26,'Base stats'!B:B,'Base stats'!C:C)^-0.165,0.01)</f>
        <v>0.06</v>
      </c>
      <c r="X26" s="1">
        <f>MROUND(_xlfn.XLOOKUP(_xlfn.XLOOKUP(B26,'Base stats'!B:B,'Base stats'!E:E),Groups!A:A,Groups!BH:BH)*_xlfn.XLOOKUP(B26,'Base stats'!B:B,'Base stats'!C:C)^0.165,0.01)</f>
        <v>0.4</v>
      </c>
      <c r="Y26" s="8">
        <f>MROUND(_xlfn.XLOOKUP(_xlfn.XLOOKUP(B26,'Base stats'!B:B,'Base stats'!E:E),Groups!A:A,Groups!BI:BI)*_xlfn.XLOOKUP(B26,'Base stats'!B:B,'Base stats'!C:C)^0.165,0.01)</f>
        <v>0.2</v>
      </c>
      <c r="Z26" s="18">
        <f>ROUND(_xlfn.XLOOKUP(B26,'Base stats'!B:B,'Base stats'!AO:AO)*_xlfn.XLOOKUP(_xlfn.XLOOKUP(B26,'Base stats'!B:B,'Base stats'!E:E),Groups!A:A,Groups!H:H)/1000,2)</f>
        <v>0.18</v>
      </c>
      <c r="AA26" s="18">
        <f>ROUND((1/2)*(_xlfn.XLOOKUP(_xlfn.XLOOKUP(B26,'Base stats'!B:B,'Base stats'!E:E),Groups!A:A,Groups!H:H)*_xlfn.XLOOKUP(_xlfn.XLOOKUP(B26,'Base stats'!B:B,'Base stats'!E:E),Groups!A:A,Groups!I:I))*_xlfn.XLOOKUP(B26,'Base stats'!B:B,'Base stats'!AO:AO)*0.01,2)</f>
        <v>0.98</v>
      </c>
      <c r="AB26" s="18">
        <f>250*(Animals!AO26+Animals!AP26)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stats'!BQ:BQ) * (_xlfn.XLOOKUP(B27,'Base stats'!B:B,'Base stats'!AM:AM)*5%)^0.9 / 21,0.1),0.05)</f>
        <v>48.400000000000006</v>
      </c>
      <c r="E27" s="11">
        <f>MAX(0.01,MROUND(_xlfn.XLOOKUP(B27,'Base stats'!B:B,'Base stats'!BE:BE) * 0.01 * 2, 0.01))</f>
        <v>53.410000000000004</v>
      </c>
      <c r="F27" s="7">
        <f>MROUND(_xlfn.XLOOKUP(B27,'Base stats'!B:B,'Base stats'!BB:BB)^0.25 / (_xlfn.XLOOKUP(B27,'Base stats'!B:B,'Base stats'!BI:BI) * 10) * 150 + 0.5 + _xlfn.XLOOKUP(B27,'Base stats'!B:B,'Base stats'!BU:BU), 0.05)</f>
        <v>3.1500000000000004</v>
      </c>
      <c r="G27" s="3">
        <f>IF(Animals!S27="No","No",
IF(_xlfn.XLOOKUP(B27,'Base stats'!B:B,'Base stats'!U:U)="No",
MAX(MROUND(_xlfn.XLOOKUP(B27,'Base stats'!B:B,'Base stats'!BR:BR) * _xlfn.XLOOKUP(B27,'Base stats'!B:B,'Base stats'!BN:BN)^0.9 / 21 * _xlfn.XLOOKUP(B27,'Base stats'!B:B,'Base stats'!BV:BV),0.1),0.05),
MAX(MROUND(((MIN(10,_xlfn.XLOOKUP(B27,'Base stats'!B:B,'Base stats'!U:U)))^0.4*_xlfn.XLOOKUP(B27,'Base stats'!B:B,'Base stats'!BF:BF)^0.73)^0.6 * _xlfn.XLOOKUP(B27,'Base stats'!B:B,'Base stats'!BV:BV),0.1),0.05)
))</f>
        <v>55.900000000000006</v>
      </c>
      <c r="H27" s="11">
        <f>IF(G27="No","No",
MAX(0.01,MROUND(_xlfn.XLOOKUP(B27,'Base stats'!B:B,'Base stats'!BF:BF) * 0.01 * 2, 0.01))
)</f>
        <v>46.35</v>
      </c>
      <c r="I27" s="11" t="str">
        <f>IF(G27="No","No",IF(_xlfn.XLOOKUP(B27,'Base stats'!B:B,'Base stats'!U:U)="No","No",
MAX(0.01,MROUND(_xlfn.XLOOKUP(B27,'Base stats'!B:B,'Base stats'!BR:BR)/10000,0.01))
))</f>
        <v>No</v>
      </c>
      <c r="J27" s="4">
        <f>IF(G27="No","No",
MROUND(_xlfn.XLOOKUP(B27,'Base stats'!B:B,'Base stats'!BC:BC)^0.25
/((_xlfn.XLOOKUP(B27,'Base stats'!B:B,'Base stats'!BJ:BJ))*10)*_xlfn.XLOOKUP(_xlfn.XLOOKUP(B27,'Base stats'!B:B,'Base stats'!E:E),Groups!A:A,Groups!Q:Q)*150 + 0.5 + _xlfn.XLOOKUP(B27,'Base stats'!B:B,'Base stats'!BU:BU),
0.05))</f>
        <v>3.5500000000000003</v>
      </c>
      <c r="K27" s="3">
        <f>IF(Animals!X27="No","No",
IF(_xlfn.XLOOKUP(_xlfn.XLOOKUP(B27,'Base stats'!B:B,'Base stats'!E:E),Groups!A:A,Groups!BD:BD)=1,
MAX(MROUND(_xlfn.XLOOKUP(B27,'Base stats'!B:B,'Base stats'!BS:BS) * _xlfn.XLOOKUP(B27,'Base stats'!B:B,'Base stats'!BO:BO)^0.9 / 21 *_xlfn.XLOOKUP(B27,'Base stats'!B:B,'Base stats'!BV:BV),0.1),0.05),
MAX(MROUND(((MIN(10,_xlfn.XLOOKUP(B27,'Base stats'!B:B,'Base stats'!W:W)))^0.4*_xlfn.XLOOKUP(B27,'Base stats'!B:B,'Base stats'!BG:BG)^0.73)^0.6 *_xlfn.XLOOKUP(B27,'Base stats'!B:B,'Base stats'!BV:BV),0.1),0.05)
))</f>
        <v>59.6</v>
      </c>
      <c r="L27" s="11">
        <f>IF(K27="No","No",
MAX(0.01,MROUND(_xlfn.XLOOKUP(B27,'Base stats'!B:B,'Base stats'!BG:BG) * 0.01 *2, 0.01))
)</f>
        <v>64.099999999999994</v>
      </c>
      <c r="M27" s="5">
        <f>IF(K27="No","No",IF(_xlfn.XLOOKUP(_xlfn.XLOOKUP(B27,'Base stats'!B:B,'Base stats'!E:E),Groups!A:A,Groups!BD:BD)=1,"No",
MAX(0.01,MROUND(_xlfn.XLOOKUP(B27,'Base stats'!B:B,'Base stats'!BS:BS)/10000,0.01))
))</f>
        <v>27.11</v>
      </c>
      <c r="N27" s="4">
        <f>IF(K27="No","No",
MROUND(
  _xlfn.XLOOKUP(B27,'Base stats'!B:B,'Base stats'!BA:BA)^0.25
  / (_xlfn.XLOOKUP(B27,'Base stats'!B:B,'Base stats'!BK:BK)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stats'!BU:BU),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stats'!BH:BH)^0.73)^0.6 *_xlfn.XLOOKUP(B27,'Base stats'!B:B,'Base stats'!BV:BV),0.1),0.05)
)</f>
        <v>No</v>
      </c>
      <c r="P27" s="11" t="str">
        <f>IF(O27="No","No",
MAX(0.01,MROUND(_xlfn.XLOOKUP(B27,'Base stats'!B:B,'Base stats'!BH:BH) * 0.01 * 2, 0.01))
)</f>
        <v>No</v>
      </c>
      <c r="Q27" s="5" t="str">
        <f>IF(O27="No","No",
MAX(0.01,MROUND(_xlfn.XLOOKUP(B27,'Base stats'!B:B,'Base stats'!BT:BT)/10000,0.01))
)</f>
        <v>No</v>
      </c>
      <c r="R27" s="4" t="str">
        <f>IF(O27="No","No",
MROUND(_xlfn.XLOOKUP(B27,'Base stats'!B:B,'Base stats'!AZ:AZ)^0.25
/((_xlfn.XLOOKUP(B27,'Base stats'!B:B,'Base stats'!BL:BL))*10)*_xlfn.XLOOKUP(_xlfn.XLOOKUP(B27,'Base stats'!B:B,'Base stats'!E:E),Groups!A:A,Groups!Z:Z)*150 + 0.5 + _xlfn.XLOOKUP(B27,'Base stats'!B:B,'Base stats'!BU:BU),
0.05))</f>
        <v>No</v>
      </c>
      <c r="S27" s="3" t="str">
        <f>IF(Animals!AI27="No","No",
IF(_xlfn.XLOOKUP(B27,'Base stats'!B:B,'Base stats'!U:U)="No",
MAX(MROUND(_xlfn.XLOOKUP(B27,'Base stats'!B:B,'Base stats'!BR:BR) * _xlfn.XLOOKUP(B27,'Base stats'!B:B,'Base stats'!BN:BN)^0.9 / 21 * _xlfn.XLOOKUP(B27,'Base stats'!B:B,'Base stats'!BV:BV),0.1),0.05),
MAX(MROUND(((MIN(12,_xlfn.XLOOKUP(B27,'Base stats'!B:B,'Base stats'!U:U)))^0.4*_xlfn.XLOOKUP(B27,'Base stats'!B:B,'Base stats'!BF:BF)^0.73)^0.6 * _xlfn.XLOOKUP(B27,'Base stats'!B:B,'Base stats'!BV:BV),0.1),0.05)
))</f>
        <v>No</v>
      </c>
      <c r="T27" s="11" t="str">
        <f>IF(S27="No","No",
MAX(0.01,MROUND(_xlfn.XLOOKUP(B27,'Base stats'!B:B,'Base stats'!BF:BF) * 0.01 * 2, 0.01))
)</f>
        <v>No</v>
      </c>
      <c r="U27" s="5" t="str">
        <f>IF(S27="No","No",IF(_xlfn.XLOOKUP(B27,'Base stats'!B:B,'Base stats'!U:U)="No","No",
MAX(0.01,MROUND(_xlfn.XLOOKUP(B27,'Base stats'!B:B,'Base stats'!BR:BR)/10000,0.01))
))</f>
        <v>No</v>
      </c>
      <c r="V27" s="4" t="str">
        <f>IF(S27="No","No",
MROUND(_xlfn.XLOOKUP(B27,'Base stats'!B:B,'Base stats'!BD:BD)^0.25
/((_xlfn.XLOOKUP(B27,'Base stats'!B:B,'Base stats'!BM:BM))*10)*_xlfn.XLOOKUP(_xlfn.XLOOKUP(B27,'Base stats'!B:B,'Base stats'!E:E),Groups!A:A,Groups!AE:AE)*150 + 0.5 + _xlfn.XLOOKUP(B27,'Base stats'!B:B,'Base stats'!BU:BU),
0.05))</f>
        <v>No</v>
      </c>
      <c r="W27" s="8">
        <f>MROUND(_xlfn.XLOOKUP(_xlfn.XLOOKUP(B27,'Base stats'!B:B,'Base stats'!E:E),Groups!A:A,Groups!BG:BG)*_xlfn.XLOOKUP(B27,'Base stats'!B:B,'Base stats'!C:C)^-0.165,0.01)</f>
        <v>0.17</v>
      </c>
      <c r="X27" s="1">
        <f>MROUND(_xlfn.XLOOKUP(_xlfn.XLOOKUP(B27,'Base stats'!B:B,'Base stats'!E:E),Groups!A:A,Groups!BH:BH)*_xlfn.XLOOKUP(B27,'Base stats'!B:B,'Base stats'!C:C)^0.165,0.01)</f>
        <v>0.63</v>
      </c>
      <c r="Y27" s="8">
        <f>MROUND(_xlfn.XLOOKUP(_xlfn.XLOOKUP(B27,'Base stats'!B:B,'Base stats'!E:E),Groups!A:A,Groups!BI:BI)*_xlfn.XLOOKUP(B27,'Base stats'!B:B,'Base stats'!C:C)^0.165,0.01)</f>
        <v>0.21</v>
      </c>
      <c r="Z27" s="18">
        <f>ROUND(_xlfn.XLOOKUP(B27,'Base stats'!B:B,'Base stats'!AO:AO)*_xlfn.XLOOKUP(_xlfn.XLOOKUP(B27,'Base stats'!B:B,'Base stats'!E:E),Groups!A:A,Groups!H:H)/1000,2)</f>
        <v>2.1800000000000002</v>
      </c>
      <c r="AA27" s="18">
        <f>ROUND((1/2)*(_xlfn.XLOOKUP(_xlfn.XLOOKUP(B27,'Base stats'!B:B,'Base stats'!E:E),Groups!A:A,Groups!H:H)*_xlfn.XLOOKUP(_xlfn.XLOOKUP(B27,'Base stats'!B:B,'Base stats'!E:E),Groups!A:A,Groups!I:I))*_xlfn.XLOOKUP(B27,'Base stats'!B:B,'Base stats'!AO:AO)*0.01,2)</f>
        <v>2.1800000000000002</v>
      </c>
      <c r="AB27" s="18">
        <f>250*(Animals!AO27+Animals!AP27)</f>
        <v>3437.5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stats'!BQ:BQ) * (_xlfn.XLOOKUP(B28,'Base stats'!B:B,'Base stats'!AM:AM)*5%)^0.9 / 21,0.1),0.05)</f>
        <v>32.200000000000003</v>
      </c>
      <c r="E28" s="11">
        <f>MAX(0.01,MROUND(_xlfn.XLOOKUP(B28,'Base stats'!B:B,'Base stats'!BE:BE) * 0.01 * 2, 0.01))</f>
        <v>34.47</v>
      </c>
      <c r="F28" s="7">
        <f>MROUND(_xlfn.XLOOKUP(B28,'Base stats'!B:B,'Base stats'!BB:BB)^0.25 / (_xlfn.XLOOKUP(B28,'Base stats'!B:B,'Base stats'!BI:BI) * 10) * 150 + 0.5 + _xlfn.XLOOKUP(B28,'Base stats'!B:B,'Base stats'!BU:BU), 0.05)</f>
        <v>2.9000000000000004</v>
      </c>
      <c r="G28" s="3" t="str">
        <f>IF(Animals!S28="No","No",
IF(_xlfn.XLOOKUP(B28,'Base stats'!B:B,'Base stats'!U:U)="No",
MAX(MROUND(_xlfn.XLOOKUP(B28,'Base stats'!B:B,'Base stats'!BR:BR) * _xlfn.XLOOKUP(B28,'Base stats'!B:B,'Base stats'!BN:BN)^0.9 / 21 * _xlfn.XLOOKUP(B28,'Base stats'!B:B,'Base stats'!BV:BV),0.1),0.05),
MAX(MROUND(((MIN(10,_xlfn.XLOOKUP(B28,'Base stats'!B:B,'Base stats'!U:U)))^0.4*_xlfn.XLOOKUP(B28,'Base stats'!B:B,'Base stats'!BF:BF)^0.73)^0.6 * _xlfn.XLOOKUP(B28,'Base stats'!B:B,'Base stats'!BV:BV),0.1),0.05)
))</f>
        <v>No</v>
      </c>
      <c r="H28" s="11" t="str">
        <f>IF(G28="No","No",
MAX(0.01,MROUND(_xlfn.XLOOKUP(B28,'Base stats'!B:B,'Base stats'!BF:BF) * 0.01 * 2, 0.01))
)</f>
        <v>No</v>
      </c>
      <c r="I28" s="11" t="str">
        <f>IF(G28="No","No",IF(_xlfn.XLOOKUP(B28,'Base stats'!B:B,'Base stats'!U:U)="No","No",
MAX(0.01,MROUND(_xlfn.XLOOKUP(B28,'Base stats'!B:B,'Base stats'!BR:BR)/10000,0.01))
))</f>
        <v>No</v>
      </c>
      <c r="J28" s="4" t="str">
        <f>IF(G28="No","No",
MROUND(_xlfn.XLOOKUP(B28,'Base stats'!B:B,'Base stats'!BC:BC)^0.25
/((_xlfn.XLOOKUP(B28,'Base stats'!B:B,'Base stats'!BJ:BJ))*10)*_xlfn.XLOOKUP(_xlfn.XLOOKUP(B28,'Base stats'!B:B,'Base stats'!E:E),Groups!A:A,Groups!Q:Q)*150 + 0.5 + _xlfn.XLOOKUP(B28,'Base stats'!B:B,'Base stats'!BU:BU),
0.05))</f>
        <v>No</v>
      </c>
      <c r="K28" s="3" t="str">
        <f>IF(Animals!X28="No","No",
IF(_xlfn.XLOOKUP(_xlfn.XLOOKUP(B28,'Base stats'!B:B,'Base stats'!E:E),Groups!A:A,Groups!BD:BD)=1,
MAX(MROUND(_xlfn.XLOOKUP(B28,'Base stats'!B:B,'Base stats'!BS:BS) * _xlfn.XLOOKUP(B28,'Base stats'!B:B,'Base stats'!BO:BO)^0.9 / 21 *_xlfn.XLOOKUP(B28,'Base stats'!B:B,'Base stats'!BV:BV),0.1),0.05),
MAX(MROUND(((MIN(10,_xlfn.XLOOKUP(B28,'Base stats'!B:B,'Base stats'!W:W)))^0.4*_xlfn.XLOOKUP(B28,'Base stats'!B:B,'Base stats'!BG:BG)^0.73)^0.6 *_xlfn.XLOOKUP(B28,'Base stats'!B:B,'Base stats'!BV:BV),0.1),0.05)
))</f>
        <v>No</v>
      </c>
      <c r="L28" s="11" t="str">
        <f>IF(K28="No","No",
MAX(0.01,MROUND(_xlfn.XLOOKUP(B28,'Base stats'!B:B,'Base stats'!BG:BG) * 0.01 *2, 0.01))
)</f>
        <v>No</v>
      </c>
      <c r="M28" s="5" t="str">
        <f>IF(K28="No","No",IF(_xlfn.XLOOKUP(_xlfn.XLOOKUP(B28,'Base stats'!B:B,'Base stats'!E:E),Groups!A:A,Groups!BD:BD)=1,"No",
MAX(0.01,MROUND(_xlfn.XLOOKUP(B28,'Base stats'!B:B,'Base stats'!BS:BS)/10000,0.01))
))</f>
        <v>No</v>
      </c>
      <c r="N28" s="4" t="str">
        <f>IF(K28="No","No",
MROUND(
  _xlfn.XLOOKUP(B28,'Base stats'!B:B,'Base stats'!BA:BA)^0.25
  / (_xlfn.XLOOKUP(B28,'Base stats'!B:B,'Base stats'!BK:BK)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stats'!BU:BU),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stats'!BH:BH)^0.73)^0.6 *_xlfn.XLOOKUP(B28,'Base stats'!B:B,'Base stats'!BV:BV),0.1),0.05)
)</f>
        <v>30.400000000000002</v>
      </c>
      <c r="P28" s="11">
        <f>IF(O28="No","No",
MAX(0.01,MROUND(_xlfn.XLOOKUP(B28,'Base stats'!B:B,'Base stats'!BH:BH) * 0.01 * 2, 0.01))
)</f>
        <v>33.200000000000003</v>
      </c>
      <c r="Q28" s="5">
        <f>IF(O28="No","No",
MAX(0.01,MROUND(_xlfn.XLOOKUP(B28,'Base stats'!B:B,'Base stats'!BT:BT)/10000,0.01))
)</f>
        <v>7.0000000000000007E-2</v>
      </c>
      <c r="R28" s="4">
        <f>IF(O28="No","No",
MROUND(_xlfn.XLOOKUP(B28,'Base stats'!B:B,'Base stats'!AZ:AZ)^0.25
/((_xlfn.XLOOKUP(B28,'Base stats'!B:B,'Base stats'!BL:BL))*10)*_xlfn.XLOOKUP(_xlfn.XLOOKUP(B28,'Base stats'!B:B,'Base stats'!E:E),Groups!A:A,Groups!Z:Z)*150 + 0.5 + _xlfn.XLOOKUP(B28,'Base stats'!B:B,'Base stats'!BU:BU),
0.05))</f>
        <v>2.75</v>
      </c>
      <c r="S28" s="3">
        <f>IF(Animals!AI28="No","No",
IF(_xlfn.XLOOKUP(B28,'Base stats'!B:B,'Base stats'!U:U)="No",
MAX(MROUND(_xlfn.XLOOKUP(B28,'Base stats'!B:B,'Base stats'!BR:BR) * _xlfn.XLOOKUP(B28,'Base stats'!B:B,'Base stats'!BN:BN)^0.9 / 21 * _xlfn.XLOOKUP(B28,'Base stats'!B:B,'Base stats'!BV:BV),0.1),0.05),
MAX(MROUND(((MIN(12,_xlfn.XLOOKUP(B28,'Base stats'!B:B,'Base stats'!U:U)))^0.4*_xlfn.XLOOKUP(B28,'Base stats'!B:B,'Base stats'!BF:BF)^0.73)^0.6 * _xlfn.XLOOKUP(B28,'Base stats'!B:B,'Base stats'!BV:BV),0.1),0.05)
))</f>
        <v>45.2</v>
      </c>
      <c r="T28" s="11">
        <f>IF(S28="No","No",
MAX(0.01,MROUND(_xlfn.XLOOKUP(B28,'Base stats'!B:B,'Base stats'!BF:BF) * 0.01 * 2, 0.01))
)</f>
        <v>30.73</v>
      </c>
      <c r="U28" s="5">
        <f>IF(S28="No","No",IF(_xlfn.XLOOKUP(B28,'Base stats'!B:B,'Base stats'!U:U)="No","No",
MAX(0.01,MROUND(_xlfn.XLOOKUP(B28,'Base stats'!B:B,'Base stats'!BR:BR)/10000,0.01))
))</f>
        <v>0.37</v>
      </c>
      <c r="V28" s="4">
        <f>IF(S28="No","No",
MROUND(_xlfn.XLOOKUP(B28,'Base stats'!B:B,'Base stats'!BD:BD)^0.25
/((_xlfn.XLOOKUP(B28,'Base stats'!B:B,'Base stats'!BM:BM))*10)*_xlfn.XLOOKUP(_xlfn.XLOOKUP(B28,'Base stats'!B:B,'Base stats'!E:E),Groups!A:A,Groups!AE:AE)*150 + 0.5 + _xlfn.XLOOKUP(B28,'Base stats'!B:B,'Base stats'!BU:BU),
0.05))</f>
        <v>3.0500000000000003</v>
      </c>
      <c r="W28" s="8">
        <f>MROUND(_xlfn.XLOOKUP(_xlfn.XLOOKUP(B28,'Base stats'!B:B,'Base stats'!E:E),Groups!A:A,Groups!BG:BG)*_xlfn.XLOOKUP(B28,'Base stats'!B:B,'Base stats'!C:C)^-0.165,0.01)</f>
        <v>0.06</v>
      </c>
      <c r="X28" s="1">
        <f>MROUND(_xlfn.XLOOKUP(_xlfn.XLOOKUP(B28,'Base stats'!B:B,'Base stats'!E:E),Groups!A:A,Groups!BH:BH)*_xlfn.XLOOKUP(B28,'Base stats'!B:B,'Base stats'!C:C)^0.165,0.01)</f>
        <v>0.39</v>
      </c>
      <c r="Y28" s="8">
        <f>MROUND(_xlfn.XLOOKUP(_xlfn.XLOOKUP(B28,'Base stats'!B:B,'Base stats'!E:E),Groups!A:A,Groups!BI:BI)*_xlfn.XLOOKUP(B28,'Base stats'!B:B,'Base stats'!C:C)^0.165,0.01)</f>
        <v>0.1</v>
      </c>
      <c r="Z28" s="18">
        <f>ROUND(_xlfn.XLOOKUP(B28,'Base stats'!B:B,'Base stats'!AO:AO)*_xlfn.XLOOKUP(_xlfn.XLOOKUP(B28,'Base stats'!B:B,'Base stats'!E:E),Groups!A:A,Groups!H:H)/1000,2)</f>
        <v>0.31</v>
      </c>
      <c r="AA28" s="18">
        <f>ROUND((1/2)*(_xlfn.XLOOKUP(_xlfn.XLOOKUP(B28,'Base stats'!B:B,'Base stats'!E:E),Groups!A:A,Groups!H:H)*_xlfn.XLOOKUP(_xlfn.XLOOKUP(B28,'Base stats'!B:B,'Base stats'!E:E),Groups!A:A,Groups!I:I))*_xlfn.XLOOKUP(B28,'Base stats'!B:B,'Base stats'!AO:AO)*0.01,2)</f>
        <v>0.35</v>
      </c>
      <c r="AB28" s="18">
        <f>250*(Animals!AO28+Animals!AP28)</f>
        <v>2612.5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stats'!BQ:BQ) * (_xlfn.XLOOKUP(B29,'Base stats'!B:B,'Base stats'!AM:AM)*5%)^0.9 / 21,0.1),0.05)</f>
        <v>4.3</v>
      </c>
      <c r="E29" s="11">
        <f>MAX(0.01,MROUND(_xlfn.XLOOKUP(B29,'Base stats'!B:B,'Base stats'!BE:BE) * 0.01 * 2, 0.01))</f>
        <v>3.74</v>
      </c>
      <c r="F29" s="7">
        <f>MROUND(_xlfn.XLOOKUP(B29,'Base stats'!B:B,'Base stats'!BB:BB)^0.25 / (_xlfn.XLOOKUP(B29,'Base stats'!B:B,'Base stats'!BI:BI) * 10) * 150 + 0.5 + _xlfn.XLOOKUP(B29,'Base stats'!B:B,'Base stats'!BU:BU), 0.05)</f>
        <v>1.75</v>
      </c>
      <c r="G29" s="3" t="str">
        <f>IF(Animals!S29="No","No",
IF(_xlfn.XLOOKUP(B29,'Base stats'!B:B,'Base stats'!U:U)="No",
MAX(MROUND(_xlfn.XLOOKUP(B29,'Base stats'!B:B,'Base stats'!BR:BR) * _xlfn.XLOOKUP(B29,'Base stats'!B:B,'Base stats'!BN:BN)^0.9 / 21 * _xlfn.XLOOKUP(B29,'Base stats'!B:B,'Base stats'!BV:BV),0.1),0.05),
MAX(MROUND(((MIN(10,_xlfn.XLOOKUP(B29,'Base stats'!B:B,'Base stats'!U:U)))^0.4*_xlfn.XLOOKUP(B29,'Base stats'!B:B,'Base stats'!BF:BF)^0.73)^0.6 * _xlfn.XLOOKUP(B29,'Base stats'!B:B,'Base stats'!BV:BV),0.1),0.05)
))</f>
        <v>No</v>
      </c>
      <c r="H29" s="11" t="str">
        <f>IF(G29="No","No",
MAX(0.01,MROUND(_xlfn.XLOOKUP(B29,'Base stats'!B:B,'Base stats'!BF:BF) * 0.01 * 2, 0.01))
)</f>
        <v>No</v>
      </c>
      <c r="I29" s="11" t="str">
        <f>IF(G29="No","No",IF(_xlfn.XLOOKUP(B29,'Base stats'!B:B,'Base stats'!U:U)="No","No",
MAX(0.01,MROUND(_xlfn.XLOOKUP(B29,'Base stats'!B:B,'Base stats'!BR:BR)/10000,0.01))
))</f>
        <v>No</v>
      </c>
      <c r="J29" s="4" t="str">
        <f>IF(G29="No","No",
MROUND(_xlfn.XLOOKUP(B29,'Base stats'!B:B,'Base stats'!BC:BC)^0.25
/((_xlfn.XLOOKUP(B29,'Base stats'!B:B,'Base stats'!BJ:BJ))*10)*_xlfn.XLOOKUP(_xlfn.XLOOKUP(B29,'Base stats'!B:B,'Base stats'!E:E),Groups!A:A,Groups!Q:Q)*150 + 0.5 + _xlfn.XLOOKUP(B29,'Base stats'!B:B,'Base stats'!BU:BU),
0.05))</f>
        <v>No</v>
      </c>
      <c r="K29" s="3">
        <f>IF(Animals!X29="No","No",
IF(_xlfn.XLOOKUP(_xlfn.XLOOKUP(B29,'Base stats'!B:B,'Base stats'!E:E),Groups!A:A,Groups!BD:BD)=1,
MAX(MROUND(_xlfn.XLOOKUP(B29,'Base stats'!B:B,'Base stats'!BS:BS) * _xlfn.XLOOKUP(B29,'Base stats'!B:B,'Base stats'!BO:BO)^0.9 / 21 *_xlfn.XLOOKUP(B29,'Base stats'!B:B,'Base stats'!BV:BV),0.1),0.05),
MAX(MROUND(((MIN(10,_xlfn.XLOOKUP(B29,'Base stats'!B:B,'Base stats'!W:W)))^0.4*_xlfn.XLOOKUP(B29,'Base stats'!B:B,'Base stats'!BG:BG)^0.73)^0.6 *_xlfn.XLOOKUP(B29,'Base stats'!B:B,'Base stats'!BV:BV),0.1),0.05)
))</f>
        <v>26.8</v>
      </c>
      <c r="L29" s="11">
        <f>IF(K29="No","No",
MAX(0.01,MROUND(_xlfn.XLOOKUP(B29,'Base stats'!B:B,'Base stats'!BG:BG) * 0.01 *2, 0.01))
)</f>
        <v>10.36</v>
      </c>
      <c r="M29" s="5">
        <f>IF(K29="No","No",IF(_xlfn.XLOOKUP(_xlfn.XLOOKUP(B29,'Base stats'!B:B,'Base stats'!E:E),Groups!A:A,Groups!BD:BD)=1,"No",
MAX(0.01,MROUND(_xlfn.XLOOKUP(B29,'Base stats'!B:B,'Base stats'!BS:BS)/10000,0.01))
))</f>
        <v>0.63</v>
      </c>
      <c r="N29" s="4">
        <f>IF(K29="No","No",
MROUND(
  _xlfn.XLOOKUP(B29,'Base stats'!B:B,'Base stats'!BA:BA)^0.25
  / (_xlfn.XLOOKUP(B29,'Base stats'!B:B,'Base stats'!BK:BK)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stats'!BU:BU),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stats'!BH:BH)^0.73)^0.6 *_xlfn.XLOOKUP(B29,'Base stats'!B:B,'Base stats'!BV:BV),0.1),0.05)
)</f>
        <v>24.6</v>
      </c>
      <c r="P29" s="11">
        <f>IF(O29="No","No",
MAX(0.01,MROUND(_xlfn.XLOOKUP(B29,'Base stats'!B:B,'Base stats'!BH:BH) * 0.01 * 2, 0.01))
)</f>
        <v>8.6300000000000008</v>
      </c>
      <c r="Q29" s="5">
        <f>IF(O29="No","No",
MAX(0.01,MROUND(_xlfn.XLOOKUP(B29,'Base stats'!B:B,'Base stats'!BT:BT)/10000,0.01))
)</f>
        <v>0.38</v>
      </c>
      <c r="R29" s="4">
        <f>IF(O29="No","No",
MROUND(_xlfn.XLOOKUP(B29,'Base stats'!B:B,'Base stats'!AZ:AZ)^0.25
/((_xlfn.XLOOKUP(B29,'Base stats'!B:B,'Base stats'!BL:BL))*10)*_xlfn.XLOOKUP(_xlfn.XLOOKUP(B29,'Base stats'!B:B,'Base stats'!E:E),Groups!A:A,Groups!Z:Z)*150 + 0.5 + _xlfn.XLOOKUP(B29,'Base stats'!B:B,'Base stats'!BU:BU),
0.05))</f>
        <v>2.9000000000000004</v>
      </c>
      <c r="S29" s="3" t="str">
        <f>IF(Animals!AI29="No","No",
IF(_xlfn.XLOOKUP(B29,'Base stats'!B:B,'Base stats'!U:U)="No",
MAX(MROUND(_xlfn.XLOOKUP(B29,'Base stats'!B:B,'Base stats'!BR:BR) * _xlfn.XLOOKUP(B29,'Base stats'!B:B,'Base stats'!BN:BN)^0.9 / 21 * _xlfn.XLOOKUP(B29,'Base stats'!B:B,'Base stats'!BV:BV),0.1),0.05),
MAX(MROUND(((MIN(12,_xlfn.XLOOKUP(B29,'Base stats'!B:B,'Base stats'!U:U)))^0.4*_xlfn.XLOOKUP(B29,'Base stats'!B:B,'Base stats'!BF:BF)^0.73)^0.6 * _xlfn.XLOOKUP(B29,'Base stats'!B:B,'Base stats'!BV:BV),0.1),0.05)
))</f>
        <v>No</v>
      </c>
      <c r="T29" s="11" t="str">
        <f>IF(S29="No","No",
MAX(0.01,MROUND(_xlfn.XLOOKUP(B29,'Base stats'!B:B,'Base stats'!BF:BF) * 0.01 * 2, 0.01))
)</f>
        <v>No</v>
      </c>
      <c r="U29" s="5" t="str">
        <f>IF(S29="No","No",IF(_xlfn.XLOOKUP(B29,'Base stats'!B:B,'Base stats'!U:U)="No","No",
MAX(0.01,MROUND(_xlfn.XLOOKUP(B29,'Base stats'!B:B,'Base stats'!BR:BR)/10000,0.01))
))</f>
        <v>No</v>
      </c>
      <c r="V29" s="4" t="str">
        <f>IF(S29="No","No",
MROUND(_xlfn.XLOOKUP(B29,'Base stats'!B:B,'Base stats'!BD:BD)^0.25
/((_xlfn.XLOOKUP(B29,'Base stats'!B:B,'Base stats'!BM:BM))*10)*_xlfn.XLOOKUP(_xlfn.XLOOKUP(B29,'Base stats'!B:B,'Base stats'!E:E),Groups!A:A,Groups!AE:AE)*150 + 0.5 + _xlfn.XLOOKUP(B29,'Base stats'!B:B,'Base stats'!BU:BU),
0.05))</f>
        <v>No</v>
      </c>
      <c r="W29" s="8">
        <f>MROUND(_xlfn.XLOOKUP(_xlfn.XLOOKUP(B29,'Base stats'!B:B,'Base stats'!E:E),Groups!A:A,Groups!BG:BG)*_xlfn.XLOOKUP(B29,'Base stats'!B:B,'Base stats'!C:C)^-0.165,0.01)</f>
        <v>0.22</v>
      </c>
      <c r="X29" s="1">
        <f>MROUND(_xlfn.XLOOKUP(_xlfn.XLOOKUP(B29,'Base stats'!B:B,'Base stats'!E:E),Groups!A:A,Groups!BH:BH)*_xlfn.XLOOKUP(B29,'Base stats'!B:B,'Base stats'!C:C)^0.165,0.01)</f>
        <v>0.23</v>
      </c>
      <c r="Y29" s="8">
        <f>MROUND(_xlfn.XLOOKUP(_xlfn.XLOOKUP(B29,'Base stats'!B:B,'Base stats'!E:E),Groups!A:A,Groups!BI:BI)*_xlfn.XLOOKUP(B29,'Base stats'!B:B,'Base stats'!C:C)^0.165,0.01)</f>
        <v>0.06</v>
      </c>
      <c r="Z29" s="18">
        <f>ROUND(_xlfn.XLOOKUP(B29,'Base stats'!B:B,'Base stats'!AO:AO)*_xlfn.XLOOKUP(_xlfn.XLOOKUP(B29,'Base stats'!B:B,'Base stats'!E:E),Groups!A:A,Groups!H:H)/1000,2)</f>
        <v>0.05</v>
      </c>
      <c r="AA29" s="18">
        <f>ROUND((1/2)*(_xlfn.XLOOKUP(_xlfn.XLOOKUP(B29,'Base stats'!B:B,'Base stats'!E:E),Groups!A:A,Groups!H:H)*_xlfn.XLOOKUP(_xlfn.XLOOKUP(B29,'Base stats'!B:B,'Base stats'!E:E),Groups!A:A,Groups!I:I))*_xlfn.XLOOKUP(B29,'Base stats'!B:B,'Base stats'!AO:AO)*0.01,2)</f>
        <v>0.28999999999999998</v>
      </c>
      <c r="AB29" s="18">
        <f>250*(Animals!AO29+Animals!AP29)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stats'!BQ:BQ) * (_xlfn.XLOOKUP(B30,'Base stats'!B:B,'Base stats'!AM:AM)*5%)^0.9 / 21,0.1),0.05)</f>
        <v>7.4</v>
      </c>
      <c r="E30" s="11">
        <f>MAX(0.01,MROUND(_xlfn.XLOOKUP(B30,'Base stats'!B:B,'Base stats'!BE:BE) * 0.01 * 2, 0.01))</f>
        <v>6.67</v>
      </c>
      <c r="F30" s="7">
        <f>MROUND(_xlfn.XLOOKUP(B30,'Base stats'!B:B,'Base stats'!BB:BB)^0.25 / (_xlfn.XLOOKUP(B30,'Base stats'!B:B,'Base stats'!BI:BI) * 10) * 150 + 0.5 + _xlfn.XLOOKUP(B30,'Base stats'!B:B,'Base stats'!BU:BU), 0.05)</f>
        <v>1.8</v>
      </c>
      <c r="G30" s="3" t="str">
        <f>IF(Animals!S30="No","No",
IF(_xlfn.XLOOKUP(B30,'Base stats'!B:B,'Base stats'!U:U)="No",
MAX(MROUND(_xlfn.XLOOKUP(B30,'Base stats'!B:B,'Base stats'!BR:BR) * _xlfn.XLOOKUP(B30,'Base stats'!B:B,'Base stats'!BN:BN)^0.9 / 21 * _xlfn.XLOOKUP(B30,'Base stats'!B:B,'Base stats'!BV:BV),0.1),0.05),
MAX(MROUND(((MIN(10,_xlfn.XLOOKUP(B30,'Base stats'!B:B,'Base stats'!U:U)))^0.4*_xlfn.XLOOKUP(B30,'Base stats'!B:B,'Base stats'!BF:BF)^0.73)^0.6 * _xlfn.XLOOKUP(B30,'Base stats'!B:B,'Base stats'!BV:BV),0.1),0.05)
))</f>
        <v>No</v>
      </c>
      <c r="H30" s="11" t="str">
        <f>IF(G30="No","No",
MAX(0.01,MROUND(_xlfn.XLOOKUP(B30,'Base stats'!B:B,'Base stats'!BF:BF) * 0.01 * 2, 0.01))
)</f>
        <v>No</v>
      </c>
      <c r="I30" s="11" t="str">
        <f>IF(G30="No","No",IF(_xlfn.XLOOKUP(B30,'Base stats'!B:B,'Base stats'!U:U)="No","No",
MAX(0.01,MROUND(_xlfn.XLOOKUP(B30,'Base stats'!B:B,'Base stats'!BR:BR)/10000,0.01))
))</f>
        <v>No</v>
      </c>
      <c r="J30" s="4" t="str">
        <f>IF(G30="No","No",
MROUND(_xlfn.XLOOKUP(B30,'Base stats'!B:B,'Base stats'!BC:BC)^0.25
/((_xlfn.XLOOKUP(B30,'Base stats'!B:B,'Base stats'!BJ:BJ))*10)*_xlfn.XLOOKUP(_xlfn.XLOOKUP(B30,'Base stats'!B:B,'Base stats'!E:E),Groups!A:A,Groups!Q:Q)*150 + 0.5 + _xlfn.XLOOKUP(B30,'Base stats'!B:B,'Base stats'!BU:BU),
0.05))</f>
        <v>No</v>
      </c>
      <c r="K30" s="3" t="str">
        <f>IF(Animals!X30="No","No",
IF(_xlfn.XLOOKUP(_xlfn.XLOOKUP(B30,'Base stats'!B:B,'Base stats'!E:E),Groups!A:A,Groups!BD:BD)=1,
MAX(MROUND(_xlfn.XLOOKUP(B30,'Base stats'!B:B,'Base stats'!BS:BS) * _xlfn.XLOOKUP(B30,'Base stats'!B:B,'Base stats'!BO:BO)^0.9 / 21 *_xlfn.XLOOKUP(B30,'Base stats'!B:B,'Base stats'!BV:BV),0.1),0.05),
MAX(MROUND(((MIN(10,_xlfn.XLOOKUP(B30,'Base stats'!B:B,'Base stats'!W:W)))^0.4*_xlfn.XLOOKUP(B30,'Base stats'!B:B,'Base stats'!BG:BG)^0.73)^0.6 *_xlfn.XLOOKUP(B30,'Base stats'!B:B,'Base stats'!BV:BV),0.1),0.05)
))</f>
        <v>No</v>
      </c>
      <c r="L30" s="11" t="str">
        <f>IF(K30="No","No",
MAX(0.01,MROUND(_xlfn.XLOOKUP(B30,'Base stats'!B:B,'Base stats'!BG:BG) * 0.01 *2, 0.01))
)</f>
        <v>No</v>
      </c>
      <c r="M30" s="5" t="str">
        <f>IF(K30="No","No",IF(_xlfn.XLOOKUP(_xlfn.XLOOKUP(B30,'Base stats'!B:B,'Base stats'!E:E),Groups!A:A,Groups!BD:BD)=1,"No",
MAX(0.01,MROUND(_xlfn.XLOOKUP(B30,'Base stats'!B:B,'Base stats'!BS:BS)/10000,0.01))
))</f>
        <v>No</v>
      </c>
      <c r="N30" s="4" t="str">
        <f>IF(K30="No","No",
MROUND(
  _xlfn.XLOOKUP(B30,'Base stats'!B:B,'Base stats'!BA:BA)^0.25
  / (_xlfn.XLOOKUP(B30,'Base stats'!B:B,'Base stats'!BK:BK)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stats'!BU:BU),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stats'!BH:BH)^0.73)^0.6 *_xlfn.XLOOKUP(B30,'Base stats'!B:B,'Base stats'!BV:BV),0.1),0.05)
)</f>
        <v>16.2</v>
      </c>
      <c r="P30" s="11">
        <f>IF(O30="No","No",
MAX(0.01,MROUND(_xlfn.XLOOKUP(B30,'Base stats'!B:B,'Base stats'!BH:BH) * 0.01 * 2, 0.01))
)</f>
        <v>9.31</v>
      </c>
      <c r="Q30" s="5">
        <f>IF(O30="No","No",
MAX(0.01,MROUND(_xlfn.XLOOKUP(B30,'Base stats'!B:B,'Base stats'!BT:BT)/10000,0.01))
)</f>
        <v>0.21</v>
      </c>
      <c r="R30" s="4">
        <f>IF(O30="No","No",
MROUND(_xlfn.XLOOKUP(B30,'Base stats'!B:B,'Base stats'!AZ:AZ)^0.25
/((_xlfn.XLOOKUP(B30,'Base stats'!B:B,'Base stats'!BL:BL))*10)*_xlfn.XLOOKUP(_xlfn.XLOOKUP(B30,'Base stats'!B:B,'Base stats'!E:E),Groups!A:A,Groups!Z:Z)*150 + 0.5 + _xlfn.XLOOKUP(B30,'Base stats'!B:B,'Base stats'!BU:BU),
0.05))</f>
        <v>3.3000000000000003</v>
      </c>
      <c r="S30" s="3" t="str">
        <f>IF(Animals!AI30="No","No",
IF(_xlfn.XLOOKUP(B30,'Base stats'!B:B,'Base stats'!U:U)="No",
MAX(MROUND(_xlfn.XLOOKUP(B30,'Base stats'!B:B,'Base stats'!BR:BR) * _xlfn.XLOOKUP(B30,'Base stats'!B:B,'Base stats'!BN:BN)^0.9 / 21 * _xlfn.XLOOKUP(B30,'Base stats'!B:B,'Base stats'!BV:BV),0.1),0.05),
MAX(MROUND(((MIN(12,_xlfn.XLOOKUP(B30,'Base stats'!B:B,'Base stats'!U:U)))^0.4*_xlfn.XLOOKUP(B30,'Base stats'!B:B,'Base stats'!BF:BF)^0.73)^0.6 * _xlfn.XLOOKUP(B30,'Base stats'!B:B,'Base stats'!BV:BV),0.1),0.05)
))</f>
        <v>No</v>
      </c>
      <c r="T30" s="11" t="str">
        <f>IF(S30="No","No",
MAX(0.01,MROUND(_xlfn.XLOOKUP(B30,'Base stats'!B:B,'Base stats'!BF:BF) * 0.01 * 2, 0.01))
)</f>
        <v>No</v>
      </c>
      <c r="U30" s="5" t="str">
        <f>IF(S30="No","No",IF(_xlfn.XLOOKUP(B30,'Base stats'!B:B,'Base stats'!U:U)="No","No",
MAX(0.01,MROUND(_xlfn.XLOOKUP(B30,'Base stats'!B:B,'Base stats'!BR:BR)/10000,0.01))
))</f>
        <v>No</v>
      </c>
      <c r="V30" s="4" t="str">
        <f>IF(S30="No","No",
MROUND(_xlfn.XLOOKUP(B30,'Base stats'!B:B,'Base stats'!BD:BD)^0.25
/((_xlfn.XLOOKUP(B30,'Base stats'!B:B,'Base stats'!BM:BM))*10)*_xlfn.XLOOKUP(_xlfn.XLOOKUP(B30,'Base stats'!B:B,'Base stats'!E:E),Groups!A:A,Groups!AE:AE)*150 + 0.5 + _xlfn.XLOOKUP(B30,'Base stats'!B:B,'Base stats'!BU:BU),
0.05))</f>
        <v>No</v>
      </c>
      <c r="W30" s="8">
        <f>MROUND(_xlfn.XLOOKUP(_xlfn.XLOOKUP(B30,'Base stats'!B:B,'Base stats'!E:E),Groups!A:A,Groups!BG:BG)*_xlfn.XLOOKUP(B30,'Base stats'!B:B,'Base stats'!C:C)^-0.165,0.01)</f>
        <v>0.2</v>
      </c>
      <c r="X30" s="1">
        <f>MROUND(_xlfn.XLOOKUP(_xlfn.XLOOKUP(B30,'Base stats'!B:B,'Base stats'!E:E),Groups!A:A,Groups!BH:BH)*_xlfn.XLOOKUP(B30,'Base stats'!B:B,'Base stats'!C:C)^0.165,0.01)</f>
        <v>0</v>
      </c>
      <c r="Y30" s="8">
        <f>MROUND(_xlfn.XLOOKUP(_xlfn.XLOOKUP(B30,'Base stats'!B:B,'Base stats'!E:E),Groups!A:A,Groups!BI:BI)*_xlfn.XLOOKUP(B30,'Base stats'!B:B,'Base stats'!C:C)^0.165,0.01)</f>
        <v>0</v>
      </c>
      <c r="Z30" s="18">
        <f>ROUND(_xlfn.XLOOKUP(B30,'Base stats'!B:B,'Base stats'!AO:AO)*_xlfn.XLOOKUP(_xlfn.XLOOKUP(B30,'Base stats'!B:B,'Base stats'!E:E),Groups!A:A,Groups!H:H)/1000,2)</f>
        <v>0.06</v>
      </c>
      <c r="AA30" s="18">
        <f>ROUND((1/2)*(_xlfn.XLOOKUP(_xlfn.XLOOKUP(B30,'Base stats'!B:B,'Base stats'!E:E),Groups!A:A,Groups!H:H)*_xlfn.XLOOKUP(_xlfn.XLOOKUP(B30,'Base stats'!B:B,'Base stats'!E:E),Groups!A:A,Groups!I:I))*_xlfn.XLOOKUP(B30,'Base stats'!B:B,'Base stats'!AO:AO)*0.01,2)</f>
        <v>0.35</v>
      </c>
      <c r="AB30" s="18">
        <f>250*(Animals!AO30+Animals!AP30)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stats'!BQ:BQ) * (_xlfn.XLOOKUP(B31,'Base stats'!B:B,'Base stats'!AM:AM)*5%)^0.9 / 21,0.1),0.05)</f>
        <v>0.30000000000000004</v>
      </c>
      <c r="E31" s="11">
        <f>MAX(0.01,MROUND(_xlfn.XLOOKUP(B31,'Base stats'!B:B,'Base stats'!BE:BE) * 0.01 * 2, 0.01))</f>
        <v>0.22</v>
      </c>
      <c r="F31" s="7">
        <f>MROUND(_xlfn.XLOOKUP(B31,'Base stats'!B:B,'Base stats'!BB:BB)^0.25 / (_xlfn.XLOOKUP(B31,'Base stats'!B:B,'Base stats'!BI:BI) * 10) * 150 + 0.5 + _xlfn.XLOOKUP(B31,'Base stats'!B:B,'Base stats'!BU:BU), 0.05)</f>
        <v>1.35</v>
      </c>
      <c r="G31" s="3" t="str">
        <f>IF(Animals!S31="No","No",
IF(_xlfn.XLOOKUP(B31,'Base stats'!B:B,'Base stats'!U:U)="No",
MAX(MROUND(_xlfn.XLOOKUP(B31,'Base stats'!B:B,'Base stats'!BR:BR) * _xlfn.XLOOKUP(B31,'Base stats'!B:B,'Base stats'!BN:BN)^0.9 / 21 * _xlfn.XLOOKUP(B31,'Base stats'!B:B,'Base stats'!BV:BV),0.1),0.05),
MAX(MROUND(((MIN(10,_xlfn.XLOOKUP(B31,'Base stats'!B:B,'Base stats'!U:U)))^0.4*_xlfn.XLOOKUP(B31,'Base stats'!B:B,'Base stats'!BF:BF)^0.73)^0.6 * _xlfn.XLOOKUP(B31,'Base stats'!B:B,'Base stats'!BV:BV),0.1),0.05)
))</f>
        <v>No</v>
      </c>
      <c r="H31" s="11" t="str">
        <f>IF(G31="No","No",
MAX(0.01,MROUND(_xlfn.XLOOKUP(B31,'Base stats'!B:B,'Base stats'!BF:BF) * 0.01 * 2, 0.01))
)</f>
        <v>No</v>
      </c>
      <c r="I31" s="11" t="str">
        <f>IF(G31="No","No",IF(_xlfn.XLOOKUP(B31,'Base stats'!B:B,'Base stats'!U:U)="No","No",
MAX(0.01,MROUND(_xlfn.XLOOKUP(B31,'Base stats'!B:B,'Base stats'!BR:BR)/10000,0.01))
))</f>
        <v>No</v>
      </c>
      <c r="J31" s="4" t="str">
        <f>IF(G31="No","No",
MROUND(_xlfn.XLOOKUP(B31,'Base stats'!B:B,'Base stats'!BC:BC)^0.25
/((_xlfn.XLOOKUP(B31,'Base stats'!B:B,'Base stats'!BJ:BJ))*10)*_xlfn.XLOOKUP(_xlfn.XLOOKUP(B31,'Base stats'!B:B,'Base stats'!E:E),Groups!A:A,Groups!Q:Q)*150 + 0.5 + _xlfn.XLOOKUP(B31,'Base stats'!B:B,'Base stats'!BU:BU),
0.05))</f>
        <v>No</v>
      </c>
      <c r="K31" s="3" t="str">
        <f>IF(Animals!X31="No","No",
IF(_xlfn.XLOOKUP(_xlfn.XLOOKUP(B31,'Base stats'!B:B,'Base stats'!E:E),Groups!A:A,Groups!BD:BD)=1,
MAX(MROUND(_xlfn.XLOOKUP(B31,'Base stats'!B:B,'Base stats'!BS:BS) * _xlfn.XLOOKUP(B31,'Base stats'!B:B,'Base stats'!BO:BO)^0.9 / 21 *_xlfn.XLOOKUP(B31,'Base stats'!B:B,'Base stats'!BV:BV),0.1),0.05),
MAX(MROUND(((MIN(10,_xlfn.XLOOKUP(B31,'Base stats'!B:B,'Base stats'!W:W)))^0.4*_xlfn.XLOOKUP(B31,'Base stats'!B:B,'Base stats'!BG:BG)^0.73)^0.6 *_xlfn.XLOOKUP(B31,'Base stats'!B:B,'Base stats'!BV:BV),0.1),0.05)
))</f>
        <v>No</v>
      </c>
      <c r="L31" s="11" t="str">
        <f>IF(K31="No","No",
MAX(0.01,MROUND(_xlfn.XLOOKUP(B31,'Base stats'!B:B,'Base stats'!BG:BG) * 0.01 *2, 0.01))
)</f>
        <v>No</v>
      </c>
      <c r="M31" s="5" t="str">
        <f>IF(K31="No","No",IF(_xlfn.XLOOKUP(_xlfn.XLOOKUP(B31,'Base stats'!B:B,'Base stats'!E:E),Groups!A:A,Groups!BD:BD)=1,"No",
MAX(0.01,MROUND(_xlfn.XLOOKUP(B31,'Base stats'!B:B,'Base stats'!BS:BS)/10000,0.01))
))</f>
        <v>No</v>
      </c>
      <c r="N31" s="4" t="str">
        <f>IF(K31="No","No",
MROUND(
  _xlfn.XLOOKUP(B31,'Base stats'!B:B,'Base stats'!BA:BA)^0.25
  / (_xlfn.XLOOKUP(B31,'Base stats'!B:B,'Base stats'!BK:BK)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stats'!BU:BU),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stats'!BH:BH)^0.73)^0.6 *_xlfn.XLOOKUP(B31,'Base stats'!B:B,'Base stats'!BV:BV),0.1),0.05)
)</f>
        <v>4.3</v>
      </c>
      <c r="P31" s="11">
        <f>IF(O31="No","No",
MAX(0.01,MROUND(_xlfn.XLOOKUP(B31,'Base stats'!B:B,'Base stats'!BH:BH) * 0.01 * 2, 0.01))
)</f>
        <v>0.42</v>
      </c>
      <c r="Q31" s="5">
        <f>IF(O31="No","No",
MAX(0.01,MROUND(_xlfn.XLOOKUP(B31,'Base stats'!B:B,'Base stats'!BT:BT)/10000,0.01))
)</f>
        <v>7.0000000000000007E-2</v>
      </c>
      <c r="R31" s="4">
        <f>IF(O31="No","No",
MROUND(_xlfn.XLOOKUP(B31,'Base stats'!B:B,'Base stats'!AZ:AZ)^0.25
/((_xlfn.XLOOKUP(B31,'Base stats'!B:B,'Base stats'!BL:BL))*10)*_xlfn.XLOOKUP(_xlfn.XLOOKUP(B31,'Base stats'!B:B,'Base stats'!E:E),Groups!A:A,Groups!Z:Z)*150 + 0.5 + _xlfn.XLOOKUP(B31,'Base stats'!B:B,'Base stats'!BU:BU),
0.05))</f>
        <v>1.9000000000000001</v>
      </c>
      <c r="S31" s="3">
        <f>IF(Animals!AI31="No","No",
IF(_xlfn.XLOOKUP(B31,'Base stats'!B:B,'Base stats'!U:U)="No",
MAX(MROUND(_xlfn.XLOOKUP(B31,'Base stats'!B:B,'Base stats'!BR:BR) * _xlfn.XLOOKUP(B31,'Base stats'!B:B,'Base stats'!BN:BN)^0.9 / 21 * _xlfn.XLOOKUP(B31,'Base stats'!B:B,'Base stats'!BV:BV),0.1),0.05),
MAX(MROUND(((MIN(12,_xlfn.XLOOKUP(B31,'Base stats'!B:B,'Base stats'!U:U)))^0.4*_xlfn.XLOOKUP(B31,'Base stats'!B:B,'Base stats'!BF:BF)^0.73)^0.6 * _xlfn.XLOOKUP(B31,'Base stats'!B:B,'Base stats'!BV:BV),0.1),0.05)
))</f>
        <v>0.8</v>
      </c>
      <c r="T31" s="11">
        <f>IF(S31="No","No",
MAX(0.01,MROUND(_xlfn.XLOOKUP(B31,'Base stats'!B:B,'Base stats'!BF:BF) * 0.01 * 2, 0.01))
)</f>
        <v>0.32</v>
      </c>
      <c r="U31" s="5" t="str">
        <f>IF(S31="No","No",IF(_xlfn.XLOOKUP(B31,'Base stats'!B:B,'Base stats'!U:U)="No","No",
MAX(0.01,MROUND(_xlfn.XLOOKUP(B31,'Base stats'!B:B,'Base stats'!BR:BR)/10000,0.01))
))</f>
        <v>No</v>
      </c>
      <c r="V31" s="4">
        <f>IF(S31="No","No",
MROUND(_xlfn.XLOOKUP(B31,'Base stats'!B:B,'Base stats'!BD:BD)^0.25
/((_xlfn.XLOOKUP(B31,'Base stats'!B:B,'Base stats'!BM:BM))*10)*_xlfn.XLOOKUP(_xlfn.XLOOKUP(B31,'Base stats'!B:B,'Base stats'!E:E),Groups!A:A,Groups!AE:AE)*150 + 0.5 + _xlfn.XLOOKUP(B31,'Base stats'!B:B,'Base stats'!BU:BU),
0.05))</f>
        <v>1.1500000000000001</v>
      </c>
      <c r="W31" s="8">
        <f>MROUND(_xlfn.XLOOKUP(_xlfn.XLOOKUP(B31,'Base stats'!B:B,'Base stats'!E:E),Groups!A:A,Groups!BG:BG)*_xlfn.XLOOKUP(B31,'Base stats'!B:B,'Base stats'!C:C)^-0.165,0.01)</f>
        <v>0.73</v>
      </c>
      <c r="X31" s="1">
        <f>MROUND(_xlfn.XLOOKUP(_xlfn.XLOOKUP(B31,'Base stats'!B:B,'Base stats'!E:E),Groups!A:A,Groups!BH:BH)*_xlfn.XLOOKUP(B31,'Base stats'!B:B,'Base stats'!C:C)^0.165,0.01)</f>
        <v>0.14000000000000001</v>
      </c>
      <c r="Y31" s="8">
        <f>MROUND(_xlfn.XLOOKUP(_xlfn.XLOOKUP(B31,'Base stats'!B:B,'Base stats'!E:E),Groups!A:A,Groups!BI:BI)*_xlfn.XLOOKUP(B31,'Base stats'!B:B,'Base stats'!C:C)^0.165,0.01)</f>
        <v>7.0000000000000007E-2</v>
      </c>
      <c r="Z31" s="18">
        <f>ROUND(_xlfn.XLOOKUP(B31,'Base stats'!B:B,'Base stats'!AO:AO)*_xlfn.XLOOKUP(_xlfn.XLOOKUP(B31,'Base stats'!B:B,'Base stats'!E:E),Groups!A:A,Groups!H:H)/1000,2)</f>
        <v>0.02</v>
      </c>
      <c r="AA31" s="18">
        <f>ROUND((1/2)*(_xlfn.XLOOKUP(_xlfn.XLOOKUP(B31,'Base stats'!B:B,'Base stats'!E:E),Groups!A:A,Groups!H:H)*_xlfn.XLOOKUP(_xlfn.XLOOKUP(B31,'Base stats'!B:B,'Base stats'!E:E),Groups!A:A,Groups!I:I))*_xlfn.XLOOKUP(B31,'Base stats'!B:B,'Base stats'!AO:AO)*0.01,2)</f>
        <v>0.12</v>
      </c>
      <c r="AB31" s="18">
        <f>250*(Animals!AO31+Animals!AP31)</f>
        <v>175.00000000000003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stats'!BQ:BQ) * (_xlfn.XLOOKUP(B32,'Base stats'!B:B,'Base stats'!AM:AM)*5%)^0.9 / 21,0.1),0.05)</f>
        <v>0.1</v>
      </c>
      <c r="E32" s="11">
        <f>MAX(0.01,MROUND(_xlfn.XLOOKUP(B32,'Base stats'!B:B,'Base stats'!BE:BE) * 0.01 * 2, 0.01))</f>
        <v>0.06</v>
      </c>
      <c r="F32" s="7">
        <f>MROUND(_xlfn.XLOOKUP(B32,'Base stats'!B:B,'Base stats'!BB:BB)^0.25 / (_xlfn.XLOOKUP(B32,'Base stats'!B:B,'Base stats'!BI:BI) * 10) * 150 + 0.5 + _xlfn.XLOOKUP(B32,'Base stats'!B:B,'Base stats'!BU:BU), 0.05)</f>
        <v>1.2000000000000002</v>
      </c>
      <c r="G32" s="3" t="str">
        <f>IF(Animals!S32="No","No",
IF(_xlfn.XLOOKUP(B32,'Base stats'!B:B,'Base stats'!U:U)="No",
MAX(MROUND(_xlfn.XLOOKUP(B32,'Base stats'!B:B,'Base stats'!BR:BR) * _xlfn.XLOOKUP(B32,'Base stats'!B:B,'Base stats'!BN:BN)^0.9 / 21 * _xlfn.XLOOKUP(B32,'Base stats'!B:B,'Base stats'!BV:BV),0.1),0.05),
MAX(MROUND(((MIN(10,_xlfn.XLOOKUP(B32,'Base stats'!B:B,'Base stats'!U:U)))^0.4*_xlfn.XLOOKUP(B32,'Base stats'!B:B,'Base stats'!BF:BF)^0.73)^0.6 * _xlfn.XLOOKUP(B32,'Base stats'!B:B,'Base stats'!BV:BV),0.1),0.05)
))</f>
        <v>No</v>
      </c>
      <c r="H32" s="11" t="str">
        <f>IF(G32="No","No",
MAX(0.01,MROUND(_xlfn.XLOOKUP(B32,'Base stats'!B:B,'Base stats'!BF:BF) * 0.01 * 2, 0.01))
)</f>
        <v>No</v>
      </c>
      <c r="I32" s="11" t="str">
        <f>IF(G32="No","No",IF(_xlfn.XLOOKUP(B32,'Base stats'!B:B,'Base stats'!U:U)="No","No",
MAX(0.01,MROUND(_xlfn.XLOOKUP(B32,'Base stats'!B:B,'Base stats'!BR:BR)/10000,0.01))
))</f>
        <v>No</v>
      </c>
      <c r="J32" s="4" t="str">
        <f>IF(G32="No","No",
MROUND(_xlfn.XLOOKUP(B32,'Base stats'!B:B,'Base stats'!BC:BC)^0.25
/((_xlfn.XLOOKUP(B32,'Base stats'!B:B,'Base stats'!BJ:BJ))*10)*_xlfn.XLOOKUP(_xlfn.XLOOKUP(B32,'Base stats'!B:B,'Base stats'!E:E),Groups!A:A,Groups!Q:Q)*150 + 0.5 + _xlfn.XLOOKUP(B32,'Base stats'!B:B,'Base stats'!BU:BU),
0.05))</f>
        <v>No</v>
      </c>
      <c r="K32" s="3" t="str">
        <f>IF(Animals!X32="No","No",
IF(_xlfn.XLOOKUP(_xlfn.XLOOKUP(B32,'Base stats'!B:B,'Base stats'!E:E),Groups!A:A,Groups!BD:BD)=1,
MAX(MROUND(_xlfn.XLOOKUP(B32,'Base stats'!B:B,'Base stats'!BS:BS) * _xlfn.XLOOKUP(B32,'Base stats'!B:B,'Base stats'!BO:BO)^0.9 / 21 *_xlfn.XLOOKUP(B32,'Base stats'!B:B,'Base stats'!BV:BV),0.1),0.05),
MAX(MROUND(((MIN(10,_xlfn.XLOOKUP(B32,'Base stats'!B:B,'Base stats'!W:W)))^0.4*_xlfn.XLOOKUP(B32,'Base stats'!B:B,'Base stats'!BG:BG)^0.73)^0.6 *_xlfn.XLOOKUP(B32,'Base stats'!B:B,'Base stats'!BV:BV),0.1),0.05)
))</f>
        <v>No</v>
      </c>
      <c r="L32" s="11" t="str">
        <f>IF(K32="No","No",
MAX(0.01,MROUND(_xlfn.XLOOKUP(B32,'Base stats'!B:B,'Base stats'!BG:BG) * 0.01 *2, 0.01))
)</f>
        <v>No</v>
      </c>
      <c r="M32" s="5" t="str">
        <f>IF(K32="No","No",IF(_xlfn.XLOOKUP(_xlfn.XLOOKUP(B32,'Base stats'!B:B,'Base stats'!E:E),Groups!A:A,Groups!BD:BD)=1,"No",
MAX(0.01,MROUND(_xlfn.XLOOKUP(B32,'Base stats'!B:B,'Base stats'!BS:BS)/10000,0.01))
))</f>
        <v>No</v>
      </c>
      <c r="N32" s="4" t="str">
        <f>IF(K32="No","No",
MROUND(
  _xlfn.XLOOKUP(B32,'Base stats'!B:B,'Base stats'!BA:BA)^0.25
  / (_xlfn.XLOOKUP(B32,'Base stats'!B:B,'Base stats'!BK:BK)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stats'!BU:BU),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stats'!BH:BH)^0.73)^0.6 *_xlfn.XLOOKUP(B32,'Base stats'!B:B,'Base stats'!BV:BV),0.1),0.05)
)</f>
        <v>3.6</v>
      </c>
      <c r="P32" s="11">
        <f>IF(O32="No","No",
MAX(0.01,MROUND(_xlfn.XLOOKUP(B32,'Base stats'!B:B,'Base stats'!BH:BH) * 0.01 * 2, 0.01))
)</f>
        <v>0.44</v>
      </c>
      <c r="Q32" s="5">
        <f>IF(O32="No","No",
MAX(0.01,MROUND(_xlfn.XLOOKUP(B32,'Base stats'!B:B,'Base stats'!BT:BT)/10000,0.01))
)</f>
        <v>0.13</v>
      </c>
      <c r="R32" s="4">
        <f>IF(O32="No","No",
MROUND(_xlfn.XLOOKUP(B32,'Base stats'!B:B,'Base stats'!AZ:AZ)^0.25
/((_xlfn.XLOOKUP(B32,'Base stats'!B:B,'Base stats'!BL:BL))*10)*_xlfn.XLOOKUP(_xlfn.XLOOKUP(B32,'Base stats'!B:B,'Base stats'!E:E),Groups!A:A,Groups!Z:Z)*150 + 0.5 + _xlfn.XLOOKUP(B32,'Base stats'!B:B,'Base stats'!BU:BU),
0.05))</f>
        <v>2.25</v>
      </c>
      <c r="S32" s="3">
        <f>IF(Animals!AI32="No","No",
IF(_xlfn.XLOOKUP(B32,'Base stats'!B:B,'Base stats'!U:U)="No",
MAX(MROUND(_xlfn.XLOOKUP(B32,'Base stats'!B:B,'Base stats'!BR:BR) * _xlfn.XLOOKUP(B32,'Base stats'!B:B,'Base stats'!BN:BN)^0.9 / 21 * _xlfn.XLOOKUP(B32,'Base stats'!B:B,'Base stats'!BV:BV),0.1),0.05),
MAX(MROUND(((MIN(12,_xlfn.XLOOKUP(B32,'Base stats'!B:B,'Base stats'!U:U)))^0.4*_xlfn.XLOOKUP(B32,'Base stats'!B:B,'Base stats'!BF:BF)^0.73)^0.6 * _xlfn.XLOOKUP(B32,'Base stats'!B:B,'Base stats'!BV:BV),0.1),0.05)
))</f>
        <v>2</v>
      </c>
      <c r="T32" s="11">
        <f>IF(S32="No","No",
MAX(0.01,MROUND(_xlfn.XLOOKUP(B32,'Base stats'!B:B,'Base stats'!BF:BF) * 0.01 * 2, 0.01))
)</f>
        <v>0.09</v>
      </c>
      <c r="U32" s="5">
        <f>IF(S32="No","No",IF(_xlfn.XLOOKUP(B32,'Base stats'!B:B,'Base stats'!U:U)="No","No",
MAX(0.01,MROUND(_xlfn.XLOOKUP(B32,'Base stats'!B:B,'Base stats'!BR:BR)/10000,0.01))
))</f>
        <v>0.03</v>
      </c>
      <c r="V32" s="4">
        <f>IF(S32="No","No",
MROUND(_xlfn.XLOOKUP(B32,'Base stats'!B:B,'Base stats'!BD:BD)^0.25
/((_xlfn.XLOOKUP(B32,'Base stats'!B:B,'Base stats'!BM:BM))*10)*_xlfn.XLOOKUP(_xlfn.XLOOKUP(B32,'Base stats'!B:B,'Base stats'!E:E),Groups!A:A,Groups!AE:AE)*150 + 0.5 + _xlfn.XLOOKUP(B32,'Base stats'!B:B,'Base stats'!BU:BU),
0.05))</f>
        <v>1.05</v>
      </c>
      <c r="W32" s="8">
        <f>MROUND(_xlfn.XLOOKUP(_xlfn.XLOOKUP(B32,'Base stats'!B:B,'Base stats'!E:E),Groups!A:A,Groups!BG:BG)*_xlfn.XLOOKUP(B32,'Base stats'!B:B,'Base stats'!C:C)^-0.165,0.01)</f>
        <v>0.47000000000000003</v>
      </c>
      <c r="X32" s="1">
        <f>MROUND(_xlfn.XLOOKUP(_xlfn.XLOOKUP(B32,'Base stats'!B:B,'Base stats'!E:E),Groups!A:A,Groups!BH:BH)*_xlfn.XLOOKUP(B32,'Base stats'!B:B,'Base stats'!C:C)^0.165,0.01)</f>
        <v>0</v>
      </c>
      <c r="Y32" s="8">
        <f>MROUND(_xlfn.XLOOKUP(_xlfn.XLOOKUP(B32,'Base stats'!B:B,'Base stats'!E:E),Groups!A:A,Groups!BI:BI)*_xlfn.XLOOKUP(B32,'Base stats'!B:B,'Base stats'!C:C)^0.165,0.01)</f>
        <v>0</v>
      </c>
      <c r="Z32" s="18">
        <f>ROUND(_xlfn.XLOOKUP(B32,'Base stats'!B:B,'Base stats'!AO:AO)*_xlfn.XLOOKUP(_xlfn.XLOOKUP(B32,'Base stats'!B:B,'Base stats'!E:E),Groups!A:A,Groups!H:H)/1000,2)</f>
        <v>0.02</v>
      </c>
      <c r="AA32" s="18">
        <f>ROUND((1/2)*(_xlfn.XLOOKUP(_xlfn.XLOOKUP(B32,'Base stats'!B:B,'Base stats'!E:E),Groups!A:A,Groups!H:H)*_xlfn.XLOOKUP(_xlfn.XLOOKUP(B32,'Base stats'!B:B,'Base stats'!E:E),Groups!A:A,Groups!I:I))*_xlfn.XLOOKUP(B32,'Base stats'!B:B,'Base stats'!AO:AO)*0.01,2)</f>
        <v>0.09</v>
      </c>
      <c r="AB32" s="18">
        <f>250*(Animals!AO32+Animals!AP32)</f>
        <v>112.5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stats'!BQ:BQ) * (_xlfn.XLOOKUP(B33,'Base stats'!B:B,'Base stats'!AM:AM)*5%)^0.9 / 21,0.1),0.05)</f>
        <v>0.4</v>
      </c>
      <c r="E33" s="11">
        <f>MAX(0.01,MROUND(_xlfn.XLOOKUP(B33,'Base stats'!B:B,'Base stats'!BE:BE) * 0.01 * 2, 0.01))</f>
        <v>0.26</v>
      </c>
      <c r="F33" s="7">
        <f>MROUND(_xlfn.XLOOKUP(B33,'Base stats'!B:B,'Base stats'!BB:BB)^0.25 / (_xlfn.XLOOKUP(B33,'Base stats'!B:B,'Base stats'!BI:BI) * 10) * 150 + 0.5 + _xlfn.XLOOKUP(B33,'Base stats'!B:B,'Base stats'!BU:BU), 0.05)</f>
        <v>1.55</v>
      </c>
      <c r="G33" s="3" t="str">
        <f>IF(Animals!S33="No","No",
IF(_xlfn.XLOOKUP(B33,'Base stats'!B:B,'Base stats'!U:U)="No",
MAX(MROUND(_xlfn.XLOOKUP(B33,'Base stats'!B:B,'Base stats'!BR:BR) * _xlfn.XLOOKUP(B33,'Base stats'!B:B,'Base stats'!BN:BN)^0.9 / 21 * _xlfn.XLOOKUP(B33,'Base stats'!B:B,'Base stats'!BV:BV),0.1),0.05),
MAX(MROUND(((MIN(10,_xlfn.XLOOKUP(B33,'Base stats'!B:B,'Base stats'!U:U)))^0.4*_xlfn.XLOOKUP(B33,'Base stats'!B:B,'Base stats'!BF:BF)^0.73)^0.6 * _xlfn.XLOOKUP(B33,'Base stats'!B:B,'Base stats'!BV:BV),0.1),0.05)
))</f>
        <v>No</v>
      </c>
      <c r="H33" s="11" t="str">
        <f>IF(G33="No","No",
MAX(0.01,MROUND(_xlfn.XLOOKUP(B33,'Base stats'!B:B,'Base stats'!BF:BF) * 0.01 * 2, 0.01))
)</f>
        <v>No</v>
      </c>
      <c r="I33" s="11" t="str">
        <f>IF(G33="No","No",IF(_xlfn.XLOOKUP(B33,'Base stats'!B:B,'Base stats'!U:U)="No","No",
MAX(0.01,MROUND(_xlfn.XLOOKUP(B33,'Base stats'!B:B,'Base stats'!BR:BR)/10000,0.01))
))</f>
        <v>No</v>
      </c>
      <c r="J33" s="4" t="str">
        <f>IF(G33="No","No",
MROUND(_xlfn.XLOOKUP(B33,'Base stats'!B:B,'Base stats'!BC:BC)^0.25
/((_xlfn.XLOOKUP(B33,'Base stats'!B:B,'Base stats'!BJ:BJ))*10)*_xlfn.XLOOKUP(_xlfn.XLOOKUP(B33,'Base stats'!B:B,'Base stats'!E:E),Groups!A:A,Groups!Q:Q)*150 + 0.5 + _xlfn.XLOOKUP(B33,'Base stats'!B:B,'Base stats'!BU:BU),
0.05))</f>
        <v>No</v>
      </c>
      <c r="K33" s="3" t="str">
        <f>IF(Animals!X33="No","No",
IF(_xlfn.XLOOKUP(_xlfn.XLOOKUP(B33,'Base stats'!B:B,'Base stats'!E:E),Groups!A:A,Groups!BD:BD)=1,
MAX(MROUND(_xlfn.XLOOKUP(B33,'Base stats'!B:B,'Base stats'!BS:BS) * _xlfn.XLOOKUP(B33,'Base stats'!B:B,'Base stats'!BO:BO)^0.9 / 21 *_xlfn.XLOOKUP(B33,'Base stats'!B:B,'Base stats'!BV:BV),0.1),0.05),
MAX(MROUND(((MIN(10,_xlfn.XLOOKUP(B33,'Base stats'!B:B,'Base stats'!W:W)))^0.4*_xlfn.XLOOKUP(B33,'Base stats'!B:B,'Base stats'!BG:BG)^0.73)^0.6 *_xlfn.XLOOKUP(B33,'Base stats'!B:B,'Base stats'!BV:BV),0.1),0.05)
))</f>
        <v>No</v>
      </c>
      <c r="L33" s="11" t="str">
        <f>IF(K33="No","No",
MAX(0.01,MROUND(_xlfn.XLOOKUP(B33,'Base stats'!B:B,'Base stats'!BG:BG) * 0.01 *2, 0.01))
)</f>
        <v>No</v>
      </c>
      <c r="M33" s="5" t="str">
        <f>IF(K33="No","No",IF(_xlfn.XLOOKUP(_xlfn.XLOOKUP(B33,'Base stats'!B:B,'Base stats'!E:E),Groups!A:A,Groups!BD:BD)=1,"No",
MAX(0.01,MROUND(_xlfn.XLOOKUP(B33,'Base stats'!B:B,'Base stats'!BS:BS)/10000,0.01))
))</f>
        <v>No</v>
      </c>
      <c r="N33" s="4" t="str">
        <f>IF(K33="No","No",
MROUND(
  _xlfn.XLOOKUP(B33,'Base stats'!B:B,'Base stats'!BA:BA)^0.25
  / (_xlfn.XLOOKUP(B33,'Base stats'!B:B,'Base stats'!BK:BK)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stats'!BU:BU),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stats'!BH:BH)^0.73)^0.6 *_xlfn.XLOOKUP(B33,'Base stats'!B:B,'Base stats'!BV:BV),0.1),0.05)
)</f>
        <v>3.1</v>
      </c>
      <c r="P33" s="11">
        <f>IF(O33="No","No",
MAX(0.01,MROUND(_xlfn.XLOOKUP(B33,'Base stats'!B:B,'Base stats'!BH:BH) * 0.01 * 2, 0.01))
)</f>
        <v>0.24</v>
      </c>
      <c r="Q33" s="5">
        <f>IF(O33="No","No",
MAX(0.01,MROUND(_xlfn.XLOOKUP(B33,'Base stats'!B:B,'Base stats'!BT:BT)/10000,0.01))
)</f>
        <v>0.03</v>
      </c>
      <c r="R33" s="4">
        <f>IF(O33="No","No",
MROUND(_xlfn.XLOOKUP(B33,'Base stats'!B:B,'Base stats'!AZ:AZ)^0.25
/((_xlfn.XLOOKUP(B33,'Base stats'!B:B,'Base stats'!BL:BL))*10)*_xlfn.XLOOKUP(_xlfn.XLOOKUP(B33,'Base stats'!B:B,'Base stats'!E:E),Groups!A:A,Groups!Z:Z)*150 + 0.5 + _xlfn.XLOOKUP(B33,'Base stats'!B:B,'Base stats'!BU:BU),
0.05))</f>
        <v>1.85</v>
      </c>
      <c r="S33" s="3" t="str">
        <f>IF(Animals!AI33="No","No",
IF(_xlfn.XLOOKUP(B33,'Base stats'!B:B,'Base stats'!U:U)="No",
MAX(MROUND(_xlfn.XLOOKUP(B33,'Base stats'!B:B,'Base stats'!BR:BR) * _xlfn.XLOOKUP(B33,'Base stats'!B:B,'Base stats'!BN:BN)^0.9 / 21 * _xlfn.XLOOKUP(B33,'Base stats'!B:B,'Base stats'!BV:BV),0.1),0.05),
MAX(MROUND(((MIN(12,_xlfn.XLOOKUP(B33,'Base stats'!B:B,'Base stats'!U:U)))^0.4*_xlfn.XLOOKUP(B33,'Base stats'!B:B,'Base stats'!BF:BF)^0.73)^0.6 * _xlfn.XLOOKUP(B33,'Base stats'!B:B,'Base stats'!BV:BV),0.1),0.05)
))</f>
        <v>No</v>
      </c>
      <c r="T33" s="11" t="str">
        <f>IF(S33="No","No",
MAX(0.01,MROUND(_xlfn.XLOOKUP(B33,'Base stats'!B:B,'Base stats'!BF:BF) * 0.01 * 2, 0.01))
)</f>
        <v>No</v>
      </c>
      <c r="U33" s="5" t="str">
        <f>IF(S33="No","No",IF(_xlfn.XLOOKUP(B33,'Base stats'!B:B,'Base stats'!U:U)="No","No",
MAX(0.01,MROUND(_xlfn.XLOOKUP(B33,'Base stats'!B:B,'Base stats'!BR:BR)/10000,0.01))
))</f>
        <v>No</v>
      </c>
      <c r="V33" s="4" t="str">
        <f>IF(S33="No","No",
MROUND(_xlfn.XLOOKUP(B33,'Base stats'!B:B,'Base stats'!BD:BD)^0.25
/((_xlfn.XLOOKUP(B33,'Base stats'!B:B,'Base stats'!BM:BM))*10)*_xlfn.XLOOKUP(_xlfn.XLOOKUP(B33,'Base stats'!B:B,'Base stats'!E:E),Groups!A:A,Groups!AE:AE)*150 + 0.5 + _xlfn.XLOOKUP(B33,'Base stats'!B:B,'Base stats'!BU:BU),
0.05))</f>
        <v>No</v>
      </c>
      <c r="W33" s="8">
        <f>MROUND(_xlfn.XLOOKUP(_xlfn.XLOOKUP(B33,'Base stats'!B:B,'Base stats'!E:E),Groups!A:A,Groups!BG:BG)*_xlfn.XLOOKUP(B33,'Base stats'!B:B,'Base stats'!C:C)^-0.165,0.01)</f>
        <v>0.35000000000000003</v>
      </c>
      <c r="X33" s="1">
        <f>MROUND(_xlfn.XLOOKUP(_xlfn.XLOOKUP(B33,'Base stats'!B:B,'Base stats'!E:E),Groups!A:A,Groups!BH:BH)*_xlfn.XLOOKUP(B33,'Base stats'!B:B,'Base stats'!C:C)^0.165,0.01)</f>
        <v>0.14000000000000001</v>
      </c>
      <c r="Y33" s="8">
        <f>MROUND(_xlfn.XLOOKUP(_xlfn.XLOOKUP(B33,'Base stats'!B:B,'Base stats'!E:E),Groups!A:A,Groups!BI:BI)*_xlfn.XLOOKUP(B33,'Base stats'!B:B,'Base stats'!C:C)^0.165,0.01)</f>
        <v>0.04</v>
      </c>
      <c r="Z33" s="18">
        <f>ROUND(_xlfn.XLOOKUP(B33,'Base stats'!B:B,'Base stats'!AO:AO)*_xlfn.XLOOKUP(_xlfn.XLOOKUP(B33,'Base stats'!B:B,'Base stats'!E:E),Groups!A:A,Groups!H:H)/1000,2)</f>
        <v>0.03</v>
      </c>
      <c r="AA33" s="18">
        <f>ROUND((1/2)*(_xlfn.XLOOKUP(_xlfn.XLOOKUP(B33,'Base stats'!B:B,'Base stats'!E:E),Groups!A:A,Groups!H:H)*_xlfn.XLOOKUP(_xlfn.XLOOKUP(B33,'Base stats'!B:B,'Base stats'!E:E),Groups!A:A,Groups!I:I))*_xlfn.XLOOKUP(B33,'Base stats'!B:B,'Base stats'!AO:AO)*0.01,2)</f>
        <v>0.14000000000000001</v>
      </c>
      <c r="AB33" s="18">
        <f>250*(Animals!AO33+Animals!AP33)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stats'!BQ:BQ) * (_xlfn.XLOOKUP(B34,'Base stats'!B:B,'Base stats'!AM:AM)*5%)^0.9 / 21,0.1),0.05)</f>
        <v>0.5</v>
      </c>
      <c r="E34" s="11">
        <f>MAX(0.01,MROUND(_xlfn.XLOOKUP(B34,'Base stats'!B:B,'Base stats'!BE:BE) * 0.01 * 2, 0.01))</f>
        <v>0.38</v>
      </c>
      <c r="F34" s="7">
        <f>MROUND(_xlfn.XLOOKUP(B34,'Base stats'!B:B,'Base stats'!BB:BB)^0.25 / (_xlfn.XLOOKUP(B34,'Base stats'!B:B,'Base stats'!BI:BI) * 10) * 150 + 0.5 + _xlfn.XLOOKUP(B34,'Base stats'!B:B,'Base stats'!BU:BU), 0.05)</f>
        <v>1.85</v>
      </c>
      <c r="G34" s="3" t="str">
        <f>IF(Animals!S34="No","No",
IF(_xlfn.XLOOKUP(B34,'Base stats'!B:B,'Base stats'!U:U)="No",
MAX(MROUND(_xlfn.XLOOKUP(B34,'Base stats'!B:B,'Base stats'!BR:BR) * _xlfn.XLOOKUP(B34,'Base stats'!B:B,'Base stats'!BN:BN)^0.9 / 21 * _xlfn.XLOOKUP(B34,'Base stats'!B:B,'Base stats'!BV:BV),0.1),0.05),
MAX(MROUND(((MIN(10,_xlfn.XLOOKUP(B34,'Base stats'!B:B,'Base stats'!U:U)))^0.4*_xlfn.XLOOKUP(B34,'Base stats'!B:B,'Base stats'!BF:BF)^0.73)^0.6 * _xlfn.XLOOKUP(B34,'Base stats'!B:B,'Base stats'!BV:BV),0.1),0.05)
))</f>
        <v>No</v>
      </c>
      <c r="H34" s="11" t="str">
        <f>IF(G34="No","No",
MAX(0.01,MROUND(_xlfn.XLOOKUP(B34,'Base stats'!B:B,'Base stats'!BF:BF) * 0.01 * 2, 0.01))
)</f>
        <v>No</v>
      </c>
      <c r="I34" s="11" t="str">
        <f>IF(G34="No","No",IF(_xlfn.XLOOKUP(B34,'Base stats'!B:B,'Base stats'!U:U)="No","No",
MAX(0.01,MROUND(_xlfn.XLOOKUP(B34,'Base stats'!B:B,'Base stats'!BR:BR)/10000,0.01))
))</f>
        <v>No</v>
      </c>
      <c r="J34" s="4" t="str">
        <f>IF(G34="No","No",
MROUND(_xlfn.XLOOKUP(B34,'Base stats'!B:B,'Base stats'!BC:BC)^0.25
/((_xlfn.XLOOKUP(B34,'Base stats'!B:B,'Base stats'!BJ:BJ))*10)*_xlfn.XLOOKUP(_xlfn.XLOOKUP(B34,'Base stats'!B:B,'Base stats'!E:E),Groups!A:A,Groups!Q:Q)*150 + 0.5 + _xlfn.XLOOKUP(B34,'Base stats'!B:B,'Base stats'!BU:BU),
0.05))</f>
        <v>No</v>
      </c>
      <c r="K34" s="3" t="str">
        <f>IF(Animals!X34="No","No",
IF(_xlfn.XLOOKUP(_xlfn.XLOOKUP(B34,'Base stats'!B:B,'Base stats'!E:E),Groups!A:A,Groups!BD:BD)=1,
MAX(MROUND(_xlfn.XLOOKUP(B34,'Base stats'!B:B,'Base stats'!BS:BS) * _xlfn.XLOOKUP(B34,'Base stats'!B:B,'Base stats'!BO:BO)^0.9 / 21 *_xlfn.XLOOKUP(B34,'Base stats'!B:B,'Base stats'!BV:BV),0.1),0.05),
MAX(MROUND(((MIN(10,_xlfn.XLOOKUP(B34,'Base stats'!B:B,'Base stats'!W:W)))^0.4*_xlfn.XLOOKUP(B34,'Base stats'!B:B,'Base stats'!BG:BG)^0.73)^0.6 *_xlfn.XLOOKUP(B34,'Base stats'!B:B,'Base stats'!BV:BV),0.1),0.05)
))</f>
        <v>No</v>
      </c>
      <c r="L34" s="11" t="str">
        <f>IF(K34="No","No",
MAX(0.01,MROUND(_xlfn.XLOOKUP(B34,'Base stats'!B:B,'Base stats'!BG:BG) * 0.01 *2, 0.01))
)</f>
        <v>No</v>
      </c>
      <c r="M34" s="5" t="str">
        <f>IF(K34="No","No",IF(_xlfn.XLOOKUP(_xlfn.XLOOKUP(B34,'Base stats'!B:B,'Base stats'!E:E),Groups!A:A,Groups!BD:BD)=1,"No",
MAX(0.01,MROUND(_xlfn.XLOOKUP(B34,'Base stats'!B:B,'Base stats'!BS:BS)/10000,0.01))
))</f>
        <v>No</v>
      </c>
      <c r="N34" s="4" t="str">
        <f>IF(K34="No","No",
MROUND(
  _xlfn.XLOOKUP(B34,'Base stats'!B:B,'Base stats'!BA:BA)^0.25
  / (_xlfn.XLOOKUP(B34,'Base stats'!B:B,'Base stats'!BK:BK)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stats'!BU:BU),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stats'!BH:BH)^0.73)^0.6 *_xlfn.XLOOKUP(B34,'Base stats'!B:B,'Base stats'!BV:BV),0.1),0.05)
)</f>
        <v>5.3000000000000007</v>
      </c>
      <c r="P34" s="11">
        <f>IF(O34="No","No",
MAX(0.01,MROUND(_xlfn.XLOOKUP(B34,'Base stats'!B:B,'Base stats'!BH:BH) * 0.01 * 2, 0.01))
)</f>
        <v>0.67</v>
      </c>
      <c r="Q34" s="5">
        <f>IF(O34="No","No",
MAX(0.01,MROUND(_xlfn.XLOOKUP(B34,'Base stats'!B:B,'Base stats'!BT:BT)/10000,0.01))
)</f>
        <v>0.06</v>
      </c>
      <c r="R34" s="4">
        <f>IF(O34="No","No",
MROUND(_xlfn.XLOOKUP(B34,'Base stats'!B:B,'Base stats'!AZ:AZ)^0.25
/((_xlfn.XLOOKUP(B34,'Base stats'!B:B,'Base stats'!BL:BL))*10)*_xlfn.XLOOKUP(_xlfn.XLOOKUP(B34,'Base stats'!B:B,'Base stats'!E:E),Groups!A:A,Groups!Z:Z)*150 + 0.5 + _xlfn.XLOOKUP(B34,'Base stats'!B:B,'Base stats'!BU:BU),
0.05))</f>
        <v>2.3000000000000003</v>
      </c>
      <c r="S34" s="3" t="str">
        <f>IF(Animals!AI34="No","No",
IF(_xlfn.XLOOKUP(B34,'Base stats'!B:B,'Base stats'!U:U)="No",
MAX(MROUND(_xlfn.XLOOKUP(B34,'Base stats'!B:B,'Base stats'!BR:BR) * _xlfn.XLOOKUP(B34,'Base stats'!B:B,'Base stats'!BN:BN)^0.9 / 21 * _xlfn.XLOOKUP(B34,'Base stats'!B:B,'Base stats'!BV:BV),0.1),0.05),
MAX(MROUND(((MIN(12,_xlfn.XLOOKUP(B34,'Base stats'!B:B,'Base stats'!U:U)))^0.4*_xlfn.XLOOKUP(B34,'Base stats'!B:B,'Base stats'!BF:BF)^0.73)^0.6 * _xlfn.XLOOKUP(B34,'Base stats'!B:B,'Base stats'!BV:BV),0.1),0.05)
))</f>
        <v>No</v>
      </c>
      <c r="T34" s="11" t="str">
        <f>IF(S34="No","No",
MAX(0.01,MROUND(_xlfn.XLOOKUP(B34,'Base stats'!B:B,'Base stats'!BF:BF) * 0.01 * 2, 0.01))
)</f>
        <v>No</v>
      </c>
      <c r="U34" s="5" t="str">
        <f>IF(S34="No","No",IF(_xlfn.XLOOKUP(B34,'Base stats'!B:B,'Base stats'!U:U)="No","No",
MAX(0.01,MROUND(_xlfn.XLOOKUP(B34,'Base stats'!B:B,'Base stats'!BR:BR)/10000,0.01))
))</f>
        <v>No</v>
      </c>
      <c r="V34" s="4" t="str">
        <f>IF(S34="No","No",
MROUND(_xlfn.XLOOKUP(B34,'Base stats'!B:B,'Base stats'!BD:BD)^0.25
/((_xlfn.XLOOKUP(B34,'Base stats'!B:B,'Base stats'!BM:BM))*10)*_xlfn.XLOOKUP(_xlfn.XLOOKUP(B34,'Base stats'!B:B,'Base stats'!E:E),Groups!A:A,Groups!AE:AE)*150 + 0.5 + _xlfn.XLOOKUP(B34,'Base stats'!B:B,'Base stats'!BU:BU),
0.05))</f>
        <v>No</v>
      </c>
      <c r="W34" s="8">
        <f>MROUND(_xlfn.XLOOKUP(_xlfn.XLOOKUP(B34,'Base stats'!B:B,'Base stats'!E:E),Groups!A:A,Groups!BG:BG)*_xlfn.XLOOKUP(B34,'Base stats'!B:B,'Base stats'!C:C)^-0.165,0.01)</f>
        <v>0.15</v>
      </c>
      <c r="X34" s="1">
        <f>MROUND(_xlfn.XLOOKUP(_xlfn.XLOOKUP(B34,'Base stats'!B:B,'Base stats'!E:E),Groups!A:A,Groups!BH:BH)*_xlfn.XLOOKUP(B34,'Base stats'!B:B,'Base stats'!C:C)^0.165,0.01)</f>
        <v>0</v>
      </c>
      <c r="Y34" s="8">
        <f>MROUND(_xlfn.XLOOKUP(_xlfn.XLOOKUP(B34,'Base stats'!B:B,'Base stats'!E:E),Groups!A:A,Groups!BI:BI)*_xlfn.XLOOKUP(B34,'Base stats'!B:B,'Base stats'!C:C)^0.165,0.01)</f>
        <v>0</v>
      </c>
      <c r="Z34" s="18">
        <f>ROUND(_xlfn.XLOOKUP(B34,'Base stats'!B:B,'Base stats'!AO:AO)*_xlfn.XLOOKUP(_xlfn.XLOOKUP(B34,'Base stats'!B:B,'Base stats'!E:E),Groups!A:A,Groups!H:H)/1000,2)</f>
        <v>1.1200000000000001</v>
      </c>
      <c r="AA34" s="18">
        <f>ROUND((1/2)*(_xlfn.XLOOKUP(_xlfn.XLOOKUP(B34,'Base stats'!B:B,'Base stats'!E:E),Groups!A:A,Groups!H:H)*_xlfn.XLOOKUP(_xlfn.XLOOKUP(B34,'Base stats'!B:B,'Base stats'!E:E),Groups!A:A,Groups!I:I))*_xlfn.XLOOKUP(B34,'Base stats'!B:B,'Base stats'!AO:AO)*0.01,2)</f>
        <v>1.97</v>
      </c>
      <c r="AB34" s="18">
        <f>250*(Animals!AO34+Animals!AP34)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stats'!BQ:BQ) * (_xlfn.XLOOKUP(B35,'Base stats'!B:B,'Base stats'!AM:AM)*5%)^0.9 / 21,0.1),0.05)</f>
        <v>0.05</v>
      </c>
      <c r="E35" s="11">
        <f>MAX(0.01,MROUND(_xlfn.XLOOKUP(B35,'Base stats'!B:B,'Base stats'!BE:BE) * 0.01 * 2, 0.01))</f>
        <v>0.01</v>
      </c>
      <c r="F35" s="7">
        <f>MROUND(_xlfn.XLOOKUP(B35,'Base stats'!B:B,'Base stats'!BB:BB)^0.25 / (_xlfn.XLOOKUP(B35,'Base stats'!B:B,'Base stats'!BI:BI) * 10) * 150 + 0.5 + _xlfn.XLOOKUP(B35,'Base stats'!B:B,'Base stats'!BU:BU), 0.05)</f>
        <v>1.1000000000000001</v>
      </c>
      <c r="G35" s="3" t="str">
        <f>IF(Animals!S35="No","No",
IF(_xlfn.XLOOKUP(B35,'Base stats'!B:B,'Base stats'!U:U)="No",
MAX(MROUND(_xlfn.XLOOKUP(B35,'Base stats'!B:B,'Base stats'!BR:BR) * _xlfn.XLOOKUP(B35,'Base stats'!B:B,'Base stats'!BN:BN)^0.9 / 21 * _xlfn.XLOOKUP(B35,'Base stats'!B:B,'Base stats'!BV:BV),0.1),0.05),
MAX(MROUND(((MIN(10,_xlfn.XLOOKUP(B35,'Base stats'!B:B,'Base stats'!U:U)))^0.4*_xlfn.XLOOKUP(B35,'Base stats'!B:B,'Base stats'!BF:BF)^0.73)^0.6 * _xlfn.XLOOKUP(B35,'Base stats'!B:B,'Base stats'!BV:BV),0.1),0.05)
))</f>
        <v>No</v>
      </c>
      <c r="H35" s="11" t="str">
        <f>IF(G35="No","No",
MAX(0.01,MROUND(_xlfn.XLOOKUP(B35,'Base stats'!B:B,'Base stats'!BF:BF) * 0.01 * 2, 0.01))
)</f>
        <v>No</v>
      </c>
      <c r="I35" s="11" t="str">
        <f>IF(G35="No","No",IF(_xlfn.XLOOKUP(B35,'Base stats'!B:B,'Base stats'!U:U)="No","No",
MAX(0.01,MROUND(_xlfn.XLOOKUP(B35,'Base stats'!B:B,'Base stats'!BR:BR)/10000,0.01))
))</f>
        <v>No</v>
      </c>
      <c r="J35" s="4" t="str">
        <f>IF(G35="No","No",
MROUND(_xlfn.XLOOKUP(B35,'Base stats'!B:B,'Base stats'!BC:BC)^0.25
/((_xlfn.XLOOKUP(B35,'Base stats'!B:B,'Base stats'!BJ:BJ))*10)*_xlfn.XLOOKUP(_xlfn.XLOOKUP(B35,'Base stats'!B:B,'Base stats'!E:E),Groups!A:A,Groups!Q:Q)*150 + 0.5 + _xlfn.XLOOKUP(B35,'Base stats'!B:B,'Base stats'!BU:BU),
0.05))</f>
        <v>No</v>
      </c>
      <c r="K35" s="3" t="str">
        <f>IF(Animals!X35="No","No",
IF(_xlfn.XLOOKUP(_xlfn.XLOOKUP(B35,'Base stats'!B:B,'Base stats'!E:E),Groups!A:A,Groups!BD:BD)=1,
MAX(MROUND(_xlfn.XLOOKUP(B35,'Base stats'!B:B,'Base stats'!BS:BS) * _xlfn.XLOOKUP(B35,'Base stats'!B:B,'Base stats'!BO:BO)^0.9 / 21 *_xlfn.XLOOKUP(B35,'Base stats'!B:B,'Base stats'!BV:BV),0.1),0.05),
MAX(MROUND(((MIN(10,_xlfn.XLOOKUP(B35,'Base stats'!B:B,'Base stats'!W:W)))^0.4*_xlfn.XLOOKUP(B35,'Base stats'!B:B,'Base stats'!BG:BG)^0.73)^0.6 *_xlfn.XLOOKUP(B35,'Base stats'!B:B,'Base stats'!BV:BV),0.1),0.05)
))</f>
        <v>No</v>
      </c>
      <c r="L35" s="11" t="str">
        <f>IF(K35="No","No",
MAX(0.01,MROUND(_xlfn.XLOOKUP(B35,'Base stats'!B:B,'Base stats'!BG:BG) * 0.01 *2, 0.01))
)</f>
        <v>No</v>
      </c>
      <c r="M35" s="5" t="str">
        <f>IF(K35="No","No",IF(_xlfn.XLOOKUP(_xlfn.XLOOKUP(B35,'Base stats'!B:B,'Base stats'!E:E),Groups!A:A,Groups!BD:BD)=1,"No",
MAX(0.01,MROUND(_xlfn.XLOOKUP(B35,'Base stats'!B:B,'Base stats'!BS:BS)/10000,0.01))
))</f>
        <v>No</v>
      </c>
      <c r="N35" s="4" t="str">
        <f>IF(K35="No","No",
MROUND(
  _xlfn.XLOOKUP(B35,'Base stats'!B:B,'Base stats'!BA:BA)^0.25
  / (_xlfn.XLOOKUP(B35,'Base stats'!B:B,'Base stats'!BK:BK)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stats'!BU:BU),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stats'!BH:BH)^0.73)^0.6 *_xlfn.XLOOKUP(B35,'Base stats'!B:B,'Base stats'!BV:BV),0.1),0.05)
)</f>
        <v>1.3</v>
      </c>
      <c r="P35" s="11">
        <f>IF(O35="No","No",
MAX(0.01,MROUND(_xlfn.XLOOKUP(B35,'Base stats'!B:B,'Base stats'!BH:BH) * 0.01 * 2, 0.01))
)</f>
        <v>0.05</v>
      </c>
      <c r="Q35" s="5">
        <f>IF(O35="No","No",
MAX(0.01,MROUND(_xlfn.XLOOKUP(B35,'Base stats'!B:B,'Base stats'!BT:BT)/10000,0.01))
)</f>
        <v>0.03</v>
      </c>
      <c r="R35" s="4">
        <f>IF(O35="No","No",
MROUND(_xlfn.XLOOKUP(B35,'Base stats'!B:B,'Base stats'!AZ:AZ)^0.25
/((_xlfn.XLOOKUP(B35,'Base stats'!B:B,'Base stats'!BL:BL))*10)*_xlfn.XLOOKUP(_xlfn.XLOOKUP(B35,'Base stats'!B:B,'Base stats'!E:E),Groups!A:A,Groups!Z:Z)*150 + 0.5 + _xlfn.XLOOKUP(B35,'Base stats'!B:B,'Base stats'!BU:BU),
0.05))</f>
        <v>1.8</v>
      </c>
      <c r="S35" s="3" t="str">
        <f>IF(Animals!AI35="No","No",
IF(_xlfn.XLOOKUP(B35,'Base stats'!B:B,'Base stats'!U:U)="No",
MAX(MROUND(_xlfn.XLOOKUP(B35,'Base stats'!B:B,'Base stats'!BR:BR) * _xlfn.XLOOKUP(B35,'Base stats'!B:B,'Base stats'!BN:BN)^0.9 / 21 * _xlfn.XLOOKUP(B35,'Base stats'!B:B,'Base stats'!BV:BV),0.1),0.05),
MAX(MROUND(((MIN(12,_xlfn.XLOOKUP(B35,'Base stats'!B:B,'Base stats'!U:U)))^0.4*_xlfn.XLOOKUP(B35,'Base stats'!B:B,'Base stats'!BF:BF)^0.73)^0.6 * _xlfn.XLOOKUP(B35,'Base stats'!B:B,'Base stats'!BV:BV),0.1),0.05)
))</f>
        <v>No</v>
      </c>
      <c r="T35" s="11" t="str">
        <f>IF(S35="No","No",
MAX(0.01,MROUND(_xlfn.XLOOKUP(B35,'Base stats'!B:B,'Base stats'!BF:BF) * 0.01 * 2, 0.01))
)</f>
        <v>No</v>
      </c>
      <c r="U35" s="5" t="str">
        <f>IF(S35="No","No",IF(_xlfn.XLOOKUP(B35,'Base stats'!B:B,'Base stats'!U:U)="No","No",
MAX(0.01,MROUND(_xlfn.XLOOKUP(B35,'Base stats'!B:B,'Base stats'!BR:BR)/10000,0.01))
))</f>
        <v>No</v>
      </c>
      <c r="V35" s="4" t="str">
        <f>IF(S35="No","No",
MROUND(_xlfn.XLOOKUP(B35,'Base stats'!B:B,'Base stats'!BD:BD)^0.25
/((_xlfn.XLOOKUP(B35,'Base stats'!B:B,'Base stats'!BM:BM))*10)*_xlfn.XLOOKUP(_xlfn.XLOOKUP(B35,'Base stats'!B:B,'Base stats'!E:E),Groups!A:A,Groups!AE:AE)*150 + 0.5 + _xlfn.XLOOKUP(B35,'Base stats'!B:B,'Base stats'!BU:BU),
0.05))</f>
        <v>No</v>
      </c>
      <c r="W35" s="8">
        <f>MROUND(_xlfn.XLOOKUP(_xlfn.XLOOKUP(B35,'Base stats'!B:B,'Base stats'!E:E),Groups!A:A,Groups!BG:BG)*_xlfn.XLOOKUP(B35,'Base stats'!B:B,'Base stats'!C:C)^-0.165,0.01)</f>
        <v>0.85</v>
      </c>
      <c r="X35" s="1">
        <f>MROUND(_xlfn.XLOOKUP(_xlfn.XLOOKUP(B35,'Base stats'!B:B,'Base stats'!E:E),Groups!A:A,Groups!BH:BH)*_xlfn.XLOOKUP(B35,'Base stats'!B:B,'Base stats'!C:C)^0.165,0.01)</f>
        <v>0.08</v>
      </c>
      <c r="Y35" s="8">
        <f>MROUND(_xlfn.XLOOKUP(_xlfn.XLOOKUP(B35,'Base stats'!B:B,'Base stats'!E:E),Groups!A:A,Groups!BI:BI)*_xlfn.XLOOKUP(B35,'Base stats'!B:B,'Base stats'!C:C)^0.165,0.01)</f>
        <v>0.02</v>
      </c>
      <c r="Z35" s="18">
        <f>ROUND(_xlfn.XLOOKUP(B35,'Base stats'!B:B,'Base stats'!AO:AO)*_xlfn.XLOOKUP(_xlfn.XLOOKUP(B35,'Base stats'!B:B,'Base stats'!E:E),Groups!A:A,Groups!H:H)/1000,2)</f>
        <v>0.01</v>
      </c>
      <c r="AA35" s="18">
        <f>ROUND((1/2)*(_xlfn.XLOOKUP(_xlfn.XLOOKUP(B35,'Base stats'!B:B,'Base stats'!E:E),Groups!A:A,Groups!H:H)*_xlfn.XLOOKUP(_xlfn.XLOOKUP(B35,'Base stats'!B:B,'Base stats'!E:E),Groups!A:A,Groups!I:I))*_xlfn.XLOOKUP(B35,'Base stats'!B:B,'Base stats'!AO:AO)*0.01,2)</f>
        <v>0.05</v>
      </c>
      <c r="AB35" s="18">
        <f>250*(Animals!AO35+Animals!AP35)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stats'!BQ:BQ) * (_xlfn.XLOOKUP(B36,'Base stats'!B:B,'Base stats'!AM:AM)*5%)^0.9 / 21,0.1),0.05)</f>
        <v>0.05</v>
      </c>
      <c r="E36" s="11">
        <f>MAX(0.01,MROUND(_xlfn.XLOOKUP(B36,'Base stats'!B:B,'Base stats'!BE:BE) * 0.01 * 2, 0.01))</f>
        <v>0.02</v>
      </c>
      <c r="F36" s="7">
        <f>MROUND(_xlfn.XLOOKUP(B36,'Base stats'!B:B,'Base stats'!BB:BB)^0.25 / (_xlfn.XLOOKUP(B36,'Base stats'!B:B,'Base stats'!BI:BI) * 10) * 150 + 0.5 + _xlfn.XLOOKUP(B36,'Base stats'!B:B,'Base stats'!BU:BU), 0.05)</f>
        <v>1.1500000000000001</v>
      </c>
      <c r="G36" s="3" t="str">
        <f>IF(Animals!S36="No","No",
IF(_xlfn.XLOOKUP(B36,'Base stats'!B:B,'Base stats'!U:U)="No",
MAX(MROUND(_xlfn.XLOOKUP(B36,'Base stats'!B:B,'Base stats'!BR:BR) * _xlfn.XLOOKUP(B36,'Base stats'!B:B,'Base stats'!BN:BN)^0.9 / 21 * _xlfn.XLOOKUP(B36,'Base stats'!B:B,'Base stats'!BV:BV),0.1),0.05),
MAX(MROUND(((MIN(10,_xlfn.XLOOKUP(B36,'Base stats'!B:B,'Base stats'!U:U)))^0.4*_xlfn.XLOOKUP(B36,'Base stats'!B:B,'Base stats'!BF:BF)^0.73)^0.6 * _xlfn.XLOOKUP(B36,'Base stats'!B:B,'Base stats'!BV:BV),0.1),0.05)
))</f>
        <v>No</v>
      </c>
      <c r="H36" s="11" t="str">
        <f>IF(G36="No","No",
MAX(0.01,MROUND(_xlfn.XLOOKUP(B36,'Base stats'!B:B,'Base stats'!BF:BF) * 0.01 * 2, 0.01))
)</f>
        <v>No</v>
      </c>
      <c r="I36" s="11" t="str">
        <f>IF(G36="No","No",IF(_xlfn.XLOOKUP(B36,'Base stats'!B:B,'Base stats'!U:U)="No","No",
MAX(0.01,MROUND(_xlfn.XLOOKUP(B36,'Base stats'!B:B,'Base stats'!BR:BR)/10000,0.01))
))</f>
        <v>No</v>
      </c>
      <c r="J36" s="4" t="str">
        <f>IF(G36="No","No",
MROUND(_xlfn.XLOOKUP(B36,'Base stats'!B:B,'Base stats'!BC:BC)^0.25
/((_xlfn.XLOOKUP(B36,'Base stats'!B:B,'Base stats'!BJ:BJ))*10)*_xlfn.XLOOKUP(_xlfn.XLOOKUP(B36,'Base stats'!B:B,'Base stats'!E:E),Groups!A:A,Groups!Q:Q)*150 + 0.5 + _xlfn.XLOOKUP(B36,'Base stats'!B:B,'Base stats'!BU:BU),
0.05))</f>
        <v>No</v>
      </c>
      <c r="K36" s="3" t="str">
        <f>IF(Animals!X36="No","No",
IF(_xlfn.XLOOKUP(_xlfn.XLOOKUP(B36,'Base stats'!B:B,'Base stats'!E:E),Groups!A:A,Groups!BD:BD)=1,
MAX(MROUND(_xlfn.XLOOKUP(B36,'Base stats'!B:B,'Base stats'!BS:BS) * _xlfn.XLOOKUP(B36,'Base stats'!B:B,'Base stats'!BO:BO)^0.9 / 21 *_xlfn.XLOOKUP(B36,'Base stats'!B:B,'Base stats'!BV:BV),0.1),0.05),
MAX(MROUND(((MIN(10,_xlfn.XLOOKUP(B36,'Base stats'!B:B,'Base stats'!W:W)))^0.4*_xlfn.XLOOKUP(B36,'Base stats'!B:B,'Base stats'!BG:BG)^0.73)^0.6 *_xlfn.XLOOKUP(B36,'Base stats'!B:B,'Base stats'!BV:BV),0.1),0.05)
))</f>
        <v>No</v>
      </c>
      <c r="L36" s="11" t="str">
        <f>IF(K36="No","No",
MAX(0.01,MROUND(_xlfn.XLOOKUP(B36,'Base stats'!B:B,'Base stats'!BG:BG) * 0.01 *2, 0.01))
)</f>
        <v>No</v>
      </c>
      <c r="M36" s="5" t="str">
        <f>IF(K36="No","No",IF(_xlfn.XLOOKUP(_xlfn.XLOOKUP(B36,'Base stats'!B:B,'Base stats'!E:E),Groups!A:A,Groups!BD:BD)=1,"No",
MAX(0.01,MROUND(_xlfn.XLOOKUP(B36,'Base stats'!B:B,'Base stats'!BS:BS)/10000,0.01))
))</f>
        <v>No</v>
      </c>
      <c r="N36" s="4" t="str">
        <f>IF(K36="No","No",
MROUND(
  _xlfn.XLOOKUP(B36,'Base stats'!B:B,'Base stats'!BA:BA)^0.25
  / (_xlfn.XLOOKUP(B36,'Base stats'!B:B,'Base stats'!BK:BK)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stats'!BU:BU),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stats'!BH:BH)^0.73)^0.6 *_xlfn.XLOOKUP(B36,'Base stats'!B:B,'Base stats'!BV:BV),0.1),0.05)
)</f>
        <v>1.6</v>
      </c>
      <c r="P36" s="11">
        <f>IF(O36="No","No",
MAX(0.01,MROUND(_xlfn.XLOOKUP(B36,'Base stats'!B:B,'Base stats'!BH:BH) * 0.01 * 2, 0.01))
)</f>
        <v>0.08</v>
      </c>
      <c r="Q36" s="5">
        <f>IF(O36="No","No",
MAX(0.01,MROUND(_xlfn.XLOOKUP(B36,'Base stats'!B:B,'Base stats'!BT:BT)/10000,0.01))
)</f>
        <v>0.03</v>
      </c>
      <c r="R36" s="4">
        <f>IF(O36="No","No",
MROUND(_xlfn.XLOOKUP(B36,'Base stats'!B:B,'Base stats'!AZ:AZ)^0.25
/((_xlfn.XLOOKUP(B36,'Base stats'!B:B,'Base stats'!BL:BL))*10)*_xlfn.XLOOKUP(_xlfn.XLOOKUP(B36,'Base stats'!B:B,'Base stats'!E:E),Groups!A:A,Groups!Z:Z)*150 + 0.5 + _xlfn.XLOOKUP(B36,'Base stats'!B:B,'Base stats'!BU:BU),
0.05))</f>
        <v>2.0500000000000003</v>
      </c>
      <c r="S36" s="3" t="str">
        <f>IF(Animals!AI36="No","No",
IF(_xlfn.XLOOKUP(B36,'Base stats'!B:B,'Base stats'!U:U)="No",
MAX(MROUND(_xlfn.XLOOKUP(B36,'Base stats'!B:B,'Base stats'!BR:BR) * _xlfn.XLOOKUP(B36,'Base stats'!B:B,'Base stats'!BN:BN)^0.9 / 21 * _xlfn.XLOOKUP(B36,'Base stats'!B:B,'Base stats'!BV:BV),0.1),0.05),
MAX(MROUND(((MIN(12,_xlfn.XLOOKUP(B36,'Base stats'!B:B,'Base stats'!U:U)))^0.4*_xlfn.XLOOKUP(B36,'Base stats'!B:B,'Base stats'!BF:BF)^0.73)^0.6 * _xlfn.XLOOKUP(B36,'Base stats'!B:B,'Base stats'!BV:BV),0.1),0.05)
))</f>
        <v>No</v>
      </c>
      <c r="T36" s="11" t="str">
        <f>IF(S36="No","No",
MAX(0.01,MROUND(_xlfn.XLOOKUP(B36,'Base stats'!B:B,'Base stats'!BF:BF) * 0.01 * 2, 0.01))
)</f>
        <v>No</v>
      </c>
      <c r="U36" s="5" t="str">
        <f>IF(S36="No","No",IF(_xlfn.XLOOKUP(B36,'Base stats'!B:B,'Base stats'!U:U)="No","No",
MAX(0.01,MROUND(_xlfn.XLOOKUP(B36,'Base stats'!B:B,'Base stats'!BR:BR)/10000,0.01))
))</f>
        <v>No</v>
      </c>
      <c r="V36" s="4" t="str">
        <f>IF(S36="No","No",
MROUND(_xlfn.XLOOKUP(B36,'Base stats'!B:B,'Base stats'!BD:BD)^0.25
/((_xlfn.XLOOKUP(B36,'Base stats'!B:B,'Base stats'!BM:BM))*10)*_xlfn.XLOOKUP(_xlfn.XLOOKUP(B36,'Base stats'!B:B,'Base stats'!E:E),Groups!A:A,Groups!AE:AE)*150 + 0.5 + _xlfn.XLOOKUP(B36,'Base stats'!B:B,'Base stats'!BU:BU),
0.05))</f>
        <v>No</v>
      </c>
      <c r="W36" s="8">
        <f>MROUND(_xlfn.XLOOKUP(_xlfn.XLOOKUP(B36,'Base stats'!B:B,'Base stats'!E:E),Groups!A:A,Groups!BG:BG)*_xlfn.XLOOKUP(B36,'Base stats'!B:B,'Base stats'!C:C)^-0.165,0.01)</f>
        <v>0.76</v>
      </c>
      <c r="X36" s="1">
        <f>MROUND(_xlfn.XLOOKUP(_xlfn.XLOOKUP(B36,'Base stats'!B:B,'Base stats'!E:E),Groups!A:A,Groups!BH:BH)*_xlfn.XLOOKUP(B36,'Base stats'!B:B,'Base stats'!C:C)^0.165,0.01)</f>
        <v>0</v>
      </c>
      <c r="Y36" s="8">
        <f>MROUND(_xlfn.XLOOKUP(_xlfn.XLOOKUP(B36,'Base stats'!B:B,'Base stats'!E:E),Groups!A:A,Groups!BI:BI)*_xlfn.XLOOKUP(B36,'Base stats'!B:B,'Base stats'!C:C)^0.165,0.01)</f>
        <v>0</v>
      </c>
      <c r="Z36" s="18">
        <f>ROUND(_xlfn.XLOOKUP(B36,'Base stats'!B:B,'Base stats'!AO:AO)*_xlfn.XLOOKUP(_xlfn.XLOOKUP(B36,'Base stats'!B:B,'Base stats'!E:E),Groups!A:A,Groups!H:H)/1000,2)</f>
        <v>0.01</v>
      </c>
      <c r="AA36" s="18">
        <f>ROUND((1/2)*(_xlfn.XLOOKUP(_xlfn.XLOOKUP(B36,'Base stats'!B:B,'Base stats'!E:E),Groups!A:A,Groups!H:H)*_xlfn.XLOOKUP(_xlfn.XLOOKUP(B36,'Base stats'!B:B,'Base stats'!E:E),Groups!A:A,Groups!I:I))*_xlfn.XLOOKUP(B36,'Base stats'!B:B,'Base stats'!AO:AO)*0.01,2)</f>
        <v>0.06</v>
      </c>
      <c r="AB36" s="18">
        <f>250*(Animals!AO36+Animals!AP36)</f>
        <v>75.000000000000014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stats'!BQ:BQ) * (_xlfn.XLOOKUP(B37,'Base stats'!B:B,'Base stats'!AM:AM)*5%)^0.9 / 21,0.1),0.05)</f>
        <v>0.05</v>
      </c>
      <c r="E37" s="11">
        <f>MAX(0.01,MROUND(_xlfn.XLOOKUP(B37,'Base stats'!B:B,'Base stats'!BE:BE) * 0.01 * 2, 0.01))</f>
        <v>0.03</v>
      </c>
      <c r="F37" s="7">
        <f>MROUND(_xlfn.XLOOKUP(B37,'Base stats'!B:B,'Base stats'!BB:BB)^0.25 / (_xlfn.XLOOKUP(B37,'Base stats'!B:B,'Base stats'!BI:BI) * 10) * 150 + 0.5 + _xlfn.XLOOKUP(B37,'Base stats'!B:B,'Base stats'!BU:BU), 0.05)</f>
        <v>1.2000000000000002</v>
      </c>
      <c r="G37" s="3" t="str">
        <f>IF(Animals!S37="No","No",
IF(_xlfn.XLOOKUP(B37,'Base stats'!B:B,'Base stats'!U:U)="No",
MAX(MROUND(_xlfn.XLOOKUP(B37,'Base stats'!B:B,'Base stats'!BR:BR) * _xlfn.XLOOKUP(B37,'Base stats'!B:B,'Base stats'!BN:BN)^0.9 / 21 * _xlfn.XLOOKUP(B37,'Base stats'!B:B,'Base stats'!BV:BV),0.1),0.05),
MAX(MROUND(((MIN(10,_xlfn.XLOOKUP(B37,'Base stats'!B:B,'Base stats'!U:U)))^0.4*_xlfn.XLOOKUP(B37,'Base stats'!B:B,'Base stats'!BF:BF)^0.73)^0.6 * _xlfn.XLOOKUP(B37,'Base stats'!B:B,'Base stats'!BV:BV),0.1),0.05)
))</f>
        <v>No</v>
      </c>
      <c r="H37" s="11" t="str">
        <f>IF(G37="No","No",
MAX(0.01,MROUND(_xlfn.XLOOKUP(B37,'Base stats'!B:B,'Base stats'!BF:BF) * 0.01 * 2, 0.01))
)</f>
        <v>No</v>
      </c>
      <c r="I37" s="11" t="str">
        <f>IF(G37="No","No",IF(_xlfn.XLOOKUP(B37,'Base stats'!B:B,'Base stats'!U:U)="No","No",
MAX(0.01,MROUND(_xlfn.XLOOKUP(B37,'Base stats'!B:B,'Base stats'!BR:BR)/10000,0.01))
))</f>
        <v>No</v>
      </c>
      <c r="J37" s="4" t="str">
        <f>IF(G37="No","No",
MROUND(_xlfn.XLOOKUP(B37,'Base stats'!B:B,'Base stats'!BC:BC)^0.25
/((_xlfn.XLOOKUP(B37,'Base stats'!B:B,'Base stats'!BJ:BJ))*10)*_xlfn.XLOOKUP(_xlfn.XLOOKUP(B37,'Base stats'!B:B,'Base stats'!E:E),Groups!A:A,Groups!Q:Q)*150 + 0.5 + _xlfn.XLOOKUP(B37,'Base stats'!B:B,'Base stats'!BU:BU),
0.05))</f>
        <v>No</v>
      </c>
      <c r="K37" s="3" t="str">
        <f>IF(Animals!X37="No","No",
IF(_xlfn.XLOOKUP(_xlfn.XLOOKUP(B37,'Base stats'!B:B,'Base stats'!E:E),Groups!A:A,Groups!BD:BD)=1,
MAX(MROUND(_xlfn.XLOOKUP(B37,'Base stats'!B:B,'Base stats'!BS:BS) * _xlfn.XLOOKUP(B37,'Base stats'!B:B,'Base stats'!BO:BO)^0.9 / 21 *_xlfn.XLOOKUP(B37,'Base stats'!B:B,'Base stats'!BV:BV),0.1),0.05),
MAX(MROUND(((MIN(10,_xlfn.XLOOKUP(B37,'Base stats'!B:B,'Base stats'!W:W)))^0.4*_xlfn.XLOOKUP(B37,'Base stats'!B:B,'Base stats'!BG:BG)^0.73)^0.6 *_xlfn.XLOOKUP(B37,'Base stats'!B:B,'Base stats'!BV:BV),0.1),0.05)
))</f>
        <v>No</v>
      </c>
      <c r="L37" s="11" t="str">
        <f>IF(K37="No","No",
MAX(0.01,MROUND(_xlfn.XLOOKUP(B37,'Base stats'!B:B,'Base stats'!BG:BG) * 0.01 *2, 0.01))
)</f>
        <v>No</v>
      </c>
      <c r="M37" s="5" t="str">
        <f>IF(K37="No","No",IF(_xlfn.XLOOKUP(_xlfn.XLOOKUP(B37,'Base stats'!B:B,'Base stats'!E:E),Groups!A:A,Groups!BD:BD)=1,"No",
MAX(0.01,MROUND(_xlfn.XLOOKUP(B37,'Base stats'!B:B,'Base stats'!BS:BS)/10000,0.01))
))</f>
        <v>No</v>
      </c>
      <c r="N37" s="4" t="str">
        <f>IF(K37="No","No",
MROUND(
  _xlfn.XLOOKUP(B37,'Base stats'!B:B,'Base stats'!BA:BA)^0.25
  / (_xlfn.XLOOKUP(B37,'Base stats'!B:B,'Base stats'!BK:BK)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stats'!BU:BU),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stats'!BH:BH)^0.73)^0.6 *_xlfn.XLOOKUP(B37,'Base stats'!B:B,'Base stats'!BV:BV),0.1),0.05)
)</f>
        <v>1.5</v>
      </c>
      <c r="P37" s="11">
        <f>IF(O37="No","No",
MAX(0.01,MROUND(_xlfn.XLOOKUP(B37,'Base stats'!B:B,'Base stats'!BH:BH) * 0.01 * 2, 0.01))
)</f>
        <v>7.0000000000000007E-2</v>
      </c>
      <c r="Q37" s="5">
        <f>IF(O37="No","No",
MAX(0.01,MROUND(_xlfn.XLOOKUP(B37,'Base stats'!B:B,'Base stats'!BT:BT)/10000,0.01))
)</f>
        <v>0.03</v>
      </c>
      <c r="R37" s="4">
        <f>IF(O37="No","No",
MROUND(_xlfn.XLOOKUP(B37,'Base stats'!B:B,'Base stats'!AZ:AZ)^0.25
/((_xlfn.XLOOKUP(B37,'Base stats'!B:B,'Base stats'!BL:BL))*10)*_xlfn.XLOOKUP(_xlfn.XLOOKUP(B37,'Base stats'!B:B,'Base stats'!E:E),Groups!A:A,Groups!Z:Z)*150 + 0.5 + _xlfn.XLOOKUP(B37,'Base stats'!B:B,'Base stats'!BU:BU),
0.05))</f>
        <v>2.0500000000000003</v>
      </c>
      <c r="S37" s="3" t="str">
        <f>IF(Animals!AI37="No","No",
IF(_xlfn.XLOOKUP(B37,'Base stats'!B:B,'Base stats'!U:U)="No",
MAX(MROUND(_xlfn.XLOOKUP(B37,'Base stats'!B:B,'Base stats'!BR:BR) * _xlfn.XLOOKUP(B37,'Base stats'!B:B,'Base stats'!BN:BN)^0.9 / 21 * _xlfn.XLOOKUP(B37,'Base stats'!B:B,'Base stats'!BV:BV),0.1),0.05),
MAX(MROUND(((MIN(12,_xlfn.XLOOKUP(B37,'Base stats'!B:B,'Base stats'!U:U)))^0.4*_xlfn.XLOOKUP(B37,'Base stats'!B:B,'Base stats'!BF:BF)^0.73)^0.6 * _xlfn.XLOOKUP(B37,'Base stats'!B:B,'Base stats'!BV:BV),0.1),0.05)
))</f>
        <v>No</v>
      </c>
      <c r="T37" s="11" t="str">
        <f>IF(S37="No","No",
MAX(0.01,MROUND(_xlfn.XLOOKUP(B37,'Base stats'!B:B,'Base stats'!BF:BF) * 0.01 * 2, 0.01))
)</f>
        <v>No</v>
      </c>
      <c r="U37" s="5" t="str">
        <f>IF(S37="No","No",IF(_xlfn.XLOOKUP(B37,'Base stats'!B:B,'Base stats'!U:U)="No","No",
MAX(0.01,MROUND(_xlfn.XLOOKUP(B37,'Base stats'!B:B,'Base stats'!BR:BR)/10000,0.01))
))</f>
        <v>No</v>
      </c>
      <c r="V37" s="4" t="str">
        <f>IF(S37="No","No",
MROUND(_xlfn.XLOOKUP(B37,'Base stats'!B:B,'Base stats'!BD:BD)^0.25
/((_xlfn.XLOOKUP(B37,'Base stats'!B:B,'Base stats'!BM:BM))*10)*_xlfn.XLOOKUP(_xlfn.XLOOKUP(B37,'Base stats'!B:B,'Base stats'!E:E),Groups!A:A,Groups!AE:AE)*150 + 0.5 + _xlfn.XLOOKUP(B37,'Base stats'!B:B,'Base stats'!BU:BU),
0.05))</f>
        <v>No</v>
      </c>
      <c r="W37" s="8">
        <f>MROUND(_xlfn.XLOOKUP(_xlfn.XLOOKUP(B37,'Base stats'!B:B,'Base stats'!E:E),Groups!A:A,Groups!BG:BG)*_xlfn.XLOOKUP(B37,'Base stats'!B:B,'Base stats'!C:C)^-0.165,0.01)</f>
        <v>0.74</v>
      </c>
      <c r="X37" s="1">
        <f>MROUND(_xlfn.XLOOKUP(_xlfn.XLOOKUP(B37,'Base stats'!B:B,'Base stats'!E:E),Groups!A:A,Groups!BH:BH)*_xlfn.XLOOKUP(B37,'Base stats'!B:B,'Base stats'!C:C)^0.165,0.01)</f>
        <v>0</v>
      </c>
      <c r="Y37" s="8">
        <f>MROUND(_xlfn.XLOOKUP(_xlfn.XLOOKUP(B37,'Base stats'!B:B,'Base stats'!E:E),Groups!A:A,Groups!BI:BI)*_xlfn.XLOOKUP(B37,'Base stats'!B:B,'Base stats'!C:C)^0.165,0.01)</f>
        <v>0</v>
      </c>
      <c r="Z37" s="18">
        <f>ROUND(_xlfn.XLOOKUP(B37,'Base stats'!B:B,'Base stats'!AO:AO)*_xlfn.XLOOKUP(_xlfn.XLOOKUP(B37,'Base stats'!B:B,'Base stats'!E:E),Groups!A:A,Groups!H:H)/1000,2)</f>
        <v>0.01</v>
      </c>
      <c r="AA37" s="18">
        <f>ROUND((1/2)*(_xlfn.XLOOKUP(_xlfn.XLOOKUP(B37,'Base stats'!B:B,'Base stats'!E:E),Groups!A:A,Groups!H:H)*_xlfn.XLOOKUP(_xlfn.XLOOKUP(B37,'Base stats'!B:B,'Base stats'!E:E),Groups!A:A,Groups!I:I))*_xlfn.XLOOKUP(B37,'Base stats'!B:B,'Base stats'!AO:AO)*0.01,2)</f>
        <v>0.06</v>
      </c>
      <c r="AB37" s="18">
        <f>250*(Animals!AO37+Animals!AP37)</f>
        <v>75.000000000000014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stats'!BQ:BQ) * (_xlfn.XLOOKUP(B38,'Base stats'!B:B,'Base stats'!AM:AM)*5%)^0.9 / 21,0.1),0.05)</f>
        <v>0.05</v>
      </c>
      <c r="E38" s="11">
        <f>MAX(0.01,MROUND(_xlfn.XLOOKUP(B38,'Base stats'!B:B,'Base stats'!BE:BE) * 0.01 * 2, 0.01))</f>
        <v>0.03</v>
      </c>
      <c r="F38" s="7">
        <f>MROUND(_xlfn.XLOOKUP(B38,'Base stats'!B:B,'Base stats'!BB:BB)^0.25 / (_xlfn.XLOOKUP(B38,'Base stats'!B:B,'Base stats'!BI:BI) * 10) * 150 + 0.5 + _xlfn.XLOOKUP(B38,'Base stats'!B:B,'Base stats'!BU:BU), 0.05)</f>
        <v>1.2000000000000002</v>
      </c>
      <c r="G38" s="3" t="str">
        <f>IF(Animals!S38="No","No",
IF(_xlfn.XLOOKUP(B38,'Base stats'!B:B,'Base stats'!U:U)="No",
MAX(MROUND(_xlfn.XLOOKUP(B38,'Base stats'!B:B,'Base stats'!BR:BR) * _xlfn.XLOOKUP(B38,'Base stats'!B:B,'Base stats'!BN:BN)^0.9 / 21 * _xlfn.XLOOKUP(B38,'Base stats'!B:B,'Base stats'!BV:BV),0.1),0.05),
MAX(MROUND(((MIN(10,_xlfn.XLOOKUP(B38,'Base stats'!B:B,'Base stats'!U:U)))^0.4*_xlfn.XLOOKUP(B38,'Base stats'!B:B,'Base stats'!BF:BF)^0.73)^0.6 * _xlfn.XLOOKUP(B38,'Base stats'!B:B,'Base stats'!BV:BV),0.1),0.05)
))</f>
        <v>No</v>
      </c>
      <c r="H38" s="11" t="str">
        <f>IF(G38="No","No",
MAX(0.01,MROUND(_xlfn.XLOOKUP(B38,'Base stats'!B:B,'Base stats'!BF:BF) * 0.01 * 2, 0.01))
)</f>
        <v>No</v>
      </c>
      <c r="I38" s="11" t="str">
        <f>IF(G38="No","No",IF(_xlfn.XLOOKUP(B38,'Base stats'!B:B,'Base stats'!U:U)="No","No",
MAX(0.01,MROUND(_xlfn.XLOOKUP(B38,'Base stats'!B:B,'Base stats'!BR:BR)/10000,0.01))
))</f>
        <v>No</v>
      </c>
      <c r="J38" s="4" t="str">
        <f>IF(G38="No","No",
MROUND(_xlfn.XLOOKUP(B38,'Base stats'!B:B,'Base stats'!BC:BC)^0.25
/((_xlfn.XLOOKUP(B38,'Base stats'!B:B,'Base stats'!BJ:BJ))*10)*_xlfn.XLOOKUP(_xlfn.XLOOKUP(B38,'Base stats'!B:B,'Base stats'!E:E),Groups!A:A,Groups!Q:Q)*150 + 0.5 + _xlfn.XLOOKUP(B38,'Base stats'!B:B,'Base stats'!BU:BU),
0.05))</f>
        <v>No</v>
      </c>
      <c r="K38" s="3" t="str">
        <f>IF(Animals!X38="No","No",
IF(_xlfn.XLOOKUP(_xlfn.XLOOKUP(B38,'Base stats'!B:B,'Base stats'!E:E),Groups!A:A,Groups!BD:BD)=1,
MAX(MROUND(_xlfn.XLOOKUP(B38,'Base stats'!B:B,'Base stats'!BS:BS) * _xlfn.XLOOKUP(B38,'Base stats'!B:B,'Base stats'!BO:BO)^0.9 / 21 *_xlfn.XLOOKUP(B38,'Base stats'!B:B,'Base stats'!BV:BV),0.1),0.05),
MAX(MROUND(((MIN(10,_xlfn.XLOOKUP(B38,'Base stats'!B:B,'Base stats'!W:W)))^0.4*_xlfn.XLOOKUP(B38,'Base stats'!B:B,'Base stats'!BG:BG)^0.73)^0.6 *_xlfn.XLOOKUP(B38,'Base stats'!B:B,'Base stats'!BV:BV),0.1),0.05)
))</f>
        <v>No</v>
      </c>
      <c r="L38" s="11" t="str">
        <f>IF(K38="No","No",
MAX(0.01,MROUND(_xlfn.XLOOKUP(B38,'Base stats'!B:B,'Base stats'!BG:BG) * 0.01 *2, 0.01))
)</f>
        <v>No</v>
      </c>
      <c r="M38" s="5" t="str">
        <f>IF(K38="No","No",IF(_xlfn.XLOOKUP(_xlfn.XLOOKUP(B38,'Base stats'!B:B,'Base stats'!E:E),Groups!A:A,Groups!BD:BD)=1,"No",
MAX(0.01,MROUND(_xlfn.XLOOKUP(B38,'Base stats'!B:B,'Base stats'!BS:BS)/10000,0.01))
))</f>
        <v>No</v>
      </c>
      <c r="N38" s="4" t="str">
        <f>IF(K38="No","No",
MROUND(
  _xlfn.XLOOKUP(B38,'Base stats'!B:B,'Base stats'!BA:BA)^0.25
  / (_xlfn.XLOOKUP(B38,'Base stats'!B:B,'Base stats'!BK:BK)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stats'!BU:BU),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stats'!BH:BH)^0.73)^0.6 *_xlfn.XLOOKUP(B38,'Base stats'!B:B,'Base stats'!BV:BV),0.1),0.05)
)</f>
        <v>1.6</v>
      </c>
      <c r="P38" s="11">
        <f>IF(O38="No","No",
MAX(0.01,MROUND(_xlfn.XLOOKUP(B38,'Base stats'!B:B,'Base stats'!BH:BH) * 0.01 * 2, 0.01))
)</f>
        <v>0.06</v>
      </c>
      <c r="Q38" s="5">
        <f>IF(O38="No","No",
MAX(0.01,MROUND(_xlfn.XLOOKUP(B38,'Base stats'!B:B,'Base stats'!BT:BT)/10000,0.01))
)</f>
        <v>0.03</v>
      </c>
      <c r="R38" s="4">
        <f>IF(O38="No","No",
MROUND(_xlfn.XLOOKUP(B38,'Base stats'!B:B,'Base stats'!AZ:AZ)^0.25
/((_xlfn.XLOOKUP(B38,'Base stats'!B:B,'Base stats'!BL:BL))*10)*_xlfn.XLOOKUP(_xlfn.XLOOKUP(B38,'Base stats'!B:B,'Base stats'!E:E),Groups!A:A,Groups!Z:Z)*150 + 0.5 + _xlfn.XLOOKUP(B38,'Base stats'!B:B,'Base stats'!BU:BU),
0.05))</f>
        <v>1.9500000000000002</v>
      </c>
      <c r="S38" s="3" t="str">
        <f>IF(Animals!AI38="No","No",
IF(_xlfn.XLOOKUP(B38,'Base stats'!B:B,'Base stats'!U:U)="No",
MAX(MROUND(_xlfn.XLOOKUP(B38,'Base stats'!B:B,'Base stats'!BR:BR) * _xlfn.XLOOKUP(B38,'Base stats'!B:B,'Base stats'!BN:BN)^0.9 / 21 * _xlfn.XLOOKUP(B38,'Base stats'!B:B,'Base stats'!BV:BV),0.1),0.05),
MAX(MROUND(((MIN(12,_xlfn.XLOOKUP(B38,'Base stats'!B:B,'Base stats'!U:U)))^0.4*_xlfn.XLOOKUP(B38,'Base stats'!B:B,'Base stats'!BF:BF)^0.73)^0.6 * _xlfn.XLOOKUP(B38,'Base stats'!B:B,'Base stats'!BV:BV),0.1),0.05)
))</f>
        <v>No</v>
      </c>
      <c r="T38" s="11" t="str">
        <f>IF(S38="No","No",
MAX(0.01,MROUND(_xlfn.XLOOKUP(B38,'Base stats'!B:B,'Base stats'!BF:BF) * 0.01 * 2, 0.01))
)</f>
        <v>No</v>
      </c>
      <c r="U38" s="5" t="str">
        <f>IF(S38="No","No",IF(_xlfn.XLOOKUP(B38,'Base stats'!B:B,'Base stats'!U:U)="No","No",
MAX(0.01,MROUND(_xlfn.XLOOKUP(B38,'Base stats'!B:B,'Base stats'!BR:BR)/10000,0.01))
))</f>
        <v>No</v>
      </c>
      <c r="V38" s="4" t="str">
        <f>IF(S38="No","No",
MROUND(_xlfn.XLOOKUP(B38,'Base stats'!B:B,'Base stats'!BD:BD)^0.25
/((_xlfn.XLOOKUP(B38,'Base stats'!B:B,'Base stats'!BM:BM))*10)*_xlfn.XLOOKUP(_xlfn.XLOOKUP(B38,'Base stats'!B:B,'Base stats'!E:E),Groups!A:A,Groups!AE:AE)*150 + 0.5 + _xlfn.XLOOKUP(B38,'Base stats'!B:B,'Base stats'!BU:BU),
0.05))</f>
        <v>No</v>
      </c>
      <c r="W38" s="8">
        <f>MROUND(_xlfn.XLOOKUP(_xlfn.XLOOKUP(B38,'Base stats'!B:B,'Base stats'!E:E),Groups!A:A,Groups!BG:BG)*_xlfn.XLOOKUP(B38,'Base stats'!B:B,'Base stats'!C:C)^-0.165,0.01)</f>
        <v>0.75</v>
      </c>
      <c r="X38" s="1">
        <f>MROUND(_xlfn.XLOOKUP(_xlfn.XLOOKUP(B38,'Base stats'!B:B,'Base stats'!E:E),Groups!A:A,Groups!BH:BH)*_xlfn.XLOOKUP(B38,'Base stats'!B:B,'Base stats'!C:C)^0.165,0.01)</f>
        <v>0</v>
      </c>
      <c r="Y38" s="8">
        <f>MROUND(_xlfn.XLOOKUP(_xlfn.XLOOKUP(B38,'Base stats'!B:B,'Base stats'!E:E),Groups!A:A,Groups!BI:BI)*_xlfn.XLOOKUP(B38,'Base stats'!B:B,'Base stats'!C:C)^0.165,0.01)</f>
        <v>0</v>
      </c>
      <c r="Z38" s="18">
        <f>ROUND(_xlfn.XLOOKUP(B38,'Base stats'!B:B,'Base stats'!AO:AO)*_xlfn.XLOOKUP(_xlfn.XLOOKUP(B38,'Base stats'!B:B,'Base stats'!E:E),Groups!A:A,Groups!H:H)/1000,2)</f>
        <v>0.01</v>
      </c>
      <c r="AA38" s="18">
        <f>ROUND((1/2)*(_xlfn.XLOOKUP(_xlfn.XLOOKUP(B38,'Base stats'!B:B,'Base stats'!E:E),Groups!A:A,Groups!H:H)*_xlfn.XLOOKUP(_xlfn.XLOOKUP(B38,'Base stats'!B:B,'Base stats'!E:E),Groups!A:A,Groups!I:I))*_xlfn.XLOOKUP(B38,'Base stats'!B:B,'Base stats'!AO:AO)*0.01,2)</f>
        <v>0.06</v>
      </c>
      <c r="AB38" s="18">
        <f>250*(Animals!AO38+Animals!AP38)</f>
        <v>75.000000000000014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stats'!BQ:BQ) * (_xlfn.XLOOKUP(B39,'Base stats'!B:B,'Base stats'!AM:AM)*5%)^0.9 / 21,0.1),0.05)</f>
        <v>1.9000000000000001</v>
      </c>
      <c r="E39" s="11">
        <f>MAX(0.01,MROUND(_xlfn.XLOOKUP(B39,'Base stats'!B:B,'Base stats'!BE:BE) * 0.01 * 2, 0.01))</f>
        <v>1.57</v>
      </c>
      <c r="F39" s="7">
        <f>MROUND(_xlfn.XLOOKUP(B39,'Base stats'!B:B,'Base stats'!BB:BB)^0.25 / (_xlfn.XLOOKUP(B39,'Base stats'!B:B,'Base stats'!BI:BI) * 10) * 150 + 0.5 + _xlfn.XLOOKUP(B39,'Base stats'!B:B,'Base stats'!BU:BU), 0.05)</f>
        <v>1.6</v>
      </c>
      <c r="G39" s="3" t="str">
        <f>IF(Animals!S39="No","No",
IF(_xlfn.XLOOKUP(B39,'Base stats'!B:B,'Base stats'!U:U)="No",
MAX(MROUND(_xlfn.XLOOKUP(B39,'Base stats'!B:B,'Base stats'!BR:BR) * _xlfn.XLOOKUP(B39,'Base stats'!B:B,'Base stats'!BN:BN)^0.9 / 21 * _xlfn.XLOOKUP(B39,'Base stats'!B:B,'Base stats'!BV:BV),0.1),0.05),
MAX(MROUND(((MIN(10,_xlfn.XLOOKUP(B39,'Base stats'!B:B,'Base stats'!U:U)))^0.4*_xlfn.XLOOKUP(B39,'Base stats'!B:B,'Base stats'!BF:BF)^0.73)^0.6 * _xlfn.XLOOKUP(B39,'Base stats'!B:B,'Base stats'!BV:BV),0.1),0.05)
))</f>
        <v>No</v>
      </c>
      <c r="H39" s="11" t="str">
        <f>IF(G39="No","No",
MAX(0.01,MROUND(_xlfn.XLOOKUP(B39,'Base stats'!B:B,'Base stats'!BF:BF) * 0.01 * 2, 0.01))
)</f>
        <v>No</v>
      </c>
      <c r="I39" s="11" t="str">
        <f>IF(G39="No","No",IF(_xlfn.XLOOKUP(B39,'Base stats'!B:B,'Base stats'!U:U)="No","No",
MAX(0.01,MROUND(_xlfn.XLOOKUP(B39,'Base stats'!B:B,'Base stats'!BR:BR)/10000,0.01))
))</f>
        <v>No</v>
      </c>
      <c r="J39" s="4" t="str">
        <f>IF(G39="No","No",
MROUND(_xlfn.XLOOKUP(B39,'Base stats'!B:B,'Base stats'!BC:BC)^0.25
/((_xlfn.XLOOKUP(B39,'Base stats'!B:B,'Base stats'!BJ:BJ))*10)*_xlfn.XLOOKUP(_xlfn.XLOOKUP(B39,'Base stats'!B:B,'Base stats'!E:E),Groups!A:A,Groups!Q:Q)*150 + 0.5 + _xlfn.XLOOKUP(B39,'Base stats'!B:B,'Base stats'!BU:BU),
0.05))</f>
        <v>No</v>
      </c>
      <c r="K39" s="3" t="str">
        <f>IF(Animals!X39="No","No",
IF(_xlfn.XLOOKUP(_xlfn.XLOOKUP(B39,'Base stats'!B:B,'Base stats'!E:E),Groups!A:A,Groups!BD:BD)=1,
MAX(MROUND(_xlfn.XLOOKUP(B39,'Base stats'!B:B,'Base stats'!BS:BS) * _xlfn.XLOOKUP(B39,'Base stats'!B:B,'Base stats'!BO:BO)^0.9 / 21 *_xlfn.XLOOKUP(B39,'Base stats'!B:B,'Base stats'!BV:BV),0.1),0.05),
MAX(MROUND(((MIN(10,_xlfn.XLOOKUP(B39,'Base stats'!B:B,'Base stats'!W:W)))^0.4*_xlfn.XLOOKUP(B39,'Base stats'!B:B,'Base stats'!BG:BG)^0.73)^0.6 *_xlfn.XLOOKUP(B39,'Base stats'!B:B,'Base stats'!BV:BV),0.1),0.05)
))</f>
        <v>No</v>
      </c>
      <c r="L39" s="11" t="str">
        <f>IF(K39="No","No",
MAX(0.01,MROUND(_xlfn.XLOOKUP(B39,'Base stats'!B:B,'Base stats'!BG:BG) * 0.01 *2, 0.01))
)</f>
        <v>No</v>
      </c>
      <c r="M39" s="5" t="str">
        <f>IF(K39="No","No",IF(_xlfn.XLOOKUP(_xlfn.XLOOKUP(B39,'Base stats'!B:B,'Base stats'!E:E),Groups!A:A,Groups!BD:BD)=1,"No",
MAX(0.01,MROUND(_xlfn.XLOOKUP(B39,'Base stats'!B:B,'Base stats'!BS:BS)/10000,0.01))
))</f>
        <v>No</v>
      </c>
      <c r="N39" s="4" t="str">
        <f>IF(K39="No","No",
MROUND(
  _xlfn.XLOOKUP(B39,'Base stats'!B:B,'Base stats'!BA:BA)^0.25
  / (_xlfn.XLOOKUP(B39,'Base stats'!B:B,'Base stats'!BK:BK)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stats'!BU:BU),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stats'!BH:BH)^0.73)^0.6 *_xlfn.XLOOKUP(B39,'Base stats'!B:B,'Base stats'!BV:BV),0.1),0.05)
)</f>
        <v>8.8000000000000007</v>
      </c>
      <c r="P39" s="11">
        <f>IF(O39="No","No",
MAX(0.01,MROUND(_xlfn.XLOOKUP(B39,'Base stats'!B:B,'Base stats'!BH:BH) * 0.01 * 2, 0.01))
)</f>
        <v>0.95000000000000007</v>
      </c>
      <c r="Q39" s="5">
        <f>IF(O39="No","No",
MAX(0.01,MROUND(_xlfn.XLOOKUP(B39,'Base stats'!B:B,'Base stats'!BT:BT)/10000,0.01))
)</f>
        <v>0.06</v>
      </c>
      <c r="R39" s="4">
        <f>IF(O39="No","No",
MROUND(_xlfn.XLOOKUP(B39,'Base stats'!B:B,'Base stats'!AZ:AZ)^0.25
/((_xlfn.XLOOKUP(B39,'Base stats'!B:B,'Base stats'!BL:BL))*10)*_xlfn.XLOOKUP(_xlfn.XLOOKUP(B39,'Base stats'!B:B,'Base stats'!E:E),Groups!A:A,Groups!Z:Z)*150 + 0.5 + _xlfn.XLOOKUP(B39,'Base stats'!B:B,'Base stats'!BU:BU),
0.05))</f>
        <v>2.1</v>
      </c>
      <c r="S39" s="3" t="str">
        <f>IF(Animals!AI39="No","No",
IF(_xlfn.XLOOKUP(B39,'Base stats'!B:B,'Base stats'!U:U)="No",
MAX(MROUND(_xlfn.XLOOKUP(B39,'Base stats'!B:B,'Base stats'!BR:BR) * _xlfn.XLOOKUP(B39,'Base stats'!B:B,'Base stats'!BN:BN)^0.9 / 21 * _xlfn.XLOOKUP(B39,'Base stats'!B:B,'Base stats'!BV:BV),0.1),0.05),
MAX(MROUND(((MIN(12,_xlfn.XLOOKUP(B39,'Base stats'!B:B,'Base stats'!U:U)))^0.4*_xlfn.XLOOKUP(B39,'Base stats'!B:B,'Base stats'!BF:BF)^0.73)^0.6 * _xlfn.XLOOKUP(B39,'Base stats'!B:B,'Base stats'!BV:BV),0.1),0.05)
))</f>
        <v>No</v>
      </c>
      <c r="T39" s="11" t="str">
        <f>IF(S39="No","No",
MAX(0.01,MROUND(_xlfn.XLOOKUP(B39,'Base stats'!B:B,'Base stats'!BF:BF) * 0.01 * 2, 0.01))
)</f>
        <v>No</v>
      </c>
      <c r="U39" s="5" t="str">
        <f>IF(S39="No","No",IF(_xlfn.XLOOKUP(B39,'Base stats'!B:B,'Base stats'!U:U)="No","No",
MAX(0.01,MROUND(_xlfn.XLOOKUP(B39,'Base stats'!B:B,'Base stats'!BR:BR)/10000,0.01))
))</f>
        <v>No</v>
      </c>
      <c r="V39" s="4" t="str">
        <f>IF(S39="No","No",
MROUND(_xlfn.XLOOKUP(B39,'Base stats'!B:B,'Base stats'!BD:BD)^0.25
/((_xlfn.XLOOKUP(B39,'Base stats'!B:B,'Base stats'!BM:BM))*10)*_xlfn.XLOOKUP(_xlfn.XLOOKUP(B39,'Base stats'!B:B,'Base stats'!E:E),Groups!A:A,Groups!AE:AE)*150 + 0.5 + _xlfn.XLOOKUP(B39,'Base stats'!B:B,'Base stats'!BU:BU),
0.05))</f>
        <v>No</v>
      </c>
      <c r="W39" s="8">
        <f>MROUND(_xlfn.XLOOKUP(_xlfn.XLOOKUP(B39,'Base stats'!B:B,'Base stats'!E:E),Groups!A:A,Groups!BG:BG)*_xlfn.XLOOKUP(B39,'Base stats'!B:B,'Base stats'!C:C)^-0.165,0.01)</f>
        <v>0.36</v>
      </c>
      <c r="X39" s="1">
        <f>MROUND(_xlfn.XLOOKUP(_xlfn.XLOOKUP(B39,'Base stats'!B:B,'Base stats'!E:E),Groups!A:A,Groups!BH:BH)*_xlfn.XLOOKUP(B39,'Base stats'!B:B,'Base stats'!C:C)^0.165,0.01)</f>
        <v>0</v>
      </c>
      <c r="Y39" s="8">
        <f>MROUND(_xlfn.XLOOKUP(_xlfn.XLOOKUP(B39,'Base stats'!B:B,'Base stats'!E:E),Groups!A:A,Groups!BI:BI)*_xlfn.XLOOKUP(B39,'Base stats'!B:B,'Base stats'!C:C)^0.165,0.01)</f>
        <v>0</v>
      </c>
      <c r="Z39" s="18">
        <f>ROUND(_xlfn.XLOOKUP(B39,'Base stats'!B:B,'Base stats'!AO:AO)*_xlfn.XLOOKUP(_xlfn.XLOOKUP(B39,'Base stats'!B:B,'Base stats'!E:E),Groups!A:A,Groups!H:H)/1000,2)</f>
        <v>0.04</v>
      </c>
      <c r="AA39" s="18">
        <f>ROUND((1/2)*(_xlfn.XLOOKUP(_xlfn.XLOOKUP(B39,'Base stats'!B:B,'Base stats'!E:E),Groups!A:A,Groups!H:H)*_xlfn.XLOOKUP(_xlfn.XLOOKUP(B39,'Base stats'!B:B,'Base stats'!E:E),Groups!A:A,Groups!I:I))*_xlfn.XLOOKUP(B39,'Base stats'!B:B,'Base stats'!AO:AO)*0.01,2)</f>
        <v>0.22</v>
      </c>
      <c r="AB39" s="18">
        <f>250*(Animals!AO39+Animals!AP39)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stats'!BQ:BQ) * (_xlfn.XLOOKUP(B40,'Base stats'!B:B,'Base stats'!AM:AM)*5%)^0.9 / 21,0.1),0.05)</f>
        <v>1.3</v>
      </c>
      <c r="E40" s="11">
        <f>MAX(0.01,MROUND(_xlfn.XLOOKUP(B40,'Base stats'!B:B,'Base stats'!BE:BE) * 0.01 * 2, 0.01))</f>
        <v>1</v>
      </c>
      <c r="F40" s="7">
        <f>MROUND(_xlfn.XLOOKUP(B40,'Base stats'!B:B,'Base stats'!BB:BB)^0.25 / (_xlfn.XLOOKUP(B40,'Base stats'!B:B,'Base stats'!BI:BI) * 10) * 150 + 0.5 + _xlfn.XLOOKUP(B40,'Base stats'!B:B,'Base stats'!BU:BU), 0.05)</f>
        <v>1.5</v>
      </c>
      <c r="G40" s="3" t="str">
        <f>IF(Animals!S40="No","No",
IF(_xlfn.XLOOKUP(B40,'Base stats'!B:B,'Base stats'!U:U)="No",
MAX(MROUND(_xlfn.XLOOKUP(B40,'Base stats'!B:B,'Base stats'!BR:BR) * _xlfn.XLOOKUP(B40,'Base stats'!B:B,'Base stats'!BN:BN)^0.9 / 21 * _xlfn.XLOOKUP(B40,'Base stats'!B:B,'Base stats'!BV:BV),0.1),0.05),
MAX(MROUND(((MIN(10,_xlfn.XLOOKUP(B40,'Base stats'!B:B,'Base stats'!U:U)))^0.4*_xlfn.XLOOKUP(B40,'Base stats'!B:B,'Base stats'!BF:BF)^0.73)^0.6 * _xlfn.XLOOKUP(B40,'Base stats'!B:B,'Base stats'!BV:BV),0.1),0.05)
))</f>
        <v>No</v>
      </c>
      <c r="H40" s="11" t="str">
        <f>IF(G40="No","No",
MAX(0.01,MROUND(_xlfn.XLOOKUP(B40,'Base stats'!B:B,'Base stats'!BF:BF) * 0.01 * 2, 0.01))
)</f>
        <v>No</v>
      </c>
      <c r="I40" s="11" t="str">
        <f>IF(G40="No","No",IF(_xlfn.XLOOKUP(B40,'Base stats'!B:B,'Base stats'!U:U)="No","No",
MAX(0.01,MROUND(_xlfn.XLOOKUP(B40,'Base stats'!B:B,'Base stats'!BR:BR)/10000,0.01))
))</f>
        <v>No</v>
      </c>
      <c r="J40" s="4" t="str">
        <f>IF(G40="No","No",
MROUND(_xlfn.XLOOKUP(B40,'Base stats'!B:B,'Base stats'!BC:BC)^0.25
/((_xlfn.XLOOKUP(B40,'Base stats'!B:B,'Base stats'!BJ:BJ))*10)*_xlfn.XLOOKUP(_xlfn.XLOOKUP(B40,'Base stats'!B:B,'Base stats'!E:E),Groups!A:A,Groups!Q:Q)*150 + 0.5 + _xlfn.XLOOKUP(B40,'Base stats'!B:B,'Base stats'!BU:BU),
0.05))</f>
        <v>No</v>
      </c>
      <c r="K40" s="3" t="str">
        <f>IF(Animals!X40="No","No",
IF(_xlfn.XLOOKUP(_xlfn.XLOOKUP(B40,'Base stats'!B:B,'Base stats'!E:E),Groups!A:A,Groups!BD:BD)=1,
MAX(MROUND(_xlfn.XLOOKUP(B40,'Base stats'!B:B,'Base stats'!BS:BS) * _xlfn.XLOOKUP(B40,'Base stats'!B:B,'Base stats'!BO:BO)^0.9 / 21 *_xlfn.XLOOKUP(B40,'Base stats'!B:B,'Base stats'!BV:BV),0.1),0.05),
MAX(MROUND(((MIN(10,_xlfn.XLOOKUP(B40,'Base stats'!B:B,'Base stats'!W:W)))^0.4*_xlfn.XLOOKUP(B40,'Base stats'!B:B,'Base stats'!BG:BG)^0.73)^0.6 *_xlfn.XLOOKUP(B40,'Base stats'!B:B,'Base stats'!BV:BV),0.1),0.05)
))</f>
        <v>No</v>
      </c>
      <c r="L40" s="11" t="str">
        <f>IF(K40="No","No",
MAX(0.01,MROUND(_xlfn.XLOOKUP(B40,'Base stats'!B:B,'Base stats'!BG:BG) * 0.01 *2, 0.01))
)</f>
        <v>No</v>
      </c>
      <c r="M40" s="5" t="str">
        <f>IF(K40="No","No",IF(_xlfn.XLOOKUP(_xlfn.XLOOKUP(B40,'Base stats'!B:B,'Base stats'!E:E),Groups!A:A,Groups!BD:BD)=1,"No",
MAX(0.01,MROUND(_xlfn.XLOOKUP(B40,'Base stats'!B:B,'Base stats'!BS:BS)/10000,0.01))
))</f>
        <v>No</v>
      </c>
      <c r="N40" s="4" t="str">
        <f>IF(K40="No","No",
MROUND(
  _xlfn.XLOOKUP(B40,'Base stats'!B:B,'Base stats'!BA:BA)^0.25
  / (_xlfn.XLOOKUP(B40,'Base stats'!B:B,'Base stats'!BK:BK)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stats'!BU:BU),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stats'!BH:BH)^0.73)^0.6 *_xlfn.XLOOKUP(B40,'Base stats'!B:B,'Base stats'!BV:BV),0.1),0.05)
)</f>
        <v>7.4</v>
      </c>
      <c r="P40" s="11">
        <f>IF(O40="No","No",
MAX(0.01,MROUND(_xlfn.XLOOKUP(B40,'Base stats'!B:B,'Base stats'!BH:BH) * 0.01 * 2, 0.01))
)</f>
        <v>1.1500000000000001</v>
      </c>
      <c r="Q40" s="5">
        <f>IF(O40="No","No",
MAX(0.01,MROUND(_xlfn.XLOOKUP(B40,'Base stats'!B:B,'Base stats'!BT:BT)/10000,0.01))
)</f>
        <v>0.09</v>
      </c>
      <c r="R40" s="4">
        <f>IF(O40="No","No",
MROUND(_xlfn.XLOOKUP(B40,'Base stats'!B:B,'Base stats'!AZ:AZ)^0.25
/((_xlfn.XLOOKUP(B40,'Base stats'!B:B,'Base stats'!BL:BL))*10)*_xlfn.XLOOKUP(_xlfn.XLOOKUP(B40,'Base stats'!B:B,'Base stats'!E:E),Groups!A:A,Groups!Z:Z)*150 + 0.5 + _xlfn.XLOOKUP(B40,'Base stats'!B:B,'Base stats'!BU:BU),
0.05))</f>
        <v>2.2000000000000002</v>
      </c>
      <c r="S40" s="3" t="str">
        <f>IF(Animals!AI40="No","No",
IF(_xlfn.XLOOKUP(B40,'Base stats'!B:B,'Base stats'!U:U)="No",
MAX(MROUND(_xlfn.XLOOKUP(B40,'Base stats'!B:B,'Base stats'!BR:BR) * _xlfn.XLOOKUP(B40,'Base stats'!B:B,'Base stats'!BN:BN)^0.9 / 21 * _xlfn.XLOOKUP(B40,'Base stats'!B:B,'Base stats'!BV:BV),0.1),0.05),
MAX(MROUND(((MIN(12,_xlfn.XLOOKUP(B40,'Base stats'!B:B,'Base stats'!U:U)))^0.4*_xlfn.XLOOKUP(B40,'Base stats'!B:B,'Base stats'!BF:BF)^0.73)^0.6 * _xlfn.XLOOKUP(B40,'Base stats'!B:B,'Base stats'!BV:BV),0.1),0.05)
))</f>
        <v>No</v>
      </c>
      <c r="T40" s="11" t="str">
        <f>IF(S40="No","No",
MAX(0.01,MROUND(_xlfn.XLOOKUP(B40,'Base stats'!B:B,'Base stats'!BF:BF) * 0.01 * 2, 0.01))
)</f>
        <v>No</v>
      </c>
      <c r="U40" s="5" t="str">
        <f>IF(S40="No","No",IF(_xlfn.XLOOKUP(B40,'Base stats'!B:B,'Base stats'!U:U)="No","No",
MAX(0.01,MROUND(_xlfn.XLOOKUP(B40,'Base stats'!B:B,'Base stats'!BR:BR)/10000,0.01))
))</f>
        <v>No</v>
      </c>
      <c r="V40" s="4" t="str">
        <f>IF(S40="No","No",
MROUND(_xlfn.XLOOKUP(B40,'Base stats'!B:B,'Base stats'!BD:BD)^0.25
/((_xlfn.XLOOKUP(B40,'Base stats'!B:B,'Base stats'!BM:BM))*10)*_xlfn.XLOOKUP(_xlfn.XLOOKUP(B40,'Base stats'!B:B,'Base stats'!E:E),Groups!A:A,Groups!AE:AE)*150 + 0.5 + _xlfn.XLOOKUP(B40,'Base stats'!B:B,'Base stats'!BU:BU),
0.05))</f>
        <v>No</v>
      </c>
      <c r="W40" s="8">
        <f>MROUND(_xlfn.XLOOKUP(_xlfn.XLOOKUP(B40,'Base stats'!B:B,'Base stats'!E:E),Groups!A:A,Groups!BG:BG)*_xlfn.XLOOKUP(B40,'Base stats'!B:B,'Base stats'!C:C)^-0.165,0.01)</f>
        <v>0.39</v>
      </c>
      <c r="X40" s="1">
        <f>MROUND(_xlfn.XLOOKUP(_xlfn.XLOOKUP(B40,'Base stats'!B:B,'Base stats'!E:E),Groups!A:A,Groups!BH:BH)*_xlfn.XLOOKUP(B40,'Base stats'!B:B,'Base stats'!C:C)^0.165,0.01)</f>
        <v>0</v>
      </c>
      <c r="Y40" s="8">
        <f>MROUND(_xlfn.XLOOKUP(_xlfn.XLOOKUP(B40,'Base stats'!B:B,'Base stats'!E:E),Groups!A:A,Groups!BI:BI)*_xlfn.XLOOKUP(B40,'Base stats'!B:B,'Base stats'!C:C)^0.165,0.01)</f>
        <v>0</v>
      </c>
      <c r="Z40" s="18">
        <f>ROUND(_xlfn.XLOOKUP(B40,'Base stats'!B:B,'Base stats'!AO:AO)*_xlfn.XLOOKUP(_xlfn.XLOOKUP(B40,'Base stats'!B:B,'Base stats'!E:E),Groups!A:A,Groups!H:H)/1000,2)</f>
        <v>0.03</v>
      </c>
      <c r="AA40" s="18">
        <f>ROUND((1/2)*(_xlfn.XLOOKUP(_xlfn.XLOOKUP(B40,'Base stats'!B:B,'Base stats'!E:E),Groups!A:A,Groups!H:H)*_xlfn.XLOOKUP(_xlfn.XLOOKUP(B40,'Base stats'!B:B,'Base stats'!E:E),Groups!A:A,Groups!I:I))*_xlfn.XLOOKUP(B40,'Base stats'!B:B,'Base stats'!AO:AO)*0.01,2)</f>
        <v>0.19</v>
      </c>
      <c r="AB40" s="18">
        <f>250*(Animals!AO40+Animals!AP40)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stats'!BQ:BQ) * (_xlfn.XLOOKUP(B41,'Base stats'!B:B,'Base stats'!AM:AM)*5%)^0.9 / 21,0.1),0.05)</f>
        <v>0.4</v>
      </c>
      <c r="E41" s="11">
        <f>MAX(0.01,MROUND(_xlfn.XLOOKUP(B41,'Base stats'!B:B,'Base stats'!BE:BE) * 0.01 * 2, 0.01))</f>
        <v>0.32</v>
      </c>
      <c r="F41" s="7">
        <f>MROUND(_xlfn.XLOOKUP(B41,'Base stats'!B:B,'Base stats'!BB:BB)^0.25 / (_xlfn.XLOOKUP(B41,'Base stats'!B:B,'Base stats'!BI:BI) * 10) * 150 + 0.5 + _xlfn.XLOOKUP(B41,'Base stats'!B:B,'Base stats'!BU:BU), 0.05)</f>
        <v>1.4500000000000002</v>
      </c>
      <c r="G41" s="3" t="str">
        <f>IF(Animals!S41="No","No",
IF(_xlfn.XLOOKUP(B41,'Base stats'!B:B,'Base stats'!U:U)="No",
MAX(MROUND(_xlfn.XLOOKUP(B41,'Base stats'!B:B,'Base stats'!BR:BR) * _xlfn.XLOOKUP(B41,'Base stats'!B:B,'Base stats'!BN:BN)^0.9 / 21 * _xlfn.XLOOKUP(B41,'Base stats'!B:B,'Base stats'!BV:BV),0.1),0.05),
MAX(MROUND(((MIN(10,_xlfn.XLOOKUP(B41,'Base stats'!B:B,'Base stats'!U:U)))^0.4*_xlfn.XLOOKUP(B41,'Base stats'!B:B,'Base stats'!BF:BF)^0.73)^0.6 * _xlfn.XLOOKUP(B41,'Base stats'!B:B,'Base stats'!BV:BV),0.1),0.05)
))</f>
        <v>No</v>
      </c>
      <c r="H41" s="11" t="str">
        <f>IF(G41="No","No",
MAX(0.01,MROUND(_xlfn.XLOOKUP(B41,'Base stats'!B:B,'Base stats'!BF:BF) * 0.01 * 2, 0.01))
)</f>
        <v>No</v>
      </c>
      <c r="I41" s="11" t="str">
        <f>IF(G41="No","No",IF(_xlfn.XLOOKUP(B41,'Base stats'!B:B,'Base stats'!U:U)="No","No",
MAX(0.01,MROUND(_xlfn.XLOOKUP(B41,'Base stats'!B:B,'Base stats'!BR:BR)/10000,0.01))
))</f>
        <v>No</v>
      </c>
      <c r="J41" s="4" t="str">
        <f>IF(G41="No","No",
MROUND(_xlfn.XLOOKUP(B41,'Base stats'!B:B,'Base stats'!BC:BC)^0.25
/((_xlfn.XLOOKUP(B41,'Base stats'!B:B,'Base stats'!BJ:BJ))*10)*_xlfn.XLOOKUP(_xlfn.XLOOKUP(B41,'Base stats'!B:B,'Base stats'!E:E),Groups!A:A,Groups!Q:Q)*150 + 0.5 + _xlfn.XLOOKUP(B41,'Base stats'!B:B,'Base stats'!BU:BU),
0.05))</f>
        <v>No</v>
      </c>
      <c r="K41" s="3" t="str">
        <f>IF(Animals!X41="No","No",
IF(_xlfn.XLOOKUP(_xlfn.XLOOKUP(B41,'Base stats'!B:B,'Base stats'!E:E),Groups!A:A,Groups!BD:BD)=1,
MAX(MROUND(_xlfn.XLOOKUP(B41,'Base stats'!B:B,'Base stats'!BS:BS) * _xlfn.XLOOKUP(B41,'Base stats'!B:B,'Base stats'!BO:BO)^0.9 / 21 *_xlfn.XLOOKUP(B41,'Base stats'!B:B,'Base stats'!BV:BV),0.1),0.05),
MAX(MROUND(((MIN(10,_xlfn.XLOOKUP(B41,'Base stats'!B:B,'Base stats'!W:W)))^0.4*_xlfn.XLOOKUP(B41,'Base stats'!B:B,'Base stats'!BG:BG)^0.73)^0.6 *_xlfn.XLOOKUP(B41,'Base stats'!B:B,'Base stats'!BV:BV),0.1),0.05)
))</f>
        <v>No</v>
      </c>
      <c r="L41" s="11" t="str">
        <f>IF(K41="No","No",
MAX(0.01,MROUND(_xlfn.XLOOKUP(B41,'Base stats'!B:B,'Base stats'!BG:BG) * 0.01 *2, 0.01))
)</f>
        <v>No</v>
      </c>
      <c r="M41" s="5" t="str">
        <f>IF(K41="No","No",IF(_xlfn.XLOOKUP(_xlfn.XLOOKUP(B41,'Base stats'!B:B,'Base stats'!E:E),Groups!A:A,Groups!BD:BD)=1,"No",
MAX(0.01,MROUND(_xlfn.XLOOKUP(B41,'Base stats'!B:B,'Base stats'!BS:BS)/10000,0.01))
))</f>
        <v>No</v>
      </c>
      <c r="N41" s="4" t="str">
        <f>IF(K41="No","No",
MROUND(
  _xlfn.XLOOKUP(B41,'Base stats'!B:B,'Base stats'!BA:BA)^0.25
  / (_xlfn.XLOOKUP(B41,'Base stats'!B:B,'Base stats'!BK:BK)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stats'!BU:BU),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stats'!BH:BH)^0.73)^0.6 *_xlfn.XLOOKUP(B41,'Base stats'!B:B,'Base stats'!BV:BV),0.1),0.05)
)</f>
        <v>4.9000000000000004</v>
      </c>
      <c r="P41" s="11">
        <f>IF(O41="No","No",
MAX(0.01,MROUND(_xlfn.XLOOKUP(B41,'Base stats'!B:B,'Base stats'!BH:BH) * 0.01 * 2, 0.01))
)</f>
        <v>0.33</v>
      </c>
      <c r="Q41" s="5">
        <f>IF(O41="No","No",
MAX(0.01,MROUND(_xlfn.XLOOKUP(B41,'Base stats'!B:B,'Base stats'!BT:BT)/10000,0.01))
)</f>
        <v>0.04</v>
      </c>
      <c r="R41" s="4">
        <f>IF(O41="No","No",
MROUND(_xlfn.XLOOKUP(B41,'Base stats'!B:B,'Base stats'!AZ:AZ)^0.25
/((_xlfn.XLOOKUP(B41,'Base stats'!B:B,'Base stats'!BL:BL))*10)*_xlfn.XLOOKUP(_xlfn.XLOOKUP(B41,'Base stats'!B:B,'Base stats'!E:E),Groups!A:A,Groups!Z:Z)*150 + 0.5 + _xlfn.XLOOKUP(B41,'Base stats'!B:B,'Base stats'!BU:BU),
0.05))</f>
        <v>1.9000000000000001</v>
      </c>
      <c r="S41" s="3" t="str">
        <f>IF(Animals!AI41="No","No",
IF(_xlfn.XLOOKUP(B41,'Base stats'!B:B,'Base stats'!U:U)="No",
MAX(MROUND(_xlfn.XLOOKUP(B41,'Base stats'!B:B,'Base stats'!BR:BR) * _xlfn.XLOOKUP(B41,'Base stats'!B:B,'Base stats'!BN:BN)^0.9 / 21 * _xlfn.XLOOKUP(B41,'Base stats'!B:B,'Base stats'!BV:BV),0.1),0.05),
MAX(MROUND(((MIN(12,_xlfn.XLOOKUP(B41,'Base stats'!B:B,'Base stats'!U:U)))^0.4*_xlfn.XLOOKUP(B41,'Base stats'!B:B,'Base stats'!BF:BF)^0.73)^0.6 * _xlfn.XLOOKUP(B41,'Base stats'!B:B,'Base stats'!BV:BV),0.1),0.05)
))</f>
        <v>No</v>
      </c>
      <c r="T41" s="11" t="str">
        <f>IF(S41="No","No",
MAX(0.01,MROUND(_xlfn.XLOOKUP(B41,'Base stats'!B:B,'Base stats'!BF:BF) * 0.01 * 2, 0.01))
)</f>
        <v>No</v>
      </c>
      <c r="U41" s="5" t="str">
        <f>IF(S41="No","No",IF(_xlfn.XLOOKUP(B41,'Base stats'!B:B,'Base stats'!U:U)="No","No",
MAX(0.01,MROUND(_xlfn.XLOOKUP(B41,'Base stats'!B:B,'Base stats'!BR:BR)/10000,0.01))
))</f>
        <v>No</v>
      </c>
      <c r="V41" s="4" t="str">
        <f>IF(S41="No","No",
MROUND(_xlfn.XLOOKUP(B41,'Base stats'!B:B,'Base stats'!BD:BD)^0.25
/((_xlfn.XLOOKUP(B41,'Base stats'!B:B,'Base stats'!BM:BM))*10)*_xlfn.XLOOKUP(_xlfn.XLOOKUP(B41,'Base stats'!B:B,'Base stats'!E:E),Groups!A:A,Groups!AE:AE)*150 + 0.5 + _xlfn.XLOOKUP(B41,'Base stats'!B:B,'Base stats'!BU:BU),
0.05))</f>
        <v>No</v>
      </c>
      <c r="W41" s="8">
        <f>MROUND(_xlfn.XLOOKUP(_xlfn.XLOOKUP(B41,'Base stats'!B:B,'Base stats'!E:E),Groups!A:A,Groups!BG:BG)*_xlfn.XLOOKUP(B41,'Base stats'!B:B,'Base stats'!C:C)^-0.165,0.01)</f>
        <v>0.48</v>
      </c>
      <c r="X41" s="1">
        <f>MROUND(_xlfn.XLOOKUP(_xlfn.XLOOKUP(B41,'Base stats'!B:B,'Base stats'!E:E),Groups!A:A,Groups!BH:BH)*_xlfn.XLOOKUP(B41,'Base stats'!B:B,'Base stats'!C:C)^0.165,0.01)</f>
        <v>0.15</v>
      </c>
      <c r="Y41" s="8">
        <f>MROUND(_xlfn.XLOOKUP(_xlfn.XLOOKUP(B41,'Base stats'!B:B,'Base stats'!E:E),Groups!A:A,Groups!BI:BI)*_xlfn.XLOOKUP(B41,'Base stats'!B:B,'Base stats'!C:C)^0.165,0.01)</f>
        <v>0.04</v>
      </c>
      <c r="Z41" s="18">
        <f>ROUND(_xlfn.XLOOKUP(B41,'Base stats'!B:B,'Base stats'!AO:AO)*_xlfn.XLOOKUP(_xlfn.XLOOKUP(B41,'Base stats'!B:B,'Base stats'!E:E),Groups!A:A,Groups!H:H)/1000,2)</f>
        <v>0.02</v>
      </c>
      <c r="AA41" s="18">
        <f>ROUND((1/2)*(_xlfn.XLOOKUP(_xlfn.XLOOKUP(B41,'Base stats'!B:B,'Base stats'!E:E),Groups!A:A,Groups!H:H)*_xlfn.XLOOKUP(_xlfn.XLOOKUP(B41,'Base stats'!B:B,'Base stats'!E:E),Groups!A:A,Groups!I:I))*_xlfn.XLOOKUP(B41,'Base stats'!B:B,'Base stats'!AO:AO)*0.01,2)</f>
        <v>0.13</v>
      </c>
      <c r="AB41" s="18">
        <f>250*(Animals!AO41+Animals!AP41)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stats'!BQ:BQ) * (_xlfn.XLOOKUP(B42,'Base stats'!B:B,'Base stats'!AM:AM)*5%)^0.9 / 21,0.1),0.05)</f>
        <v>14.4</v>
      </c>
      <c r="E42" s="11">
        <f>MAX(0.01,MROUND(_xlfn.XLOOKUP(B42,'Base stats'!B:B,'Base stats'!BE:BE) * 0.01 * 2, 0.01))</f>
        <v>13.77</v>
      </c>
      <c r="F42" s="7">
        <f>MROUND(_xlfn.XLOOKUP(B42,'Base stats'!B:B,'Base stats'!BB:BB)^0.25 / (_xlfn.XLOOKUP(B42,'Base stats'!B:B,'Base stats'!BI:BI) * 10) * 150 + 0.5 + _xlfn.XLOOKUP(B42,'Base stats'!B:B,'Base stats'!BU:BU), 0.05)</f>
        <v>1.9000000000000001</v>
      </c>
      <c r="G42" s="3">
        <f>IF(Animals!S42="No","No",
IF(_xlfn.XLOOKUP(B42,'Base stats'!B:B,'Base stats'!U:U)="No",
MAX(MROUND(_xlfn.XLOOKUP(B42,'Base stats'!B:B,'Base stats'!BR:BR) * _xlfn.XLOOKUP(B42,'Base stats'!B:B,'Base stats'!BN:BN)^0.9 / 21 * _xlfn.XLOOKUP(B42,'Base stats'!B:B,'Base stats'!BV:BV),0.1),0.05),
MAX(MROUND(((MIN(10,_xlfn.XLOOKUP(B42,'Base stats'!B:B,'Base stats'!U:U)))^0.4*_xlfn.XLOOKUP(B42,'Base stats'!B:B,'Base stats'!BF:BF)^0.73)^0.6 * _xlfn.XLOOKUP(B42,'Base stats'!B:B,'Base stats'!BV:BV),0.1),0.05)
))</f>
        <v>23.3</v>
      </c>
      <c r="H42" s="11">
        <f>IF(G42="No","No",
MAX(0.01,MROUND(_xlfn.XLOOKUP(B42,'Base stats'!B:B,'Base stats'!BF:BF) * 0.01 * 2, 0.01))
)</f>
        <v>15.64</v>
      </c>
      <c r="I42" s="11" t="str">
        <f>IF(G42="No","No",IF(_xlfn.XLOOKUP(B42,'Base stats'!B:B,'Base stats'!U:U)="No","No",
MAX(0.01,MROUND(_xlfn.XLOOKUP(B42,'Base stats'!B:B,'Base stats'!BR:BR)/10000,0.01))
))</f>
        <v>No</v>
      </c>
      <c r="J42" s="4">
        <f>IF(G42="No","No",
MROUND(_xlfn.XLOOKUP(B42,'Base stats'!B:B,'Base stats'!BC:BC)^0.25
/((_xlfn.XLOOKUP(B42,'Base stats'!B:B,'Base stats'!BJ:BJ))*10)*_xlfn.XLOOKUP(_xlfn.XLOOKUP(B42,'Base stats'!B:B,'Base stats'!E:E),Groups!A:A,Groups!Q:Q)*150 + 0.5 + _xlfn.XLOOKUP(B42,'Base stats'!B:B,'Base stats'!BU:BU),
0.05))</f>
        <v>2.75</v>
      </c>
      <c r="K42" s="3">
        <f>IF(Animals!X42="No","No",
IF(_xlfn.XLOOKUP(_xlfn.XLOOKUP(B42,'Base stats'!B:B,'Base stats'!E:E),Groups!A:A,Groups!BD:BD)=1,
MAX(MROUND(_xlfn.XLOOKUP(B42,'Base stats'!B:B,'Base stats'!BS:BS) * _xlfn.XLOOKUP(B42,'Base stats'!B:B,'Base stats'!BO:BO)^0.9 / 21 *_xlfn.XLOOKUP(B42,'Base stats'!B:B,'Base stats'!BV:BV),0.1),0.05),
MAX(MROUND(((MIN(10,_xlfn.XLOOKUP(B42,'Base stats'!B:B,'Base stats'!W:W)))^0.4*_xlfn.XLOOKUP(B42,'Base stats'!B:B,'Base stats'!BG:BG)^0.73)^0.6 *_xlfn.XLOOKUP(B42,'Base stats'!B:B,'Base stats'!BV:BV),0.1),0.05)
))</f>
        <v>34.800000000000004</v>
      </c>
      <c r="L42" s="11">
        <f>IF(K42="No","No",
MAX(0.01,MROUND(_xlfn.XLOOKUP(B42,'Base stats'!B:B,'Base stats'!BG:BG) * 0.01 *2, 0.01))
)</f>
        <v>18.77</v>
      </c>
      <c r="M42" s="5">
        <f>IF(K42="No","No",IF(_xlfn.XLOOKUP(_xlfn.XLOOKUP(B42,'Base stats'!B:B,'Base stats'!E:E),Groups!A:A,Groups!BD:BD)=1,"No",
MAX(0.01,MROUND(_xlfn.XLOOKUP(B42,'Base stats'!B:B,'Base stats'!BS:BS)/10000,0.01))
))</f>
        <v>0.97</v>
      </c>
      <c r="N42" s="4">
        <f>IF(K42="No","No",
MROUND(
  _xlfn.XLOOKUP(B42,'Base stats'!B:B,'Base stats'!BA:BA)^0.25
  / (_xlfn.XLOOKUP(B42,'Base stats'!B:B,'Base stats'!BK:BK)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stats'!BU:BU),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stats'!BH:BH)^0.73)^0.6 *_xlfn.XLOOKUP(B42,'Base stats'!B:B,'Base stats'!BV:BV),0.1),0.05)
)</f>
        <v>No</v>
      </c>
      <c r="P42" s="11" t="str">
        <f>IF(O42="No","No",
MAX(0.01,MROUND(_xlfn.XLOOKUP(B42,'Base stats'!B:B,'Base stats'!BH:BH) * 0.01 * 2, 0.01))
)</f>
        <v>No</v>
      </c>
      <c r="Q42" s="5" t="str">
        <f>IF(O42="No","No",
MAX(0.01,MROUND(_xlfn.XLOOKUP(B42,'Base stats'!B:B,'Base stats'!BT:BT)/10000,0.01))
)</f>
        <v>No</v>
      </c>
      <c r="R42" s="4" t="str">
        <f>IF(O42="No","No",
MROUND(_xlfn.XLOOKUP(B42,'Base stats'!B:B,'Base stats'!AZ:AZ)^0.25
/((_xlfn.XLOOKUP(B42,'Base stats'!B:B,'Base stats'!BL:BL))*10)*_xlfn.XLOOKUP(_xlfn.XLOOKUP(B42,'Base stats'!B:B,'Base stats'!E:E),Groups!A:A,Groups!Z:Z)*150 + 0.5 + _xlfn.XLOOKUP(B42,'Base stats'!B:B,'Base stats'!BU:BU),
0.05))</f>
        <v>No</v>
      </c>
      <c r="S42" s="3" t="str">
        <f>IF(Animals!AI42="No","No",
IF(_xlfn.XLOOKUP(B42,'Base stats'!B:B,'Base stats'!U:U)="No",
MAX(MROUND(_xlfn.XLOOKUP(B42,'Base stats'!B:B,'Base stats'!BR:BR) * _xlfn.XLOOKUP(B42,'Base stats'!B:B,'Base stats'!BN:BN)^0.9 / 21 * _xlfn.XLOOKUP(B42,'Base stats'!B:B,'Base stats'!BV:BV),0.1),0.05),
MAX(MROUND(((MIN(12,_xlfn.XLOOKUP(B42,'Base stats'!B:B,'Base stats'!U:U)))^0.4*_xlfn.XLOOKUP(B42,'Base stats'!B:B,'Base stats'!BF:BF)^0.73)^0.6 * _xlfn.XLOOKUP(B42,'Base stats'!B:B,'Base stats'!BV:BV),0.1),0.05)
))</f>
        <v>No</v>
      </c>
      <c r="T42" s="11" t="str">
        <f>IF(S42="No","No",
MAX(0.01,MROUND(_xlfn.XLOOKUP(B42,'Base stats'!B:B,'Base stats'!BF:BF) * 0.01 * 2, 0.01))
)</f>
        <v>No</v>
      </c>
      <c r="U42" s="5" t="str">
        <f>IF(S42="No","No",IF(_xlfn.XLOOKUP(B42,'Base stats'!B:B,'Base stats'!U:U)="No","No",
MAX(0.01,MROUND(_xlfn.XLOOKUP(B42,'Base stats'!B:B,'Base stats'!BR:BR)/10000,0.01))
))</f>
        <v>No</v>
      </c>
      <c r="V42" s="4" t="str">
        <f>IF(S42="No","No",
MROUND(_xlfn.XLOOKUP(B42,'Base stats'!B:B,'Base stats'!BD:BD)^0.25
/((_xlfn.XLOOKUP(B42,'Base stats'!B:B,'Base stats'!BM:BM))*10)*_xlfn.XLOOKUP(_xlfn.XLOOKUP(B42,'Base stats'!B:B,'Base stats'!E:E),Groups!A:A,Groups!AE:AE)*150 + 0.5 + _xlfn.XLOOKUP(B42,'Base stats'!B:B,'Base stats'!BU:BU),
0.05))</f>
        <v>No</v>
      </c>
      <c r="W42" s="8">
        <f>MROUND(_xlfn.XLOOKUP(_xlfn.XLOOKUP(B42,'Base stats'!B:B,'Base stats'!E:E),Groups!A:A,Groups!BG:BG)*_xlfn.XLOOKUP(B42,'Base stats'!B:B,'Base stats'!C:C)^-0.165,0.01)</f>
        <v>0.17</v>
      </c>
      <c r="X42" s="1">
        <f>MROUND(_xlfn.XLOOKUP(_xlfn.XLOOKUP(B42,'Base stats'!B:B,'Base stats'!E:E),Groups!A:A,Groups!BH:BH)*_xlfn.XLOOKUP(B42,'Base stats'!B:B,'Base stats'!C:C)^0.165,0.01)</f>
        <v>0</v>
      </c>
      <c r="Y42" s="8">
        <f>MROUND(_xlfn.XLOOKUP(_xlfn.XLOOKUP(B42,'Base stats'!B:B,'Base stats'!E:E),Groups!A:A,Groups!BI:BI)*_xlfn.XLOOKUP(B42,'Base stats'!B:B,'Base stats'!C:C)^0.165,0.01)</f>
        <v>0</v>
      </c>
      <c r="Z42" s="18">
        <f>ROUND(_xlfn.XLOOKUP(B42,'Base stats'!B:B,'Base stats'!AO:AO)*_xlfn.XLOOKUP(_xlfn.XLOOKUP(B42,'Base stats'!B:B,'Base stats'!E:E),Groups!A:A,Groups!H:H)/1000,2)</f>
        <v>0.08</v>
      </c>
      <c r="AA42" s="18">
        <f>ROUND((1/2)*(_xlfn.XLOOKUP(_xlfn.XLOOKUP(B42,'Base stats'!B:B,'Base stats'!E:E),Groups!A:A,Groups!H:H)*_xlfn.XLOOKUP(_xlfn.XLOOKUP(B42,'Base stats'!B:B,'Base stats'!E:E),Groups!A:A,Groups!I:I))*_xlfn.XLOOKUP(B42,'Base stats'!B:B,'Base stats'!AO:AO)*0.01,2)</f>
        <v>0.44</v>
      </c>
      <c r="AB42" s="18">
        <f>250*(Animals!AO42+Animals!AP42)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stats'!BQ:BQ) * (_xlfn.XLOOKUP(B43,'Base stats'!B:B,'Base stats'!AM:AM)*5%)^0.9 / 21,0.1),0.05)</f>
        <v>15.700000000000001</v>
      </c>
      <c r="E43" s="11">
        <f>MAX(0.01,MROUND(_xlfn.XLOOKUP(B43,'Base stats'!B:B,'Base stats'!BE:BE) * 0.01 * 2, 0.01))</f>
        <v>15.06</v>
      </c>
      <c r="F43" s="7">
        <f>MROUND(_xlfn.XLOOKUP(B43,'Base stats'!B:B,'Base stats'!BB:BB)^0.25 / (_xlfn.XLOOKUP(B43,'Base stats'!B:B,'Base stats'!BI:BI) * 10) * 150 + 0.5 + _xlfn.XLOOKUP(B43,'Base stats'!B:B,'Base stats'!BU:BU), 0.05)</f>
        <v>2.2000000000000002</v>
      </c>
      <c r="G43" s="3">
        <f>IF(Animals!S43="No","No",
IF(_xlfn.XLOOKUP(B43,'Base stats'!B:B,'Base stats'!U:U)="No",
MAX(MROUND(_xlfn.XLOOKUP(B43,'Base stats'!B:B,'Base stats'!BR:BR) * _xlfn.XLOOKUP(B43,'Base stats'!B:B,'Base stats'!BN:BN)^0.9 / 21 * _xlfn.XLOOKUP(B43,'Base stats'!B:B,'Base stats'!BV:BV),0.1),0.05),
MAX(MROUND(((MIN(10,_xlfn.XLOOKUP(B43,'Base stats'!B:B,'Base stats'!U:U)))^0.4*_xlfn.XLOOKUP(B43,'Base stats'!B:B,'Base stats'!BF:BF)^0.73)^0.6 * _xlfn.XLOOKUP(B43,'Base stats'!B:B,'Base stats'!BV:BV),0.1),0.05)
))</f>
        <v>18.8</v>
      </c>
      <c r="H43" s="11">
        <f>IF(G43="No","No",
MAX(0.01,MROUND(_xlfn.XLOOKUP(B43,'Base stats'!B:B,'Base stats'!BF:BF) * 0.01 * 2, 0.01))
)</f>
        <v>17.010000000000002</v>
      </c>
      <c r="I43" s="11" t="str">
        <f>IF(G43="No","No",IF(_xlfn.XLOOKUP(B43,'Base stats'!B:B,'Base stats'!U:U)="No","No",
MAX(0.01,MROUND(_xlfn.XLOOKUP(B43,'Base stats'!B:B,'Base stats'!BR:BR)/10000,0.01))
))</f>
        <v>No</v>
      </c>
      <c r="J43" s="4">
        <f>IF(G43="No","No",
MROUND(_xlfn.XLOOKUP(B43,'Base stats'!B:B,'Base stats'!BC:BC)^0.25
/((_xlfn.XLOOKUP(B43,'Base stats'!B:B,'Base stats'!BJ:BJ))*10)*_xlfn.XLOOKUP(_xlfn.XLOOKUP(B43,'Base stats'!B:B,'Base stats'!E:E),Groups!A:A,Groups!Q:Q)*150 + 0.5 + _xlfn.XLOOKUP(B43,'Base stats'!B:B,'Base stats'!BU:BU),
0.05))</f>
        <v>3.0500000000000003</v>
      </c>
      <c r="K43" s="3">
        <f>IF(Animals!X43="No","No",
IF(_xlfn.XLOOKUP(_xlfn.XLOOKUP(B43,'Base stats'!B:B,'Base stats'!E:E),Groups!A:A,Groups!BD:BD)=1,
MAX(MROUND(_xlfn.XLOOKUP(B43,'Base stats'!B:B,'Base stats'!BS:BS) * _xlfn.XLOOKUP(B43,'Base stats'!B:B,'Base stats'!BO:BO)^0.9 / 21 *_xlfn.XLOOKUP(B43,'Base stats'!B:B,'Base stats'!BV:BV),0.1),0.05),
MAX(MROUND(((MIN(10,_xlfn.XLOOKUP(B43,'Base stats'!B:B,'Base stats'!W:W)))^0.4*_xlfn.XLOOKUP(B43,'Base stats'!B:B,'Base stats'!BG:BG)^0.73)^0.6 *_xlfn.XLOOKUP(B43,'Base stats'!B:B,'Base stats'!BV:BV),0.1),0.05)
))</f>
        <v>27.1</v>
      </c>
      <c r="L43" s="11">
        <f>IF(K43="No","No",
MAX(0.01,MROUND(_xlfn.XLOOKUP(B43,'Base stats'!B:B,'Base stats'!BG:BG) * 0.01 *2, 0.01))
)</f>
        <v>20.41</v>
      </c>
      <c r="M43" s="5">
        <f>IF(K43="No","No",IF(_xlfn.XLOOKUP(_xlfn.XLOOKUP(B43,'Base stats'!B:B,'Base stats'!E:E),Groups!A:A,Groups!BD:BD)=1,"No",
MAX(0.01,MROUND(_xlfn.XLOOKUP(B43,'Base stats'!B:B,'Base stats'!BS:BS)/10000,0.01))
))</f>
        <v>1.05</v>
      </c>
      <c r="N43" s="4">
        <f>IF(K43="No","No",
MROUND(
  _xlfn.XLOOKUP(B43,'Base stats'!B:B,'Base stats'!BA:BA)^0.25
  / (_xlfn.XLOOKUP(B43,'Base stats'!B:B,'Base stats'!BK:BK)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stats'!BU:BU),
0.05))</f>
        <v>3.5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stats'!BH:BH)^0.73)^0.6 *_xlfn.XLOOKUP(B43,'Base stats'!B:B,'Base stats'!BV:BV),0.1),0.05)
)</f>
        <v>No</v>
      </c>
      <c r="P43" s="11" t="str">
        <f>IF(O43="No","No",
MAX(0.01,MROUND(_xlfn.XLOOKUP(B43,'Base stats'!B:B,'Base stats'!BH:BH) * 0.01 * 2, 0.01))
)</f>
        <v>No</v>
      </c>
      <c r="Q43" s="5" t="str">
        <f>IF(O43="No","No",
MAX(0.01,MROUND(_xlfn.XLOOKUP(B43,'Base stats'!B:B,'Base stats'!BT:BT)/10000,0.01))
)</f>
        <v>No</v>
      </c>
      <c r="R43" s="4" t="str">
        <f>IF(O43="No","No",
MROUND(_xlfn.XLOOKUP(B43,'Base stats'!B:B,'Base stats'!AZ:AZ)^0.25
/((_xlfn.XLOOKUP(B43,'Base stats'!B:B,'Base stats'!BL:BL))*10)*_xlfn.XLOOKUP(_xlfn.XLOOKUP(B43,'Base stats'!B:B,'Base stats'!E:E),Groups!A:A,Groups!Z:Z)*150 + 0.5 + _xlfn.XLOOKUP(B43,'Base stats'!B:B,'Base stats'!BU:BU),
0.05))</f>
        <v>No</v>
      </c>
      <c r="S43" s="3" t="str">
        <f>IF(Animals!AI43="No","No",
IF(_xlfn.XLOOKUP(B43,'Base stats'!B:B,'Base stats'!U:U)="No",
MAX(MROUND(_xlfn.XLOOKUP(B43,'Base stats'!B:B,'Base stats'!BR:BR) * _xlfn.XLOOKUP(B43,'Base stats'!B:B,'Base stats'!BN:BN)^0.9 / 21 * _xlfn.XLOOKUP(B43,'Base stats'!B:B,'Base stats'!BV:BV),0.1),0.05),
MAX(MROUND(((MIN(12,_xlfn.XLOOKUP(B43,'Base stats'!B:B,'Base stats'!U:U)))^0.4*_xlfn.XLOOKUP(B43,'Base stats'!B:B,'Base stats'!BF:BF)^0.73)^0.6 * _xlfn.XLOOKUP(B43,'Base stats'!B:B,'Base stats'!BV:BV),0.1),0.05)
))</f>
        <v>No</v>
      </c>
      <c r="T43" s="11" t="str">
        <f>IF(S43="No","No",
MAX(0.01,MROUND(_xlfn.XLOOKUP(B43,'Base stats'!B:B,'Base stats'!BF:BF) * 0.01 * 2, 0.01))
)</f>
        <v>No</v>
      </c>
      <c r="U43" s="5" t="str">
        <f>IF(S43="No","No",IF(_xlfn.XLOOKUP(B43,'Base stats'!B:B,'Base stats'!U:U)="No","No",
MAX(0.01,MROUND(_xlfn.XLOOKUP(B43,'Base stats'!B:B,'Base stats'!BR:BR)/10000,0.01))
))</f>
        <v>No</v>
      </c>
      <c r="V43" s="4" t="str">
        <f>IF(S43="No","No",
MROUND(_xlfn.XLOOKUP(B43,'Base stats'!B:B,'Base stats'!BD:BD)^0.25
/((_xlfn.XLOOKUP(B43,'Base stats'!B:B,'Base stats'!BM:BM))*10)*_xlfn.XLOOKUP(_xlfn.XLOOKUP(B43,'Base stats'!B:B,'Base stats'!E:E),Groups!A:A,Groups!AE:AE)*150 + 0.5 + _xlfn.XLOOKUP(B43,'Base stats'!B:B,'Base stats'!BU:BU),
0.05))</f>
        <v>No</v>
      </c>
      <c r="W43" s="8">
        <f>MROUND(_xlfn.XLOOKUP(_xlfn.XLOOKUP(B43,'Base stats'!B:B,'Base stats'!E:E),Groups!A:A,Groups!BG:BG)*_xlfn.XLOOKUP(B43,'Base stats'!B:B,'Base stats'!C:C)^-0.165,0.01)</f>
        <v>0.17</v>
      </c>
      <c r="X43" s="1">
        <f>MROUND(_xlfn.XLOOKUP(_xlfn.XLOOKUP(B43,'Base stats'!B:B,'Base stats'!E:E),Groups!A:A,Groups!BH:BH)*_xlfn.XLOOKUP(B43,'Base stats'!B:B,'Base stats'!C:C)^0.165,0.01)</f>
        <v>0</v>
      </c>
      <c r="Y43" s="8">
        <f>MROUND(_xlfn.XLOOKUP(_xlfn.XLOOKUP(B43,'Base stats'!B:B,'Base stats'!E:E),Groups!A:A,Groups!BI:BI)*_xlfn.XLOOKUP(B43,'Base stats'!B:B,'Base stats'!C:C)^0.165,0.01)</f>
        <v>0</v>
      </c>
      <c r="Z43" s="18">
        <f>ROUND(_xlfn.XLOOKUP(B43,'Base stats'!B:B,'Base stats'!AO:AO)*_xlfn.XLOOKUP(_xlfn.XLOOKUP(B43,'Base stats'!B:B,'Base stats'!E:E),Groups!A:A,Groups!H:H)/1000,2)</f>
        <v>0.08</v>
      </c>
      <c r="AA43" s="18">
        <f>ROUND((1/2)*(_xlfn.XLOOKUP(_xlfn.XLOOKUP(B43,'Base stats'!B:B,'Base stats'!E:E),Groups!A:A,Groups!H:H)*_xlfn.XLOOKUP(_xlfn.XLOOKUP(B43,'Base stats'!B:B,'Base stats'!E:E),Groups!A:A,Groups!I:I))*_xlfn.XLOOKUP(B43,'Base stats'!B:B,'Base stats'!AO:AO)*0.01,2)</f>
        <v>0.46</v>
      </c>
      <c r="AB43" s="18">
        <f>250*(Animals!AO43+Animals!AP43)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stats'!BQ:BQ) * (_xlfn.XLOOKUP(B44,'Base stats'!B:B,'Base stats'!AM:AM)*5%)^0.9 / 21,0.1),0.05)</f>
        <v>8.8000000000000007</v>
      </c>
      <c r="E44" s="11">
        <f>MAX(0.01,MROUND(_xlfn.XLOOKUP(B44,'Base stats'!B:B,'Base stats'!BE:BE) * 0.01 * 2, 0.01))</f>
        <v>8.07</v>
      </c>
      <c r="F44" s="7">
        <f>MROUND(_xlfn.XLOOKUP(B44,'Base stats'!B:B,'Base stats'!BB:BB)^0.25 / (_xlfn.XLOOKUP(B44,'Base stats'!B:B,'Base stats'!BI:BI) * 10) * 150 + 0.5 + _xlfn.XLOOKUP(B44,'Base stats'!B:B,'Base stats'!BU:BU), 0.05)</f>
        <v>1.85</v>
      </c>
      <c r="G44" s="3">
        <f>IF(Animals!S44="No","No",
IF(_xlfn.XLOOKUP(B44,'Base stats'!B:B,'Base stats'!U:U)="No",
MAX(MROUND(_xlfn.XLOOKUP(B44,'Base stats'!B:B,'Base stats'!BR:BR) * _xlfn.XLOOKUP(B44,'Base stats'!B:B,'Base stats'!BN:BN)^0.9 / 21 * _xlfn.XLOOKUP(B44,'Base stats'!B:B,'Base stats'!BV:BV),0.1),0.05),
MAX(MROUND(((MIN(10,_xlfn.XLOOKUP(B44,'Base stats'!B:B,'Base stats'!U:U)))^0.4*_xlfn.XLOOKUP(B44,'Base stats'!B:B,'Base stats'!BF:BF)^0.73)^0.6 * _xlfn.XLOOKUP(B44,'Base stats'!B:B,'Base stats'!BV:BV),0.1),0.05)
))</f>
        <v>14.9</v>
      </c>
      <c r="H44" s="11">
        <f>IF(G44="No","No",
MAX(0.01,MROUND(_xlfn.XLOOKUP(B44,'Base stats'!B:B,'Base stats'!BF:BF) * 0.01 * 2, 0.01))
)</f>
        <v>9.48</v>
      </c>
      <c r="I44" s="11" t="str">
        <f>IF(G44="No","No",IF(_xlfn.XLOOKUP(B44,'Base stats'!B:B,'Base stats'!U:U)="No","No",
MAX(0.01,MROUND(_xlfn.XLOOKUP(B44,'Base stats'!B:B,'Base stats'!BR:BR)/10000,0.01))
))</f>
        <v>No</v>
      </c>
      <c r="J44" s="4">
        <f>IF(G44="No","No",
MROUND(_xlfn.XLOOKUP(B44,'Base stats'!B:B,'Base stats'!BC:BC)^0.25
/((_xlfn.XLOOKUP(B44,'Base stats'!B:B,'Base stats'!BJ:BJ))*10)*_xlfn.XLOOKUP(_xlfn.XLOOKUP(B44,'Base stats'!B:B,'Base stats'!E:E),Groups!A:A,Groups!Q:Q)*150 + 0.5 + _xlfn.XLOOKUP(B44,'Base stats'!B:B,'Base stats'!BU:BU),
0.05))</f>
        <v>2.7</v>
      </c>
      <c r="K44" s="3">
        <f>IF(Animals!X44="No","No",
IF(_xlfn.XLOOKUP(_xlfn.XLOOKUP(B44,'Base stats'!B:B,'Base stats'!E:E),Groups!A:A,Groups!BD:BD)=1,
MAX(MROUND(_xlfn.XLOOKUP(B44,'Base stats'!B:B,'Base stats'!BS:BS) * _xlfn.XLOOKUP(B44,'Base stats'!B:B,'Base stats'!BO:BO)^0.9 / 21 *_xlfn.XLOOKUP(B44,'Base stats'!B:B,'Base stats'!BV:BV),0.1),0.05),
MAX(MROUND(((MIN(10,_xlfn.XLOOKUP(B44,'Base stats'!B:B,'Base stats'!W:W)))^0.4*_xlfn.XLOOKUP(B44,'Base stats'!B:B,'Base stats'!BG:BG)^0.73)^0.6 *_xlfn.XLOOKUP(B44,'Base stats'!B:B,'Base stats'!BV:BV),0.1),0.05)
))</f>
        <v>28</v>
      </c>
      <c r="L44" s="11">
        <f>IF(K44="No","No",
MAX(0.01,MROUND(_xlfn.XLOOKUP(B44,'Base stats'!B:B,'Base stats'!BG:BG) * 0.01 *2, 0.01))
)</f>
        <v>11.370000000000001</v>
      </c>
      <c r="M44" s="5">
        <f>IF(K44="No","No",IF(_xlfn.XLOOKUP(_xlfn.XLOOKUP(B44,'Base stats'!B:B,'Base stats'!E:E),Groups!A:A,Groups!BD:BD)=1,"No",
MAX(0.01,MROUND(_xlfn.XLOOKUP(B44,'Base stats'!B:B,'Base stats'!BS:BS)/10000,0.01))
))</f>
        <v>0.63</v>
      </c>
      <c r="N44" s="4">
        <f>IF(K44="No","No",
MROUND(
  _xlfn.XLOOKUP(B44,'Base stats'!B:B,'Base stats'!BA:BA)^0.25
  / (_xlfn.XLOOKUP(B44,'Base stats'!B:B,'Base stats'!BK:BK)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stats'!BU:BU),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stats'!BH:BH)^0.73)^0.6 *_xlfn.XLOOKUP(B44,'Base stats'!B:B,'Base stats'!BV:BV),0.1),0.05)
)</f>
        <v>No</v>
      </c>
      <c r="P44" s="11" t="str">
        <f>IF(O44="No","No",
MAX(0.01,MROUND(_xlfn.XLOOKUP(B44,'Base stats'!B:B,'Base stats'!BH:BH) * 0.01 * 2, 0.01))
)</f>
        <v>No</v>
      </c>
      <c r="Q44" s="5" t="str">
        <f>IF(O44="No","No",
MAX(0.01,MROUND(_xlfn.XLOOKUP(B44,'Base stats'!B:B,'Base stats'!BT:BT)/10000,0.01))
)</f>
        <v>No</v>
      </c>
      <c r="R44" s="4" t="str">
        <f>IF(O44="No","No",
MROUND(_xlfn.XLOOKUP(B44,'Base stats'!B:B,'Base stats'!AZ:AZ)^0.25
/((_xlfn.XLOOKUP(B44,'Base stats'!B:B,'Base stats'!BL:BL))*10)*_xlfn.XLOOKUP(_xlfn.XLOOKUP(B44,'Base stats'!B:B,'Base stats'!E:E),Groups!A:A,Groups!Z:Z)*150 + 0.5 + _xlfn.XLOOKUP(B44,'Base stats'!B:B,'Base stats'!BU:BU),
0.05))</f>
        <v>No</v>
      </c>
      <c r="S44" s="3" t="str">
        <f>IF(Animals!AI44="No","No",
IF(_xlfn.XLOOKUP(B44,'Base stats'!B:B,'Base stats'!U:U)="No",
MAX(MROUND(_xlfn.XLOOKUP(B44,'Base stats'!B:B,'Base stats'!BR:BR) * _xlfn.XLOOKUP(B44,'Base stats'!B:B,'Base stats'!BN:BN)^0.9 / 21 * _xlfn.XLOOKUP(B44,'Base stats'!B:B,'Base stats'!BV:BV),0.1),0.05),
MAX(MROUND(((MIN(12,_xlfn.XLOOKUP(B44,'Base stats'!B:B,'Base stats'!U:U)))^0.4*_xlfn.XLOOKUP(B44,'Base stats'!B:B,'Base stats'!BF:BF)^0.73)^0.6 * _xlfn.XLOOKUP(B44,'Base stats'!B:B,'Base stats'!BV:BV),0.1),0.05)
))</f>
        <v>No</v>
      </c>
      <c r="T44" s="11" t="str">
        <f>IF(S44="No","No",
MAX(0.01,MROUND(_xlfn.XLOOKUP(B44,'Base stats'!B:B,'Base stats'!BF:BF) * 0.01 * 2, 0.01))
)</f>
        <v>No</v>
      </c>
      <c r="U44" s="5" t="str">
        <f>IF(S44="No","No",IF(_xlfn.XLOOKUP(B44,'Base stats'!B:B,'Base stats'!U:U)="No","No",
MAX(0.01,MROUND(_xlfn.XLOOKUP(B44,'Base stats'!B:B,'Base stats'!BR:BR)/10000,0.01))
))</f>
        <v>No</v>
      </c>
      <c r="V44" s="4" t="str">
        <f>IF(S44="No","No",
MROUND(_xlfn.XLOOKUP(B44,'Base stats'!B:B,'Base stats'!BD:BD)^0.25
/((_xlfn.XLOOKUP(B44,'Base stats'!B:B,'Base stats'!BM:BM))*10)*_xlfn.XLOOKUP(_xlfn.XLOOKUP(B44,'Base stats'!B:B,'Base stats'!E:E),Groups!A:A,Groups!AE:AE)*150 + 0.5 + _xlfn.XLOOKUP(B44,'Base stats'!B:B,'Base stats'!BU:BU),
0.05))</f>
        <v>No</v>
      </c>
      <c r="W44" s="8">
        <f>MROUND(_xlfn.XLOOKUP(_xlfn.XLOOKUP(B44,'Base stats'!B:B,'Base stats'!E:E),Groups!A:A,Groups!BG:BG)*_xlfn.XLOOKUP(B44,'Base stats'!B:B,'Base stats'!C:C)^-0.165,0.01)</f>
        <v>0.19</v>
      </c>
      <c r="X44" s="1">
        <f>MROUND(_xlfn.XLOOKUP(_xlfn.XLOOKUP(B44,'Base stats'!B:B,'Base stats'!E:E),Groups!A:A,Groups!BH:BH)*_xlfn.XLOOKUP(B44,'Base stats'!B:B,'Base stats'!C:C)^0.165,0.01)</f>
        <v>0</v>
      </c>
      <c r="Y44" s="8">
        <f>MROUND(_xlfn.XLOOKUP(_xlfn.XLOOKUP(B44,'Base stats'!B:B,'Base stats'!E:E),Groups!A:A,Groups!BI:BI)*_xlfn.XLOOKUP(B44,'Base stats'!B:B,'Base stats'!C:C)^0.165,0.01)</f>
        <v>0</v>
      </c>
      <c r="Z44" s="18">
        <f>ROUND(_xlfn.XLOOKUP(B44,'Base stats'!B:B,'Base stats'!AO:AO)*_xlfn.XLOOKUP(_xlfn.XLOOKUP(B44,'Base stats'!B:B,'Base stats'!E:E),Groups!A:A,Groups!H:H)/1000,2)</f>
        <v>7.0000000000000007E-2</v>
      </c>
      <c r="AA44" s="18">
        <f>ROUND((1/2)*(_xlfn.XLOOKUP(_xlfn.XLOOKUP(B44,'Base stats'!B:B,'Base stats'!E:E),Groups!A:A,Groups!H:H)*_xlfn.XLOOKUP(_xlfn.XLOOKUP(B44,'Base stats'!B:B,'Base stats'!E:E),Groups!A:A,Groups!I:I))*_xlfn.XLOOKUP(B44,'Base stats'!B:B,'Base stats'!AO:AO)*0.01,2)</f>
        <v>0.37</v>
      </c>
      <c r="AB44" s="18">
        <f>250*(Animals!AO44+Animals!AP44)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stats'!BQ:BQ) * (_xlfn.XLOOKUP(B45,'Base stats'!B:B,'Base stats'!AM:AM)*5%)^0.9 / 21,0.1),0.05)</f>
        <v>15.100000000000001</v>
      </c>
      <c r="E45" s="11">
        <f>MAX(0.01,MROUND(_xlfn.XLOOKUP(B45,'Base stats'!B:B,'Base stats'!BE:BE) * 0.01 * 2, 0.01))</f>
        <v>14.51</v>
      </c>
      <c r="F45" s="7">
        <f>MROUND(_xlfn.XLOOKUP(B45,'Base stats'!B:B,'Base stats'!BB:BB)^0.25 / (_xlfn.XLOOKUP(B45,'Base stats'!B:B,'Base stats'!BI:BI) * 10) * 150 + 0.5 + _xlfn.XLOOKUP(B45,'Base stats'!B:B,'Base stats'!BU:BU), 0.05)</f>
        <v>1.9000000000000001</v>
      </c>
      <c r="G45" s="3">
        <f>IF(Animals!S45="No","No",
IF(_xlfn.XLOOKUP(B45,'Base stats'!B:B,'Base stats'!U:U)="No",
MAX(MROUND(_xlfn.XLOOKUP(B45,'Base stats'!B:B,'Base stats'!BR:BR) * _xlfn.XLOOKUP(B45,'Base stats'!B:B,'Base stats'!BN:BN)^0.9 / 21 * _xlfn.XLOOKUP(B45,'Base stats'!B:B,'Base stats'!BV:BV),0.1),0.05),
MAX(MROUND(((MIN(10,_xlfn.XLOOKUP(B45,'Base stats'!B:B,'Base stats'!U:U)))^0.4*_xlfn.XLOOKUP(B45,'Base stats'!B:B,'Base stats'!BF:BF)^0.73)^0.6 * _xlfn.XLOOKUP(B45,'Base stats'!B:B,'Base stats'!BV:BV),0.1),0.05)
))</f>
        <v>24.3</v>
      </c>
      <c r="H45" s="11">
        <f>IF(G45="No","No",
MAX(0.01,MROUND(_xlfn.XLOOKUP(B45,'Base stats'!B:B,'Base stats'!BF:BF) * 0.01 * 2, 0.01))
)</f>
        <v>16.420000000000002</v>
      </c>
      <c r="I45" s="11" t="str">
        <f>IF(G45="No","No",IF(_xlfn.XLOOKUP(B45,'Base stats'!B:B,'Base stats'!U:U)="No","No",
MAX(0.01,MROUND(_xlfn.XLOOKUP(B45,'Base stats'!B:B,'Base stats'!BR:BR)/10000,0.01))
))</f>
        <v>No</v>
      </c>
      <c r="J45" s="4">
        <f>IF(G45="No","No",
MROUND(_xlfn.XLOOKUP(B45,'Base stats'!B:B,'Base stats'!BC:BC)^0.25
/((_xlfn.XLOOKUP(B45,'Base stats'!B:B,'Base stats'!BJ:BJ))*10)*_xlfn.XLOOKUP(_xlfn.XLOOKUP(B45,'Base stats'!B:B,'Base stats'!E:E),Groups!A:A,Groups!Q:Q)*150 + 0.5 + _xlfn.XLOOKUP(B45,'Base stats'!B:B,'Base stats'!BU:BU),
0.05))</f>
        <v>2.8000000000000003</v>
      </c>
      <c r="K45" s="3">
        <f>IF(Animals!X45="No","No",
IF(_xlfn.XLOOKUP(_xlfn.XLOOKUP(B45,'Base stats'!B:B,'Base stats'!E:E),Groups!A:A,Groups!BD:BD)=1,
MAX(MROUND(_xlfn.XLOOKUP(B45,'Base stats'!B:B,'Base stats'!BS:BS) * _xlfn.XLOOKUP(B45,'Base stats'!B:B,'Base stats'!BO:BO)^0.9 / 21 *_xlfn.XLOOKUP(B45,'Base stats'!B:B,'Base stats'!BV:BV),0.1),0.05),
MAX(MROUND(((MIN(10,_xlfn.XLOOKUP(B45,'Base stats'!B:B,'Base stats'!W:W)))^0.4*_xlfn.XLOOKUP(B45,'Base stats'!B:B,'Base stats'!BG:BG)^0.73)^0.6 *_xlfn.XLOOKUP(B45,'Base stats'!B:B,'Base stats'!BV:BV),0.1),0.05)
))</f>
        <v>35.6</v>
      </c>
      <c r="L45" s="11">
        <f>IF(K45="No","No",
MAX(0.01,MROUND(_xlfn.XLOOKUP(B45,'Base stats'!B:B,'Base stats'!BG:BG) * 0.01 *2, 0.01))
)</f>
        <v>19.71</v>
      </c>
      <c r="M45" s="5">
        <f>IF(K45="No","No",IF(_xlfn.XLOOKUP(_xlfn.XLOOKUP(B45,'Base stats'!B:B,'Base stats'!E:E),Groups!A:A,Groups!BD:BD)=1,"No",
MAX(0.01,MROUND(_xlfn.XLOOKUP(B45,'Base stats'!B:B,'Base stats'!BS:BS)/10000,0.01))
))</f>
        <v>1.02</v>
      </c>
      <c r="N45" s="4">
        <f>IF(K45="No","No",
MROUND(
  _xlfn.XLOOKUP(B45,'Base stats'!B:B,'Base stats'!BA:BA)^0.25
  / (_xlfn.XLOOKUP(B45,'Base stats'!B:B,'Base stats'!BK:BK)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stats'!BU:BU),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stats'!BH:BH)^0.73)^0.6 *_xlfn.XLOOKUP(B45,'Base stats'!B:B,'Base stats'!BV:BV),0.1),0.05)
)</f>
        <v>No</v>
      </c>
      <c r="P45" s="11" t="str">
        <f>IF(O45="No","No",
MAX(0.01,MROUND(_xlfn.XLOOKUP(B45,'Base stats'!B:B,'Base stats'!BH:BH) * 0.01 * 2, 0.01))
)</f>
        <v>No</v>
      </c>
      <c r="Q45" s="5" t="str">
        <f>IF(O45="No","No",
MAX(0.01,MROUND(_xlfn.XLOOKUP(B45,'Base stats'!B:B,'Base stats'!BT:BT)/10000,0.01))
)</f>
        <v>No</v>
      </c>
      <c r="R45" s="4" t="str">
        <f>IF(O45="No","No",
MROUND(_xlfn.XLOOKUP(B45,'Base stats'!B:B,'Base stats'!AZ:AZ)^0.25
/((_xlfn.XLOOKUP(B45,'Base stats'!B:B,'Base stats'!BL:BL))*10)*_xlfn.XLOOKUP(_xlfn.XLOOKUP(B45,'Base stats'!B:B,'Base stats'!E:E),Groups!A:A,Groups!Z:Z)*150 + 0.5 + _xlfn.XLOOKUP(B45,'Base stats'!B:B,'Base stats'!BU:BU),
0.05))</f>
        <v>No</v>
      </c>
      <c r="S45" s="3" t="str">
        <f>IF(Animals!AI45="No","No",
IF(_xlfn.XLOOKUP(B45,'Base stats'!B:B,'Base stats'!U:U)="No",
MAX(MROUND(_xlfn.XLOOKUP(B45,'Base stats'!B:B,'Base stats'!BR:BR) * _xlfn.XLOOKUP(B45,'Base stats'!B:B,'Base stats'!BN:BN)^0.9 / 21 * _xlfn.XLOOKUP(B45,'Base stats'!B:B,'Base stats'!BV:BV),0.1),0.05),
MAX(MROUND(((MIN(12,_xlfn.XLOOKUP(B45,'Base stats'!B:B,'Base stats'!U:U)))^0.4*_xlfn.XLOOKUP(B45,'Base stats'!B:B,'Base stats'!BF:BF)^0.73)^0.6 * _xlfn.XLOOKUP(B45,'Base stats'!B:B,'Base stats'!BV:BV),0.1),0.05)
))</f>
        <v>No</v>
      </c>
      <c r="T45" s="11" t="str">
        <f>IF(S45="No","No",
MAX(0.01,MROUND(_xlfn.XLOOKUP(B45,'Base stats'!B:B,'Base stats'!BF:BF) * 0.01 * 2, 0.01))
)</f>
        <v>No</v>
      </c>
      <c r="U45" s="5" t="str">
        <f>IF(S45="No","No",IF(_xlfn.XLOOKUP(B45,'Base stats'!B:B,'Base stats'!U:U)="No","No",
MAX(0.01,MROUND(_xlfn.XLOOKUP(B45,'Base stats'!B:B,'Base stats'!BR:BR)/10000,0.01))
))</f>
        <v>No</v>
      </c>
      <c r="V45" s="4" t="str">
        <f>IF(S45="No","No",
MROUND(_xlfn.XLOOKUP(B45,'Base stats'!B:B,'Base stats'!BD:BD)^0.25
/((_xlfn.XLOOKUP(B45,'Base stats'!B:B,'Base stats'!BM:BM))*10)*_xlfn.XLOOKUP(_xlfn.XLOOKUP(B45,'Base stats'!B:B,'Base stats'!E:E),Groups!A:A,Groups!AE:AE)*150 + 0.5 + _xlfn.XLOOKUP(B45,'Base stats'!B:B,'Base stats'!BU:BU),
0.05))</f>
        <v>No</v>
      </c>
      <c r="W45" s="8">
        <f>MROUND(_xlfn.XLOOKUP(_xlfn.XLOOKUP(B45,'Base stats'!B:B,'Base stats'!E:E),Groups!A:A,Groups!BG:BG)*_xlfn.XLOOKUP(B45,'Base stats'!B:B,'Base stats'!C:C)^-0.165,0.01)</f>
        <v>0.17</v>
      </c>
      <c r="X45" s="1">
        <f>MROUND(_xlfn.XLOOKUP(_xlfn.XLOOKUP(B45,'Base stats'!B:B,'Base stats'!E:E),Groups!A:A,Groups!BH:BH)*_xlfn.XLOOKUP(B45,'Base stats'!B:B,'Base stats'!C:C)^0.165,0.01)</f>
        <v>0</v>
      </c>
      <c r="Y45" s="8">
        <f>MROUND(_xlfn.XLOOKUP(_xlfn.XLOOKUP(B45,'Base stats'!B:B,'Base stats'!E:E),Groups!A:A,Groups!BI:BI)*_xlfn.XLOOKUP(B45,'Base stats'!B:B,'Base stats'!C:C)^0.165,0.01)</f>
        <v>0</v>
      </c>
      <c r="Z45" s="18">
        <f>ROUND(_xlfn.XLOOKUP(B45,'Base stats'!B:B,'Base stats'!AO:AO)*_xlfn.XLOOKUP(_xlfn.XLOOKUP(B45,'Base stats'!B:B,'Base stats'!E:E),Groups!A:A,Groups!H:H)/1000,2)</f>
        <v>0.08</v>
      </c>
      <c r="AA45" s="18">
        <f>ROUND((1/2)*(_xlfn.XLOOKUP(_xlfn.XLOOKUP(B45,'Base stats'!B:B,'Base stats'!E:E),Groups!A:A,Groups!H:H)*_xlfn.XLOOKUP(_xlfn.XLOOKUP(B45,'Base stats'!B:B,'Base stats'!E:E),Groups!A:A,Groups!I:I))*_xlfn.XLOOKUP(B45,'Base stats'!B:B,'Base stats'!AO:AO)*0.01,2)</f>
        <v>0.45</v>
      </c>
      <c r="AB45" s="18">
        <f>250*(Animals!AO45+Animals!AP45)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stats'!BQ:BQ) * (_xlfn.XLOOKUP(B46,'Base stats'!B:B,'Base stats'!AM:AM)*5%)^0.9 / 21,0.1),0.05)</f>
        <v>5.5</v>
      </c>
      <c r="E46" s="11">
        <f>MAX(0.01,MROUND(_xlfn.XLOOKUP(B46,'Base stats'!B:B,'Base stats'!BE:BE) * 0.01 * 2, 0.01))</f>
        <v>4.8500000000000005</v>
      </c>
      <c r="F46" s="7">
        <f>MROUND(_xlfn.XLOOKUP(B46,'Base stats'!B:B,'Base stats'!BB:BB)^0.25 / (_xlfn.XLOOKUP(B46,'Base stats'!B:B,'Base stats'!BI:BI) * 10) * 150 + 0.5 + _xlfn.XLOOKUP(B46,'Base stats'!B:B,'Base stats'!BU:BU), 0.05)</f>
        <v>1.7000000000000002</v>
      </c>
      <c r="G46" s="3">
        <f>IF(Animals!S46="No","No",
IF(_xlfn.XLOOKUP(B46,'Base stats'!B:B,'Base stats'!U:U)="No",
MAX(MROUND(_xlfn.XLOOKUP(B46,'Base stats'!B:B,'Base stats'!BR:BR) * _xlfn.XLOOKUP(B46,'Base stats'!B:B,'Base stats'!BN:BN)^0.9 / 21 * _xlfn.XLOOKUP(B46,'Base stats'!B:B,'Base stats'!BV:BV),0.1),0.05),
MAX(MROUND(((MIN(10,_xlfn.XLOOKUP(B46,'Base stats'!B:B,'Base stats'!U:U)))^0.4*_xlfn.XLOOKUP(B46,'Base stats'!B:B,'Base stats'!BF:BF)^0.73)^0.6 * _xlfn.XLOOKUP(B46,'Base stats'!B:B,'Base stats'!BV:BV),0.1),0.05)
))</f>
        <v>9.7000000000000011</v>
      </c>
      <c r="H46" s="11">
        <f>IF(G46="No","No",
MAX(0.01,MROUND(_xlfn.XLOOKUP(B46,'Base stats'!B:B,'Base stats'!BF:BF) * 0.01 * 2, 0.01))
)</f>
        <v>5.88</v>
      </c>
      <c r="I46" s="11" t="str">
        <f>IF(G46="No","No",IF(_xlfn.XLOOKUP(B46,'Base stats'!B:B,'Base stats'!U:U)="No","No",
MAX(0.01,MROUND(_xlfn.XLOOKUP(B46,'Base stats'!B:B,'Base stats'!BR:BR)/10000,0.01))
))</f>
        <v>No</v>
      </c>
      <c r="J46" s="4">
        <f>IF(G46="No","No",
MROUND(_xlfn.XLOOKUP(B46,'Base stats'!B:B,'Base stats'!BC:BC)^0.25
/((_xlfn.XLOOKUP(B46,'Base stats'!B:B,'Base stats'!BJ:BJ))*10)*_xlfn.XLOOKUP(_xlfn.XLOOKUP(B46,'Base stats'!B:B,'Base stats'!E:E),Groups!A:A,Groups!Q:Q)*150 + 0.5 + _xlfn.XLOOKUP(B46,'Base stats'!B:B,'Base stats'!BU:BU),
0.05))</f>
        <v>2.5</v>
      </c>
      <c r="K46" s="3">
        <f>IF(Animals!X46="No","No",
IF(_xlfn.XLOOKUP(_xlfn.XLOOKUP(B46,'Base stats'!B:B,'Base stats'!E:E),Groups!A:A,Groups!BD:BD)=1,
MAX(MROUND(_xlfn.XLOOKUP(B46,'Base stats'!B:B,'Base stats'!BS:BS) * _xlfn.XLOOKUP(B46,'Base stats'!B:B,'Base stats'!BO:BO)^0.9 / 21 *_xlfn.XLOOKUP(B46,'Base stats'!B:B,'Base stats'!BV:BV),0.1),0.05),
MAX(MROUND(((MIN(10,_xlfn.XLOOKUP(B46,'Base stats'!B:B,'Base stats'!W:W)))^0.4*_xlfn.XLOOKUP(B46,'Base stats'!B:B,'Base stats'!BG:BG)^0.73)^0.6 *_xlfn.XLOOKUP(B46,'Base stats'!B:B,'Base stats'!BV:BV),0.1),0.05)
))</f>
        <v>22.700000000000003</v>
      </c>
      <c r="L46" s="11">
        <f>IF(K46="No","No",
MAX(0.01,MROUND(_xlfn.XLOOKUP(B46,'Base stats'!B:B,'Base stats'!BG:BG) * 0.01 *2, 0.01))
)</f>
        <v>7.05</v>
      </c>
      <c r="M46" s="5">
        <f>IF(K46="No","No",IF(_xlfn.XLOOKUP(_xlfn.XLOOKUP(B46,'Base stats'!B:B,'Base stats'!E:E),Groups!A:A,Groups!BD:BD)=1,"No",
MAX(0.01,MROUND(_xlfn.XLOOKUP(B46,'Base stats'!B:B,'Base stats'!BS:BS)/10000,0.01))
))</f>
        <v>0.41000000000000003</v>
      </c>
      <c r="N46" s="4">
        <f>IF(K46="No","No",
MROUND(
  _xlfn.XLOOKUP(B46,'Base stats'!B:B,'Base stats'!BA:BA)^0.25
  / (_xlfn.XLOOKUP(B46,'Base stats'!B:B,'Base stats'!BK:BK)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stats'!BU:BU),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stats'!BH:BH)^0.73)^0.6 *_xlfn.XLOOKUP(B46,'Base stats'!B:B,'Base stats'!BV:BV),0.1),0.05)
)</f>
        <v>No</v>
      </c>
      <c r="P46" s="11" t="str">
        <f>IF(O46="No","No",
MAX(0.01,MROUND(_xlfn.XLOOKUP(B46,'Base stats'!B:B,'Base stats'!BH:BH) * 0.01 * 2, 0.01))
)</f>
        <v>No</v>
      </c>
      <c r="Q46" s="5" t="str">
        <f>IF(O46="No","No",
MAX(0.01,MROUND(_xlfn.XLOOKUP(B46,'Base stats'!B:B,'Base stats'!BT:BT)/10000,0.01))
)</f>
        <v>No</v>
      </c>
      <c r="R46" s="4" t="str">
        <f>IF(O46="No","No",
MROUND(_xlfn.XLOOKUP(B46,'Base stats'!B:B,'Base stats'!AZ:AZ)^0.25
/((_xlfn.XLOOKUP(B46,'Base stats'!B:B,'Base stats'!BL:BL))*10)*_xlfn.XLOOKUP(_xlfn.XLOOKUP(B46,'Base stats'!B:B,'Base stats'!E:E),Groups!A:A,Groups!Z:Z)*150 + 0.5 + _xlfn.XLOOKUP(B46,'Base stats'!B:B,'Base stats'!BU:BU),
0.05))</f>
        <v>No</v>
      </c>
      <c r="S46" s="3" t="str">
        <f>IF(Animals!AI46="No","No",
IF(_xlfn.XLOOKUP(B46,'Base stats'!B:B,'Base stats'!U:U)="No",
MAX(MROUND(_xlfn.XLOOKUP(B46,'Base stats'!B:B,'Base stats'!BR:BR) * _xlfn.XLOOKUP(B46,'Base stats'!B:B,'Base stats'!BN:BN)^0.9 / 21 * _xlfn.XLOOKUP(B46,'Base stats'!B:B,'Base stats'!BV:BV),0.1),0.05),
MAX(MROUND(((MIN(12,_xlfn.XLOOKUP(B46,'Base stats'!B:B,'Base stats'!U:U)))^0.4*_xlfn.XLOOKUP(B46,'Base stats'!B:B,'Base stats'!BF:BF)^0.73)^0.6 * _xlfn.XLOOKUP(B46,'Base stats'!B:B,'Base stats'!BV:BV),0.1),0.05)
))</f>
        <v>No</v>
      </c>
      <c r="T46" s="11" t="str">
        <f>IF(S46="No","No",
MAX(0.01,MROUND(_xlfn.XLOOKUP(B46,'Base stats'!B:B,'Base stats'!BF:BF) * 0.01 * 2, 0.01))
)</f>
        <v>No</v>
      </c>
      <c r="U46" s="5" t="str">
        <f>IF(S46="No","No",IF(_xlfn.XLOOKUP(B46,'Base stats'!B:B,'Base stats'!U:U)="No","No",
MAX(0.01,MROUND(_xlfn.XLOOKUP(B46,'Base stats'!B:B,'Base stats'!BR:BR)/10000,0.01))
))</f>
        <v>No</v>
      </c>
      <c r="V46" s="4" t="str">
        <f>IF(S46="No","No",
MROUND(_xlfn.XLOOKUP(B46,'Base stats'!B:B,'Base stats'!BD:BD)^0.25
/((_xlfn.XLOOKUP(B46,'Base stats'!B:B,'Base stats'!BM:BM))*10)*_xlfn.XLOOKUP(_xlfn.XLOOKUP(B46,'Base stats'!B:B,'Base stats'!E:E),Groups!A:A,Groups!AE:AE)*150 + 0.5 + _xlfn.XLOOKUP(B46,'Base stats'!B:B,'Base stats'!BU:BU),
0.05))</f>
        <v>No</v>
      </c>
      <c r="W46" s="8">
        <f>MROUND(_xlfn.XLOOKUP(_xlfn.XLOOKUP(B46,'Base stats'!B:B,'Base stats'!E:E),Groups!A:A,Groups!BG:BG)*_xlfn.XLOOKUP(B46,'Base stats'!B:B,'Base stats'!C:C)^-0.165,0.01)</f>
        <v>0.21</v>
      </c>
      <c r="X46" s="1">
        <f>MROUND(_xlfn.XLOOKUP(_xlfn.XLOOKUP(B46,'Base stats'!B:B,'Base stats'!E:E),Groups!A:A,Groups!BH:BH)*_xlfn.XLOOKUP(B46,'Base stats'!B:B,'Base stats'!C:C)^0.165,0.01)</f>
        <v>0</v>
      </c>
      <c r="Y46" s="8">
        <f>MROUND(_xlfn.XLOOKUP(_xlfn.XLOOKUP(B46,'Base stats'!B:B,'Base stats'!E:E),Groups!A:A,Groups!BI:BI)*_xlfn.XLOOKUP(B46,'Base stats'!B:B,'Base stats'!C:C)^0.165,0.01)</f>
        <v>0</v>
      </c>
      <c r="Z46" s="18">
        <f>ROUND(_xlfn.XLOOKUP(B46,'Base stats'!B:B,'Base stats'!AO:AO)*_xlfn.XLOOKUP(_xlfn.XLOOKUP(B46,'Base stats'!B:B,'Base stats'!E:E),Groups!A:A,Groups!H:H)/1000,2)</f>
        <v>0.06</v>
      </c>
      <c r="AA46" s="18">
        <f>ROUND((1/2)*(_xlfn.XLOOKUP(_xlfn.XLOOKUP(B46,'Base stats'!B:B,'Base stats'!E:E),Groups!A:A,Groups!H:H)*_xlfn.XLOOKUP(_xlfn.XLOOKUP(B46,'Base stats'!B:B,'Base stats'!E:E),Groups!A:A,Groups!I:I))*_xlfn.XLOOKUP(B46,'Base stats'!B:B,'Base stats'!AO:AO)*0.01,2)</f>
        <v>0.32</v>
      </c>
      <c r="AB46" s="18">
        <f>250*(Animals!AO46+Animals!AP46)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stats'!BQ:BQ) * (_xlfn.XLOOKUP(B47,'Base stats'!B:B,'Base stats'!AM:AM)*5%)^0.9 / 21,0.1),0.05)</f>
        <v>4.3</v>
      </c>
      <c r="E47" s="11">
        <f>MAX(0.01,MROUND(_xlfn.XLOOKUP(B47,'Base stats'!B:B,'Base stats'!BE:BE) * 0.01 * 2, 0.01))</f>
        <v>3.74</v>
      </c>
      <c r="F47" s="7">
        <f>MROUND(_xlfn.XLOOKUP(B47,'Base stats'!B:B,'Base stats'!BB:BB)^0.25 / (_xlfn.XLOOKUP(B47,'Base stats'!B:B,'Base stats'!BI:BI) * 10) * 150 + 0.5 + _xlfn.XLOOKUP(B47,'Base stats'!B:B,'Base stats'!BU:BU), 0.05)</f>
        <v>1.75</v>
      </c>
      <c r="G47" s="3">
        <f>IF(Animals!S47="No","No",
IF(_xlfn.XLOOKUP(B47,'Base stats'!B:B,'Base stats'!U:U)="No",
MAX(MROUND(_xlfn.XLOOKUP(B47,'Base stats'!B:B,'Base stats'!BR:BR) * _xlfn.XLOOKUP(B47,'Base stats'!B:B,'Base stats'!BN:BN)^0.9 / 21 * _xlfn.XLOOKUP(B47,'Base stats'!B:B,'Base stats'!BV:BV),0.1),0.05),
MAX(MROUND(((MIN(10,_xlfn.XLOOKUP(B47,'Base stats'!B:B,'Base stats'!U:U)))^0.4*_xlfn.XLOOKUP(B47,'Base stats'!B:B,'Base stats'!BF:BF)^0.73)^0.6 * _xlfn.XLOOKUP(B47,'Base stats'!B:B,'Base stats'!BV:BV),0.1),0.05)
))</f>
        <v>7.8000000000000007</v>
      </c>
      <c r="H47" s="11">
        <f>IF(G47="No","No",
MAX(0.01,MROUND(_xlfn.XLOOKUP(B47,'Base stats'!B:B,'Base stats'!BF:BF) * 0.01 * 2, 0.01))
)</f>
        <v>4.6000000000000005</v>
      </c>
      <c r="I47" s="11" t="str">
        <f>IF(G47="No","No",IF(_xlfn.XLOOKUP(B47,'Base stats'!B:B,'Base stats'!U:U)="No","No",
MAX(0.01,MROUND(_xlfn.XLOOKUP(B47,'Base stats'!B:B,'Base stats'!BR:BR)/10000,0.01))
))</f>
        <v>No</v>
      </c>
      <c r="J47" s="4">
        <f>IF(G47="No","No",
MROUND(_xlfn.XLOOKUP(B47,'Base stats'!B:B,'Base stats'!BC:BC)^0.25
/((_xlfn.XLOOKUP(B47,'Base stats'!B:B,'Base stats'!BJ:BJ))*10)*_xlfn.XLOOKUP(_xlfn.XLOOKUP(B47,'Base stats'!B:B,'Base stats'!E:E),Groups!A:A,Groups!Q:Q)*150 + 0.5 + _xlfn.XLOOKUP(B47,'Base stats'!B:B,'Base stats'!BU:BU),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stats'!BS:BS) * _xlfn.XLOOKUP(B47,'Base stats'!B:B,'Base stats'!BO:BO)^0.9 / 21 *_xlfn.XLOOKUP(B47,'Base stats'!B:B,'Base stats'!BV:BV),0.1),0.05),
MAX(MROUND(((MIN(10,_xlfn.XLOOKUP(B47,'Base stats'!B:B,'Base stats'!W:W)))^0.4*_xlfn.XLOOKUP(B47,'Base stats'!B:B,'Base stats'!BG:BG)^0.73)^0.6 *_xlfn.XLOOKUP(B47,'Base stats'!B:B,'Base stats'!BV:BV),0.1),0.05)
))</f>
        <v>No</v>
      </c>
      <c r="L47" s="11" t="str">
        <f>IF(K47="No","No",
MAX(0.01,MROUND(_xlfn.XLOOKUP(B47,'Base stats'!B:B,'Base stats'!BG:BG) * 0.01 *2, 0.01))
)</f>
        <v>No</v>
      </c>
      <c r="M47" s="5" t="str">
        <f>IF(K47="No","No",IF(_xlfn.XLOOKUP(_xlfn.XLOOKUP(B47,'Base stats'!B:B,'Base stats'!E:E),Groups!A:A,Groups!BD:BD)=1,"No",
MAX(0.01,MROUND(_xlfn.XLOOKUP(B47,'Base stats'!B:B,'Base stats'!BS:BS)/10000,0.01))
))</f>
        <v>No</v>
      </c>
      <c r="N47" s="4" t="str">
        <f>IF(K47="No","No",
MROUND(
  _xlfn.XLOOKUP(B47,'Base stats'!B:B,'Base stats'!BA:BA)^0.25
  / (_xlfn.XLOOKUP(B47,'Base stats'!B:B,'Base stats'!BK:BK)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stats'!BU:BU),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stats'!BH:BH)^0.73)^0.6 *_xlfn.XLOOKUP(B47,'Base stats'!B:B,'Base stats'!BV:BV),0.1),0.05)
)</f>
        <v>9.9</v>
      </c>
      <c r="P47" s="11">
        <f>IF(O47="No","No",
MAX(0.01,MROUND(_xlfn.XLOOKUP(B47,'Base stats'!B:B,'Base stats'!BH:BH) * 0.01 * 2, 0.01))
)</f>
        <v>3.33</v>
      </c>
      <c r="Q47" s="5">
        <f>IF(O47="No","No",
MAX(0.01,MROUND(_xlfn.XLOOKUP(B47,'Base stats'!B:B,'Base stats'!BT:BT)/10000,0.01))
)</f>
        <v>0.12</v>
      </c>
      <c r="R47" s="4">
        <f>IF(O47="No","No",
MROUND(_xlfn.XLOOKUP(B47,'Base stats'!B:B,'Base stats'!AZ:AZ)^0.25
/((_xlfn.XLOOKUP(B47,'Base stats'!B:B,'Base stats'!BL:BL))*10)*_xlfn.XLOOKUP(_xlfn.XLOOKUP(B47,'Base stats'!B:B,'Base stats'!E:E),Groups!A:A,Groups!Z:Z)*150 + 0.5 + _xlfn.XLOOKUP(B47,'Base stats'!B:B,'Base stats'!BU:BU),
0.05))</f>
        <v>2.8000000000000003</v>
      </c>
      <c r="S47" s="3" t="str">
        <f>IF(Animals!AI47="No","No",
IF(_xlfn.XLOOKUP(B47,'Base stats'!B:B,'Base stats'!U:U)="No",
MAX(MROUND(_xlfn.XLOOKUP(B47,'Base stats'!B:B,'Base stats'!BR:BR) * _xlfn.XLOOKUP(B47,'Base stats'!B:B,'Base stats'!BN:BN)^0.9 / 21 * _xlfn.XLOOKUP(B47,'Base stats'!B:B,'Base stats'!BV:BV),0.1),0.05),
MAX(MROUND(((MIN(12,_xlfn.XLOOKUP(B47,'Base stats'!B:B,'Base stats'!U:U)))^0.4*_xlfn.XLOOKUP(B47,'Base stats'!B:B,'Base stats'!BF:BF)^0.73)^0.6 * _xlfn.XLOOKUP(B47,'Base stats'!B:B,'Base stats'!BV:BV),0.1),0.05)
))</f>
        <v>No</v>
      </c>
      <c r="T47" s="11" t="str">
        <f>IF(S47="No","No",
MAX(0.01,MROUND(_xlfn.XLOOKUP(B47,'Base stats'!B:B,'Base stats'!BF:BF) * 0.01 * 2, 0.01))
)</f>
        <v>No</v>
      </c>
      <c r="U47" s="5" t="str">
        <f>IF(S47="No","No",IF(_xlfn.XLOOKUP(B47,'Base stats'!B:B,'Base stats'!U:U)="No","No",
MAX(0.01,MROUND(_xlfn.XLOOKUP(B47,'Base stats'!B:B,'Base stats'!BR:BR)/10000,0.01))
))</f>
        <v>No</v>
      </c>
      <c r="V47" s="4" t="str">
        <f>IF(S47="No","No",
MROUND(_xlfn.XLOOKUP(B47,'Base stats'!B:B,'Base stats'!BD:BD)^0.25
/((_xlfn.XLOOKUP(B47,'Base stats'!B:B,'Base stats'!BM:BM))*10)*_xlfn.XLOOKUP(_xlfn.XLOOKUP(B47,'Base stats'!B:B,'Base stats'!E:E),Groups!A:A,Groups!AE:AE)*150 + 0.5 + _xlfn.XLOOKUP(B47,'Base stats'!B:B,'Base stats'!BU:BU),
0.05))</f>
        <v>No</v>
      </c>
      <c r="W47" s="8">
        <f>MROUND(_xlfn.XLOOKUP(_xlfn.XLOOKUP(B47,'Base stats'!B:B,'Base stats'!E:E),Groups!A:A,Groups!BG:BG)*_xlfn.XLOOKUP(B47,'Base stats'!B:B,'Base stats'!C:C)^-0.165,0.01)</f>
        <v>0.22</v>
      </c>
      <c r="X47" s="1">
        <f>MROUND(_xlfn.XLOOKUP(_xlfn.XLOOKUP(B47,'Base stats'!B:B,'Base stats'!E:E),Groups!A:A,Groups!BH:BH)*_xlfn.XLOOKUP(B47,'Base stats'!B:B,'Base stats'!C:C)^0.165,0.01)</f>
        <v>0</v>
      </c>
      <c r="Y47" s="8">
        <f>MROUND(_xlfn.XLOOKUP(_xlfn.XLOOKUP(B47,'Base stats'!B:B,'Base stats'!E:E),Groups!A:A,Groups!BI:BI)*_xlfn.XLOOKUP(B47,'Base stats'!B:B,'Base stats'!C:C)^0.165,0.01)</f>
        <v>0</v>
      </c>
      <c r="Z47" s="18">
        <f>ROUND(_xlfn.XLOOKUP(B47,'Base stats'!B:B,'Base stats'!AO:AO)*_xlfn.XLOOKUP(_xlfn.XLOOKUP(B47,'Base stats'!B:B,'Base stats'!E:E),Groups!A:A,Groups!H:H)/1000,2)</f>
        <v>0.05</v>
      </c>
      <c r="AA47" s="18">
        <f>ROUND((1/2)*(_xlfn.XLOOKUP(_xlfn.XLOOKUP(B47,'Base stats'!B:B,'Base stats'!E:E),Groups!A:A,Groups!H:H)*_xlfn.XLOOKUP(_xlfn.XLOOKUP(B47,'Base stats'!B:B,'Base stats'!E:E),Groups!A:A,Groups!I:I))*_xlfn.XLOOKUP(B47,'Base stats'!B:B,'Base stats'!AO:AO)*0.01,2)</f>
        <v>0.28999999999999998</v>
      </c>
      <c r="AB47" s="18">
        <f>250*(Animals!AO47+Animals!AP47)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stats'!BQ:BQ) * (_xlfn.XLOOKUP(B48,'Base stats'!B:B,'Base stats'!AM:AM)*5%)^0.9 / 21,0.1),0.05)</f>
        <v>4.3</v>
      </c>
      <c r="E48" s="11">
        <f>MAX(0.01,MROUND(_xlfn.XLOOKUP(B48,'Base stats'!B:B,'Base stats'!BE:BE) * 0.01 * 2, 0.01))</f>
        <v>3.74</v>
      </c>
      <c r="F48" s="7">
        <f>MROUND(_xlfn.XLOOKUP(B48,'Base stats'!B:B,'Base stats'!BB:BB)^0.25 / (_xlfn.XLOOKUP(B48,'Base stats'!B:B,'Base stats'!BI:BI) * 10) * 150 + 0.5 + _xlfn.XLOOKUP(B48,'Base stats'!B:B,'Base stats'!BU:BU), 0.05)</f>
        <v>1.75</v>
      </c>
      <c r="G48" s="3">
        <f>IF(Animals!S48="No","No",
IF(_xlfn.XLOOKUP(B48,'Base stats'!B:B,'Base stats'!U:U)="No",
MAX(MROUND(_xlfn.XLOOKUP(B48,'Base stats'!B:B,'Base stats'!BR:BR) * _xlfn.XLOOKUP(B48,'Base stats'!B:B,'Base stats'!BN:BN)^0.9 / 21 * _xlfn.XLOOKUP(B48,'Base stats'!B:B,'Base stats'!BV:BV),0.1),0.05),
MAX(MROUND(((MIN(10,_xlfn.XLOOKUP(B48,'Base stats'!B:B,'Base stats'!U:U)))^0.4*_xlfn.XLOOKUP(B48,'Base stats'!B:B,'Base stats'!BF:BF)^0.73)^0.6 * _xlfn.XLOOKUP(B48,'Base stats'!B:B,'Base stats'!BV:BV),0.1),0.05)
))</f>
        <v>7.8000000000000007</v>
      </c>
      <c r="H48" s="11">
        <f>IF(G48="No","No",
MAX(0.01,MROUND(_xlfn.XLOOKUP(B48,'Base stats'!B:B,'Base stats'!BF:BF) * 0.01 * 2, 0.01))
)</f>
        <v>4.6000000000000005</v>
      </c>
      <c r="I48" s="11" t="str">
        <f>IF(G48="No","No",IF(_xlfn.XLOOKUP(B48,'Base stats'!B:B,'Base stats'!U:U)="No","No",
MAX(0.01,MROUND(_xlfn.XLOOKUP(B48,'Base stats'!B:B,'Base stats'!BR:BR)/10000,0.01))
))</f>
        <v>No</v>
      </c>
      <c r="J48" s="4">
        <f>IF(G48="No","No",
MROUND(_xlfn.XLOOKUP(B48,'Base stats'!B:B,'Base stats'!BC:BC)^0.25
/((_xlfn.XLOOKUP(B48,'Base stats'!B:B,'Base stats'!BJ:BJ))*10)*_xlfn.XLOOKUP(_xlfn.XLOOKUP(B48,'Base stats'!B:B,'Base stats'!E:E),Groups!A:A,Groups!Q:Q)*150 + 0.5 + _xlfn.XLOOKUP(B48,'Base stats'!B:B,'Base stats'!BU:BU),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stats'!BS:BS) * _xlfn.XLOOKUP(B48,'Base stats'!B:B,'Base stats'!BO:BO)^0.9 / 21 *_xlfn.XLOOKUP(B48,'Base stats'!B:B,'Base stats'!BV:BV),0.1),0.05),
MAX(MROUND(((MIN(10,_xlfn.XLOOKUP(B48,'Base stats'!B:B,'Base stats'!W:W)))^0.4*_xlfn.XLOOKUP(B48,'Base stats'!B:B,'Base stats'!BG:BG)^0.73)^0.6 *_xlfn.XLOOKUP(B48,'Base stats'!B:B,'Base stats'!BV:BV),0.1),0.05)
))</f>
        <v>No</v>
      </c>
      <c r="L48" s="11" t="str">
        <f>IF(K48="No","No",
MAX(0.01,MROUND(_xlfn.XLOOKUP(B48,'Base stats'!B:B,'Base stats'!BG:BG) * 0.01 *2, 0.01))
)</f>
        <v>No</v>
      </c>
      <c r="M48" s="5" t="str">
        <f>IF(K48="No","No",IF(_xlfn.XLOOKUP(_xlfn.XLOOKUP(B48,'Base stats'!B:B,'Base stats'!E:E),Groups!A:A,Groups!BD:BD)=1,"No",
MAX(0.01,MROUND(_xlfn.XLOOKUP(B48,'Base stats'!B:B,'Base stats'!BS:BS)/10000,0.01))
))</f>
        <v>No</v>
      </c>
      <c r="N48" s="4" t="str">
        <f>IF(K48="No","No",
MROUND(
  _xlfn.XLOOKUP(B48,'Base stats'!B:B,'Base stats'!BA:BA)^0.25
  / (_xlfn.XLOOKUP(B48,'Base stats'!B:B,'Base stats'!BK:BK)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stats'!BU:BU),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stats'!BH:BH)^0.73)^0.6 *_xlfn.XLOOKUP(B48,'Base stats'!B:B,'Base stats'!BV:BV),0.1),0.05)
)</f>
        <v>9.9</v>
      </c>
      <c r="P48" s="11">
        <f>IF(O48="No","No",
MAX(0.01,MROUND(_xlfn.XLOOKUP(B48,'Base stats'!B:B,'Base stats'!BH:BH) * 0.01 * 2, 0.01))
)</f>
        <v>3.33</v>
      </c>
      <c r="Q48" s="5">
        <f>IF(O48="No","No",
MAX(0.01,MROUND(_xlfn.XLOOKUP(B48,'Base stats'!B:B,'Base stats'!BT:BT)/10000,0.01))
)</f>
        <v>0.12</v>
      </c>
      <c r="R48" s="4">
        <f>IF(O48="No","No",
MROUND(_xlfn.XLOOKUP(B48,'Base stats'!B:B,'Base stats'!AZ:AZ)^0.25
/((_xlfn.XLOOKUP(B48,'Base stats'!B:B,'Base stats'!BL:BL))*10)*_xlfn.XLOOKUP(_xlfn.XLOOKUP(B48,'Base stats'!B:B,'Base stats'!E:E),Groups!A:A,Groups!Z:Z)*150 + 0.5 + _xlfn.XLOOKUP(B48,'Base stats'!B:B,'Base stats'!BU:BU),
0.05))</f>
        <v>2.8000000000000003</v>
      </c>
      <c r="S48" s="3" t="str">
        <f>IF(Animals!AI48="No","No",
IF(_xlfn.XLOOKUP(B48,'Base stats'!B:B,'Base stats'!U:U)="No",
MAX(MROUND(_xlfn.XLOOKUP(B48,'Base stats'!B:B,'Base stats'!BR:BR) * _xlfn.XLOOKUP(B48,'Base stats'!B:B,'Base stats'!BN:BN)^0.9 / 21 * _xlfn.XLOOKUP(B48,'Base stats'!B:B,'Base stats'!BV:BV),0.1),0.05),
MAX(MROUND(((MIN(12,_xlfn.XLOOKUP(B48,'Base stats'!B:B,'Base stats'!U:U)))^0.4*_xlfn.XLOOKUP(B48,'Base stats'!B:B,'Base stats'!BF:BF)^0.73)^0.6 * _xlfn.XLOOKUP(B48,'Base stats'!B:B,'Base stats'!BV:BV),0.1),0.05)
))</f>
        <v>No</v>
      </c>
      <c r="T48" s="11" t="str">
        <f>IF(S48="No","No",
MAX(0.01,MROUND(_xlfn.XLOOKUP(B48,'Base stats'!B:B,'Base stats'!BF:BF) * 0.01 * 2, 0.01))
)</f>
        <v>No</v>
      </c>
      <c r="U48" s="5" t="str">
        <f>IF(S48="No","No",IF(_xlfn.XLOOKUP(B48,'Base stats'!B:B,'Base stats'!U:U)="No","No",
MAX(0.01,MROUND(_xlfn.XLOOKUP(B48,'Base stats'!B:B,'Base stats'!BR:BR)/10000,0.01))
))</f>
        <v>No</v>
      </c>
      <c r="V48" s="4" t="str">
        <f>IF(S48="No","No",
MROUND(_xlfn.XLOOKUP(B48,'Base stats'!B:B,'Base stats'!BD:BD)^0.25
/((_xlfn.XLOOKUP(B48,'Base stats'!B:B,'Base stats'!BM:BM))*10)*_xlfn.XLOOKUP(_xlfn.XLOOKUP(B48,'Base stats'!B:B,'Base stats'!E:E),Groups!A:A,Groups!AE:AE)*150 + 0.5 + _xlfn.XLOOKUP(B48,'Base stats'!B:B,'Base stats'!BU:BU),
0.05))</f>
        <v>No</v>
      </c>
      <c r="W48" s="8">
        <f>MROUND(_xlfn.XLOOKUP(_xlfn.XLOOKUP(B48,'Base stats'!B:B,'Base stats'!E:E),Groups!A:A,Groups!BG:BG)*_xlfn.XLOOKUP(B48,'Base stats'!B:B,'Base stats'!C:C)^-0.165,0.01)</f>
        <v>0.22</v>
      </c>
      <c r="X48" s="1">
        <f>MROUND(_xlfn.XLOOKUP(_xlfn.XLOOKUP(B48,'Base stats'!B:B,'Base stats'!E:E),Groups!A:A,Groups!BH:BH)*_xlfn.XLOOKUP(B48,'Base stats'!B:B,'Base stats'!C:C)^0.165,0.01)</f>
        <v>0</v>
      </c>
      <c r="Y48" s="8">
        <f>MROUND(_xlfn.XLOOKUP(_xlfn.XLOOKUP(B48,'Base stats'!B:B,'Base stats'!E:E),Groups!A:A,Groups!BI:BI)*_xlfn.XLOOKUP(B48,'Base stats'!B:B,'Base stats'!C:C)^0.165,0.01)</f>
        <v>0</v>
      </c>
      <c r="Z48" s="18">
        <f>ROUND(_xlfn.XLOOKUP(B48,'Base stats'!B:B,'Base stats'!AO:AO)*_xlfn.XLOOKUP(_xlfn.XLOOKUP(B48,'Base stats'!B:B,'Base stats'!E:E),Groups!A:A,Groups!H:H)/1000,2)</f>
        <v>0.05</v>
      </c>
      <c r="AA48" s="18">
        <f>ROUND((1/2)*(_xlfn.XLOOKUP(_xlfn.XLOOKUP(B48,'Base stats'!B:B,'Base stats'!E:E),Groups!A:A,Groups!H:H)*_xlfn.XLOOKUP(_xlfn.XLOOKUP(B48,'Base stats'!B:B,'Base stats'!E:E),Groups!A:A,Groups!I:I))*_xlfn.XLOOKUP(B48,'Base stats'!B:B,'Base stats'!AO:AO)*0.01,2)</f>
        <v>0.28999999999999998</v>
      </c>
      <c r="AB48" s="18">
        <f>250*(Animals!AO48+Animals!AP48)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stats'!BQ:BQ) * (_xlfn.XLOOKUP(B49,'Base stats'!B:B,'Base stats'!AM:AM)*5%)^0.9 / 21,0.1),0.05)</f>
        <v>3.4000000000000004</v>
      </c>
      <c r="E49" s="11">
        <f>MAX(0.01,MROUND(_xlfn.XLOOKUP(B49,'Base stats'!B:B,'Base stats'!BE:BE) * 0.01 * 2, 0.01))</f>
        <v>2.95</v>
      </c>
      <c r="F49" s="7">
        <f>MROUND(_xlfn.XLOOKUP(B49,'Base stats'!B:B,'Base stats'!BB:BB)^0.25 / (_xlfn.XLOOKUP(B49,'Base stats'!B:B,'Base stats'!BI:BI) * 10) * 150 + 0.5 + _xlfn.XLOOKUP(B49,'Base stats'!B:B,'Base stats'!BU:BU), 0.05)</f>
        <v>1.6500000000000001</v>
      </c>
      <c r="G49" s="3">
        <f>IF(Animals!S49="No","No",
IF(_xlfn.XLOOKUP(B49,'Base stats'!B:B,'Base stats'!U:U)="No",
MAX(MROUND(_xlfn.XLOOKUP(B49,'Base stats'!B:B,'Base stats'!BR:BR) * _xlfn.XLOOKUP(B49,'Base stats'!B:B,'Base stats'!BN:BN)^0.9 / 21 * _xlfn.XLOOKUP(B49,'Base stats'!B:B,'Base stats'!BV:BV),0.1),0.05),
MAX(MROUND(((MIN(10,_xlfn.XLOOKUP(B49,'Base stats'!B:B,'Base stats'!U:U)))^0.4*_xlfn.XLOOKUP(B49,'Base stats'!B:B,'Base stats'!BF:BF)^0.73)^0.6 * _xlfn.XLOOKUP(B49,'Base stats'!B:B,'Base stats'!BV:BV),0.1),0.05)
))</f>
        <v>6.4</v>
      </c>
      <c r="H49" s="11">
        <f>IF(G49="No","No",
MAX(0.01,MROUND(_xlfn.XLOOKUP(B49,'Base stats'!B:B,'Base stats'!BF:BF) * 0.01 * 2, 0.01))
)</f>
        <v>3.68</v>
      </c>
      <c r="I49" s="11" t="str">
        <f>IF(G49="No","No",IF(_xlfn.XLOOKUP(B49,'Base stats'!B:B,'Base stats'!U:U)="No","No",
MAX(0.01,MROUND(_xlfn.XLOOKUP(B49,'Base stats'!B:B,'Base stats'!BR:BR)/10000,0.01))
))</f>
        <v>No</v>
      </c>
      <c r="J49" s="4">
        <f>IF(G49="No","No",
MROUND(_xlfn.XLOOKUP(B49,'Base stats'!B:B,'Base stats'!BC:BC)^0.25
/((_xlfn.XLOOKUP(B49,'Base stats'!B:B,'Base stats'!BJ:BJ))*10)*_xlfn.XLOOKUP(_xlfn.XLOOKUP(B49,'Base stats'!B:B,'Base stats'!E:E),Groups!A:A,Groups!Q:Q)*150 + 0.5 + _xlfn.XLOOKUP(B49,'Base stats'!B:B,'Base stats'!BU:BU),
0.05))</f>
        <v>2.3000000000000003</v>
      </c>
      <c r="K49" s="3">
        <f>IF(Animals!X49="No","No",
IF(_xlfn.XLOOKUP(_xlfn.XLOOKUP(B49,'Base stats'!B:B,'Base stats'!E:E),Groups!A:A,Groups!BD:BD)=1,
MAX(MROUND(_xlfn.XLOOKUP(B49,'Base stats'!B:B,'Base stats'!BS:BS) * _xlfn.XLOOKUP(B49,'Base stats'!B:B,'Base stats'!BO:BO)^0.9 / 21 *_xlfn.XLOOKUP(B49,'Base stats'!B:B,'Base stats'!BV:BV),0.1),0.05),
MAX(MROUND(((MIN(10,_xlfn.XLOOKUP(B49,'Base stats'!B:B,'Base stats'!W:W)))^0.4*_xlfn.XLOOKUP(B49,'Base stats'!B:B,'Base stats'!BG:BG)^0.73)^0.6 *_xlfn.XLOOKUP(B49,'Base stats'!B:B,'Base stats'!BV:BV),0.1),0.05)
))</f>
        <v>18.5</v>
      </c>
      <c r="L49" s="11">
        <f>IF(K49="No","No",
MAX(0.01,MROUND(_xlfn.XLOOKUP(B49,'Base stats'!B:B,'Base stats'!BG:BG) * 0.01 *2, 0.01))
)</f>
        <v>4.42</v>
      </c>
      <c r="M49" s="5">
        <f>IF(K49="No","No",IF(_xlfn.XLOOKUP(_xlfn.XLOOKUP(B49,'Base stats'!B:B,'Base stats'!E:E),Groups!A:A,Groups!BD:BD)=1,"No",
MAX(0.01,MROUND(_xlfn.XLOOKUP(B49,'Base stats'!B:B,'Base stats'!BS:BS)/10000,0.01))
))</f>
        <v>0.28000000000000003</v>
      </c>
      <c r="N49" s="4">
        <f>IF(K49="No","No",
MROUND(
  _xlfn.XLOOKUP(B49,'Base stats'!B:B,'Base stats'!BA:BA)^0.25
  / (_xlfn.XLOOKUP(B49,'Base stats'!B:B,'Base stats'!BK:BK)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stats'!BU:BU),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stats'!BH:BH)^0.73)^0.6 *_xlfn.XLOOKUP(B49,'Base stats'!B:B,'Base stats'!BV:BV),0.1),0.05)
)</f>
        <v>No</v>
      </c>
      <c r="P49" s="11" t="str">
        <f>IF(O49="No","No",
MAX(0.01,MROUND(_xlfn.XLOOKUP(B49,'Base stats'!B:B,'Base stats'!BH:BH) * 0.01 * 2, 0.01))
)</f>
        <v>No</v>
      </c>
      <c r="Q49" s="5" t="str">
        <f>IF(O49="No","No",
MAX(0.01,MROUND(_xlfn.XLOOKUP(B49,'Base stats'!B:B,'Base stats'!BT:BT)/10000,0.01))
)</f>
        <v>No</v>
      </c>
      <c r="R49" s="4" t="str">
        <f>IF(O49="No","No",
MROUND(_xlfn.XLOOKUP(B49,'Base stats'!B:B,'Base stats'!AZ:AZ)^0.25
/((_xlfn.XLOOKUP(B49,'Base stats'!B:B,'Base stats'!BL:BL))*10)*_xlfn.XLOOKUP(_xlfn.XLOOKUP(B49,'Base stats'!B:B,'Base stats'!E:E),Groups!A:A,Groups!Z:Z)*150 + 0.5 + _xlfn.XLOOKUP(B49,'Base stats'!B:B,'Base stats'!BU:BU),
0.05))</f>
        <v>No</v>
      </c>
      <c r="S49" s="3" t="str">
        <f>IF(Animals!AI49="No","No",
IF(_xlfn.XLOOKUP(B49,'Base stats'!B:B,'Base stats'!U:U)="No",
MAX(MROUND(_xlfn.XLOOKUP(B49,'Base stats'!B:B,'Base stats'!BR:BR) * _xlfn.XLOOKUP(B49,'Base stats'!B:B,'Base stats'!BN:BN)^0.9 / 21 * _xlfn.XLOOKUP(B49,'Base stats'!B:B,'Base stats'!BV:BV),0.1),0.05),
MAX(MROUND(((MIN(12,_xlfn.XLOOKUP(B49,'Base stats'!B:B,'Base stats'!U:U)))^0.4*_xlfn.XLOOKUP(B49,'Base stats'!B:B,'Base stats'!BF:BF)^0.73)^0.6 * _xlfn.XLOOKUP(B49,'Base stats'!B:B,'Base stats'!BV:BV),0.1),0.05)
))</f>
        <v>No</v>
      </c>
      <c r="T49" s="11" t="str">
        <f>IF(S49="No","No",
MAX(0.01,MROUND(_xlfn.XLOOKUP(B49,'Base stats'!B:B,'Base stats'!BF:BF) * 0.01 * 2, 0.01))
)</f>
        <v>No</v>
      </c>
      <c r="U49" s="5" t="str">
        <f>IF(S49="No","No",IF(_xlfn.XLOOKUP(B49,'Base stats'!B:B,'Base stats'!U:U)="No","No",
MAX(0.01,MROUND(_xlfn.XLOOKUP(B49,'Base stats'!B:B,'Base stats'!BR:BR)/10000,0.01))
))</f>
        <v>No</v>
      </c>
      <c r="V49" s="4" t="str">
        <f>IF(S49="No","No",
MROUND(_xlfn.XLOOKUP(B49,'Base stats'!B:B,'Base stats'!BD:BD)^0.25
/((_xlfn.XLOOKUP(B49,'Base stats'!B:B,'Base stats'!BM:BM))*10)*_xlfn.XLOOKUP(_xlfn.XLOOKUP(B49,'Base stats'!B:B,'Base stats'!E:E),Groups!A:A,Groups!AE:AE)*150 + 0.5 + _xlfn.XLOOKUP(B49,'Base stats'!B:B,'Base stats'!BU:BU),
0.05))</f>
        <v>No</v>
      </c>
      <c r="W49" s="8">
        <f>MROUND(_xlfn.XLOOKUP(_xlfn.XLOOKUP(B49,'Base stats'!B:B,'Base stats'!E:E),Groups!A:A,Groups!BG:BG)*_xlfn.XLOOKUP(B49,'Base stats'!B:B,'Base stats'!C:C)^-0.165,0.01)</f>
        <v>0.23</v>
      </c>
      <c r="X49" s="1">
        <f>MROUND(_xlfn.XLOOKUP(_xlfn.XLOOKUP(B49,'Base stats'!B:B,'Base stats'!E:E),Groups!A:A,Groups!BH:BH)*_xlfn.XLOOKUP(B49,'Base stats'!B:B,'Base stats'!C:C)^0.165,0.01)</f>
        <v>0</v>
      </c>
      <c r="Y49" s="8">
        <f>MROUND(_xlfn.XLOOKUP(_xlfn.XLOOKUP(B49,'Base stats'!B:B,'Base stats'!E:E),Groups!A:A,Groups!BI:BI)*_xlfn.XLOOKUP(B49,'Base stats'!B:B,'Base stats'!C:C)^0.165,0.01)</f>
        <v>0</v>
      </c>
      <c r="Z49" s="18">
        <f>ROUND(_xlfn.XLOOKUP(B49,'Base stats'!B:B,'Base stats'!AO:AO)*_xlfn.XLOOKUP(_xlfn.XLOOKUP(B49,'Base stats'!B:B,'Base stats'!E:E),Groups!A:A,Groups!H:H)/1000,2)</f>
        <v>0.05</v>
      </c>
      <c r="AA49" s="18">
        <f>ROUND((1/2)*(_xlfn.XLOOKUP(_xlfn.XLOOKUP(B49,'Base stats'!B:B,'Base stats'!E:E),Groups!A:A,Groups!H:H)*_xlfn.XLOOKUP(_xlfn.XLOOKUP(B49,'Base stats'!B:B,'Base stats'!E:E),Groups!A:A,Groups!I:I))*_xlfn.XLOOKUP(B49,'Base stats'!B:B,'Base stats'!AO:AO)*0.01,2)</f>
        <v>0.27</v>
      </c>
      <c r="AB49" s="18">
        <f>250*(Animals!AO49+Animals!AP49)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stats'!BQ:BQ) * (_xlfn.XLOOKUP(B50,'Base stats'!B:B,'Base stats'!AM:AM)*5%)^0.9 / 21,0.1),0.05)</f>
        <v>3.6</v>
      </c>
      <c r="E50" s="11">
        <f>MAX(0.01,MROUND(_xlfn.XLOOKUP(B50,'Base stats'!B:B,'Base stats'!BE:BE) * 0.01 * 2, 0.01))</f>
        <v>3.04</v>
      </c>
      <c r="F50" s="7">
        <f>MROUND(_xlfn.XLOOKUP(B50,'Base stats'!B:B,'Base stats'!BB:BB)^0.25 / (_xlfn.XLOOKUP(B50,'Base stats'!B:B,'Base stats'!BI:BI) * 10) * 150 + 0.5 + _xlfn.XLOOKUP(B50,'Base stats'!B:B,'Base stats'!BU:BU), 0.05)</f>
        <v>1.4500000000000002</v>
      </c>
      <c r="G50" s="3">
        <f>IF(Animals!S50="No","No",
IF(_xlfn.XLOOKUP(B50,'Base stats'!B:B,'Base stats'!U:U)="No",
MAX(MROUND(_xlfn.XLOOKUP(B50,'Base stats'!B:B,'Base stats'!BR:BR) * _xlfn.XLOOKUP(B50,'Base stats'!B:B,'Base stats'!BN:BN)^0.9 / 21 * _xlfn.XLOOKUP(B50,'Base stats'!B:B,'Base stats'!BV:BV),0.1),0.05),
MAX(MROUND(((MIN(10,_xlfn.XLOOKUP(B50,'Base stats'!B:B,'Base stats'!U:U)))^0.4*_xlfn.XLOOKUP(B50,'Base stats'!B:B,'Base stats'!BF:BF)^0.73)^0.6 * _xlfn.XLOOKUP(B50,'Base stats'!B:B,'Base stats'!BV:BV),0.1),0.05)
))</f>
        <v>4.9000000000000004</v>
      </c>
      <c r="H50" s="11">
        <f>IF(G50="No","No",
MAX(0.01,MROUND(_xlfn.XLOOKUP(B50,'Base stats'!B:B,'Base stats'!BF:BF) * 0.01 * 2, 0.01))
)</f>
        <v>2.7600000000000002</v>
      </c>
      <c r="I50" s="11" t="str">
        <f>IF(G50="No","No",IF(_xlfn.XLOOKUP(B50,'Base stats'!B:B,'Base stats'!U:U)="No","No",
MAX(0.01,MROUND(_xlfn.XLOOKUP(B50,'Base stats'!B:B,'Base stats'!BR:BR)/10000,0.01))
))</f>
        <v>No</v>
      </c>
      <c r="J50" s="4">
        <f>IF(G50="No","No",
MROUND(_xlfn.XLOOKUP(B50,'Base stats'!B:B,'Base stats'!BC:BC)^0.25
/((_xlfn.XLOOKUP(B50,'Base stats'!B:B,'Base stats'!BJ:BJ))*10)*_xlfn.XLOOKUP(_xlfn.XLOOKUP(B50,'Base stats'!B:B,'Base stats'!E:E),Groups!A:A,Groups!Q:Q)*150 + 0.5 + _xlfn.XLOOKUP(B50,'Base stats'!B:B,'Base stats'!BU:BU),
0.05))</f>
        <v>2.15</v>
      </c>
      <c r="K50" s="3">
        <f>IF(Animals!X50="No","No",
IF(_xlfn.XLOOKUP(_xlfn.XLOOKUP(B50,'Base stats'!B:B,'Base stats'!E:E),Groups!A:A,Groups!BD:BD)=1,
MAX(MROUND(_xlfn.XLOOKUP(B50,'Base stats'!B:B,'Base stats'!BS:BS) * _xlfn.XLOOKUP(B50,'Base stats'!B:B,'Base stats'!BO:BO)^0.9 / 21 *_xlfn.XLOOKUP(B50,'Base stats'!B:B,'Base stats'!BV:BV),0.1),0.05),
MAX(MROUND(((MIN(10,_xlfn.XLOOKUP(B50,'Base stats'!B:B,'Base stats'!W:W)))^0.4*_xlfn.XLOOKUP(B50,'Base stats'!B:B,'Base stats'!BG:BG)^0.73)^0.6 *_xlfn.XLOOKUP(B50,'Base stats'!B:B,'Base stats'!BV:BV),0.1),0.05)
))</f>
        <v>4.4000000000000004</v>
      </c>
      <c r="L50" s="11">
        <f>IF(K50="No","No",
MAX(0.01,MROUND(_xlfn.XLOOKUP(B50,'Base stats'!B:B,'Base stats'!BG:BG) * 0.01 *2, 0.01))
)</f>
        <v>3.65</v>
      </c>
      <c r="M50" s="5" t="str">
        <f>IF(K50="No","No",IF(_xlfn.XLOOKUP(_xlfn.XLOOKUP(B50,'Base stats'!B:B,'Base stats'!E:E),Groups!A:A,Groups!BD:BD)=1,"No",
MAX(0.01,MROUND(_xlfn.XLOOKUP(B50,'Base stats'!B:B,'Base stats'!BS:BS)/10000,0.01))
))</f>
        <v>No</v>
      </c>
      <c r="N50" s="4">
        <f>IF(K50="No","No",
MROUND(
  _xlfn.XLOOKUP(B50,'Base stats'!B:B,'Base stats'!BA:BA)^0.25
  / (_xlfn.XLOOKUP(B50,'Base stats'!B:B,'Base stats'!BK:BK)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stats'!BU:BU),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stats'!BH:BH)^0.73)^0.6 *_xlfn.XLOOKUP(B50,'Base stats'!B:B,'Base stats'!BV:BV),0.1),0.05)
)</f>
        <v>No</v>
      </c>
      <c r="P50" s="11" t="str">
        <f>IF(O50="No","No",
MAX(0.01,MROUND(_xlfn.XLOOKUP(B50,'Base stats'!B:B,'Base stats'!BH:BH) * 0.01 * 2, 0.01))
)</f>
        <v>No</v>
      </c>
      <c r="Q50" s="5" t="str">
        <f>IF(O50="No","No",
MAX(0.01,MROUND(_xlfn.XLOOKUP(B50,'Base stats'!B:B,'Base stats'!BT:BT)/10000,0.01))
)</f>
        <v>No</v>
      </c>
      <c r="R50" s="4" t="str">
        <f>IF(O50="No","No",
MROUND(_xlfn.XLOOKUP(B50,'Base stats'!B:B,'Base stats'!AZ:AZ)^0.25
/((_xlfn.XLOOKUP(B50,'Base stats'!B:B,'Base stats'!BL:BL))*10)*_xlfn.XLOOKUP(_xlfn.XLOOKUP(B50,'Base stats'!B:B,'Base stats'!E:E),Groups!A:A,Groups!Z:Z)*150 + 0.5 + _xlfn.XLOOKUP(B50,'Base stats'!B:B,'Base stats'!BU:BU),
0.05))</f>
        <v>No</v>
      </c>
      <c r="S50" s="3" t="str">
        <f>IF(Animals!AI50="No","No",
IF(_xlfn.XLOOKUP(B50,'Base stats'!B:B,'Base stats'!U:U)="No",
MAX(MROUND(_xlfn.XLOOKUP(B50,'Base stats'!B:B,'Base stats'!BR:BR) * _xlfn.XLOOKUP(B50,'Base stats'!B:B,'Base stats'!BN:BN)^0.9 / 21 * _xlfn.XLOOKUP(B50,'Base stats'!B:B,'Base stats'!BV:BV),0.1),0.05),
MAX(MROUND(((MIN(12,_xlfn.XLOOKUP(B50,'Base stats'!B:B,'Base stats'!U:U)))^0.4*_xlfn.XLOOKUP(B50,'Base stats'!B:B,'Base stats'!BF:BF)^0.73)^0.6 * _xlfn.XLOOKUP(B50,'Base stats'!B:B,'Base stats'!BV:BV),0.1),0.05)
))</f>
        <v>No</v>
      </c>
      <c r="T50" s="11" t="str">
        <f>IF(S50="No","No",
MAX(0.01,MROUND(_xlfn.XLOOKUP(B50,'Base stats'!B:B,'Base stats'!BF:BF) * 0.01 * 2, 0.01))
)</f>
        <v>No</v>
      </c>
      <c r="U50" s="5" t="str">
        <f>IF(S50="No","No",IF(_xlfn.XLOOKUP(B50,'Base stats'!B:B,'Base stats'!U:U)="No","No",
MAX(0.01,MROUND(_xlfn.XLOOKUP(B50,'Base stats'!B:B,'Base stats'!BR:BR)/10000,0.01))
))</f>
        <v>No</v>
      </c>
      <c r="V50" s="4" t="str">
        <f>IF(S50="No","No",
MROUND(_xlfn.XLOOKUP(B50,'Base stats'!B:B,'Base stats'!BD:BD)^0.25
/((_xlfn.XLOOKUP(B50,'Base stats'!B:B,'Base stats'!BM:BM))*10)*_xlfn.XLOOKUP(_xlfn.XLOOKUP(B50,'Base stats'!B:B,'Base stats'!E:E),Groups!A:A,Groups!AE:AE)*150 + 0.5 + _xlfn.XLOOKUP(B50,'Base stats'!B:B,'Base stats'!BU:BU),
0.05))</f>
        <v>No</v>
      </c>
      <c r="W50" s="8">
        <f>MROUND(_xlfn.XLOOKUP(_xlfn.XLOOKUP(B50,'Base stats'!B:B,'Base stats'!E:E),Groups!A:A,Groups!BG:BG)*_xlfn.XLOOKUP(B50,'Base stats'!B:B,'Base stats'!C:C)^-0.165,0.01)</f>
        <v>0.24</v>
      </c>
      <c r="X50" s="1">
        <f>MROUND(_xlfn.XLOOKUP(_xlfn.XLOOKUP(B50,'Base stats'!B:B,'Base stats'!E:E),Groups!A:A,Groups!BH:BH)*_xlfn.XLOOKUP(B50,'Base stats'!B:B,'Base stats'!C:C)^0.165,0.01)</f>
        <v>0</v>
      </c>
      <c r="Y50" s="8">
        <f>MROUND(_xlfn.XLOOKUP(_xlfn.XLOOKUP(B50,'Base stats'!B:B,'Base stats'!E:E),Groups!A:A,Groups!BI:BI)*_xlfn.XLOOKUP(B50,'Base stats'!B:B,'Base stats'!C:C)^0.165,0.01)</f>
        <v>0</v>
      </c>
      <c r="Z50" s="18">
        <f>ROUND(_xlfn.XLOOKUP(B50,'Base stats'!B:B,'Base stats'!AO:AO)*_xlfn.XLOOKUP(_xlfn.XLOOKUP(B50,'Base stats'!B:B,'Base stats'!E:E),Groups!A:A,Groups!H:H)/1000,2)</f>
        <v>0.04</v>
      </c>
      <c r="AA50" s="18">
        <f>ROUND((1/2)*(_xlfn.XLOOKUP(_xlfn.XLOOKUP(B50,'Base stats'!B:B,'Base stats'!E:E),Groups!A:A,Groups!H:H)*_xlfn.XLOOKUP(_xlfn.XLOOKUP(B50,'Base stats'!B:B,'Base stats'!E:E),Groups!A:A,Groups!I:I))*_xlfn.XLOOKUP(B50,'Base stats'!B:B,'Base stats'!AO:AO)*0.01,2)</f>
        <v>0.25</v>
      </c>
      <c r="AB50" s="18">
        <f>250*(Animals!AO50+Animals!AP50)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stats'!BQ:BQ) * (_xlfn.XLOOKUP(B51,'Base stats'!B:B,'Base stats'!AM:AM)*5%)^0.9 / 21,0.1),0.05)</f>
        <v>2.1</v>
      </c>
      <c r="E51" s="11">
        <f>MAX(0.01,MROUND(_xlfn.XLOOKUP(B51,'Base stats'!B:B,'Base stats'!BE:BE) * 0.01 * 2, 0.01))</f>
        <v>1.74</v>
      </c>
      <c r="F51" s="7">
        <f>MROUND(_xlfn.XLOOKUP(B51,'Base stats'!B:B,'Base stats'!BB:BB)^0.25 / (_xlfn.XLOOKUP(B51,'Base stats'!B:B,'Base stats'!BI:BI) * 10) * 150 + 0.5 + _xlfn.XLOOKUP(B51,'Base stats'!B:B,'Base stats'!BU:BU), 0.05)</f>
        <v>1.6500000000000001</v>
      </c>
      <c r="G51" s="3">
        <f>IF(Animals!S51="No","No",
IF(_xlfn.XLOOKUP(B51,'Base stats'!B:B,'Base stats'!U:U)="No",
MAX(MROUND(_xlfn.XLOOKUP(B51,'Base stats'!B:B,'Base stats'!BR:BR) * _xlfn.XLOOKUP(B51,'Base stats'!B:B,'Base stats'!BN:BN)^0.9 / 21 * _xlfn.XLOOKUP(B51,'Base stats'!B:B,'Base stats'!BV:BV),0.1),0.05),
MAX(MROUND(((MIN(10,_xlfn.XLOOKUP(B51,'Base stats'!B:B,'Base stats'!U:U)))^0.4*_xlfn.XLOOKUP(B51,'Base stats'!B:B,'Base stats'!BF:BF)^0.73)^0.6 * _xlfn.XLOOKUP(B51,'Base stats'!B:B,'Base stats'!BV:BV),0.1),0.05)
))</f>
        <v>4.1000000000000005</v>
      </c>
      <c r="H51" s="11">
        <f>IF(G51="No","No",
MAX(0.01,MROUND(_xlfn.XLOOKUP(B51,'Base stats'!B:B,'Base stats'!BF:BF) * 0.01 * 2, 0.01))
)</f>
        <v>2.2400000000000002</v>
      </c>
      <c r="I51" s="11" t="str">
        <f>IF(G51="No","No",IF(_xlfn.XLOOKUP(B51,'Base stats'!B:B,'Base stats'!U:U)="No","No",
MAX(0.01,MROUND(_xlfn.XLOOKUP(B51,'Base stats'!B:B,'Base stats'!BR:BR)/10000,0.01))
))</f>
        <v>No</v>
      </c>
      <c r="J51" s="4">
        <f>IF(G51="No","No",
MROUND(_xlfn.XLOOKUP(B51,'Base stats'!B:B,'Base stats'!BC:BC)^0.25
/((_xlfn.XLOOKUP(B51,'Base stats'!B:B,'Base stats'!BJ:BJ))*10)*_xlfn.XLOOKUP(_xlfn.XLOOKUP(B51,'Base stats'!B:B,'Base stats'!E:E),Groups!A:A,Groups!Q:Q)*150 + 0.5 + _xlfn.XLOOKUP(B51,'Base stats'!B:B,'Base stats'!BU:BU),
0.05))</f>
        <v>2.1</v>
      </c>
      <c r="K51" s="3">
        <f>IF(Animals!X51="No","No",
IF(_xlfn.XLOOKUP(_xlfn.XLOOKUP(B51,'Base stats'!B:B,'Base stats'!E:E),Groups!A:A,Groups!BD:BD)=1,
MAX(MROUND(_xlfn.XLOOKUP(B51,'Base stats'!B:B,'Base stats'!BS:BS) * _xlfn.XLOOKUP(B51,'Base stats'!B:B,'Base stats'!BO:BO)^0.9 / 21 *_xlfn.XLOOKUP(B51,'Base stats'!B:B,'Base stats'!BV:BV),0.1),0.05),
MAX(MROUND(((MIN(10,_xlfn.XLOOKUP(B51,'Base stats'!B:B,'Base stats'!W:W)))^0.4*_xlfn.XLOOKUP(B51,'Base stats'!B:B,'Base stats'!BG:BG)^0.73)^0.6 *_xlfn.XLOOKUP(B51,'Base stats'!B:B,'Base stats'!BV:BV),0.1),0.05)
))</f>
        <v>14.9</v>
      </c>
      <c r="L51" s="11">
        <f>IF(K51="No","No",
MAX(0.01,MROUND(_xlfn.XLOOKUP(B51,'Base stats'!B:B,'Base stats'!BG:BG) * 0.01 *2, 0.01))
)</f>
        <v>2.69</v>
      </c>
      <c r="M51" s="5">
        <f>IF(K51="No","No",IF(_xlfn.XLOOKUP(_xlfn.XLOOKUP(B51,'Base stats'!B:B,'Base stats'!E:E),Groups!A:A,Groups!BD:BD)=1,"No",
MAX(0.01,MROUND(_xlfn.XLOOKUP(B51,'Base stats'!B:B,'Base stats'!BS:BS)/10000,0.01))
))</f>
        <v>0.18</v>
      </c>
      <c r="N51" s="4">
        <f>IF(K51="No","No",
MROUND(
  _xlfn.XLOOKUP(B51,'Base stats'!B:B,'Base stats'!BA:BA)^0.25
  / (_xlfn.XLOOKUP(B51,'Base stats'!B:B,'Base stats'!BK:BK)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stats'!BU:BU),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stats'!BH:BH)^0.73)^0.6 *_xlfn.XLOOKUP(B51,'Base stats'!B:B,'Base stats'!BV:BV),0.1),0.05)
)</f>
        <v>No</v>
      </c>
      <c r="P51" s="11" t="str">
        <f>IF(O51="No","No",
MAX(0.01,MROUND(_xlfn.XLOOKUP(B51,'Base stats'!B:B,'Base stats'!BH:BH) * 0.01 * 2, 0.01))
)</f>
        <v>No</v>
      </c>
      <c r="Q51" s="5" t="str">
        <f>IF(O51="No","No",
MAX(0.01,MROUND(_xlfn.XLOOKUP(B51,'Base stats'!B:B,'Base stats'!BT:BT)/10000,0.01))
)</f>
        <v>No</v>
      </c>
      <c r="R51" s="4" t="str">
        <f>IF(O51="No","No",
MROUND(_xlfn.XLOOKUP(B51,'Base stats'!B:B,'Base stats'!AZ:AZ)^0.25
/((_xlfn.XLOOKUP(B51,'Base stats'!B:B,'Base stats'!BL:BL))*10)*_xlfn.XLOOKUP(_xlfn.XLOOKUP(B51,'Base stats'!B:B,'Base stats'!E:E),Groups!A:A,Groups!Z:Z)*150 + 0.5 + _xlfn.XLOOKUP(B51,'Base stats'!B:B,'Base stats'!BU:BU),
0.05))</f>
        <v>No</v>
      </c>
      <c r="S51" s="3" t="str">
        <f>IF(Animals!AI51="No","No",
IF(_xlfn.XLOOKUP(B51,'Base stats'!B:B,'Base stats'!U:U)="No",
MAX(MROUND(_xlfn.XLOOKUP(B51,'Base stats'!B:B,'Base stats'!BR:BR) * _xlfn.XLOOKUP(B51,'Base stats'!B:B,'Base stats'!BN:BN)^0.9 / 21 * _xlfn.XLOOKUP(B51,'Base stats'!B:B,'Base stats'!BV:BV),0.1),0.05),
MAX(MROUND(((MIN(12,_xlfn.XLOOKUP(B51,'Base stats'!B:B,'Base stats'!U:U)))^0.4*_xlfn.XLOOKUP(B51,'Base stats'!B:B,'Base stats'!BF:BF)^0.73)^0.6 * _xlfn.XLOOKUP(B51,'Base stats'!B:B,'Base stats'!BV:BV),0.1),0.05)
))</f>
        <v>No</v>
      </c>
      <c r="T51" s="11" t="str">
        <f>IF(S51="No","No",
MAX(0.01,MROUND(_xlfn.XLOOKUP(B51,'Base stats'!B:B,'Base stats'!BF:BF) * 0.01 * 2, 0.01))
)</f>
        <v>No</v>
      </c>
      <c r="U51" s="5" t="str">
        <f>IF(S51="No","No",IF(_xlfn.XLOOKUP(B51,'Base stats'!B:B,'Base stats'!U:U)="No","No",
MAX(0.01,MROUND(_xlfn.XLOOKUP(B51,'Base stats'!B:B,'Base stats'!BR:BR)/10000,0.01))
))</f>
        <v>No</v>
      </c>
      <c r="V51" s="4" t="str">
        <f>IF(S51="No","No",
MROUND(_xlfn.XLOOKUP(B51,'Base stats'!B:B,'Base stats'!BD:BD)^0.25
/((_xlfn.XLOOKUP(B51,'Base stats'!B:B,'Base stats'!BM:BM))*10)*_xlfn.XLOOKUP(_xlfn.XLOOKUP(B51,'Base stats'!B:B,'Base stats'!E:E),Groups!A:A,Groups!AE:AE)*150 + 0.5 + _xlfn.XLOOKUP(B51,'Base stats'!B:B,'Base stats'!BU:BU),
0.05))</f>
        <v>No</v>
      </c>
      <c r="W51" s="8">
        <f>MROUND(_xlfn.XLOOKUP(_xlfn.XLOOKUP(B51,'Base stats'!B:B,'Base stats'!E:E),Groups!A:A,Groups!BG:BG)*_xlfn.XLOOKUP(B51,'Base stats'!B:B,'Base stats'!C:C)^-0.165,0.01)</f>
        <v>0.25</v>
      </c>
      <c r="X51" s="1">
        <f>MROUND(_xlfn.XLOOKUP(_xlfn.XLOOKUP(B51,'Base stats'!B:B,'Base stats'!E:E),Groups!A:A,Groups!BH:BH)*_xlfn.XLOOKUP(B51,'Base stats'!B:B,'Base stats'!C:C)^0.165,0.01)</f>
        <v>0</v>
      </c>
      <c r="Y51" s="8">
        <f>MROUND(_xlfn.XLOOKUP(_xlfn.XLOOKUP(B51,'Base stats'!B:B,'Base stats'!E:E),Groups!A:A,Groups!BI:BI)*_xlfn.XLOOKUP(B51,'Base stats'!B:B,'Base stats'!C:C)^0.165,0.01)</f>
        <v>0</v>
      </c>
      <c r="Z51" s="18">
        <f>ROUND(_xlfn.XLOOKUP(B51,'Base stats'!B:B,'Base stats'!AO:AO)*_xlfn.XLOOKUP(_xlfn.XLOOKUP(B51,'Base stats'!B:B,'Base stats'!E:E),Groups!A:A,Groups!H:H)/1000,2)</f>
        <v>0.04</v>
      </c>
      <c r="AA51" s="18">
        <f>ROUND((1/2)*(_xlfn.XLOOKUP(_xlfn.XLOOKUP(B51,'Base stats'!B:B,'Base stats'!E:E),Groups!A:A,Groups!H:H)*_xlfn.XLOOKUP(_xlfn.XLOOKUP(B51,'Base stats'!B:B,'Base stats'!E:E),Groups!A:A,Groups!I:I))*_xlfn.XLOOKUP(B51,'Base stats'!B:B,'Base stats'!AO:AO)*0.01,2)</f>
        <v>0.23</v>
      </c>
      <c r="AB51" s="18">
        <f>250*(Animals!AO51+Animals!AP51)</f>
        <v>475.00000000000006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stats'!BQ:BQ) * (_xlfn.XLOOKUP(B52,'Base stats'!B:B,'Base stats'!AM:AM)*5%)^0.9 / 21,0.1),0.05)</f>
        <v>3</v>
      </c>
      <c r="E52" s="11">
        <f>MAX(0.01,MROUND(_xlfn.XLOOKUP(B52,'Base stats'!B:B,'Base stats'!BE:BE) * 0.01 * 2, 0.01))</f>
        <v>2.4500000000000002</v>
      </c>
      <c r="F52" s="7">
        <f>MROUND(_xlfn.XLOOKUP(B52,'Base stats'!B:B,'Base stats'!BB:BB)^0.25 / (_xlfn.XLOOKUP(B52,'Base stats'!B:B,'Base stats'!BI:BI) * 10) * 150 + 0.5 + _xlfn.XLOOKUP(B52,'Base stats'!B:B,'Base stats'!BU:BU), 0.05)</f>
        <v>1.4000000000000001</v>
      </c>
      <c r="G52" s="3">
        <f>IF(Animals!S52="No","No",
IF(_xlfn.XLOOKUP(B52,'Base stats'!B:B,'Base stats'!U:U)="No",
MAX(MROUND(_xlfn.XLOOKUP(B52,'Base stats'!B:B,'Base stats'!BR:BR) * _xlfn.XLOOKUP(B52,'Base stats'!B:B,'Base stats'!BN:BN)^0.9 / 21 * _xlfn.XLOOKUP(B52,'Base stats'!B:B,'Base stats'!BV:BV),0.1),0.05),
MAX(MROUND(((MIN(10,_xlfn.XLOOKUP(B52,'Base stats'!B:B,'Base stats'!U:U)))^0.4*_xlfn.XLOOKUP(B52,'Base stats'!B:B,'Base stats'!BF:BF)^0.73)^0.6 * _xlfn.XLOOKUP(B52,'Base stats'!B:B,'Base stats'!BV:BV),0.1),0.05)
))</f>
        <v>4.1000000000000005</v>
      </c>
      <c r="H52" s="11">
        <f>IF(G52="No","No",
MAX(0.01,MROUND(_xlfn.XLOOKUP(B52,'Base stats'!B:B,'Base stats'!BF:BF) * 0.01 * 2, 0.01))
)</f>
        <v>2.25</v>
      </c>
      <c r="I52" s="11" t="str">
        <f>IF(G52="No","No",IF(_xlfn.XLOOKUP(B52,'Base stats'!B:B,'Base stats'!U:U)="No","No",
MAX(0.01,MROUND(_xlfn.XLOOKUP(B52,'Base stats'!B:B,'Base stats'!BR:BR)/10000,0.01))
))</f>
        <v>No</v>
      </c>
      <c r="J52" s="4">
        <f>IF(G52="No","No",
MROUND(_xlfn.XLOOKUP(B52,'Base stats'!B:B,'Base stats'!BC:BC)^0.25
/((_xlfn.XLOOKUP(B52,'Base stats'!B:B,'Base stats'!BJ:BJ))*10)*_xlfn.XLOOKUP(_xlfn.XLOOKUP(B52,'Base stats'!B:B,'Base stats'!E:E),Groups!A:A,Groups!Q:Q)*150 + 0.5 + _xlfn.XLOOKUP(B52,'Base stats'!B:B,'Base stats'!BU:BU),
0.05))</f>
        <v>2.1</v>
      </c>
      <c r="K52" s="3">
        <f>IF(Animals!X52="No","No",
IF(_xlfn.XLOOKUP(_xlfn.XLOOKUP(B52,'Base stats'!B:B,'Base stats'!E:E),Groups!A:A,Groups!BD:BD)=1,
MAX(MROUND(_xlfn.XLOOKUP(B52,'Base stats'!B:B,'Base stats'!BS:BS) * _xlfn.XLOOKUP(B52,'Base stats'!B:B,'Base stats'!BO:BO)^0.9 / 21 *_xlfn.XLOOKUP(B52,'Base stats'!B:B,'Base stats'!BV:BV),0.1),0.05),
MAX(MROUND(((MIN(10,_xlfn.XLOOKUP(B52,'Base stats'!B:B,'Base stats'!W:W)))^0.4*_xlfn.XLOOKUP(B52,'Base stats'!B:B,'Base stats'!BG:BG)^0.73)^0.6 *_xlfn.XLOOKUP(B52,'Base stats'!B:B,'Base stats'!BV:BV),0.1),0.05)
))</f>
        <v>3.6</v>
      </c>
      <c r="L52" s="11">
        <f>IF(K52="No","No",
MAX(0.01,MROUND(_xlfn.XLOOKUP(B52,'Base stats'!B:B,'Base stats'!BG:BG) * 0.01 *2, 0.01))
)</f>
        <v>2.94</v>
      </c>
      <c r="M52" s="5" t="str">
        <f>IF(K52="No","No",IF(_xlfn.XLOOKUP(_xlfn.XLOOKUP(B52,'Base stats'!B:B,'Base stats'!E:E),Groups!A:A,Groups!BD:BD)=1,"No",
MAX(0.01,MROUND(_xlfn.XLOOKUP(B52,'Base stats'!B:B,'Base stats'!BS:BS)/10000,0.01))
))</f>
        <v>No</v>
      </c>
      <c r="N52" s="4">
        <f>IF(K52="No","No",
MROUND(
  _xlfn.XLOOKUP(B52,'Base stats'!B:B,'Base stats'!BA:BA)^0.25
  / (_xlfn.XLOOKUP(B52,'Base stats'!B:B,'Base stats'!BK:BK)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stats'!BU:BU),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stats'!BH:BH)^0.73)^0.6 *_xlfn.XLOOKUP(B52,'Base stats'!B:B,'Base stats'!BV:BV),0.1),0.05)
)</f>
        <v>No</v>
      </c>
      <c r="P52" s="11" t="str">
        <f>IF(O52="No","No",
MAX(0.01,MROUND(_xlfn.XLOOKUP(B52,'Base stats'!B:B,'Base stats'!BH:BH) * 0.01 * 2, 0.01))
)</f>
        <v>No</v>
      </c>
      <c r="Q52" s="5" t="str">
        <f>IF(O52="No","No",
MAX(0.01,MROUND(_xlfn.XLOOKUP(B52,'Base stats'!B:B,'Base stats'!BT:BT)/10000,0.01))
)</f>
        <v>No</v>
      </c>
      <c r="R52" s="4" t="str">
        <f>IF(O52="No","No",
MROUND(_xlfn.XLOOKUP(B52,'Base stats'!B:B,'Base stats'!AZ:AZ)^0.25
/((_xlfn.XLOOKUP(B52,'Base stats'!B:B,'Base stats'!BL:BL))*10)*_xlfn.XLOOKUP(_xlfn.XLOOKUP(B52,'Base stats'!B:B,'Base stats'!E:E),Groups!A:A,Groups!Z:Z)*150 + 0.5 + _xlfn.XLOOKUP(B52,'Base stats'!B:B,'Base stats'!BU:BU),
0.05))</f>
        <v>No</v>
      </c>
      <c r="S52" s="3" t="str">
        <f>IF(Animals!AI52="No","No",
IF(_xlfn.XLOOKUP(B52,'Base stats'!B:B,'Base stats'!U:U)="No",
MAX(MROUND(_xlfn.XLOOKUP(B52,'Base stats'!B:B,'Base stats'!BR:BR) * _xlfn.XLOOKUP(B52,'Base stats'!B:B,'Base stats'!BN:BN)^0.9 / 21 * _xlfn.XLOOKUP(B52,'Base stats'!B:B,'Base stats'!BV:BV),0.1),0.05),
MAX(MROUND(((MIN(12,_xlfn.XLOOKUP(B52,'Base stats'!B:B,'Base stats'!U:U)))^0.4*_xlfn.XLOOKUP(B52,'Base stats'!B:B,'Base stats'!BF:BF)^0.73)^0.6 * _xlfn.XLOOKUP(B52,'Base stats'!B:B,'Base stats'!BV:BV),0.1),0.05)
))</f>
        <v>No</v>
      </c>
      <c r="T52" s="11" t="str">
        <f>IF(S52="No","No",
MAX(0.01,MROUND(_xlfn.XLOOKUP(B52,'Base stats'!B:B,'Base stats'!BF:BF) * 0.01 * 2, 0.01))
)</f>
        <v>No</v>
      </c>
      <c r="U52" s="5" t="str">
        <f>IF(S52="No","No",IF(_xlfn.XLOOKUP(B52,'Base stats'!B:B,'Base stats'!U:U)="No","No",
MAX(0.01,MROUND(_xlfn.XLOOKUP(B52,'Base stats'!B:B,'Base stats'!BR:BR)/10000,0.01))
))</f>
        <v>No</v>
      </c>
      <c r="V52" s="4" t="str">
        <f>IF(S52="No","No",
MROUND(_xlfn.XLOOKUP(B52,'Base stats'!B:B,'Base stats'!BD:BD)^0.25
/((_xlfn.XLOOKUP(B52,'Base stats'!B:B,'Base stats'!BM:BM))*10)*_xlfn.XLOOKUP(_xlfn.XLOOKUP(B52,'Base stats'!B:B,'Base stats'!E:E),Groups!A:A,Groups!AE:AE)*150 + 0.5 + _xlfn.XLOOKUP(B52,'Base stats'!B:B,'Base stats'!BU:BU),
0.05))</f>
        <v>No</v>
      </c>
      <c r="W52" s="8">
        <f>MROUND(_xlfn.XLOOKUP(_xlfn.XLOOKUP(B52,'Base stats'!B:B,'Base stats'!E:E),Groups!A:A,Groups!BG:BG)*_xlfn.XLOOKUP(B52,'Base stats'!B:B,'Base stats'!C:C)^-0.165,0.01)</f>
        <v>0.25</v>
      </c>
      <c r="X52" s="1">
        <f>MROUND(_xlfn.XLOOKUP(_xlfn.XLOOKUP(B52,'Base stats'!B:B,'Base stats'!E:E),Groups!A:A,Groups!BH:BH)*_xlfn.XLOOKUP(B52,'Base stats'!B:B,'Base stats'!C:C)^0.165,0.01)</f>
        <v>0</v>
      </c>
      <c r="Y52" s="8">
        <f>MROUND(_xlfn.XLOOKUP(_xlfn.XLOOKUP(B52,'Base stats'!B:B,'Base stats'!E:E),Groups!A:A,Groups!BI:BI)*_xlfn.XLOOKUP(B52,'Base stats'!B:B,'Base stats'!C:C)^0.165,0.01)</f>
        <v>0</v>
      </c>
      <c r="Z52" s="18">
        <f>ROUND(_xlfn.XLOOKUP(B52,'Base stats'!B:B,'Base stats'!AO:AO)*_xlfn.XLOOKUP(_xlfn.XLOOKUP(B52,'Base stats'!B:B,'Base stats'!E:E),Groups!A:A,Groups!H:H)/1000,2)</f>
        <v>0.04</v>
      </c>
      <c r="AA52" s="18">
        <f>ROUND((1/2)*(_xlfn.XLOOKUP(_xlfn.XLOOKUP(B52,'Base stats'!B:B,'Base stats'!E:E),Groups!A:A,Groups!H:H)*_xlfn.XLOOKUP(_xlfn.XLOOKUP(B52,'Base stats'!B:B,'Base stats'!E:E),Groups!A:A,Groups!I:I))*_xlfn.XLOOKUP(B52,'Base stats'!B:B,'Base stats'!AO:AO)*0.01,2)</f>
        <v>0.23</v>
      </c>
      <c r="AB52" s="18">
        <f>250*(Animals!AO52+Animals!AP52)</f>
        <v>475.00000000000006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stats'!BQ:BQ) * (_xlfn.XLOOKUP(B53,'Base stats'!B:B,'Base stats'!AM:AM)*5%)^0.9 / 21,0.1),0.05)</f>
        <v>1.9000000000000001</v>
      </c>
      <c r="E53" s="11">
        <f>MAX(0.01,MROUND(_xlfn.XLOOKUP(B53,'Base stats'!B:B,'Base stats'!BE:BE) * 0.01 * 2, 0.01))</f>
        <v>1.55</v>
      </c>
      <c r="F53" s="7">
        <f>MROUND(_xlfn.XLOOKUP(B53,'Base stats'!B:B,'Base stats'!BB:BB)^0.25 / (_xlfn.XLOOKUP(B53,'Base stats'!B:B,'Base stats'!BI:BI) * 10) * 150 + 0.5 + _xlfn.XLOOKUP(B53,'Base stats'!B:B,'Base stats'!BU:BU), 0.05)</f>
        <v>1.6</v>
      </c>
      <c r="G53" s="3">
        <f>IF(Animals!S53="No","No",
IF(_xlfn.XLOOKUP(B53,'Base stats'!B:B,'Base stats'!U:U)="No",
MAX(MROUND(_xlfn.XLOOKUP(B53,'Base stats'!B:B,'Base stats'!BR:BR) * _xlfn.XLOOKUP(B53,'Base stats'!B:B,'Base stats'!BN:BN)^0.9 / 21 * _xlfn.XLOOKUP(B53,'Base stats'!B:B,'Base stats'!BV:BV),0.1),0.05),
MAX(MROUND(((MIN(10,_xlfn.XLOOKUP(B53,'Base stats'!B:B,'Base stats'!U:U)))^0.4*_xlfn.XLOOKUP(B53,'Base stats'!B:B,'Base stats'!BF:BF)^0.73)^0.6 * _xlfn.XLOOKUP(B53,'Base stats'!B:B,'Base stats'!BV:BV),0.1),0.05)
))</f>
        <v>3.7</v>
      </c>
      <c r="H53" s="11">
        <f>IF(G53="No","No",
MAX(0.01,MROUND(_xlfn.XLOOKUP(B53,'Base stats'!B:B,'Base stats'!BF:BF) * 0.01 * 2, 0.01))
)</f>
        <v>2.02</v>
      </c>
      <c r="I53" s="11" t="str">
        <f>IF(G53="No","No",IF(_xlfn.XLOOKUP(B53,'Base stats'!B:B,'Base stats'!U:U)="No","No",
MAX(0.01,MROUND(_xlfn.XLOOKUP(B53,'Base stats'!B:B,'Base stats'!BR:BR)/10000,0.01))
))</f>
        <v>No</v>
      </c>
      <c r="J53" s="4">
        <f>IF(G53="No","No",
MROUND(_xlfn.XLOOKUP(B53,'Base stats'!B:B,'Base stats'!BC:BC)^0.25
/((_xlfn.XLOOKUP(B53,'Base stats'!B:B,'Base stats'!BJ:BJ))*10)*_xlfn.XLOOKUP(_xlfn.XLOOKUP(B53,'Base stats'!B:B,'Base stats'!E:E),Groups!A:A,Groups!Q:Q)*150 + 0.5 + _xlfn.XLOOKUP(B53,'Base stats'!B:B,'Base stats'!BU:BU),
0.05))</f>
        <v>2.0500000000000003</v>
      </c>
      <c r="K53" s="3">
        <f>IF(Animals!X53="No","No",
IF(_xlfn.XLOOKUP(_xlfn.XLOOKUP(B53,'Base stats'!B:B,'Base stats'!E:E),Groups!A:A,Groups!BD:BD)=1,
MAX(MROUND(_xlfn.XLOOKUP(B53,'Base stats'!B:B,'Base stats'!BS:BS) * _xlfn.XLOOKUP(B53,'Base stats'!B:B,'Base stats'!BO:BO)^0.9 / 21 *_xlfn.XLOOKUP(B53,'Base stats'!B:B,'Base stats'!BV:BV),0.1),0.05),
MAX(MROUND(((MIN(10,_xlfn.XLOOKUP(B53,'Base stats'!B:B,'Base stats'!W:W)))^0.4*_xlfn.XLOOKUP(B53,'Base stats'!B:B,'Base stats'!BG:BG)^0.73)^0.6 *_xlfn.XLOOKUP(B53,'Base stats'!B:B,'Base stats'!BV:BV),0.1),0.05)
))</f>
        <v>14.200000000000001</v>
      </c>
      <c r="L53" s="11">
        <f>IF(K53="No","No",
MAX(0.01,MROUND(_xlfn.XLOOKUP(B53,'Base stats'!B:B,'Base stats'!BG:BG) * 0.01 *2, 0.01))
)</f>
        <v>2.42</v>
      </c>
      <c r="M53" s="5">
        <f>IF(K53="No","No",IF(_xlfn.XLOOKUP(_xlfn.XLOOKUP(B53,'Base stats'!B:B,'Base stats'!E:E),Groups!A:A,Groups!BD:BD)=1,"No",
MAX(0.01,MROUND(_xlfn.XLOOKUP(B53,'Base stats'!B:B,'Base stats'!BS:BS)/10000,0.01))
))</f>
        <v>0.16</v>
      </c>
      <c r="N53" s="4">
        <f>IF(K53="No","No",
MROUND(
  _xlfn.XLOOKUP(B53,'Base stats'!B:B,'Base stats'!BA:BA)^0.25
  / (_xlfn.XLOOKUP(B53,'Base stats'!B:B,'Base stats'!BK:BK)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stats'!BU:BU),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stats'!BH:BH)^0.73)^0.6 *_xlfn.XLOOKUP(B53,'Base stats'!B:B,'Base stats'!BV:BV),0.1),0.05)
)</f>
        <v>No</v>
      </c>
      <c r="P53" s="11" t="str">
        <f>IF(O53="No","No",
MAX(0.01,MROUND(_xlfn.XLOOKUP(B53,'Base stats'!B:B,'Base stats'!BH:BH) * 0.01 * 2, 0.01))
)</f>
        <v>No</v>
      </c>
      <c r="Q53" s="5" t="str">
        <f>IF(O53="No","No",
MAX(0.01,MROUND(_xlfn.XLOOKUP(B53,'Base stats'!B:B,'Base stats'!BT:BT)/10000,0.01))
)</f>
        <v>No</v>
      </c>
      <c r="R53" s="4" t="str">
        <f>IF(O53="No","No",
MROUND(_xlfn.XLOOKUP(B53,'Base stats'!B:B,'Base stats'!AZ:AZ)^0.25
/((_xlfn.XLOOKUP(B53,'Base stats'!B:B,'Base stats'!BL:BL))*10)*_xlfn.XLOOKUP(_xlfn.XLOOKUP(B53,'Base stats'!B:B,'Base stats'!E:E),Groups!A:A,Groups!Z:Z)*150 + 0.5 + _xlfn.XLOOKUP(B53,'Base stats'!B:B,'Base stats'!BU:BU),
0.05))</f>
        <v>No</v>
      </c>
      <c r="S53" s="3" t="str">
        <f>IF(Animals!AI53="No","No",
IF(_xlfn.XLOOKUP(B53,'Base stats'!B:B,'Base stats'!U:U)="No",
MAX(MROUND(_xlfn.XLOOKUP(B53,'Base stats'!B:B,'Base stats'!BR:BR) * _xlfn.XLOOKUP(B53,'Base stats'!B:B,'Base stats'!BN:BN)^0.9 / 21 * _xlfn.XLOOKUP(B53,'Base stats'!B:B,'Base stats'!BV:BV),0.1),0.05),
MAX(MROUND(((MIN(12,_xlfn.XLOOKUP(B53,'Base stats'!B:B,'Base stats'!U:U)))^0.4*_xlfn.XLOOKUP(B53,'Base stats'!B:B,'Base stats'!BF:BF)^0.73)^0.6 * _xlfn.XLOOKUP(B53,'Base stats'!B:B,'Base stats'!BV:BV),0.1),0.05)
))</f>
        <v>No</v>
      </c>
      <c r="T53" s="11" t="str">
        <f>IF(S53="No","No",
MAX(0.01,MROUND(_xlfn.XLOOKUP(B53,'Base stats'!B:B,'Base stats'!BF:BF) * 0.01 * 2, 0.01))
)</f>
        <v>No</v>
      </c>
      <c r="U53" s="5" t="str">
        <f>IF(S53="No","No",IF(_xlfn.XLOOKUP(B53,'Base stats'!B:B,'Base stats'!U:U)="No","No",
MAX(0.01,MROUND(_xlfn.XLOOKUP(B53,'Base stats'!B:B,'Base stats'!BR:BR)/10000,0.01))
))</f>
        <v>No</v>
      </c>
      <c r="V53" s="4" t="str">
        <f>IF(S53="No","No",
MROUND(_xlfn.XLOOKUP(B53,'Base stats'!B:B,'Base stats'!BD:BD)^0.25
/((_xlfn.XLOOKUP(B53,'Base stats'!B:B,'Base stats'!BM:BM))*10)*_xlfn.XLOOKUP(_xlfn.XLOOKUP(B53,'Base stats'!B:B,'Base stats'!E:E),Groups!A:A,Groups!AE:AE)*150 + 0.5 + _xlfn.XLOOKUP(B53,'Base stats'!B:B,'Base stats'!BU:BU),
0.05))</f>
        <v>No</v>
      </c>
      <c r="W53" s="8">
        <f>MROUND(_xlfn.XLOOKUP(_xlfn.XLOOKUP(B53,'Base stats'!B:B,'Base stats'!E:E),Groups!A:A,Groups!BG:BG)*_xlfn.XLOOKUP(B53,'Base stats'!B:B,'Base stats'!C:C)^-0.165,0.01)</f>
        <v>0.26</v>
      </c>
      <c r="X53" s="1">
        <f>MROUND(_xlfn.XLOOKUP(_xlfn.XLOOKUP(B53,'Base stats'!B:B,'Base stats'!E:E),Groups!A:A,Groups!BH:BH)*_xlfn.XLOOKUP(B53,'Base stats'!B:B,'Base stats'!C:C)^0.165,0.01)</f>
        <v>0</v>
      </c>
      <c r="Y53" s="8">
        <f>MROUND(_xlfn.XLOOKUP(_xlfn.XLOOKUP(B53,'Base stats'!B:B,'Base stats'!E:E),Groups!A:A,Groups!BI:BI)*_xlfn.XLOOKUP(B53,'Base stats'!B:B,'Base stats'!C:C)^0.165,0.01)</f>
        <v>0</v>
      </c>
      <c r="Z53" s="18">
        <f>ROUND(_xlfn.XLOOKUP(B53,'Base stats'!B:B,'Base stats'!AO:AO)*_xlfn.XLOOKUP(_xlfn.XLOOKUP(B53,'Base stats'!B:B,'Base stats'!E:E),Groups!A:A,Groups!H:H)/1000,2)</f>
        <v>0.04</v>
      </c>
      <c r="AA53" s="18">
        <f>ROUND((1/2)*(_xlfn.XLOOKUP(_xlfn.XLOOKUP(B53,'Base stats'!B:B,'Base stats'!E:E),Groups!A:A,Groups!H:H)*_xlfn.XLOOKUP(_xlfn.XLOOKUP(B53,'Base stats'!B:B,'Base stats'!E:E),Groups!A:A,Groups!I:I))*_xlfn.XLOOKUP(B53,'Base stats'!B:B,'Base stats'!AO:AO)*0.01,2)</f>
        <v>0.22</v>
      </c>
      <c r="AB53" s="18">
        <f>250*(Animals!AO53+Animals!AP53)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stats'!BQ:BQ) * (_xlfn.XLOOKUP(B54,'Base stats'!B:B,'Base stats'!AM:AM)*5%)^0.9 / 21,0.1),0.05)</f>
        <v>0.9</v>
      </c>
      <c r="E54" s="11">
        <f>MAX(0.01,MROUND(_xlfn.XLOOKUP(B54,'Base stats'!B:B,'Base stats'!BE:BE) * 0.01 * 2, 0.01))</f>
        <v>0.69000000000000006</v>
      </c>
      <c r="F54" s="7">
        <f>MROUND(_xlfn.XLOOKUP(B54,'Base stats'!B:B,'Base stats'!BB:BB)^0.25 / (_xlfn.XLOOKUP(B54,'Base stats'!B:B,'Base stats'!BI:BI) * 10) * 150 + 0.5 + _xlfn.XLOOKUP(B54,'Base stats'!B:B,'Base stats'!BU:BU), 0.05)</f>
        <v>1.5</v>
      </c>
      <c r="G54" s="3">
        <f>IF(Animals!S54="No","No",
IF(_xlfn.XLOOKUP(B54,'Base stats'!B:B,'Base stats'!U:U)="No",
MAX(MROUND(_xlfn.XLOOKUP(B54,'Base stats'!B:B,'Base stats'!BR:BR) * _xlfn.XLOOKUP(B54,'Base stats'!B:B,'Base stats'!BN:BN)^0.9 / 21 * _xlfn.XLOOKUP(B54,'Base stats'!B:B,'Base stats'!BV:BV),0.1),0.05),
MAX(MROUND(((MIN(10,_xlfn.XLOOKUP(B54,'Base stats'!B:B,'Base stats'!U:U)))^0.4*_xlfn.XLOOKUP(B54,'Base stats'!B:B,'Base stats'!BF:BF)^0.73)^0.6 * _xlfn.XLOOKUP(B54,'Base stats'!B:B,'Base stats'!BV:BV),0.1),0.05)
))</f>
        <v>1.9000000000000001</v>
      </c>
      <c r="H54" s="11">
        <f>IF(G54="No","No",
MAX(0.01,MROUND(_xlfn.XLOOKUP(B54,'Base stats'!B:B,'Base stats'!BF:BF) * 0.01 * 2, 0.01))
)</f>
        <v>0.94000000000000006</v>
      </c>
      <c r="I54" s="11" t="str">
        <f>IF(G54="No","No",IF(_xlfn.XLOOKUP(B54,'Base stats'!B:B,'Base stats'!U:U)="No","No",
MAX(0.01,MROUND(_xlfn.XLOOKUP(B54,'Base stats'!B:B,'Base stats'!BR:BR)/10000,0.01))
))</f>
        <v>No</v>
      </c>
      <c r="J54" s="4">
        <f>IF(G54="No","No",
MROUND(_xlfn.XLOOKUP(B54,'Base stats'!B:B,'Base stats'!BC:BC)^0.25
/((_xlfn.XLOOKUP(B54,'Base stats'!B:B,'Base stats'!BJ:BJ))*10)*_xlfn.XLOOKUP(_xlfn.XLOOKUP(B54,'Base stats'!B:B,'Base stats'!E:E),Groups!A:A,Groups!Q:Q)*150 + 0.5 + _xlfn.XLOOKUP(B54,'Base stats'!B:B,'Base stats'!BU:BU),
0.05))</f>
        <v>1.9500000000000002</v>
      </c>
      <c r="K54" s="3">
        <f>IF(Animals!X54="No","No",
IF(_xlfn.XLOOKUP(_xlfn.XLOOKUP(B54,'Base stats'!B:B,'Base stats'!E:E),Groups!A:A,Groups!BD:BD)=1,
MAX(MROUND(_xlfn.XLOOKUP(B54,'Base stats'!B:B,'Base stats'!BS:BS) * _xlfn.XLOOKUP(B54,'Base stats'!B:B,'Base stats'!BO:BO)^0.9 / 21 *_xlfn.XLOOKUP(B54,'Base stats'!B:B,'Base stats'!BV:BV),0.1),0.05),
MAX(MROUND(((MIN(10,_xlfn.XLOOKUP(B54,'Base stats'!B:B,'Base stats'!W:W)))^0.4*_xlfn.XLOOKUP(B54,'Base stats'!B:B,'Base stats'!BG:BG)^0.73)^0.6 *_xlfn.XLOOKUP(B54,'Base stats'!B:B,'Base stats'!BV:BV),0.1),0.05)
))</f>
        <v>10.200000000000001</v>
      </c>
      <c r="L54" s="11">
        <f>IF(K54="No","No",
MAX(0.01,MROUND(_xlfn.XLOOKUP(B54,'Base stats'!B:B,'Base stats'!BG:BG) * 0.01 *2, 0.01))
)</f>
        <v>1.1300000000000001</v>
      </c>
      <c r="M54" s="5">
        <f>IF(K54="No","No",IF(_xlfn.XLOOKUP(_xlfn.XLOOKUP(B54,'Base stats'!B:B,'Base stats'!E:E),Groups!A:A,Groups!BD:BD)=1,"No",
MAX(0.01,MROUND(_xlfn.XLOOKUP(B54,'Base stats'!B:B,'Base stats'!BS:BS)/10000,0.01))
))</f>
        <v>0.09</v>
      </c>
      <c r="N54" s="4">
        <f>IF(K54="No","No",
MROUND(
  _xlfn.XLOOKUP(B54,'Base stats'!B:B,'Base stats'!BA:BA)^0.25
  / (_xlfn.XLOOKUP(B54,'Base stats'!B:B,'Base stats'!BK:BK)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stats'!BU:BU),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stats'!BH:BH)^0.73)^0.6 *_xlfn.XLOOKUP(B54,'Base stats'!B:B,'Base stats'!BV:BV),0.1),0.05)
)</f>
        <v>No</v>
      </c>
      <c r="P54" s="11" t="str">
        <f>IF(O54="No","No",
MAX(0.01,MROUND(_xlfn.XLOOKUP(B54,'Base stats'!B:B,'Base stats'!BH:BH) * 0.01 * 2, 0.01))
)</f>
        <v>No</v>
      </c>
      <c r="Q54" s="5" t="str">
        <f>IF(O54="No","No",
MAX(0.01,MROUND(_xlfn.XLOOKUP(B54,'Base stats'!B:B,'Base stats'!BT:BT)/10000,0.01))
)</f>
        <v>No</v>
      </c>
      <c r="R54" s="4" t="str">
        <f>IF(O54="No","No",
MROUND(_xlfn.XLOOKUP(B54,'Base stats'!B:B,'Base stats'!AZ:AZ)^0.25
/((_xlfn.XLOOKUP(B54,'Base stats'!B:B,'Base stats'!BL:BL))*10)*_xlfn.XLOOKUP(_xlfn.XLOOKUP(B54,'Base stats'!B:B,'Base stats'!E:E),Groups!A:A,Groups!Z:Z)*150 + 0.5 + _xlfn.XLOOKUP(B54,'Base stats'!B:B,'Base stats'!BU:BU),
0.05))</f>
        <v>No</v>
      </c>
      <c r="S54" s="3" t="str">
        <f>IF(Animals!AI54="No","No",
IF(_xlfn.XLOOKUP(B54,'Base stats'!B:B,'Base stats'!U:U)="No",
MAX(MROUND(_xlfn.XLOOKUP(B54,'Base stats'!B:B,'Base stats'!BR:BR) * _xlfn.XLOOKUP(B54,'Base stats'!B:B,'Base stats'!BN:BN)^0.9 / 21 * _xlfn.XLOOKUP(B54,'Base stats'!B:B,'Base stats'!BV:BV),0.1),0.05),
MAX(MROUND(((MIN(12,_xlfn.XLOOKUP(B54,'Base stats'!B:B,'Base stats'!U:U)))^0.4*_xlfn.XLOOKUP(B54,'Base stats'!B:B,'Base stats'!BF:BF)^0.73)^0.6 * _xlfn.XLOOKUP(B54,'Base stats'!B:B,'Base stats'!BV:BV),0.1),0.05)
))</f>
        <v>No</v>
      </c>
      <c r="T54" s="11" t="str">
        <f>IF(S54="No","No",
MAX(0.01,MROUND(_xlfn.XLOOKUP(B54,'Base stats'!B:B,'Base stats'!BF:BF) * 0.01 * 2, 0.01))
)</f>
        <v>No</v>
      </c>
      <c r="U54" s="5" t="str">
        <f>IF(S54="No","No",IF(_xlfn.XLOOKUP(B54,'Base stats'!B:B,'Base stats'!U:U)="No","No",
MAX(0.01,MROUND(_xlfn.XLOOKUP(B54,'Base stats'!B:B,'Base stats'!BR:BR)/10000,0.01))
))</f>
        <v>No</v>
      </c>
      <c r="V54" s="4" t="str">
        <f>IF(S54="No","No",
MROUND(_xlfn.XLOOKUP(B54,'Base stats'!B:B,'Base stats'!BD:BD)^0.25
/((_xlfn.XLOOKUP(B54,'Base stats'!B:B,'Base stats'!BM:BM))*10)*_xlfn.XLOOKUP(_xlfn.XLOOKUP(B54,'Base stats'!B:B,'Base stats'!E:E),Groups!A:A,Groups!AE:AE)*150 + 0.5 + _xlfn.XLOOKUP(B54,'Base stats'!B:B,'Base stats'!BU:BU),
0.05))</f>
        <v>No</v>
      </c>
      <c r="W54" s="8">
        <f>MROUND(_xlfn.XLOOKUP(_xlfn.XLOOKUP(B54,'Base stats'!B:B,'Base stats'!E:E),Groups!A:A,Groups!BG:BG)*_xlfn.XLOOKUP(B54,'Base stats'!B:B,'Base stats'!C:C)^-0.165,0.01)</f>
        <v>0.3</v>
      </c>
      <c r="X54" s="1">
        <f>MROUND(_xlfn.XLOOKUP(_xlfn.XLOOKUP(B54,'Base stats'!B:B,'Base stats'!E:E),Groups!A:A,Groups!BH:BH)*_xlfn.XLOOKUP(B54,'Base stats'!B:B,'Base stats'!C:C)^0.165,0.01)</f>
        <v>0</v>
      </c>
      <c r="Y54" s="8">
        <f>MROUND(_xlfn.XLOOKUP(_xlfn.XLOOKUP(B54,'Base stats'!B:B,'Base stats'!E:E),Groups!A:A,Groups!BI:BI)*_xlfn.XLOOKUP(B54,'Base stats'!B:B,'Base stats'!C:C)^0.165,0.01)</f>
        <v>0</v>
      </c>
      <c r="Z54" s="18">
        <f>ROUND(_xlfn.XLOOKUP(B54,'Base stats'!B:B,'Base stats'!AO:AO)*_xlfn.XLOOKUP(_xlfn.XLOOKUP(B54,'Base stats'!B:B,'Base stats'!E:E),Groups!A:A,Groups!H:H)/1000,2)</f>
        <v>0.03</v>
      </c>
      <c r="AA54" s="18">
        <f>ROUND((1/2)*(_xlfn.XLOOKUP(_xlfn.XLOOKUP(B54,'Base stats'!B:B,'Base stats'!E:E),Groups!A:A,Groups!H:H)*_xlfn.XLOOKUP(_xlfn.XLOOKUP(B54,'Base stats'!B:B,'Base stats'!E:E),Groups!A:A,Groups!I:I))*_xlfn.XLOOKUP(B54,'Base stats'!B:B,'Base stats'!AO:AO)*0.01,2)</f>
        <v>0.17</v>
      </c>
      <c r="AB54" s="18">
        <f>250*(Animals!AO54+Animals!AP54)</f>
        <v>300.00000000000006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stats'!BQ:BQ) * (_xlfn.XLOOKUP(B55,'Base stats'!B:B,'Base stats'!AM:AM)*5%)^0.9 / 21,0.1),0.05)</f>
        <v>5.5</v>
      </c>
      <c r="E55" s="11">
        <f>MAX(0.01,MROUND(_xlfn.XLOOKUP(B55,'Base stats'!B:B,'Base stats'!BE:BE) * 0.01 * 2, 0.01))</f>
        <v>4.8500000000000005</v>
      </c>
      <c r="F55" s="7">
        <f>MROUND(_xlfn.XLOOKUP(B55,'Base stats'!B:B,'Base stats'!BB:BB)^0.25 / (_xlfn.XLOOKUP(B55,'Base stats'!B:B,'Base stats'!BI:BI) * 10) * 150 + 0.5 + _xlfn.XLOOKUP(B55,'Base stats'!B:B,'Base stats'!BU:BU), 0.05)</f>
        <v>2.15</v>
      </c>
      <c r="G55" s="3" t="str">
        <f>IF(Animals!S55="No","No",
IF(_xlfn.XLOOKUP(B55,'Base stats'!B:B,'Base stats'!U:U)="No",
MAX(MROUND(_xlfn.XLOOKUP(B55,'Base stats'!B:B,'Base stats'!BR:BR) * _xlfn.XLOOKUP(B55,'Base stats'!B:B,'Base stats'!BN:BN)^0.9 / 21 * _xlfn.XLOOKUP(B55,'Base stats'!B:B,'Base stats'!BV:BV),0.1),0.05),
MAX(MROUND(((MIN(10,_xlfn.XLOOKUP(B55,'Base stats'!B:B,'Base stats'!U:U)))^0.4*_xlfn.XLOOKUP(B55,'Base stats'!B:B,'Base stats'!BF:BF)^0.73)^0.6 * _xlfn.XLOOKUP(B55,'Base stats'!B:B,'Base stats'!BV:BV),0.1),0.05)
))</f>
        <v>No</v>
      </c>
      <c r="H55" s="11" t="str">
        <f>IF(G55="No","No",
MAX(0.01,MROUND(_xlfn.XLOOKUP(B55,'Base stats'!B:B,'Base stats'!BF:BF) * 0.01 * 2, 0.01))
)</f>
        <v>No</v>
      </c>
      <c r="I55" s="11" t="str">
        <f>IF(G55="No","No",IF(_xlfn.XLOOKUP(B55,'Base stats'!B:B,'Base stats'!U:U)="No","No",
MAX(0.01,MROUND(_xlfn.XLOOKUP(B55,'Base stats'!B:B,'Base stats'!BR:BR)/10000,0.01))
))</f>
        <v>No</v>
      </c>
      <c r="J55" s="4" t="str">
        <f>IF(G55="No","No",
MROUND(_xlfn.XLOOKUP(B55,'Base stats'!B:B,'Base stats'!BC:BC)^0.25
/((_xlfn.XLOOKUP(B55,'Base stats'!B:B,'Base stats'!BJ:BJ))*10)*_xlfn.XLOOKUP(_xlfn.XLOOKUP(B55,'Base stats'!B:B,'Base stats'!E:E),Groups!A:A,Groups!Q:Q)*150 + 0.5 + _xlfn.XLOOKUP(B55,'Base stats'!B:B,'Base stats'!BU:BU),
0.05))</f>
        <v>No</v>
      </c>
      <c r="K55" s="3" t="str">
        <f>IF(Animals!X55="No","No",
IF(_xlfn.XLOOKUP(_xlfn.XLOOKUP(B55,'Base stats'!B:B,'Base stats'!E:E),Groups!A:A,Groups!BD:BD)=1,
MAX(MROUND(_xlfn.XLOOKUP(B55,'Base stats'!B:B,'Base stats'!BS:BS) * _xlfn.XLOOKUP(B55,'Base stats'!B:B,'Base stats'!BO:BO)^0.9 / 21 *_xlfn.XLOOKUP(B55,'Base stats'!B:B,'Base stats'!BV:BV),0.1),0.05),
MAX(MROUND(((MIN(10,_xlfn.XLOOKUP(B55,'Base stats'!B:B,'Base stats'!W:W)))^0.4*_xlfn.XLOOKUP(B55,'Base stats'!B:B,'Base stats'!BG:BG)^0.73)^0.6 *_xlfn.XLOOKUP(B55,'Base stats'!B:B,'Base stats'!BV:BV),0.1),0.05)
))</f>
        <v>No</v>
      </c>
      <c r="L55" s="11" t="str">
        <f>IF(K55="No","No",
MAX(0.01,MROUND(_xlfn.XLOOKUP(B55,'Base stats'!B:B,'Base stats'!BG:BG) * 0.01 *2, 0.01))
)</f>
        <v>No</v>
      </c>
      <c r="M55" s="5" t="str">
        <f>IF(K55="No","No",IF(_xlfn.XLOOKUP(_xlfn.XLOOKUP(B55,'Base stats'!B:B,'Base stats'!E:E),Groups!A:A,Groups!BD:BD)=1,"No",
MAX(0.01,MROUND(_xlfn.XLOOKUP(B55,'Base stats'!B:B,'Base stats'!BS:BS)/10000,0.01))
))</f>
        <v>No</v>
      </c>
      <c r="N55" s="4" t="str">
        <f>IF(K55="No","No",
MROUND(
  _xlfn.XLOOKUP(B55,'Base stats'!B:B,'Base stats'!BA:BA)^0.25
  / (_xlfn.XLOOKUP(B55,'Base stats'!B:B,'Base stats'!BK:BK)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stats'!BU:BU),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stats'!BH:BH)^0.73)^0.6 *_xlfn.XLOOKUP(B55,'Base stats'!B:B,'Base stats'!BV:BV),0.1),0.05)
)</f>
        <v>30.200000000000003</v>
      </c>
      <c r="P55" s="11">
        <f>IF(O55="No","No",
MAX(0.01,MROUND(_xlfn.XLOOKUP(B55,'Base stats'!B:B,'Base stats'!BH:BH) * 0.01 * 2, 0.01))
)</f>
        <v>18.760000000000002</v>
      </c>
      <c r="Q55" s="5">
        <f>IF(O55="No","No",
MAX(0.01,MROUND(_xlfn.XLOOKUP(B55,'Base stats'!B:B,'Base stats'!BT:BT)/10000,0.01))
)</f>
        <v>0.74</v>
      </c>
      <c r="R55" s="4">
        <f>IF(O55="No","No",
MROUND(_xlfn.XLOOKUP(B55,'Base stats'!B:B,'Base stats'!AZ:AZ)^0.25
/((_xlfn.XLOOKUP(B55,'Base stats'!B:B,'Base stats'!BL:BL))*10)*_xlfn.XLOOKUP(_xlfn.XLOOKUP(B55,'Base stats'!B:B,'Base stats'!E:E),Groups!A:A,Groups!Z:Z)*150 + 0.5 + _xlfn.XLOOKUP(B55,'Base stats'!B:B,'Base stats'!BU:BU),
0.05))</f>
        <v>2.35</v>
      </c>
      <c r="S55" s="3" t="str">
        <f>IF(Animals!AI55="No","No",
IF(_xlfn.XLOOKUP(B55,'Base stats'!B:B,'Base stats'!U:U)="No",
MAX(MROUND(_xlfn.XLOOKUP(B55,'Base stats'!B:B,'Base stats'!BR:BR) * _xlfn.XLOOKUP(B55,'Base stats'!B:B,'Base stats'!BN:BN)^0.9 / 21 * _xlfn.XLOOKUP(B55,'Base stats'!B:B,'Base stats'!BV:BV),0.1),0.05),
MAX(MROUND(((MIN(12,_xlfn.XLOOKUP(B55,'Base stats'!B:B,'Base stats'!U:U)))^0.4*_xlfn.XLOOKUP(B55,'Base stats'!B:B,'Base stats'!BF:BF)^0.73)^0.6 * _xlfn.XLOOKUP(B55,'Base stats'!B:B,'Base stats'!BV:BV),0.1),0.05)
))</f>
        <v>No</v>
      </c>
      <c r="T55" s="11" t="str">
        <f>IF(S55="No","No",
MAX(0.01,MROUND(_xlfn.XLOOKUP(B55,'Base stats'!B:B,'Base stats'!BF:BF) * 0.01 * 2, 0.01))
)</f>
        <v>No</v>
      </c>
      <c r="U55" s="5" t="str">
        <f>IF(S55="No","No",IF(_xlfn.XLOOKUP(B55,'Base stats'!B:B,'Base stats'!U:U)="No","No",
MAX(0.01,MROUND(_xlfn.XLOOKUP(B55,'Base stats'!B:B,'Base stats'!BR:BR)/10000,0.01))
))</f>
        <v>No</v>
      </c>
      <c r="V55" s="4" t="str">
        <f>IF(S55="No","No",
MROUND(_xlfn.XLOOKUP(B55,'Base stats'!B:B,'Base stats'!BD:BD)^0.25
/((_xlfn.XLOOKUP(B55,'Base stats'!B:B,'Base stats'!BM:BM))*10)*_xlfn.XLOOKUP(_xlfn.XLOOKUP(B55,'Base stats'!B:B,'Base stats'!E:E),Groups!A:A,Groups!AE:AE)*150 + 0.5 + _xlfn.XLOOKUP(B55,'Base stats'!B:B,'Base stats'!BU:BU),
0.05))</f>
        <v>No</v>
      </c>
      <c r="W55" s="8">
        <f>MROUND(_xlfn.XLOOKUP(_xlfn.XLOOKUP(B55,'Base stats'!B:B,'Base stats'!E:E),Groups!A:A,Groups!BG:BG)*_xlfn.XLOOKUP(B55,'Base stats'!B:B,'Base stats'!C:C)^-0.165,0.01)</f>
        <v>0.42</v>
      </c>
      <c r="X55" s="1">
        <f>MROUND(_xlfn.XLOOKUP(_xlfn.XLOOKUP(B55,'Base stats'!B:B,'Base stats'!E:E),Groups!A:A,Groups!BH:BH)*_xlfn.XLOOKUP(B55,'Base stats'!B:B,'Base stats'!C:C)^0.165,0.01)</f>
        <v>0.48</v>
      </c>
      <c r="Y55" s="8">
        <f>MROUND(_xlfn.XLOOKUP(_xlfn.XLOOKUP(B55,'Base stats'!B:B,'Base stats'!E:E),Groups!A:A,Groups!BI:BI)*_xlfn.XLOOKUP(B55,'Base stats'!B:B,'Base stats'!C:C)^0.165,0.01)</f>
        <v>0.06</v>
      </c>
      <c r="Z55" s="18">
        <f>ROUND(_xlfn.XLOOKUP(B55,'Base stats'!B:B,'Base stats'!AO:AO)*_xlfn.XLOOKUP(_xlfn.XLOOKUP(B55,'Base stats'!B:B,'Base stats'!E:E),Groups!A:A,Groups!H:H)/1000,2)</f>
        <v>0.14000000000000001</v>
      </c>
      <c r="AA55" s="18">
        <f>ROUND((1/2)*(_xlfn.XLOOKUP(_xlfn.XLOOKUP(B55,'Base stats'!B:B,'Base stats'!E:E),Groups!A:A,Groups!H:H)*_xlfn.XLOOKUP(_xlfn.XLOOKUP(B55,'Base stats'!B:B,'Base stats'!E:E),Groups!A:A,Groups!I:I))*_xlfn.XLOOKUP(B55,'Base stats'!B:B,'Base stats'!AO:AO)*0.01,2)</f>
        <v>1.07</v>
      </c>
      <c r="AB55" s="18">
        <f>250*(Animals!AO55+Animals!AP55)</f>
        <v>987.5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stats'!BQ:BQ) * (_xlfn.XLOOKUP(B56,'Base stats'!B:B,'Base stats'!AM:AM)*5%)^0.9 / 21,0.1),0.05)</f>
        <v>1.4000000000000001</v>
      </c>
      <c r="E56" s="11">
        <f>MAX(0.01,MROUND(_xlfn.XLOOKUP(B56,'Base stats'!B:B,'Base stats'!BE:BE) * 0.01 * 2, 0.01))</f>
        <v>1.1200000000000001</v>
      </c>
      <c r="F56" s="7">
        <f>MROUND(_xlfn.XLOOKUP(B56,'Base stats'!B:B,'Base stats'!BB:BB)^0.25 / (_xlfn.XLOOKUP(B56,'Base stats'!B:B,'Base stats'!BI:BI) * 10) * 150 + 0.5 + _xlfn.XLOOKUP(B56,'Base stats'!B:B,'Base stats'!BU:BU), 0.05)</f>
        <v>1.8</v>
      </c>
      <c r="G56" s="3" t="str">
        <f>IF(Animals!S56="No","No",
IF(_xlfn.XLOOKUP(B56,'Base stats'!B:B,'Base stats'!U:U)="No",
MAX(MROUND(_xlfn.XLOOKUP(B56,'Base stats'!B:B,'Base stats'!BR:BR) * _xlfn.XLOOKUP(B56,'Base stats'!B:B,'Base stats'!BN:BN)^0.9 / 21 * _xlfn.XLOOKUP(B56,'Base stats'!B:B,'Base stats'!BV:BV),0.1),0.05),
MAX(MROUND(((MIN(10,_xlfn.XLOOKUP(B56,'Base stats'!B:B,'Base stats'!U:U)))^0.4*_xlfn.XLOOKUP(B56,'Base stats'!B:B,'Base stats'!BF:BF)^0.73)^0.6 * _xlfn.XLOOKUP(B56,'Base stats'!B:B,'Base stats'!BV:BV),0.1),0.05)
))</f>
        <v>No</v>
      </c>
      <c r="H56" s="11" t="str">
        <f>IF(G56="No","No",
MAX(0.01,MROUND(_xlfn.XLOOKUP(B56,'Base stats'!B:B,'Base stats'!BF:BF) * 0.01 * 2, 0.01))
)</f>
        <v>No</v>
      </c>
      <c r="I56" s="11" t="str">
        <f>IF(G56="No","No",IF(_xlfn.XLOOKUP(B56,'Base stats'!B:B,'Base stats'!U:U)="No","No",
MAX(0.01,MROUND(_xlfn.XLOOKUP(B56,'Base stats'!B:B,'Base stats'!BR:BR)/10000,0.01))
))</f>
        <v>No</v>
      </c>
      <c r="J56" s="4" t="str">
        <f>IF(G56="No","No",
MROUND(_xlfn.XLOOKUP(B56,'Base stats'!B:B,'Base stats'!BC:BC)^0.25
/((_xlfn.XLOOKUP(B56,'Base stats'!B:B,'Base stats'!BJ:BJ))*10)*_xlfn.XLOOKUP(_xlfn.XLOOKUP(B56,'Base stats'!B:B,'Base stats'!E:E),Groups!A:A,Groups!Q:Q)*150 + 0.5 + _xlfn.XLOOKUP(B56,'Base stats'!B:B,'Base stats'!BU:BU),
0.05))</f>
        <v>No</v>
      </c>
      <c r="K56" s="3" t="str">
        <f>IF(Animals!X56="No","No",
IF(_xlfn.XLOOKUP(_xlfn.XLOOKUP(B56,'Base stats'!B:B,'Base stats'!E:E),Groups!A:A,Groups!BD:BD)=1,
MAX(MROUND(_xlfn.XLOOKUP(B56,'Base stats'!B:B,'Base stats'!BS:BS) * _xlfn.XLOOKUP(B56,'Base stats'!B:B,'Base stats'!BO:BO)^0.9 / 21 *_xlfn.XLOOKUP(B56,'Base stats'!B:B,'Base stats'!BV:BV),0.1),0.05),
MAX(MROUND(((MIN(10,_xlfn.XLOOKUP(B56,'Base stats'!B:B,'Base stats'!W:W)))^0.4*_xlfn.XLOOKUP(B56,'Base stats'!B:B,'Base stats'!BG:BG)^0.73)^0.6 *_xlfn.XLOOKUP(B56,'Base stats'!B:B,'Base stats'!BV:BV),0.1),0.05)
))</f>
        <v>No</v>
      </c>
      <c r="L56" s="11" t="str">
        <f>IF(K56="No","No",
MAX(0.01,MROUND(_xlfn.XLOOKUP(B56,'Base stats'!B:B,'Base stats'!BG:BG) * 0.01 *2, 0.01))
)</f>
        <v>No</v>
      </c>
      <c r="M56" s="5" t="str">
        <f>IF(K56="No","No",IF(_xlfn.XLOOKUP(_xlfn.XLOOKUP(B56,'Base stats'!B:B,'Base stats'!E:E),Groups!A:A,Groups!BD:BD)=1,"No",
MAX(0.01,MROUND(_xlfn.XLOOKUP(B56,'Base stats'!B:B,'Base stats'!BS:BS)/10000,0.01))
))</f>
        <v>No</v>
      </c>
      <c r="N56" s="4" t="str">
        <f>IF(K56="No","No",
MROUND(
  _xlfn.XLOOKUP(B56,'Base stats'!B:B,'Base stats'!BA:BA)^0.25
  / (_xlfn.XLOOKUP(B56,'Base stats'!B:B,'Base stats'!BK:BK)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stats'!BU:BU),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stats'!BH:BH)^0.73)^0.6 *_xlfn.XLOOKUP(B56,'Base stats'!B:B,'Base stats'!BV:BV),0.1),0.05)
)</f>
        <v>13.3</v>
      </c>
      <c r="P56" s="11">
        <f>IF(O56="No","No",
MAX(0.01,MROUND(_xlfn.XLOOKUP(B56,'Base stats'!B:B,'Base stats'!BH:BH) * 0.01 * 2, 0.01))
)</f>
        <v>3.85</v>
      </c>
      <c r="Q56" s="5">
        <f>IF(O56="No","No",
MAX(0.01,MROUND(_xlfn.XLOOKUP(B56,'Base stats'!B:B,'Base stats'!BT:BT)/10000,0.01))
)</f>
        <v>0.28999999999999998</v>
      </c>
      <c r="R56" s="4">
        <f>IF(O56="No","No",
MROUND(_xlfn.XLOOKUP(B56,'Base stats'!B:B,'Base stats'!AZ:AZ)^0.25
/((_xlfn.XLOOKUP(B56,'Base stats'!B:B,'Base stats'!BL:BL))*10)*_xlfn.XLOOKUP(_xlfn.XLOOKUP(B56,'Base stats'!B:B,'Base stats'!E:E),Groups!A:A,Groups!Z:Z)*150 + 0.5 + _xlfn.XLOOKUP(B56,'Base stats'!B:B,'Base stats'!BU:BU),
0.05))</f>
        <v>2.15</v>
      </c>
      <c r="S56" s="3" t="str">
        <f>IF(Animals!AI56="No","No",
IF(_xlfn.XLOOKUP(B56,'Base stats'!B:B,'Base stats'!U:U)="No",
MAX(MROUND(_xlfn.XLOOKUP(B56,'Base stats'!B:B,'Base stats'!BR:BR) * _xlfn.XLOOKUP(B56,'Base stats'!B:B,'Base stats'!BN:BN)^0.9 / 21 * _xlfn.XLOOKUP(B56,'Base stats'!B:B,'Base stats'!BV:BV),0.1),0.05),
MAX(MROUND(((MIN(12,_xlfn.XLOOKUP(B56,'Base stats'!B:B,'Base stats'!U:U)))^0.4*_xlfn.XLOOKUP(B56,'Base stats'!B:B,'Base stats'!BF:BF)^0.73)^0.6 * _xlfn.XLOOKUP(B56,'Base stats'!B:B,'Base stats'!BV:BV),0.1),0.05)
))</f>
        <v>No</v>
      </c>
      <c r="T56" s="11" t="str">
        <f>IF(S56="No","No",
MAX(0.01,MROUND(_xlfn.XLOOKUP(B56,'Base stats'!B:B,'Base stats'!BF:BF) * 0.01 * 2, 0.01))
)</f>
        <v>No</v>
      </c>
      <c r="U56" s="5" t="str">
        <f>IF(S56="No","No",IF(_xlfn.XLOOKUP(B56,'Base stats'!B:B,'Base stats'!U:U)="No","No",
MAX(0.01,MROUND(_xlfn.XLOOKUP(B56,'Base stats'!B:B,'Base stats'!BR:BR)/10000,0.01))
))</f>
        <v>No</v>
      </c>
      <c r="V56" s="4" t="str">
        <f>IF(S56="No","No",
MROUND(_xlfn.XLOOKUP(B56,'Base stats'!B:B,'Base stats'!BD:BD)^0.25
/((_xlfn.XLOOKUP(B56,'Base stats'!B:B,'Base stats'!BM:BM))*10)*_xlfn.XLOOKUP(_xlfn.XLOOKUP(B56,'Base stats'!B:B,'Base stats'!E:E),Groups!A:A,Groups!AE:AE)*150 + 0.5 + _xlfn.XLOOKUP(B56,'Base stats'!B:B,'Base stats'!BU:BU),
0.05))</f>
        <v>No</v>
      </c>
      <c r="W56" s="8">
        <f>MROUND(_xlfn.XLOOKUP(_xlfn.XLOOKUP(B56,'Base stats'!B:B,'Base stats'!E:E),Groups!A:A,Groups!BG:BG)*_xlfn.XLOOKUP(B56,'Base stats'!B:B,'Base stats'!C:C)^-0.165,0.01)</f>
        <v>0.54</v>
      </c>
      <c r="X56" s="1">
        <f>MROUND(_xlfn.XLOOKUP(_xlfn.XLOOKUP(B56,'Base stats'!B:B,'Base stats'!E:E),Groups!A:A,Groups!BH:BH)*_xlfn.XLOOKUP(B56,'Base stats'!B:B,'Base stats'!C:C)^0.165,0.01)</f>
        <v>0.37</v>
      </c>
      <c r="Y56" s="8">
        <f>MROUND(_xlfn.XLOOKUP(_xlfn.XLOOKUP(B56,'Base stats'!B:B,'Base stats'!E:E),Groups!A:A,Groups!BI:BI)*_xlfn.XLOOKUP(B56,'Base stats'!B:B,'Base stats'!C:C)^0.165,0.01)</f>
        <v>0.05</v>
      </c>
      <c r="Z56" s="18">
        <f>ROUND(_xlfn.XLOOKUP(B56,'Base stats'!B:B,'Base stats'!AO:AO)*_xlfn.XLOOKUP(_xlfn.XLOOKUP(B56,'Base stats'!B:B,'Base stats'!E:E),Groups!A:A,Groups!H:H)/1000,2)</f>
        <v>0.08</v>
      </c>
      <c r="AA56" s="18">
        <f>ROUND((1/2)*(_xlfn.XLOOKUP(_xlfn.XLOOKUP(B56,'Base stats'!B:B,'Base stats'!E:E),Groups!A:A,Groups!H:H)*_xlfn.XLOOKUP(_xlfn.XLOOKUP(B56,'Base stats'!B:B,'Base stats'!E:E),Groups!A:A,Groups!I:I))*_xlfn.XLOOKUP(B56,'Base stats'!B:B,'Base stats'!AO:AO)*0.01,2)</f>
        <v>0.61</v>
      </c>
      <c r="AB56" s="18">
        <f>250*(Animals!AO56+Animals!AP56)</f>
        <v>437.5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stats'!BQ:BQ) * (_xlfn.XLOOKUP(B57,'Base stats'!B:B,'Base stats'!AM:AM)*5%)^0.9 / 21,0.1),0.05)</f>
        <v>1.4000000000000001</v>
      </c>
      <c r="E57" s="11">
        <f>MAX(0.01,MROUND(_xlfn.XLOOKUP(B57,'Base stats'!B:B,'Base stats'!BE:BE) * 0.01 * 2, 0.01))</f>
        <v>1.1200000000000001</v>
      </c>
      <c r="F57" s="7">
        <f>MROUND(_xlfn.XLOOKUP(B57,'Base stats'!B:B,'Base stats'!BB:BB)^0.25 / (_xlfn.XLOOKUP(B57,'Base stats'!B:B,'Base stats'!BI:BI) * 10) * 150 + 0.5 + _xlfn.XLOOKUP(B57,'Base stats'!B:B,'Base stats'!BU:BU), 0.05)</f>
        <v>1.8</v>
      </c>
      <c r="G57" s="3" t="str">
        <f>IF(Animals!S57="No","No",
IF(_xlfn.XLOOKUP(B57,'Base stats'!B:B,'Base stats'!U:U)="No",
MAX(MROUND(_xlfn.XLOOKUP(B57,'Base stats'!B:B,'Base stats'!BR:BR) * _xlfn.XLOOKUP(B57,'Base stats'!B:B,'Base stats'!BN:BN)^0.9 / 21 * _xlfn.XLOOKUP(B57,'Base stats'!B:B,'Base stats'!BV:BV),0.1),0.05),
MAX(MROUND(((MIN(10,_xlfn.XLOOKUP(B57,'Base stats'!B:B,'Base stats'!U:U)))^0.4*_xlfn.XLOOKUP(B57,'Base stats'!B:B,'Base stats'!BF:BF)^0.73)^0.6 * _xlfn.XLOOKUP(B57,'Base stats'!B:B,'Base stats'!BV:BV),0.1),0.05)
))</f>
        <v>No</v>
      </c>
      <c r="H57" s="11" t="str">
        <f>IF(G57="No","No",
MAX(0.01,MROUND(_xlfn.XLOOKUP(B57,'Base stats'!B:B,'Base stats'!BF:BF) * 0.01 * 2, 0.01))
)</f>
        <v>No</v>
      </c>
      <c r="I57" s="11" t="str">
        <f>IF(G57="No","No",IF(_xlfn.XLOOKUP(B57,'Base stats'!B:B,'Base stats'!U:U)="No","No",
MAX(0.01,MROUND(_xlfn.XLOOKUP(B57,'Base stats'!B:B,'Base stats'!BR:BR)/10000,0.01))
))</f>
        <v>No</v>
      </c>
      <c r="J57" s="4" t="str">
        <f>IF(G57="No","No",
MROUND(_xlfn.XLOOKUP(B57,'Base stats'!B:B,'Base stats'!BC:BC)^0.25
/((_xlfn.XLOOKUP(B57,'Base stats'!B:B,'Base stats'!BJ:BJ))*10)*_xlfn.XLOOKUP(_xlfn.XLOOKUP(B57,'Base stats'!B:B,'Base stats'!E:E),Groups!A:A,Groups!Q:Q)*150 + 0.5 + _xlfn.XLOOKUP(B57,'Base stats'!B:B,'Base stats'!BU:BU),
0.05))</f>
        <v>No</v>
      </c>
      <c r="K57" s="3" t="str">
        <f>IF(Animals!X57="No","No",
IF(_xlfn.XLOOKUP(_xlfn.XLOOKUP(B57,'Base stats'!B:B,'Base stats'!E:E),Groups!A:A,Groups!BD:BD)=1,
MAX(MROUND(_xlfn.XLOOKUP(B57,'Base stats'!B:B,'Base stats'!BS:BS) * _xlfn.XLOOKUP(B57,'Base stats'!B:B,'Base stats'!BO:BO)^0.9 / 21 *_xlfn.XLOOKUP(B57,'Base stats'!B:B,'Base stats'!BV:BV),0.1),0.05),
MAX(MROUND(((MIN(10,_xlfn.XLOOKUP(B57,'Base stats'!B:B,'Base stats'!W:W)))^0.4*_xlfn.XLOOKUP(B57,'Base stats'!B:B,'Base stats'!BG:BG)^0.73)^0.6 *_xlfn.XLOOKUP(B57,'Base stats'!B:B,'Base stats'!BV:BV),0.1),0.05)
))</f>
        <v>No</v>
      </c>
      <c r="L57" s="11" t="str">
        <f>IF(K57="No","No",
MAX(0.01,MROUND(_xlfn.XLOOKUP(B57,'Base stats'!B:B,'Base stats'!BG:BG) * 0.01 *2, 0.01))
)</f>
        <v>No</v>
      </c>
      <c r="M57" s="5" t="str">
        <f>IF(K57="No","No",IF(_xlfn.XLOOKUP(_xlfn.XLOOKUP(B57,'Base stats'!B:B,'Base stats'!E:E),Groups!A:A,Groups!BD:BD)=1,"No",
MAX(0.01,MROUND(_xlfn.XLOOKUP(B57,'Base stats'!B:B,'Base stats'!BS:BS)/10000,0.01))
))</f>
        <v>No</v>
      </c>
      <c r="N57" s="4" t="str">
        <f>IF(K57="No","No",
MROUND(
  _xlfn.XLOOKUP(B57,'Base stats'!B:B,'Base stats'!BA:BA)^0.25
  / (_xlfn.XLOOKUP(B57,'Base stats'!B:B,'Base stats'!BK:BK)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stats'!BU:BU),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stats'!BH:BH)^0.73)^0.6 *_xlfn.XLOOKUP(B57,'Base stats'!B:B,'Base stats'!BV:BV),0.1),0.05)
)</f>
        <v>13.3</v>
      </c>
      <c r="P57" s="11">
        <f>IF(O57="No","No",
MAX(0.01,MROUND(_xlfn.XLOOKUP(B57,'Base stats'!B:B,'Base stats'!BH:BH) * 0.01 * 2, 0.01))
)</f>
        <v>3.85</v>
      </c>
      <c r="Q57" s="5">
        <f>IF(O57="No","No",
MAX(0.01,MROUND(_xlfn.XLOOKUP(B57,'Base stats'!B:B,'Base stats'!BT:BT)/10000,0.01))
)</f>
        <v>0.28999999999999998</v>
      </c>
      <c r="R57" s="4">
        <f>IF(O57="No","No",
MROUND(_xlfn.XLOOKUP(B57,'Base stats'!B:B,'Base stats'!AZ:AZ)^0.25
/((_xlfn.XLOOKUP(B57,'Base stats'!B:B,'Base stats'!BL:BL))*10)*_xlfn.XLOOKUP(_xlfn.XLOOKUP(B57,'Base stats'!B:B,'Base stats'!E:E),Groups!A:A,Groups!Z:Z)*150 + 0.5 + _xlfn.XLOOKUP(B57,'Base stats'!B:B,'Base stats'!BU:BU),
0.05))</f>
        <v>2.15</v>
      </c>
      <c r="S57" s="3" t="str">
        <f>IF(Animals!AI57="No","No",
IF(_xlfn.XLOOKUP(B57,'Base stats'!B:B,'Base stats'!U:U)="No",
MAX(MROUND(_xlfn.XLOOKUP(B57,'Base stats'!B:B,'Base stats'!BR:BR) * _xlfn.XLOOKUP(B57,'Base stats'!B:B,'Base stats'!BN:BN)^0.9 / 21 * _xlfn.XLOOKUP(B57,'Base stats'!B:B,'Base stats'!BV:BV),0.1),0.05),
MAX(MROUND(((MIN(12,_xlfn.XLOOKUP(B57,'Base stats'!B:B,'Base stats'!U:U)))^0.4*_xlfn.XLOOKUP(B57,'Base stats'!B:B,'Base stats'!BF:BF)^0.73)^0.6 * _xlfn.XLOOKUP(B57,'Base stats'!B:B,'Base stats'!BV:BV),0.1),0.05)
))</f>
        <v>No</v>
      </c>
      <c r="T57" s="11" t="str">
        <f>IF(S57="No","No",
MAX(0.01,MROUND(_xlfn.XLOOKUP(B57,'Base stats'!B:B,'Base stats'!BF:BF) * 0.01 * 2, 0.01))
)</f>
        <v>No</v>
      </c>
      <c r="U57" s="5" t="str">
        <f>IF(S57="No","No",IF(_xlfn.XLOOKUP(B57,'Base stats'!B:B,'Base stats'!U:U)="No","No",
MAX(0.01,MROUND(_xlfn.XLOOKUP(B57,'Base stats'!B:B,'Base stats'!BR:BR)/10000,0.01))
))</f>
        <v>No</v>
      </c>
      <c r="V57" s="4" t="str">
        <f>IF(S57="No","No",
MROUND(_xlfn.XLOOKUP(B57,'Base stats'!B:B,'Base stats'!BD:BD)^0.25
/((_xlfn.XLOOKUP(B57,'Base stats'!B:B,'Base stats'!BM:BM))*10)*_xlfn.XLOOKUP(_xlfn.XLOOKUP(B57,'Base stats'!B:B,'Base stats'!E:E),Groups!A:A,Groups!AE:AE)*150 + 0.5 + _xlfn.XLOOKUP(B57,'Base stats'!B:B,'Base stats'!BU:BU),
0.05))</f>
        <v>No</v>
      </c>
      <c r="W57" s="8">
        <f>MROUND(_xlfn.XLOOKUP(_xlfn.XLOOKUP(B57,'Base stats'!B:B,'Base stats'!E:E),Groups!A:A,Groups!BG:BG)*_xlfn.XLOOKUP(B57,'Base stats'!B:B,'Base stats'!C:C)^-0.165,0.01)</f>
        <v>0.54</v>
      </c>
      <c r="X57" s="1">
        <f>MROUND(_xlfn.XLOOKUP(_xlfn.XLOOKUP(B57,'Base stats'!B:B,'Base stats'!E:E),Groups!A:A,Groups!BH:BH)*_xlfn.XLOOKUP(B57,'Base stats'!B:B,'Base stats'!C:C)^0.165,0.01)</f>
        <v>0.37</v>
      </c>
      <c r="Y57" s="8">
        <f>MROUND(_xlfn.XLOOKUP(_xlfn.XLOOKUP(B57,'Base stats'!B:B,'Base stats'!E:E),Groups!A:A,Groups!BI:BI)*_xlfn.XLOOKUP(B57,'Base stats'!B:B,'Base stats'!C:C)^0.165,0.01)</f>
        <v>0.05</v>
      </c>
      <c r="Z57" s="18">
        <f>ROUND(_xlfn.XLOOKUP(B57,'Base stats'!B:B,'Base stats'!AO:AO)*_xlfn.XLOOKUP(_xlfn.XLOOKUP(B57,'Base stats'!B:B,'Base stats'!E:E),Groups!A:A,Groups!H:H)/1000,2)</f>
        <v>0.08</v>
      </c>
      <c r="AA57" s="18">
        <f>ROUND((1/2)*(_xlfn.XLOOKUP(_xlfn.XLOOKUP(B57,'Base stats'!B:B,'Base stats'!E:E),Groups!A:A,Groups!H:H)*_xlfn.XLOOKUP(_xlfn.XLOOKUP(B57,'Base stats'!B:B,'Base stats'!E:E),Groups!A:A,Groups!I:I))*_xlfn.XLOOKUP(B57,'Base stats'!B:B,'Base stats'!AO:AO)*0.01,2)</f>
        <v>0.61</v>
      </c>
      <c r="AB57" s="18">
        <f>250*(Animals!AO57+Animals!AP57)</f>
        <v>437.5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stats'!BQ:BQ) * (_xlfn.XLOOKUP(B58,'Base stats'!B:B,'Base stats'!AM:AM)*5%)^0.9 / 21,0.1),0.05)</f>
        <v>0.30000000000000004</v>
      </c>
      <c r="E58" s="11">
        <f>MAX(0.01,MROUND(_xlfn.XLOOKUP(B58,'Base stats'!B:B,'Base stats'!BE:BE) * 0.01 * 2, 0.01))</f>
        <v>0.21</v>
      </c>
      <c r="F58" s="7">
        <f>MROUND(_xlfn.XLOOKUP(B58,'Base stats'!B:B,'Base stats'!BB:BB)^0.25 / (_xlfn.XLOOKUP(B58,'Base stats'!B:B,'Base stats'!BI:BI) * 10) * 150 + 0.5 + _xlfn.XLOOKUP(B58,'Base stats'!B:B,'Base stats'!BU:BU), 0.05)</f>
        <v>1.5</v>
      </c>
      <c r="G58" s="3" t="str">
        <f>IF(Animals!S58="No","No",
IF(_xlfn.XLOOKUP(B58,'Base stats'!B:B,'Base stats'!U:U)="No",
MAX(MROUND(_xlfn.XLOOKUP(B58,'Base stats'!B:B,'Base stats'!BR:BR) * _xlfn.XLOOKUP(B58,'Base stats'!B:B,'Base stats'!BN:BN)^0.9 / 21 * _xlfn.XLOOKUP(B58,'Base stats'!B:B,'Base stats'!BV:BV),0.1),0.05),
MAX(MROUND(((MIN(10,_xlfn.XLOOKUP(B58,'Base stats'!B:B,'Base stats'!U:U)))^0.4*_xlfn.XLOOKUP(B58,'Base stats'!B:B,'Base stats'!BF:BF)^0.73)^0.6 * _xlfn.XLOOKUP(B58,'Base stats'!B:B,'Base stats'!BV:BV),0.1),0.05)
))</f>
        <v>No</v>
      </c>
      <c r="H58" s="11" t="str">
        <f>IF(G58="No","No",
MAX(0.01,MROUND(_xlfn.XLOOKUP(B58,'Base stats'!B:B,'Base stats'!BF:BF) * 0.01 * 2, 0.01))
)</f>
        <v>No</v>
      </c>
      <c r="I58" s="11" t="str">
        <f>IF(G58="No","No",IF(_xlfn.XLOOKUP(B58,'Base stats'!B:B,'Base stats'!U:U)="No","No",
MAX(0.01,MROUND(_xlfn.XLOOKUP(B58,'Base stats'!B:B,'Base stats'!BR:BR)/10000,0.01))
))</f>
        <v>No</v>
      </c>
      <c r="J58" s="4" t="str">
        <f>IF(G58="No","No",
MROUND(_xlfn.XLOOKUP(B58,'Base stats'!B:B,'Base stats'!BC:BC)^0.25
/((_xlfn.XLOOKUP(B58,'Base stats'!B:B,'Base stats'!BJ:BJ))*10)*_xlfn.XLOOKUP(_xlfn.XLOOKUP(B58,'Base stats'!B:B,'Base stats'!E:E),Groups!A:A,Groups!Q:Q)*150 + 0.5 + _xlfn.XLOOKUP(B58,'Base stats'!B:B,'Base stats'!BU:BU),
0.05))</f>
        <v>No</v>
      </c>
      <c r="K58" s="3" t="str">
        <f>IF(Animals!X58="No","No",
IF(_xlfn.XLOOKUP(_xlfn.XLOOKUP(B58,'Base stats'!B:B,'Base stats'!E:E),Groups!A:A,Groups!BD:BD)=1,
MAX(MROUND(_xlfn.XLOOKUP(B58,'Base stats'!B:B,'Base stats'!BS:BS) * _xlfn.XLOOKUP(B58,'Base stats'!B:B,'Base stats'!BO:BO)^0.9 / 21 *_xlfn.XLOOKUP(B58,'Base stats'!B:B,'Base stats'!BV:BV),0.1),0.05),
MAX(MROUND(((MIN(10,_xlfn.XLOOKUP(B58,'Base stats'!B:B,'Base stats'!W:W)))^0.4*_xlfn.XLOOKUP(B58,'Base stats'!B:B,'Base stats'!BG:BG)^0.73)^0.6 *_xlfn.XLOOKUP(B58,'Base stats'!B:B,'Base stats'!BV:BV),0.1),0.05)
))</f>
        <v>No</v>
      </c>
      <c r="L58" s="11" t="str">
        <f>IF(K58="No","No",
MAX(0.01,MROUND(_xlfn.XLOOKUP(B58,'Base stats'!B:B,'Base stats'!BG:BG) * 0.01 *2, 0.01))
)</f>
        <v>No</v>
      </c>
      <c r="M58" s="5" t="str">
        <f>IF(K58="No","No",IF(_xlfn.XLOOKUP(_xlfn.XLOOKUP(B58,'Base stats'!B:B,'Base stats'!E:E),Groups!A:A,Groups!BD:BD)=1,"No",
MAX(0.01,MROUND(_xlfn.XLOOKUP(B58,'Base stats'!B:B,'Base stats'!BS:BS)/10000,0.01))
))</f>
        <v>No</v>
      </c>
      <c r="N58" s="4" t="str">
        <f>IF(K58="No","No",
MROUND(
  _xlfn.XLOOKUP(B58,'Base stats'!B:B,'Base stats'!BA:BA)^0.25
  / (_xlfn.XLOOKUP(B58,'Base stats'!B:B,'Base stats'!BK:BK)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stats'!BU:BU),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stats'!BH:BH)^0.73)^0.6 *_xlfn.XLOOKUP(B58,'Base stats'!B:B,'Base stats'!BV:BV),0.1),0.05)
)</f>
        <v>6.5</v>
      </c>
      <c r="P58" s="11">
        <f>IF(O58="No","No",
MAX(0.01,MROUND(_xlfn.XLOOKUP(B58,'Base stats'!B:B,'Base stats'!BH:BH) * 0.01 * 2, 0.01))
)</f>
        <v>0.93</v>
      </c>
      <c r="Q58" s="5">
        <f>IF(O58="No","No",
MAX(0.01,MROUND(_xlfn.XLOOKUP(B58,'Base stats'!B:B,'Base stats'!BT:BT)/10000,0.01))
)</f>
        <v>0.15</v>
      </c>
      <c r="R58" s="4">
        <f>IF(O58="No","No",
MROUND(_xlfn.XLOOKUP(B58,'Base stats'!B:B,'Base stats'!AZ:AZ)^0.25
/((_xlfn.XLOOKUP(B58,'Base stats'!B:B,'Base stats'!BL:BL))*10)*_xlfn.XLOOKUP(_xlfn.XLOOKUP(B58,'Base stats'!B:B,'Base stats'!E:E),Groups!A:A,Groups!Z:Z)*150 + 0.5 + _xlfn.XLOOKUP(B58,'Base stats'!B:B,'Base stats'!BU:BU),
0.05))</f>
        <v>2.0500000000000003</v>
      </c>
      <c r="S58" s="3" t="str">
        <f>IF(Animals!AI58="No","No",
IF(_xlfn.XLOOKUP(B58,'Base stats'!B:B,'Base stats'!U:U)="No",
MAX(MROUND(_xlfn.XLOOKUP(B58,'Base stats'!B:B,'Base stats'!BR:BR) * _xlfn.XLOOKUP(B58,'Base stats'!B:B,'Base stats'!BN:BN)^0.9 / 21 * _xlfn.XLOOKUP(B58,'Base stats'!B:B,'Base stats'!BV:BV),0.1),0.05),
MAX(MROUND(((MIN(12,_xlfn.XLOOKUP(B58,'Base stats'!B:B,'Base stats'!U:U)))^0.4*_xlfn.XLOOKUP(B58,'Base stats'!B:B,'Base stats'!BF:BF)^0.73)^0.6 * _xlfn.XLOOKUP(B58,'Base stats'!B:B,'Base stats'!BV:BV),0.1),0.05)
))</f>
        <v>No</v>
      </c>
      <c r="T58" s="11" t="str">
        <f>IF(S58="No","No",
MAX(0.01,MROUND(_xlfn.XLOOKUP(B58,'Base stats'!B:B,'Base stats'!BF:BF) * 0.01 * 2, 0.01))
)</f>
        <v>No</v>
      </c>
      <c r="U58" s="5" t="str">
        <f>IF(S58="No","No",IF(_xlfn.XLOOKUP(B58,'Base stats'!B:B,'Base stats'!U:U)="No","No",
MAX(0.01,MROUND(_xlfn.XLOOKUP(B58,'Base stats'!B:B,'Base stats'!BR:BR)/10000,0.01))
))</f>
        <v>No</v>
      </c>
      <c r="V58" s="4" t="str">
        <f>IF(S58="No","No",
MROUND(_xlfn.XLOOKUP(B58,'Base stats'!B:B,'Base stats'!BD:BD)^0.25
/((_xlfn.XLOOKUP(B58,'Base stats'!B:B,'Base stats'!BM:BM))*10)*_xlfn.XLOOKUP(_xlfn.XLOOKUP(B58,'Base stats'!B:B,'Base stats'!E:E),Groups!A:A,Groups!AE:AE)*150 + 0.5 + _xlfn.XLOOKUP(B58,'Base stats'!B:B,'Base stats'!BU:BU),
0.05))</f>
        <v>No</v>
      </c>
      <c r="W58" s="8">
        <f>MROUND(_xlfn.XLOOKUP(_xlfn.XLOOKUP(B58,'Base stats'!B:B,'Base stats'!E:E),Groups!A:A,Groups!BG:BG)*_xlfn.XLOOKUP(B58,'Base stats'!B:B,'Base stats'!C:C)^-0.165,0.01)</f>
        <v>0.74</v>
      </c>
      <c r="X58" s="1">
        <f>MROUND(_xlfn.XLOOKUP(_xlfn.XLOOKUP(B58,'Base stats'!B:B,'Base stats'!E:E),Groups!A:A,Groups!BH:BH)*_xlfn.XLOOKUP(B58,'Base stats'!B:B,'Base stats'!C:C)^0.165,0.01)</f>
        <v>0.27</v>
      </c>
      <c r="Y58" s="8">
        <f>MROUND(_xlfn.XLOOKUP(_xlfn.XLOOKUP(B58,'Base stats'!B:B,'Base stats'!E:E),Groups!A:A,Groups!BI:BI)*_xlfn.XLOOKUP(B58,'Base stats'!B:B,'Base stats'!C:C)^0.165,0.01)</f>
        <v>0.03</v>
      </c>
      <c r="Z58" s="18">
        <f>ROUND(_xlfn.XLOOKUP(B58,'Base stats'!B:B,'Base stats'!AO:AO)*_xlfn.XLOOKUP(_xlfn.XLOOKUP(B58,'Base stats'!B:B,'Base stats'!E:E),Groups!A:A,Groups!H:H)/1000,2)</f>
        <v>0.04</v>
      </c>
      <c r="AA58" s="18">
        <f>ROUND((1/2)*(_xlfn.XLOOKUP(_xlfn.XLOOKUP(B58,'Base stats'!B:B,'Base stats'!E:E),Groups!A:A,Groups!H:H)*_xlfn.XLOOKUP(_xlfn.XLOOKUP(B58,'Base stats'!B:B,'Base stats'!E:E),Groups!A:A,Groups!I:I))*_xlfn.XLOOKUP(B58,'Base stats'!B:B,'Base stats'!AO:AO)*0.01,2)</f>
        <v>0.32</v>
      </c>
      <c r="AB58" s="18">
        <f>250*(Animals!AO58+Animals!AP58)</f>
        <v>187.5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stats'!BQ:BQ) * (_xlfn.XLOOKUP(B59,'Base stats'!B:B,'Base stats'!AM:AM)*5%)^0.9 / 21,0.1),0.05)</f>
        <v>0.2</v>
      </c>
      <c r="E59" s="11">
        <f>MAX(0.01,MROUND(_xlfn.XLOOKUP(B59,'Base stats'!B:B,'Base stats'!BE:BE) * 0.01 * 2, 0.01))</f>
        <v>0.12</v>
      </c>
      <c r="F59" s="7">
        <f>MROUND(_xlfn.XLOOKUP(B59,'Base stats'!B:B,'Base stats'!BB:BB)^0.25 / (_xlfn.XLOOKUP(B59,'Base stats'!B:B,'Base stats'!BI:BI) * 10) * 150 + 0.5 + _xlfn.XLOOKUP(B59,'Base stats'!B:B,'Base stats'!BU:BU), 0.05)</f>
        <v>1.35</v>
      </c>
      <c r="G59" s="3" t="str">
        <f>IF(Animals!S59="No","No",
IF(_xlfn.XLOOKUP(B59,'Base stats'!B:B,'Base stats'!U:U)="No",
MAX(MROUND(_xlfn.XLOOKUP(B59,'Base stats'!B:B,'Base stats'!BR:BR) * _xlfn.XLOOKUP(B59,'Base stats'!B:B,'Base stats'!BN:BN)^0.9 / 21 * _xlfn.XLOOKUP(B59,'Base stats'!B:B,'Base stats'!BV:BV),0.1),0.05),
MAX(MROUND(((MIN(10,_xlfn.XLOOKUP(B59,'Base stats'!B:B,'Base stats'!U:U)))^0.4*_xlfn.XLOOKUP(B59,'Base stats'!B:B,'Base stats'!BF:BF)^0.73)^0.6 * _xlfn.XLOOKUP(B59,'Base stats'!B:B,'Base stats'!BV:BV),0.1),0.05)
))</f>
        <v>No</v>
      </c>
      <c r="H59" s="11" t="str">
        <f>IF(G59="No","No",
MAX(0.01,MROUND(_xlfn.XLOOKUP(B59,'Base stats'!B:B,'Base stats'!BF:BF) * 0.01 * 2, 0.01))
)</f>
        <v>No</v>
      </c>
      <c r="I59" s="11" t="str">
        <f>IF(G59="No","No",IF(_xlfn.XLOOKUP(B59,'Base stats'!B:B,'Base stats'!U:U)="No","No",
MAX(0.01,MROUND(_xlfn.XLOOKUP(B59,'Base stats'!B:B,'Base stats'!BR:BR)/10000,0.01))
))</f>
        <v>No</v>
      </c>
      <c r="J59" s="4" t="str">
        <f>IF(G59="No","No",
MROUND(_xlfn.XLOOKUP(B59,'Base stats'!B:B,'Base stats'!BC:BC)^0.25
/((_xlfn.XLOOKUP(B59,'Base stats'!B:B,'Base stats'!BJ:BJ))*10)*_xlfn.XLOOKUP(_xlfn.XLOOKUP(B59,'Base stats'!B:B,'Base stats'!E:E),Groups!A:A,Groups!Q:Q)*150 + 0.5 + _xlfn.XLOOKUP(B59,'Base stats'!B:B,'Base stats'!BU:BU),
0.05))</f>
        <v>No</v>
      </c>
      <c r="K59" s="3" t="str">
        <f>IF(Animals!X59="No","No",
IF(_xlfn.XLOOKUP(_xlfn.XLOOKUP(B59,'Base stats'!B:B,'Base stats'!E:E),Groups!A:A,Groups!BD:BD)=1,
MAX(MROUND(_xlfn.XLOOKUP(B59,'Base stats'!B:B,'Base stats'!BS:BS) * _xlfn.XLOOKUP(B59,'Base stats'!B:B,'Base stats'!BO:BO)^0.9 / 21 *_xlfn.XLOOKUP(B59,'Base stats'!B:B,'Base stats'!BV:BV),0.1),0.05),
MAX(MROUND(((MIN(10,_xlfn.XLOOKUP(B59,'Base stats'!B:B,'Base stats'!W:W)))^0.4*_xlfn.XLOOKUP(B59,'Base stats'!B:B,'Base stats'!BG:BG)^0.73)^0.6 *_xlfn.XLOOKUP(B59,'Base stats'!B:B,'Base stats'!BV:BV),0.1),0.05)
))</f>
        <v>No</v>
      </c>
      <c r="L59" s="11" t="str">
        <f>IF(K59="No","No",
MAX(0.01,MROUND(_xlfn.XLOOKUP(B59,'Base stats'!B:B,'Base stats'!BG:BG) * 0.01 *2, 0.01))
)</f>
        <v>No</v>
      </c>
      <c r="M59" s="5" t="str">
        <f>IF(K59="No","No",IF(_xlfn.XLOOKUP(_xlfn.XLOOKUP(B59,'Base stats'!B:B,'Base stats'!E:E),Groups!A:A,Groups!BD:BD)=1,"No",
MAX(0.01,MROUND(_xlfn.XLOOKUP(B59,'Base stats'!B:B,'Base stats'!BS:BS)/10000,0.01))
))</f>
        <v>No</v>
      </c>
      <c r="N59" s="4" t="str">
        <f>IF(K59="No","No",
MROUND(
  _xlfn.XLOOKUP(B59,'Base stats'!B:B,'Base stats'!BA:BA)^0.25
  / (_xlfn.XLOOKUP(B59,'Base stats'!B:B,'Base stats'!BK:BK)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stats'!BU:BU),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stats'!BH:BH)^0.73)^0.6 *_xlfn.XLOOKUP(B59,'Base stats'!B:B,'Base stats'!BV:BV),0.1),0.05)
)</f>
        <v>4.4000000000000004</v>
      </c>
      <c r="P59" s="11">
        <f>IF(O59="No","No",
MAX(0.01,MROUND(_xlfn.XLOOKUP(B59,'Base stats'!B:B,'Base stats'!BH:BH) * 0.01 * 2, 0.01))
)</f>
        <v>0.48</v>
      </c>
      <c r="Q59" s="5">
        <f>IF(O59="No","No",
MAX(0.01,MROUND(_xlfn.XLOOKUP(B59,'Base stats'!B:B,'Base stats'!BT:BT)/10000,0.01))
)</f>
        <v>0.1</v>
      </c>
      <c r="R59" s="4">
        <f>IF(O59="No","No",
MROUND(_xlfn.XLOOKUP(B59,'Base stats'!B:B,'Base stats'!AZ:AZ)^0.25
/((_xlfn.XLOOKUP(B59,'Base stats'!B:B,'Base stats'!BL:BL))*10)*_xlfn.XLOOKUP(_xlfn.XLOOKUP(B59,'Base stats'!B:B,'Base stats'!E:E),Groups!A:A,Groups!Z:Z)*150 + 0.5 + _xlfn.XLOOKUP(B59,'Base stats'!B:B,'Base stats'!BU:BU),
0.05))</f>
        <v>1.85</v>
      </c>
      <c r="S59" s="3" t="str">
        <f>IF(Animals!AI59="No","No",
IF(_xlfn.XLOOKUP(B59,'Base stats'!B:B,'Base stats'!U:U)="No",
MAX(MROUND(_xlfn.XLOOKUP(B59,'Base stats'!B:B,'Base stats'!BR:BR) * _xlfn.XLOOKUP(B59,'Base stats'!B:B,'Base stats'!BN:BN)^0.9 / 21 * _xlfn.XLOOKUP(B59,'Base stats'!B:B,'Base stats'!BV:BV),0.1),0.05),
MAX(MROUND(((MIN(12,_xlfn.XLOOKUP(B59,'Base stats'!B:B,'Base stats'!U:U)))^0.4*_xlfn.XLOOKUP(B59,'Base stats'!B:B,'Base stats'!BF:BF)^0.73)^0.6 * _xlfn.XLOOKUP(B59,'Base stats'!B:B,'Base stats'!BV:BV),0.1),0.05)
))</f>
        <v>No</v>
      </c>
      <c r="T59" s="11" t="str">
        <f>IF(S59="No","No",
MAX(0.01,MROUND(_xlfn.XLOOKUP(B59,'Base stats'!B:B,'Base stats'!BF:BF) * 0.01 * 2, 0.01))
)</f>
        <v>No</v>
      </c>
      <c r="U59" s="5" t="str">
        <f>IF(S59="No","No",IF(_xlfn.XLOOKUP(B59,'Base stats'!B:B,'Base stats'!U:U)="No","No",
MAX(0.01,MROUND(_xlfn.XLOOKUP(B59,'Base stats'!B:B,'Base stats'!BR:BR)/10000,0.01))
))</f>
        <v>No</v>
      </c>
      <c r="V59" s="4" t="str">
        <f>IF(S59="No","No",
MROUND(_xlfn.XLOOKUP(B59,'Base stats'!B:B,'Base stats'!BD:BD)^0.25
/((_xlfn.XLOOKUP(B59,'Base stats'!B:B,'Base stats'!BM:BM))*10)*_xlfn.XLOOKUP(_xlfn.XLOOKUP(B59,'Base stats'!B:B,'Base stats'!E:E),Groups!A:A,Groups!AE:AE)*150 + 0.5 + _xlfn.XLOOKUP(B59,'Base stats'!B:B,'Base stats'!BU:BU),
0.05))</f>
        <v>No</v>
      </c>
      <c r="W59" s="8">
        <f>MROUND(_xlfn.XLOOKUP(_xlfn.XLOOKUP(B59,'Base stats'!B:B,'Base stats'!E:E),Groups!A:A,Groups!BG:BG)*_xlfn.XLOOKUP(B59,'Base stats'!B:B,'Base stats'!C:C)^-0.165,0.01)</f>
        <v>0.82000000000000006</v>
      </c>
      <c r="X59" s="1">
        <f>MROUND(_xlfn.XLOOKUP(_xlfn.XLOOKUP(B59,'Base stats'!B:B,'Base stats'!E:E),Groups!A:A,Groups!BH:BH)*_xlfn.XLOOKUP(B59,'Base stats'!B:B,'Base stats'!C:C)^0.165,0.01)</f>
        <v>0.25</v>
      </c>
      <c r="Y59" s="8">
        <f>MROUND(_xlfn.XLOOKUP(_xlfn.XLOOKUP(B59,'Base stats'!B:B,'Base stats'!E:E),Groups!A:A,Groups!BI:BI)*_xlfn.XLOOKUP(B59,'Base stats'!B:B,'Base stats'!C:C)^0.165,0.01)</f>
        <v>0.03</v>
      </c>
      <c r="Z59" s="18">
        <f>ROUND(_xlfn.XLOOKUP(B59,'Base stats'!B:B,'Base stats'!AO:AO)*_xlfn.XLOOKUP(_xlfn.XLOOKUP(B59,'Base stats'!B:B,'Base stats'!E:E),Groups!A:A,Groups!H:H)/1000,2)</f>
        <v>0.03</v>
      </c>
      <c r="AA59" s="18">
        <f>ROUND((1/2)*(_xlfn.XLOOKUP(_xlfn.XLOOKUP(B59,'Base stats'!B:B,'Base stats'!E:E),Groups!A:A,Groups!H:H)*_xlfn.XLOOKUP(_xlfn.XLOOKUP(B59,'Base stats'!B:B,'Base stats'!E:E),Groups!A:A,Groups!I:I))*_xlfn.XLOOKUP(B59,'Base stats'!B:B,'Base stats'!AO:AO)*0.01,2)</f>
        <v>0.26</v>
      </c>
      <c r="AB59" s="18">
        <f>250*(Animals!AO59+Animals!AP59)</f>
        <v>137.5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stats'!BQ:BQ) * (_xlfn.XLOOKUP(B60,'Base stats'!B:B,'Base stats'!AM:AM)*5%)^0.9 / 21,0.1),0.05)</f>
        <v>0.1</v>
      </c>
      <c r="E60" s="11">
        <f>MAX(0.01,MROUND(_xlfn.XLOOKUP(B60,'Base stats'!B:B,'Base stats'!BE:BE) * 0.01 * 2, 0.01))</f>
        <v>0.09</v>
      </c>
      <c r="F60" s="7">
        <f>MROUND(_xlfn.XLOOKUP(B60,'Base stats'!B:B,'Base stats'!BB:BB)^0.25 / (_xlfn.XLOOKUP(B60,'Base stats'!B:B,'Base stats'!BI:BI) * 10) * 150 + 0.5 + _xlfn.XLOOKUP(B60,'Base stats'!B:B,'Base stats'!BU:BU), 0.05)</f>
        <v>1.3</v>
      </c>
      <c r="G60" s="3" t="str">
        <f>IF(Animals!S60="No","No",
IF(_xlfn.XLOOKUP(B60,'Base stats'!B:B,'Base stats'!U:U)="No",
MAX(MROUND(_xlfn.XLOOKUP(B60,'Base stats'!B:B,'Base stats'!BR:BR) * _xlfn.XLOOKUP(B60,'Base stats'!B:B,'Base stats'!BN:BN)^0.9 / 21 * _xlfn.XLOOKUP(B60,'Base stats'!B:B,'Base stats'!BV:BV),0.1),0.05),
MAX(MROUND(((MIN(10,_xlfn.XLOOKUP(B60,'Base stats'!B:B,'Base stats'!U:U)))^0.4*_xlfn.XLOOKUP(B60,'Base stats'!B:B,'Base stats'!BF:BF)^0.73)^0.6 * _xlfn.XLOOKUP(B60,'Base stats'!B:B,'Base stats'!BV:BV),0.1),0.05)
))</f>
        <v>No</v>
      </c>
      <c r="H60" s="11" t="str">
        <f>IF(G60="No","No",
MAX(0.01,MROUND(_xlfn.XLOOKUP(B60,'Base stats'!B:B,'Base stats'!BF:BF) * 0.01 * 2, 0.01))
)</f>
        <v>No</v>
      </c>
      <c r="I60" s="11" t="str">
        <f>IF(G60="No","No",IF(_xlfn.XLOOKUP(B60,'Base stats'!B:B,'Base stats'!U:U)="No","No",
MAX(0.01,MROUND(_xlfn.XLOOKUP(B60,'Base stats'!B:B,'Base stats'!BR:BR)/10000,0.01))
))</f>
        <v>No</v>
      </c>
      <c r="J60" s="4" t="str">
        <f>IF(G60="No","No",
MROUND(_xlfn.XLOOKUP(B60,'Base stats'!B:B,'Base stats'!BC:BC)^0.25
/((_xlfn.XLOOKUP(B60,'Base stats'!B:B,'Base stats'!BJ:BJ))*10)*_xlfn.XLOOKUP(_xlfn.XLOOKUP(B60,'Base stats'!B:B,'Base stats'!E:E),Groups!A:A,Groups!Q:Q)*150 + 0.5 + _xlfn.XLOOKUP(B60,'Base stats'!B:B,'Base stats'!BU:BU),
0.05))</f>
        <v>No</v>
      </c>
      <c r="K60" s="3" t="str">
        <f>IF(Animals!X60="No","No",
IF(_xlfn.XLOOKUP(_xlfn.XLOOKUP(B60,'Base stats'!B:B,'Base stats'!E:E),Groups!A:A,Groups!BD:BD)=1,
MAX(MROUND(_xlfn.XLOOKUP(B60,'Base stats'!B:B,'Base stats'!BS:BS) * _xlfn.XLOOKUP(B60,'Base stats'!B:B,'Base stats'!BO:BO)^0.9 / 21 *_xlfn.XLOOKUP(B60,'Base stats'!B:B,'Base stats'!BV:BV),0.1),0.05),
MAX(MROUND(((MIN(10,_xlfn.XLOOKUP(B60,'Base stats'!B:B,'Base stats'!W:W)))^0.4*_xlfn.XLOOKUP(B60,'Base stats'!B:B,'Base stats'!BG:BG)^0.73)^0.6 *_xlfn.XLOOKUP(B60,'Base stats'!B:B,'Base stats'!BV:BV),0.1),0.05)
))</f>
        <v>No</v>
      </c>
      <c r="L60" s="11" t="str">
        <f>IF(K60="No","No",
MAX(0.01,MROUND(_xlfn.XLOOKUP(B60,'Base stats'!B:B,'Base stats'!BG:BG) * 0.01 *2, 0.01))
)</f>
        <v>No</v>
      </c>
      <c r="M60" s="5" t="str">
        <f>IF(K60="No","No",IF(_xlfn.XLOOKUP(_xlfn.XLOOKUP(B60,'Base stats'!B:B,'Base stats'!E:E),Groups!A:A,Groups!BD:BD)=1,"No",
MAX(0.01,MROUND(_xlfn.XLOOKUP(B60,'Base stats'!B:B,'Base stats'!BS:BS)/10000,0.01))
))</f>
        <v>No</v>
      </c>
      <c r="N60" s="4" t="str">
        <f>IF(K60="No","No",
MROUND(
  _xlfn.XLOOKUP(B60,'Base stats'!B:B,'Base stats'!BA:BA)^0.25
  / (_xlfn.XLOOKUP(B60,'Base stats'!B:B,'Base stats'!BK:BK)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stats'!BU:BU),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stats'!BH:BH)^0.73)^0.6 *_xlfn.XLOOKUP(B60,'Base stats'!B:B,'Base stats'!BV:BV),0.1),0.05)
)</f>
        <v>2.7</v>
      </c>
      <c r="P60" s="11">
        <f>IF(O60="No","No",
MAX(0.01,MROUND(_xlfn.XLOOKUP(B60,'Base stats'!B:B,'Base stats'!BH:BH) * 0.01 * 2, 0.01))
)</f>
        <v>0.17</v>
      </c>
      <c r="Q60" s="5">
        <f>IF(O60="No","No",
MAX(0.01,MROUND(_xlfn.XLOOKUP(B60,'Base stats'!B:B,'Base stats'!BT:BT)/10000,0.01))
)</f>
        <v>0.04</v>
      </c>
      <c r="R60" s="4">
        <f>IF(O60="No","No",
MROUND(_xlfn.XLOOKUP(B60,'Base stats'!B:B,'Base stats'!AZ:AZ)^0.25
/((_xlfn.XLOOKUP(B60,'Base stats'!B:B,'Base stats'!BL:BL))*10)*_xlfn.XLOOKUP(_xlfn.XLOOKUP(B60,'Base stats'!B:B,'Base stats'!E:E),Groups!A:A,Groups!Z:Z)*150 + 0.5 + _xlfn.XLOOKUP(B60,'Base stats'!B:B,'Base stats'!BU:BU),
0.05))</f>
        <v>1.75</v>
      </c>
      <c r="S60" s="3" t="str">
        <f>IF(Animals!AI60="No","No",
IF(_xlfn.XLOOKUP(B60,'Base stats'!B:B,'Base stats'!U:U)="No",
MAX(MROUND(_xlfn.XLOOKUP(B60,'Base stats'!B:B,'Base stats'!BR:BR) * _xlfn.XLOOKUP(B60,'Base stats'!B:B,'Base stats'!BN:BN)^0.9 / 21 * _xlfn.XLOOKUP(B60,'Base stats'!B:B,'Base stats'!BV:BV),0.1),0.05),
MAX(MROUND(((MIN(12,_xlfn.XLOOKUP(B60,'Base stats'!B:B,'Base stats'!U:U)))^0.4*_xlfn.XLOOKUP(B60,'Base stats'!B:B,'Base stats'!BF:BF)^0.73)^0.6 * _xlfn.XLOOKUP(B60,'Base stats'!B:B,'Base stats'!BV:BV),0.1),0.05)
))</f>
        <v>No</v>
      </c>
      <c r="T60" s="11" t="str">
        <f>IF(S60="No","No",
MAX(0.01,MROUND(_xlfn.XLOOKUP(B60,'Base stats'!B:B,'Base stats'!BF:BF) * 0.01 * 2, 0.01))
)</f>
        <v>No</v>
      </c>
      <c r="U60" s="5" t="str">
        <f>IF(S60="No","No",IF(_xlfn.XLOOKUP(B60,'Base stats'!B:B,'Base stats'!U:U)="No","No",
MAX(0.01,MROUND(_xlfn.XLOOKUP(B60,'Base stats'!B:B,'Base stats'!BR:BR)/10000,0.01))
))</f>
        <v>No</v>
      </c>
      <c r="V60" s="4" t="str">
        <f>IF(S60="No","No",
MROUND(_xlfn.XLOOKUP(B60,'Base stats'!B:B,'Base stats'!BD:BD)^0.25
/((_xlfn.XLOOKUP(B60,'Base stats'!B:B,'Base stats'!BM:BM))*10)*_xlfn.XLOOKUP(_xlfn.XLOOKUP(B60,'Base stats'!B:B,'Base stats'!E:E),Groups!A:A,Groups!AE:AE)*150 + 0.5 + _xlfn.XLOOKUP(B60,'Base stats'!B:B,'Base stats'!BU:BU),
0.05))</f>
        <v>No</v>
      </c>
      <c r="W60" s="8">
        <f>MROUND(_xlfn.XLOOKUP(_xlfn.XLOOKUP(B60,'Base stats'!B:B,'Base stats'!E:E),Groups!A:A,Groups!BG:BG)*_xlfn.XLOOKUP(B60,'Base stats'!B:B,'Base stats'!C:C)^-0.165,0.01)</f>
        <v>0.87</v>
      </c>
      <c r="X60" s="1">
        <f>MROUND(_xlfn.XLOOKUP(_xlfn.XLOOKUP(B60,'Base stats'!B:B,'Base stats'!E:E),Groups!A:A,Groups!BH:BH)*_xlfn.XLOOKUP(B60,'Base stats'!B:B,'Base stats'!C:C)^0.165,0.01)</f>
        <v>0.23</v>
      </c>
      <c r="Y60" s="8">
        <f>MROUND(_xlfn.XLOOKUP(_xlfn.XLOOKUP(B60,'Base stats'!B:B,'Base stats'!E:E),Groups!A:A,Groups!BI:BI)*_xlfn.XLOOKUP(B60,'Base stats'!B:B,'Base stats'!C:C)^0.165,0.01)</f>
        <v>0.03</v>
      </c>
      <c r="Z60" s="18">
        <f>ROUND(_xlfn.XLOOKUP(B60,'Base stats'!B:B,'Base stats'!AO:AO)*_xlfn.XLOOKUP(_xlfn.XLOOKUP(B60,'Base stats'!B:B,'Base stats'!E:E),Groups!A:A,Groups!H:H)/1000,2)</f>
        <v>0.03</v>
      </c>
      <c r="AA60" s="18">
        <f>ROUND((1/2)*(_xlfn.XLOOKUP(_xlfn.XLOOKUP(B60,'Base stats'!B:B,'Base stats'!E:E),Groups!A:A,Groups!H:H)*_xlfn.XLOOKUP(_xlfn.XLOOKUP(B60,'Base stats'!B:B,'Base stats'!E:E),Groups!A:A,Groups!I:I))*_xlfn.XLOOKUP(B60,'Base stats'!B:B,'Base stats'!AO:AO)*0.01,2)</f>
        <v>0.23</v>
      </c>
      <c r="AB60" s="18">
        <f>250*(Animals!AO60+Animals!AP60)</f>
        <v>112.5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stats'!BQ:BQ) * (_xlfn.XLOOKUP(B61,'Base stats'!B:B,'Base stats'!AM:AM)*5%)^0.9 / 21,0.1),0.05)</f>
        <v>0.4</v>
      </c>
      <c r="E61" s="11">
        <f>MAX(0.01,MROUND(_xlfn.XLOOKUP(B61,'Base stats'!B:B,'Base stats'!BE:BE) * 0.01 * 2, 0.01))</f>
        <v>0.32</v>
      </c>
      <c r="F61" s="7">
        <f>MROUND(_xlfn.XLOOKUP(B61,'Base stats'!B:B,'Base stats'!BB:BB)^0.25 / (_xlfn.XLOOKUP(B61,'Base stats'!B:B,'Base stats'!BI:BI) * 10) * 150 + 0.5 + _xlfn.XLOOKUP(B61,'Base stats'!B:B,'Base stats'!BU:BU), 0.05)</f>
        <v>1.6</v>
      </c>
      <c r="G61" s="3" t="str">
        <f>IF(Animals!S61="No","No",
IF(_xlfn.XLOOKUP(B61,'Base stats'!B:B,'Base stats'!U:U)="No",
MAX(MROUND(_xlfn.XLOOKUP(B61,'Base stats'!B:B,'Base stats'!BR:BR) * _xlfn.XLOOKUP(B61,'Base stats'!B:B,'Base stats'!BN:BN)^0.9 / 21 * _xlfn.XLOOKUP(B61,'Base stats'!B:B,'Base stats'!BV:BV),0.1),0.05),
MAX(MROUND(((MIN(10,_xlfn.XLOOKUP(B61,'Base stats'!B:B,'Base stats'!U:U)))^0.4*_xlfn.XLOOKUP(B61,'Base stats'!B:B,'Base stats'!BF:BF)^0.73)^0.6 * _xlfn.XLOOKUP(B61,'Base stats'!B:B,'Base stats'!BV:BV),0.1),0.05)
))</f>
        <v>No</v>
      </c>
      <c r="H61" s="11" t="str">
        <f>IF(G61="No","No",
MAX(0.01,MROUND(_xlfn.XLOOKUP(B61,'Base stats'!B:B,'Base stats'!BF:BF) * 0.01 * 2, 0.01))
)</f>
        <v>No</v>
      </c>
      <c r="I61" s="11" t="str">
        <f>IF(G61="No","No",IF(_xlfn.XLOOKUP(B61,'Base stats'!B:B,'Base stats'!U:U)="No","No",
MAX(0.01,MROUND(_xlfn.XLOOKUP(B61,'Base stats'!B:B,'Base stats'!BR:BR)/10000,0.01))
))</f>
        <v>No</v>
      </c>
      <c r="J61" s="4" t="str">
        <f>IF(G61="No","No",
MROUND(_xlfn.XLOOKUP(B61,'Base stats'!B:B,'Base stats'!BC:BC)^0.25
/((_xlfn.XLOOKUP(B61,'Base stats'!B:B,'Base stats'!BJ:BJ))*10)*_xlfn.XLOOKUP(_xlfn.XLOOKUP(B61,'Base stats'!B:B,'Base stats'!E:E),Groups!A:A,Groups!Q:Q)*150 + 0.5 + _xlfn.XLOOKUP(B61,'Base stats'!B:B,'Base stats'!BU:BU),
0.05))</f>
        <v>No</v>
      </c>
      <c r="K61" s="3" t="str">
        <f>IF(Animals!X61="No","No",
IF(_xlfn.XLOOKUP(_xlfn.XLOOKUP(B61,'Base stats'!B:B,'Base stats'!E:E),Groups!A:A,Groups!BD:BD)=1,
MAX(MROUND(_xlfn.XLOOKUP(B61,'Base stats'!B:B,'Base stats'!BS:BS) * _xlfn.XLOOKUP(B61,'Base stats'!B:B,'Base stats'!BO:BO)^0.9 / 21 *_xlfn.XLOOKUP(B61,'Base stats'!B:B,'Base stats'!BV:BV),0.1),0.05),
MAX(MROUND(((MIN(10,_xlfn.XLOOKUP(B61,'Base stats'!B:B,'Base stats'!W:W)))^0.4*_xlfn.XLOOKUP(B61,'Base stats'!B:B,'Base stats'!BG:BG)^0.73)^0.6 *_xlfn.XLOOKUP(B61,'Base stats'!B:B,'Base stats'!BV:BV),0.1),0.05)
))</f>
        <v>No</v>
      </c>
      <c r="L61" s="11" t="str">
        <f>IF(K61="No","No",
MAX(0.01,MROUND(_xlfn.XLOOKUP(B61,'Base stats'!B:B,'Base stats'!BG:BG) * 0.01 *2, 0.01))
)</f>
        <v>No</v>
      </c>
      <c r="M61" s="5" t="str">
        <f>IF(K61="No","No",IF(_xlfn.XLOOKUP(_xlfn.XLOOKUP(B61,'Base stats'!B:B,'Base stats'!E:E),Groups!A:A,Groups!BD:BD)=1,"No",
MAX(0.01,MROUND(_xlfn.XLOOKUP(B61,'Base stats'!B:B,'Base stats'!BS:BS)/10000,0.01))
))</f>
        <v>No</v>
      </c>
      <c r="N61" s="4" t="str">
        <f>IF(K61="No","No",
MROUND(
  _xlfn.XLOOKUP(B61,'Base stats'!B:B,'Base stats'!BA:BA)^0.25
  / (_xlfn.XLOOKUP(B61,'Base stats'!B:B,'Base stats'!BK:BK)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stats'!BU:BU),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stats'!BH:BH)^0.73)^0.6 *_xlfn.XLOOKUP(B61,'Base stats'!B:B,'Base stats'!BV:BV),0.1),0.05)
)</f>
        <v>4.8000000000000007</v>
      </c>
      <c r="P61" s="11">
        <f>IF(O61="No","No",
MAX(0.01,MROUND(_xlfn.XLOOKUP(B61,'Base stats'!B:B,'Base stats'!BH:BH) * 0.01 * 2, 0.01))
)</f>
        <v>0.28999999999999998</v>
      </c>
      <c r="Q61" s="5">
        <f>IF(O61="No","No",
MAX(0.01,MROUND(_xlfn.XLOOKUP(B61,'Base stats'!B:B,'Base stats'!BT:BT)/10000,0.01))
)</f>
        <v>0.04</v>
      </c>
      <c r="R61" s="4">
        <f>IF(O61="No","No",
MROUND(_xlfn.XLOOKUP(B61,'Base stats'!B:B,'Base stats'!AZ:AZ)^0.25
/((_xlfn.XLOOKUP(B61,'Base stats'!B:B,'Base stats'!BL:BL))*10)*_xlfn.XLOOKUP(_xlfn.XLOOKUP(B61,'Base stats'!B:B,'Base stats'!E:E),Groups!A:A,Groups!Z:Z)*150 + 0.5 + _xlfn.XLOOKUP(B61,'Base stats'!B:B,'Base stats'!BU:BU),
0.05))</f>
        <v>2.1</v>
      </c>
      <c r="S61" s="3" t="str">
        <f>IF(Animals!AI61="No","No",
IF(_xlfn.XLOOKUP(B61,'Base stats'!B:B,'Base stats'!U:U)="No",
MAX(MROUND(_xlfn.XLOOKUP(B61,'Base stats'!B:B,'Base stats'!BR:BR) * _xlfn.XLOOKUP(B61,'Base stats'!B:B,'Base stats'!BN:BN)^0.9 / 21 * _xlfn.XLOOKUP(B61,'Base stats'!B:B,'Base stats'!BV:BV),0.1),0.05),
MAX(MROUND(((MIN(12,_xlfn.XLOOKUP(B61,'Base stats'!B:B,'Base stats'!U:U)))^0.4*_xlfn.XLOOKUP(B61,'Base stats'!B:B,'Base stats'!BF:BF)^0.73)^0.6 * _xlfn.XLOOKUP(B61,'Base stats'!B:B,'Base stats'!BV:BV),0.1),0.05)
))</f>
        <v>No</v>
      </c>
      <c r="T61" s="11" t="str">
        <f>IF(S61="No","No",
MAX(0.01,MROUND(_xlfn.XLOOKUP(B61,'Base stats'!B:B,'Base stats'!BF:BF) * 0.01 * 2, 0.01))
)</f>
        <v>No</v>
      </c>
      <c r="U61" s="5" t="str">
        <f>IF(S61="No","No",IF(_xlfn.XLOOKUP(B61,'Base stats'!B:B,'Base stats'!U:U)="No","No",
MAX(0.01,MROUND(_xlfn.XLOOKUP(B61,'Base stats'!B:B,'Base stats'!BR:BR)/10000,0.01))
))</f>
        <v>No</v>
      </c>
      <c r="V61" s="4" t="str">
        <f>IF(S61="No","No",
MROUND(_xlfn.XLOOKUP(B61,'Base stats'!B:B,'Base stats'!BD:BD)^0.25
/((_xlfn.XLOOKUP(B61,'Base stats'!B:B,'Base stats'!BM:BM))*10)*_xlfn.XLOOKUP(_xlfn.XLOOKUP(B61,'Base stats'!B:B,'Base stats'!E:E),Groups!A:A,Groups!AE:AE)*150 + 0.5 + _xlfn.XLOOKUP(B61,'Base stats'!B:B,'Base stats'!BU:BU),
0.05))</f>
        <v>No</v>
      </c>
      <c r="W61" s="8">
        <f>MROUND(_xlfn.XLOOKUP(_xlfn.XLOOKUP(B61,'Base stats'!B:B,'Base stats'!E:E),Groups!A:A,Groups!BG:BG)*_xlfn.XLOOKUP(B61,'Base stats'!B:B,'Base stats'!C:C)^-0.165,0.01)</f>
        <v>0.48</v>
      </c>
      <c r="X61" s="1">
        <f>MROUND(_xlfn.XLOOKUP(_xlfn.XLOOKUP(B61,'Base stats'!B:B,'Base stats'!E:E),Groups!A:A,Groups!BH:BH)*_xlfn.XLOOKUP(B61,'Base stats'!B:B,'Base stats'!C:C)^0.165,0.01)</f>
        <v>0.15</v>
      </c>
      <c r="Y61" s="8">
        <f>MROUND(_xlfn.XLOOKUP(_xlfn.XLOOKUP(B61,'Base stats'!B:B,'Base stats'!E:E),Groups!A:A,Groups!BI:BI)*_xlfn.XLOOKUP(B61,'Base stats'!B:B,'Base stats'!C:C)^0.165,0.01)</f>
        <v>0.04</v>
      </c>
      <c r="Z61" s="18">
        <f>ROUND(_xlfn.XLOOKUP(B61,'Base stats'!B:B,'Base stats'!AO:AO)*_xlfn.XLOOKUP(_xlfn.XLOOKUP(B61,'Base stats'!B:B,'Base stats'!E:E),Groups!A:A,Groups!H:H)/1000,2)</f>
        <v>0.02</v>
      </c>
      <c r="AA61" s="18">
        <f>ROUND((1/2)*(_xlfn.XLOOKUP(_xlfn.XLOOKUP(B61,'Base stats'!B:B,'Base stats'!E:E),Groups!A:A,Groups!H:H)*_xlfn.XLOOKUP(_xlfn.XLOOKUP(B61,'Base stats'!B:B,'Base stats'!E:E),Groups!A:A,Groups!I:I))*_xlfn.XLOOKUP(B61,'Base stats'!B:B,'Base stats'!AO:AO)*0.01,2)</f>
        <v>0.13</v>
      </c>
      <c r="AB61" s="18">
        <f>250*(Animals!AO61+Animals!AP61)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stats'!BQ:BQ) * (_xlfn.XLOOKUP(B62,'Base stats'!B:B,'Base stats'!AM:AM)*5%)^0.9 / 21,0.1),0.05)</f>
        <v>3.5</v>
      </c>
      <c r="E62" s="11">
        <f>MAX(0.01,MROUND(_xlfn.XLOOKUP(B62,'Base stats'!B:B,'Base stats'!BE:BE) * 0.01 * 2, 0.01))</f>
        <v>2.99</v>
      </c>
      <c r="F62" s="7">
        <f>MROUND(_xlfn.XLOOKUP(B62,'Base stats'!B:B,'Base stats'!BB:BB)^0.25 / (_xlfn.XLOOKUP(B62,'Base stats'!B:B,'Base stats'!BI:BI) * 10) * 150 + 0.5 + _xlfn.XLOOKUP(B62,'Base stats'!B:B,'Base stats'!BU:BU), 0.05)</f>
        <v>1.6500000000000001</v>
      </c>
      <c r="G62" s="3" t="str">
        <f>IF(Animals!S62="No","No",
IF(_xlfn.XLOOKUP(B62,'Base stats'!B:B,'Base stats'!U:U)="No",
MAX(MROUND(_xlfn.XLOOKUP(B62,'Base stats'!B:B,'Base stats'!BR:BR) * _xlfn.XLOOKUP(B62,'Base stats'!B:B,'Base stats'!BN:BN)^0.9 / 21 * _xlfn.XLOOKUP(B62,'Base stats'!B:B,'Base stats'!BV:BV),0.1),0.05),
MAX(MROUND(((MIN(10,_xlfn.XLOOKUP(B62,'Base stats'!B:B,'Base stats'!U:U)))^0.4*_xlfn.XLOOKUP(B62,'Base stats'!B:B,'Base stats'!BF:BF)^0.73)^0.6 * _xlfn.XLOOKUP(B62,'Base stats'!B:B,'Base stats'!BV:BV),0.1),0.05)
))</f>
        <v>No</v>
      </c>
      <c r="H62" s="11" t="str">
        <f>IF(G62="No","No",
MAX(0.01,MROUND(_xlfn.XLOOKUP(B62,'Base stats'!B:B,'Base stats'!BF:BF) * 0.01 * 2, 0.01))
)</f>
        <v>No</v>
      </c>
      <c r="I62" s="11" t="str">
        <f>IF(G62="No","No",IF(_xlfn.XLOOKUP(B62,'Base stats'!B:B,'Base stats'!U:U)="No","No",
MAX(0.01,MROUND(_xlfn.XLOOKUP(B62,'Base stats'!B:B,'Base stats'!BR:BR)/10000,0.01))
))</f>
        <v>No</v>
      </c>
      <c r="J62" s="4" t="str">
        <f>IF(G62="No","No",
MROUND(_xlfn.XLOOKUP(B62,'Base stats'!B:B,'Base stats'!BC:BC)^0.25
/((_xlfn.XLOOKUP(B62,'Base stats'!B:B,'Base stats'!BJ:BJ))*10)*_xlfn.XLOOKUP(_xlfn.XLOOKUP(B62,'Base stats'!B:B,'Base stats'!E:E),Groups!A:A,Groups!Q:Q)*150 + 0.5 + _xlfn.XLOOKUP(B62,'Base stats'!B:B,'Base stats'!BU:BU),
0.05))</f>
        <v>No</v>
      </c>
      <c r="K62" s="3" t="str">
        <f>IF(Animals!X62="No","No",
IF(_xlfn.XLOOKUP(_xlfn.XLOOKUP(B62,'Base stats'!B:B,'Base stats'!E:E),Groups!A:A,Groups!BD:BD)=1,
MAX(MROUND(_xlfn.XLOOKUP(B62,'Base stats'!B:B,'Base stats'!BS:BS) * _xlfn.XLOOKUP(B62,'Base stats'!B:B,'Base stats'!BO:BO)^0.9 / 21 *_xlfn.XLOOKUP(B62,'Base stats'!B:B,'Base stats'!BV:BV),0.1),0.05),
MAX(MROUND(((MIN(10,_xlfn.XLOOKUP(B62,'Base stats'!B:B,'Base stats'!W:W)))^0.4*_xlfn.XLOOKUP(B62,'Base stats'!B:B,'Base stats'!BG:BG)^0.73)^0.6 *_xlfn.XLOOKUP(B62,'Base stats'!B:B,'Base stats'!BV:BV),0.1),0.05)
))</f>
        <v>No</v>
      </c>
      <c r="L62" s="11" t="str">
        <f>IF(K62="No","No",
MAX(0.01,MROUND(_xlfn.XLOOKUP(B62,'Base stats'!B:B,'Base stats'!BG:BG) * 0.01 *2, 0.01))
)</f>
        <v>No</v>
      </c>
      <c r="M62" s="5" t="str">
        <f>IF(K62="No","No",IF(_xlfn.XLOOKUP(_xlfn.XLOOKUP(B62,'Base stats'!B:B,'Base stats'!E:E),Groups!A:A,Groups!BD:BD)=1,"No",
MAX(0.01,MROUND(_xlfn.XLOOKUP(B62,'Base stats'!B:B,'Base stats'!BS:BS)/10000,0.01))
))</f>
        <v>No</v>
      </c>
      <c r="N62" s="4" t="str">
        <f>IF(K62="No","No",
MROUND(
  _xlfn.XLOOKUP(B62,'Base stats'!B:B,'Base stats'!BA:BA)^0.25
  / (_xlfn.XLOOKUP(B62,'Base stats'!B:B,'Base stats'!BK:BK)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stats'!BU:BU),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stats'!BH:BH)^0.73)^0.6 *_xlfn.XLOOKUP(B62,'Base stats'!B:B,'Base stats'!BV:BV),0.1),0.05)
)</f>
        <v>17</v>
      </c>
      <c r="P62" s="11">
        <f>IF(O62="No","No",
MAX(0.01,MROUND(_xlfn.XLOOKUP(B62,'Base stats'!B:B,'Base stats'!BH:BH) * 0.01 * 2, 0.01))
)</f>
        <v>5.71</v>
      </c>
      <c r="Q62" s="5">
        <f>IF(O62="No","No",
MAX(0.01,MROUND(_xlfn.XLOOKUP(B62,'Base stats'!B:B,'Base stats'!BT:BT)/10000,0.01))
)</f>
        <v>0.28000000000000003</v>
      </c>
      <c r="R62" s="4">
        <f>IF(O62="No","No",
MROUND(_xlfn.XLOOKUP(B62,'Base stats'!B:B,'Base stats'!AZ:AZ)^0.25
/((_xlfn.XLOOKUP(B62,'Base stats'!B:B,'Base stats'!BL:BL))*10)*_xlfn.XLOOKUP(_xlfn.XLOOKUP(B62,'Base stats'!B:B,'Base stats'!E:E),Groups!A:A,Groups!Z:Z)*150 + 0.5 + _xlfn.XLOOKUP(B62,'Base stats'!B:B,'Base stats'!BU:BU),
0.05))</f>
        <v>2.2000000000000002</v>
      </c>
      <c r="S62" s="3">
        <f>IF(Animals!AI62="No","No",
IF(_xlfn.XLOOKUP(B62,'Base stats'!B:B,'Base stats'!U:U)="No",
MAX(MROUND(_xlfn.XLOOKUP(B62,'Base stats'!B:B,'Base stats'!BR:BR) * _xlfn.XLOOKUP(B62,'Base stats'!B:B,'Base stats'!BN:BN)^0.9 / 21 * _xlfn.XLOOKUP(B62,'Base stats'!B:B,'Base stats'!BV:BV),0.1),0.05),
MAX(MROUND(((MIN(12,_xlfn.XLOOKUP(B62,'Base stats'!B:B,'Base stats'!U:U)))^0.4*_xlfn.XLOOKUP(B62,'Base stats'!B:B,'Base stats'!BF:BF)^0.73)^0.6 * _xlfn.XLOOKUP(B62,'Base stats'!B:B,'Base stats'!BV:BV),0.1),0.05)
))</f>
        <v>14.5</v>
      </c>
      <c r="T62" s="11">
        <f>IF(S62="No","No",
MAX(0.01,MROUND(_xlfn.XLOOKUP(B62,'Base stats'!B:B,'Base stats'!BF:BF) * 0.01 * 2, 0.01))
)</f>
        <v>3.73</v>
      </c>
      <c r="U62" s="5">
        <f>IF(S62="No","No",IF(_xlfn.XLOOKUP(B62,'Base stats'!B:B,'Base stats'!U:U)="No","No",
MAX(0.01,MROUND(_xlfn.XLOOKUP(B62,'Base stats'!B:B,'Base stats'!BR:BR)/10000,0.01))
))</f>
        <v>0.18</v>
      </c>
      <c r="V62" s="4">
        <f>IF(S62="No","No",
MROUND(_xlfn.XLOOKUP(B62,'Base stats'!B:B,'Base stats'!BD:BD)^0.25
/((_xlfn.XLOOKUP(B62,'Base stats'!B:B,'Base stats'!BM:BM))*10)*_xlfn.XLOOKUP(_xlfn.XLOOKUP(B62,'Base stats'!B:B,'Base stats'!E:E),Groups!A:A,Groups!AE:AE)*150 + 0.5 + _xlfn.XLOOKUP(B62,'Base stats'!B:B,'Base stats'!BU:BU),
0.05))</f>
        <v>1.5</v>
      </c>
      <c r="W62" s="8">
        <f>MROUND(_xlfn.XLOOKUP(_xlfn.XLOOKUP(B62,'Base stats'!B:B,'Base stats'!E:E),Groups!A:A,Groups!BG:BG)*_xlfn.XLOOKUP(B62,'Base stats'!B:B,'Base stats'!C:C)^-0.165,0.01)</f>
        <v>0.32</v>
      </c>
      <c r="X62" s="1">
        <f>MROUND(_xlfn.XLOOKUP(_xlfn.XLOOKUP(B62,'Base stats'!B:B,'Base stats'!E:E),Groups!A:A,Groups!BH:BH)*_xlfn.XLOOKUP(B62,'Base stats'!B:B,'Base stats'!C:C)^0.165,0.01)</f>
        <v>0.33</v>
      </c>
      <c r="Y62" s="8">
        <f>MROUND(_xlfn.XLOOKUP(_xlfn.XLOOKUP(B62,'Base stats'!B:B,'Base stats'!E:E),Groups!A:A,Groups!BI:BI)*_xlfn.XLOOKUP(B62,'Base stats'!B:B,'Base stats'!C:C)^0.165,0.01)</f>
        <v>0.05</v>
      </c>
      <c r="Z62" s="18">
        <f>ROUND(_xlfn.XLOOKUP(B62,'Base stats'!B:B,'Base stats'!AO:AO)*_xlfn.XLOOKUP(_xlfn.XLOOKUP(B62,'Base stats'!B:B,'Base stats'!E:E),Groups!A:A,Groups!H:H)/1000,2)</f>
        <v>0.12</v>
      </c>
      <c r="AA62" s="18">
        <f>ROUND((1/2)*(_xlfn.XLOOKUP(_xlfn.XLOOKUP(B62,'Base stats'!B:B,'Base stats'!E:E),Groups!A:A,Groups!H:H)*_xlfn.XLOOKUP(_xlfn.XLOOKUP(B62,'Base stats'!B:B,'Base stats'!E:E),Groups!A:A,Groups!I:I))*_xlfn.XLOOKUP(B62,'Base stats'!B:B,'Base stats'!AO:AO)*0.01,2)</f>
        <v>0.89</v>
      </c>
      <c r="AB62" s="18">
        <f>250*(Animals!AO62+Animals!AP62)</f>
        <v>712.5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stats'!BQ:BQ) * (_xlfn.XLOOKUP(B63,'Base stats'!B:B,'Base stats'!AM:AM)*5%)^0.9 / 21,0.1),0.05)</f>
        <v>0.05</v>
      </c>
      <c r="E63" s="11">
        <f>MAX(0.01,MROUND(_xlfn.XLOOKUP(B63,'Base stats'!B:B,'Base stats'!BE:BE) * 0.01 * 2, 0.01))</f>
        <v>0.01</v>
      </c>
      <c r="F63" s="7">
        <f>MROUND(_xlfn.XLOOKUP(B63,'Base stats'!B:B,'Base stats'!BB:BB)^0.25 / (_xlfn.XLOOKUP(B63,'Base stats'!B:B,'Base stats'!BI:BI) * 10) * 150 + 0.5 + _xlfn.XLOOKUP(B63,'Base stats'!B:B,'Base stats'!BU:BU), 0.05)</f>
        <v>1</v>
      </c>
      <c r="G63" s="3">
        <f>IF(Animals!S63="No","No",
IF(_xlfn.XLOOKUP(B63,'Base stats'!B:B,'Base stats'!U:U)="No",
MAX(MROUND(_xlfn.XLOOKUP(B63,'Base stats'!B:B,'Base stats'!BR:BR) * _xlfn.XLOOKUP(B63,'Base stats'!B:B,'Base stats'!BN:BN)^0.9 / 21 * _xlfn.XLOOKUP(B63,'Base stats'!B:B,'Base stats'!BV:BV),0.1),0.05),
MAX(MROUND(((MIN(10,_xlfn.XLOOKUP(B63,'Base stats'!B:B,'Base stats'!U:U)))^0.4*_xlfn.XLOOKUP(B63,'Base stats'!B:B,'Base stats'!BF:BF)^0.73)^0.6 * _xlfn.XLOOKUP(B63,'Base stats'!B:B,'Base stats'!BV:BV),0.1),0.05)
))</f>
        <v>0.2</v>
      </c>
      <c r="H63" s="11">
        <f>IF(G63="No","No",
MAX(0.01,MROUND(_xlfn.XLOOKUP(B63,'Base stats'!B:B,'Base stats'!BF:BF) * 0.01 * 2, 0.01))
)</f>
        <v>0.01</v>
      </c>
      <c r="I63" s="11">
        <f>IF(G63="No","No",IF(_xlfn.XLOOKUP(B63,'Base stats'!B:B,'Base stats'!U:U)="No","No",
MAX(0.01,MROUND(_xlfn.XLOOKUP(B63,'Base stats'!B:B,'Base stats'!BR:BR)/10000,0.01))
))</f>
        <v>0.01</v>
      </c>
      <c r="J63" s="4">
        <f>IF(G63="No","No",
MROUND(_xlfn.XLOOKUP(B63,'Base stats'!B:B,'Base stats'!BC:BC)^0.25
/((_xlfn.XLOOKUP(B63,'Base stats'!B:B,'Base stats'!BJ:BJ))*10)*_xlfn.XLOOKUP(_xlfn.XLOOKUP(B63,'Base stats'!B:B,'Base stats'!E:E),Groups!A:A,Groups!Q:Q)*150 + 0.5 + _xlfn.XLOOKUP(B63,'Base stats'!B:B,'Base stats'!BU:BU),
0.05))</f>
        <v>1.25</v>
      </c>
      <c r="K63" s="3" t="str">
        <f>IF(Animals!X63="No","No",
IF(_xlfn.XLOOKUP(_xlfn.XLOOKUP(B63,'Base stats'!B:B,'Base stats'!E:E),Groups!A:A,Groups!BD:BD)=1,
MAX(MROUND(_xlfn.XLOOKUP(B63,'Base stats'!B:B,'Base stats'!BS:BS) * _xlfn.XLOOKUP(B63,'Base stats'!B:B,'Base stats'!BO:BO)^0.9 / 21 *_xlfn.XLOOKUP(B63,'Base stats'!B:B,'Base stats'!BV:BV),0.1),0.05),
MAX(MROUND(((MIN(10,_xlfn.XLOOKUP(B63,'Base stats'!B:B,'Base stats'!W:W)))^0.4*_xlfn.XLOOKUP(B63,'Base stats'!B:B,'Base stats'!BG:BG)^0.73)^0.6 *_xlfn.XLOOKUP(B63,'Base stats'!B:B,'Base stats'!BV:BV),0.1),0.05)
))</f>
        <v>No</v>
      </c>
      <c r="L63" s="11" t="str">
        <f>IF(K63="No","No",
MAX(0.01,MROUND(_xlfn.XLOOKUP(B63,'Base stats'!B:B,'Base stats'!BG:BG) * 0.01 *2, 0.01))
)</f>
        <v>No</v>
      </c>
      <c r="M63" s="5" t="str">
        <f>IF(K63="No","No",IF(_xlfn.XLOOKUP(_xlfn.XLOOKUP(B63,'Base stats'!B:B,'Base stats'!E:E),Groups!A:A,Groups!BD:BD)=1,"No",
MAX(0.01,MROUND(_xlfn.XLOOKUP(B63,'Base stats'!B:B,'Base stats'!BS:BS)/10000,0.01))
))</f>
        <v>No</v>
      </c>
      <c r="N63" s="4" t="str">
        <f>IF(K63="No","No",
MROUND(
  _xlfn.XLOOKUP(B63,'Base stats'!B:B,'Base stats'!BA:BA)^0.25
  / (_xlfn.XLOOKUP(B63,'Base stats'!B:B,'Base stats'!BK:BK)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stats'!BU:BU),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stats'!BH:BH)^0.73)^0.6 *_xlfn.XLOOKUP(B63,'Base stats'!B:B,'Base stats'!BV:BV),0.1),0.05)
)</f>
        <v>0.2</v>
      </c>
      <c r="P63" s="11">
        <f>IF(O63="No","No",
MAX(0.01,MROUND(_xlfn.XLOOKUP(B63,'Base stats'!B:B,'Base stats'!BH:BH) * 0.01 * 2, 0.01))
)</f>
        <v>0.01</v>
      </c>
      <c r="Q63" s="5">
        <f>IF(O63="No","No",
MAX(0.01,MROUND(_xlfn.XLOOKUP(B63,'Base stats'!B:B,'Base stats'!BT:BT)/10000,0.01))
)</f>
        <v>0.01</v>
      </c>
      <c r="R63" s="4">
        <f>IF(O63="No","No",
MROUND(_xlfn.XLOOKUP(B63,'Base stats'!B:B,'Base stats'!AZ:AZ)^0.25
/((_xlfn.XLOOKUP(B63,'Base stats'!B:B,'Base stats'!BL:BL))*10)*_xlfn.XLOOKUP(_xlfn.XLOOKUP(B63,'Base stats'!B:B,'Base stats'!E:E),Groups!A:A,Groups!Z:Z)*150 + 0.5 + _xlfn.XLOOKUP(B63,'Base stats'!B:B,'Base stats'!BU:BU),
0.05))</f>
        <v>1.55</v>
      </c>
      <c r="S63" s="3" t="str">
        <f>IF(Animals!AI63="No","No",
IF(_xlfn.XLOOKUP(B63,'Base stats'!B:B,'Base stats'!U:U)="No",
MAX(MROUND(_xlfn.XLOOKUP(B63,'Base stats'!B:B,'Base stats'!BR:BR) * _xlfn.XLOOKUP(B63,'Base stats'!B:B,'Base stats'!BN:BN)^0.9 / 21 * _xlfn.XLOOKUP(B63,'Base stats'!B:B,'Base stats'!BV:BV),0.1),0.05),
MAX(MROUND(((MIN(12,_xlfn.XLOOKUP(B63,'Base stats'!B:B,'Base stats'!U:U)))^0.4*_xlfn.XLOOKUP(B63,'Base stats'!B:B,'Base stats'!BF:BF)^0.73)^0.6 * _xlfn.XLOOKUP(B63,'Base stats'!B:B,'Base stats'!BV:BV),0.1),0.05)
))</f>
        <v>No</v>
      </c>
      <c r="T63" s="11" t="str">
        <f>IF(S63="No","No",
MAX(0.01,MROUND(_xlfn.XLOOKUP(B63,'Base stats'!B:B,'Base stats'!BF:BF) * 0.01 * 2, 0.01))
)</f>
        <v>No</v>
      </c>
      <c r="U63" s="5" t="str">
        <f>IF(S63="No","No",IF(_xlfn.XLOOKUP(B63,'Base stats'!B:B,'Base stats'!U:U)="No","No",
MAX(0.01,MROUND(_xlfn.XLOOKUP(B63,'Base stats'!B:B,'Base stats'!BR:BR)/10000,0.01))
))</f>
        <v>No</v>
      </c>
      <c r="V63" s="4" t="str">
        <f>IF(S63="No","No",
MROUND(_xlfn.XLOOKUP(B63,'Base stats'!B:B,'Base stats'!BD:BD)^0.25
/((_xlfn.XLOOKUP(B63,'Base stats'!B:B,'Base stats'!BM:BM))*10)*_xlfn.XLOOKUP(_xlfn.XLOOKUP(B63,'Base stats'!B:B,'Base stats'!E:E),Groups!A:A,Groups!AE:AE)*150 + 0.5 + _xlfn.XLOOKUP(B63,'Base stats'!B:B,'Base stats'!BU:BU),
0.05))</f>
        <v>No</v>
      </c>
      <c r="W63" s="8">
        <f>MROUND(_xlfn.XLOOKUP(_xlfn.XLOOKUP(B63,'Base stats'!B:B,'Base stats'!E:E),Groups!A:A,Groups!BG:BG)*_xlfn.XLOOKUP(B63,'Base stats'!B:B,'Base stats'!C:C)^-0.165,0.01)</f>
        <v>1.81</v>
      </c>
      <c r="X63" s="1">
        <f>MROUND(_xlfn.XLOOKUP(_xlfn.XLOOKUP(B63,'Base stats'!B:B,'Base stats'!E:E),Groups!A:A,Groups!BH:BH)*_xlfn.XLOOKUP(B63,'Base stats'!B:B,'Base stats'!C:C)^0.165,0.01)</f>
        <v>0</v>
      </c>
      <c r="Y63" s="8">
        <f>MROUND(_xlfn.XLOOKUP(_xlfn.XLOOKUP(B63,'Base stats'!B:B,'Base stats'!E:E),Groups!A:A,Groups!BI:BI)*_xlfn.XLOOKUP(B63,'Base stats'!B:B,'Base stats'!C:C)^0.165,0.01)</f>
        <v>0</v>
      </c>
      <c r="Z63" s="18">
        <f>ROUND(_xlfn.XLOOKUP(B63,'Base stats'!B:B,'Base stats'!AO:AO)*_xlfn.XLOOKUP(_xlfn.XLOOKUP(B63,'Base stats'!B:B,'Base stats'!E:E),Groups!A:A,Groups!H:H)/1000,2)</f>
        <v>0</v>
      </c>
      <c r="AA63" s="18">
        <f>ROUND((1/2)*(_xlfn.XLOOKUP(_xlfn.XLOOKUP(B63,'Base stats'!B:B,'Base stats'!E:E),Groups!A:A,Groups!H:H)*_xlfn.XLOOKUP(_xlfn.XLOOKUP(B63,'Base stats'!B:B,'Base stats'!E:E),Groups!A:A,Groups!I:I))*_xlfn.XLOOKUP(B63,'Base stats'!B:B,'Base stats'!AO:AO)*0.01,2)</f>
        <v>0</v>
      </c>
      <c r="AB63" s="18">
        <f>250*(Animals!AO63+Animals!AP63)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stats'!BQ:BQ) * (_xlfn.XLOOKUP(B64,'Base stats'!B:B,'Base stats'!AM:AM)*5%)^0.9 / 21,0.1),0.05)</f>
        <v>0.05</v>
      </c>
      <c r="E64" s="11">
        <f>MAX(0.01,MROUND(_xlfn.XLOOKUP(B64,'Base stats'!B:B,'Base stats'!BE:BE) * 0.01 * 2, 0.01))</f>
        <v>0.01</v>
      </c>
      <c r="F64" s="7">
        <f>MROUND(_xlfn.XLOOKUP(B64,'Base stats'!B:B,'Base stats'!BB:BB)^0.25 / (_xlfn.XLOOKUP(B64,'Base stats'!B:B,'Base stats'!BI:BI) * 10) * 150 + 0.5 + _xlfn.XLOOKUP(B64,'Base stats'!B:B,'Base stats'!BU:BU), 0.05)</f>
        <v>1</v>
      </c>
      <c r="G64" s="3">
        <f>IF(Animals!S64="No","No",
IF(_xlfn.XLOOKUP(B64,'Base stats'!B:B,'Base stats'!U:U)="No",
MAX(MROUND(_xlfn.XLOOKUP(B64,'Base stats'!B:B,'Base stats'!BR:BR) * _xlfn.XLOOKUP(B64,'Base stats'!B:B,'Base stats'!BN:BN)^0.9 / 21 * _xlfn.XLOOKUP(B64,'Base stats'!B:B,'Base stats'!BV:BV),0.1),0.05),
MAX(MROUND(((MIN(10,_xlfn.XLOOKUP(B64,'Base stats'!B:B,'Base stats'!U:U)))^0.4*_xlfn.XLOOKUP(B64,'Base stats'!B:B,'Base stats'!BF:BF)^0.73)^0.6 * _xlfn.XLOOKUP(B64,'Base stats'!B:B,'Base stats'!BV:BV),0.1),0.05)
))</f>
        <v>0.30000000000000004</v>
      </c>
      <c r="H64" s="11">
        <f>IF(G64="No","No",
MAX(0.01,MROUND(_xlfn.XLOOKUP(B64,'Base stats'!B:B,'Base stats'!BF:BF) * 0.01 * 2, 0.01))
)</f>
        <v>0.01</v>
      </c>
      <c r="I64" s="11">
        <f>IF(G64="No","No",IF(_xlfn.XLOOKUP(B64,'Base stats'!B:B,'Base stats'!U:U)="No","No",
MAX(0.01,MROUND(_xlfn.XLOOKUP(B64,'Base stats'!B:B,'Base stats'!BR:BR)/10000,0.01))
))</f>
        <v>0.01</v>
      </c>
      <c r="J64" s="4">
        <f>IF(G64="No","No",
MROUND(_xlfn.XLOOKUP(B64,'Base stats'!B:B,'Base stats'!BC:BC)^0.25
/((_xlfn.XLOOKUP(B64,'Base stats'!B:B,'Base stats'!BJ:BJ))*10)*_xlfn.XLOOKUP(_xlfn.XLOOKUP(B64,'Base stats'!B:B,'Base stats'!E:E),Groups!A:A,Groups!Q:Q)*150 + 0.5 + _xlfn.XLOOKUP(B64,'Base stats'!B:B,'Base stats'!BU:BU),
0.05))</f>
        <v>1.25</v>
      </c>
      <c r="K64" s="3" t="str">
        <f>IF(Animals!X64="No","No",
IF(_xlfn.XLOOKUP(_xlfn.XLOOKUP(B64,'Base stats'!B:B,'Base stats'!E:E),Groups!A:A,Groups!BD:BD)=1,
MAX(MROUND(_xlfn.XLOOKUP(B64,'Base stats'!B:B,'Base stats'!BS:BS) * _xlfn.XLOOKUP(B64,'Base stats'!B:B,'Base stats'!BO:BO)^0.9 / 21 *_xlfn.XLOOKUP(B64,'Base stats'!B:B,'Base stats'!BV:BV),0.1),0.05),
MAX(MROUND(((MIN(10,_xlfn.XLOOKUP(B64,'Base stats'!B:B,'Base stats'!W:W)))^0.4*_xlfn.XLOOKUP(B64,'Base stats'!B:B,'Base stats'!BG:BG)^0.73)^0.6 *_xlfn.XLOOKUP(B64,'Base stats'!B:B,'Base stats'!BV:BV),0.1),0.05)
))</f>
        <v>No</v>
      </c>
      <c r="L64" s="11" t="str">
        <f>IF(K64="No","No",
MAX(0.01,MROUND(_xlfn.XLOOKUP(B64,'Base stats'!B:B,'Base stats'!BG:BG) * 0.01 *2, 0.01))
)</f>
        <v>No</v>
      </c>
      <c r="M64" s="5" t="str">
        <f>IF(K64="No","No",IF(_xlfn.XLOOKUP(_xlfn.XLOOKUP(B64,'Base stats'!B:B,'Base stats'!E:E),Groups!A:A,Groups!BD:BD)=1,"No",
MAX(0.01,MROUND(_xlfn.XLOOKUP(B64,'Base stats'!B:B,'Base stats'!BS:BS)/10000,0.01))
))</f>
        <v>No</v>
      </c>
      <c r="N64" s="4" t="str">
        <f>IF(K64="No","No",
MROUND(
  _xlfn.XLOOKUP(B64,'Base stats'!B:B,'Base stats'!BA:BA)^0.25
  / (_xlfn.XLOOKUP(B64,'Base stats'!B:B,'Base stats'!BK:BK)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stats'!BU:BU),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stats'!BH:BH)^0.73)^0.6 *_xlfn.XLOOKUP(B64,'Base stats'!B:B,'Base stats'!BV:BV),0.1),0.05)
)</f>
        <v>0.2</v>
      </c>
      <c r="P64" s="11">
        <f>IF(O64="No","No",
MAX(0.01,MROUND(_xlfn.XLOOKUP(B64,'Base stats'!B:B,'Base stats'!BH:BH) * 0.01 * 2, 0.01))
)</f>
        <v>0.01</v>
      </c>
      <c r="Q64" s="5">
        <f>IF(O64="No","No",
MAX(0.01,MROUND(_xlfn.XLOOKUP(B64,'Base stats'!B:B,'Base stats'!BT:BT)/10000,0.01))
)</f>
        <v>0.01</v>
      </c>
      <c r="R64" s="4">
        <f>IF(O64="No","No",
MROUND(_xlfn.XLOOKUP(B64,'Base stats'!B:B,'Base stats'!AZ:AZ)^0.25
/((_xlfn.XLOOKUP(B64,'Base stats'!B:B,'Base stats'!BL:BL))*10)*_xlfn.XLOOKUP(_xlfn.XLOOKUP(B64,'Base stats'!B:B,'Base stats'!E:E),Groups!A:A,Groups!Z:Z)*150 + 0.5 + _xlfn.XLOOKUP(B64,'Base stats'!B:B,'Base stats'!BU:BU),
0.05))</f>
        <v>1.6500000000000001</v>
      </c>
      <c r="S64" s="3" t="str">
        <f>IF(Animals!AI64="No","No",
IF(_xlfn.XLOOKUP(B64,'Base stats'!B:B,'Base stats'!U:U)="No",
MAX(MROUND(_xlfn.XLOOKUP(B64,'Base stats'!B:B,'Base stats'!BR:BR) * _xlfn.XLOOKUP(B64,'Base stats'!B:B,'Base stats'!BN:BN)^0.9 / 21 * _xlfn.XLOOKUP(B64,'Base stats'!B:B,'Base stats'!BV:BV),0.1),0.05),
MAX(MROUND(((MIN(12,_xlfn.XLOOKUP(B64,'Base stats'!B:B,'Base stats'!U:U)))^0.4*_xlfn.XLOOKUP(B64,'Base stats'!B:B,'Base stats'!BF:BF)^0.73)^0.6 * _xlfn.XLOOKUP(B64,'Base stats'!B:B,'Base stats'!BV:BV),0.1),0.05)
))</f>
        <v>No</v>
      </c>
      <c r="T64" s="11" t="str">
        <f>IF(S64="No","No",
MAX(0.01,MROUND(_xlfn.XLOOKUP(B64,'Base stats'!B:B,'Base stats'!BF:BF) * 0.01 * 2, 0.01))
)</f>
        <v>No</v>
      </c>
      <c r="U64" s="5" t="str">
        <f>IF(S64="No","No",IF(_xlfn.XLOOKUP(B64,'Base stats'!B:B,'Base stats'!U:U)="No","No",
MAX(0.01,MROUND(_xlfn.XLOOKUP(B64,'Base stats'!B:B,'Base stats'!BR:BR)/10000,0.01))
))</f>
        <v>No</v>
      </c>
      <c r="V64" s="4" t="str">
        <f>IF(S64="No","No",
MROUND(_xlfn.XLOOKUP(B64,'Base stats'!B:B,'Base stats'!BD:BD)^0.25
/((_xlfn.XLOOKUP(B64,'Base stats'!B:B,'Base stats'!BM:BM))*10)*_xlfn.XLOOKUP(_xlfn.XLOOKUP(B64,'Base stats'!B:B,'Base stats'!E:E),Groups!A:A,Groups!AE:AE)*150 + 0.5 + _xlfn.XLOOKUP(B64,'Base stats'!B:B,'Base stats'!BU:BU),
0.05))</f>
        <v>No</v>
      </c>
      <c r="W64" s="8">
        <f>MROUND(_xlfn.XLOOKUP(_xlfn.XLOOKUP(B64,'Base stats'!B:B,'Base stats'!E:E),Groups!A:A,Groups!BG:BG)*_xlfn.XLOOKUP(B64,'Base stats'!B:B,'Base stats'!C:C)^-0.165,0.01)</f>
        <v>1.74</v>
      </c>
      <c r="X64" s="1">
        <f>MROUND(_xlfn.XLOOKUP(_xlfn.XLOOKUP(B64,'Base stats'!B:B,'Base stats'!E:E),Groups!A:A,Groups!BH:BH)*_xlfn.XLOOKUP(B64,'Base stats'!B:B,'Base stats'!C:C)^0.165,0.01)</f>
        <v>0</v>
      </c>
      <c r="Y64" s="8">
        <f>MROUND(_xlfn.XLOOKUP(_xlfn.XLOOKUP(B64,'Base stats'!B:B,'Base stats'!E:E),Groups!A:A,Groups!BI:BI)*_xlfn.XLOOKUP(B64,'Base stats'!B:B,'Base stats'!C:C)^0.165,0.01)</f>
        <v>0</v>
      </c>
      <c r="Z64" s="18">
        <f>ROUND(_xlfn.XLOOKUP(B64,'Base stats'!B:B,'Base stats'!AO:AO)*_xlfn.XLOOKUP(_xlfn.XLOOKUP(B64,'Base stats'!B:B,'Base stats'!E:E),Groups!A:A,Groups!H:H)/1000,2)</f>
        <v>0</v>
      </c>
      <c r="AA64" s="18">
        <f>ROUND((1/2)*(_xlfn.XLOOKUP(_xlfn.XLOOKUP(B64,'Base stats'!B:B,'Base stats'!E:E),Groups!A:A,Groups!H:H)*_xlfn.XLOOKUP(_xlfn.XLOOKUP(B64,'Base stats'!B:B,'Base stats'!E:E),Groups!A:A,Groups!I:I))*_xlfn.XLOOKUP(B64,'Base stats'!B:B,'Base stats'!AO:AO)*0.01,2)</f>
        <v>0</v>
      </c>
      <c r="AB64" s="18">
        <f>250*(Animals!AO64+Animals!AP64)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stats'!BQ:BQ) * (_xlfn.XLOOKUP(B65,'Base stats'!B:B,'Base stats'!AM:AM)*5%)^0.9 / 21,0.1),0.05)</f>
        <v>0.05</v>
      </c>
      <c r="E65" s="11">
        <f>MAX(0.01,MROUND(_xlfn.XLOOKUP(B65,'Base stats'!B:B,'Base stats'!BE:BE) * 0.01 * 2, 0.01))</f>
        <v>0.02</v>
      </c>
      <c r="F65" s="7">
        <f>MROUND(_xlfn.XLOOKUP(B65,'Base stats'!B:B,'Base stats'!BB:BB)^0.25 / (_xlfn.XLOOKUP(B65,'Base stats'!B:B,'Base stats'!BI:BI) * 10) * 150 + 0.5 + _xlfn.XLOOKUP(B65,'Base stats'!B:B,'Base stats'!BU:BU), 0.05)</f>
        <v>1.1500000000000001</v>
      </c>
      <c r="G65" s="3">
        <f>IF(Animals!S65="No","No",
IF(_xlfn.XLOOKUP(B65,'Base stats'!B:B,'Base stats'!U:U)="No",
MAX(MROUND(_xlfn.XLOOKUP(B65,'Base stats'!B:B,'Base stats'!BR:BR) * _xlfn.XLOOKUP(B65,'Base stats'!B:B,'Base stats'!BN:BN)^0.9 / 21 * _xlfn.XLOOKUP(B65,'Base stats'!B:B,'Base stats'!BV:BV),0.1),0.05),
MAX(MROUND(((MIN(10,_xlfn.XLOOKUP(B65,'Base stats'!B:B,'Base stats'!U:U)))^0.4*_xlfn.XLOOKUP(B65,'Base stats'!B:B,'Base stats'!BF:BF)^0.73)^0.6 * _xlfn.XLOOKUP(B65,'Base stats'!B:B,'Base stats'!BV:BV),0.1),0.05)
))</f>
        <v>1.3</v>
      </c>
      <c r="H65" s="11">
        <f>IF(G65="No","No",
MAX(0.01,MROUND(_xlfn.XLOOKUP(B65,'Base stats'!B:B,'Base stats'!BF:BF) * 0.01 * 2, 0.01))
)</f>
        <v>0.03</v>
      </c>
      <c r="I65" s="11">
        <f>IF(G65="No","No",IF(_xlfn.XLOOKUP(B65,'Base stats'!B:B,'Base stats'!U:U)="No","No",
MAX(0.01,MROUND(_xlfn.XLOOKUP(B65,'Base stats'!B:B,'Base stats'!BR:BR)/10000,0.01))
))</f>
        <v>0.02</v>
      </c>
      <c r="J65" s="4">
        <f>IF(G65="No","No",
MROUND(_xlfn.XLOOKUP(B65,'Base stats'!B:B,'Base stats'!BC:BC)^0.25
/((_xlfn.XLOOKUP(B65,'Base stats'!B:B,'Base stats'!BJ:BJ))*10)*_xlfn.XLOOKUP(_xlfn.XLOOKUP(B65,'Base stats'!B:B,'Base stats'!E:E),Groups!A:A,Groups!Q:Q)*150 + 0.5 + _xlfn.XLOOKUP(B65,'Base stats'!B:B,'Base stats'!BU:BU),
0.05))</f>
        <v>1.6</v>
      </c>
      <c r="K65" s="3" t="str">
        <f>IF(Animals!X65="No","No",
IF(_xlfn.XLOOKUP(_xlfn.XLOOKUP(B65,'Base stats'!B:B,'Base stats'!E:E),Groups!A:A,Groups!BD:BD)=1,
MAX(MROUND(_xlfn.XLOOKUP(B65,'Base stats'!B:B,'Base stats'!BS:BS) * _xlfn.XLOOKUP(B65,'Base stats'!B:B,'Base stats'!BO:BO)^0.9 / 21 *_xlfn.XLOOKUP(B65,'Base stats'!B:B,'Base stats'!BV:BV),0.1),0.05),
MAX(MROUND(((MIN(10,_xlfn.XLOOKUP(B65,'Base stats'!B:B,'Base stats'!W:W)))^0.4*_xlfn.XLOOKUP(B65,'Base stats'!B:B,'Base stats'!BG:BG)^0.73)^0.6 *_xlfn.XLOOKUP(B65,'Base stats'!B:B,'Base stats'!BV:BV),0.1),0.05)
))</f>
        <v>No</v>
      </c>
      <c r="L65" s="11" t="str">
        <f>IF(K65="No","No",
MAX(0.01,MROUND(_xlfn.XLOOKUP(B65,'Base stats'!B:B,'Base stats'!BG:BG) * 0.01 *2, 0.01))
)</f>
        <v>No</v>
      </c>
      <c r="M65" s="5" t="str">
        <f>IF(K65="No","No",IF(_xlfn.XLOOKUP(_xlfn.XLOOKUP(B65,'Base stats'!B:B,'Base stats'!E:E),Groups!A:A,Groups!BD:BD)=1,"No",
MAX(0.01,MROUND(_xlfn.XLOOKUP(B65,'Base stats'!B:B,'Base stats'!BS:BS)/10000,0.01))
))</f>
        <v>No</v>
      </c>
      <c r="N65" s="4" t="str">
        <f>IF(K65="No","No",
MROUND(
  _xlfn.XLOOKUP(B65,'Base stats'!B:B,'Base stats'!BA:BA)^0.25
  / (_xlfn.XLOOKUP(B65,'Base stats'!B:B,'Base stats'!BK:BK)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stats'!BU:BU),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stats'!BH:BH)^0.73)^0.6 *_xlfn.XLOOKUP(B65,'Base stats'!B:B,'Base stats'!BV:BV),0.1),0.05)
)</f>
        <v>3.6</v>
      </c>
      <c r="P65" s="11">
        <f>IF(O65="No","No",
MAX(0.01,MROUND(_xlfn.XLOOKUP(B65,'Base stats'!B:B,'Base stats'!BH:BH) * 0.01 * 2, 0.01))
)</f>
        <v>0.23</v>
      </c>
      <c r="Q65" s="5">
        <f>IF(O65="No","No",
MAX(0.01,MROUND(_xlfn.XLOOKUP(B65,'Base stats'!B:B,'Base stats'!BT:BT)/10000,0.01))
)</f>
        <v>0.03</v>
      </c>
      <c r="R65" s="4">
        <f>IF(O65="No","No",
MROUND(_xlfn.XLOOKUP(B65,'Base stats'!B:B,'Base stats'!AZ:AZ)^0.25
/((_xlfn.XLOOKUP(B65,'Base stats'!B:B,'Base stats'!BL:BL))*10)*_xlfn.XLOOKUP(_xlfn.XLOOKUP(B65,'Base stats'!B:B,'Base stats'!E:E),Groups!A:A,Groups!Z:Z)*150 + 0.5 + _xlfn.XLOOKUP(B65,'Base stats'!B:B,'Base stats'!BU:BU),
0.05))</f>
        <v>1.9000000000000001</v>
      </c>
      <c r="S65" s="3" t="str">
        <f>IF(Animals!AI65="No","No",
IF(_xlfn.XLOOKUP(B65,'Base stats'!B:B,'Base stats'!U:U)="No",
MAX(MROUND(_xlfn.XLOOKUP(B65,'Base stats'!B:B,'Base stats'!BR:BR) * _xlfn.XLOOKUP(B65,'Base stats'!B:B,'Base stats'!BN:BN)^0.9 / 21 * _xlfn.XLOOKUP(B65,'Base stats'!B:B,'Base stats'!BV:BV),0.1),0.05),
MAX(MROUND(((MIN(12,_xlfn.XLOOKUP(B65,'Base stats'!B:B,'Base stats'!U:U)))^0.4*_xlfn.XLOOKUP(B65,'Base stats'!B:B,'Base stats'!BF:BF)^0.73)^0.6 * _xlfn.XLOOKUP(B65,'Base stats'!B:B,'Base stats'!BV:BV),0.1),0.05)
))</f>
        <v>No</v>
      </c>
      <c r="T65" s="11" t="str">
        <f>IF(S65="No","No",
MAX(0.01,MROUND(_xlfn.XLOOKUP(B65,'Base stats'!B:B,'Base stats'!BF:BF) * 0.01 * 2, 0.01))
)</f>
        <v>No</v>
      </c>
      <c r="U65" s="5" t="str">
        <f>IF(S65="No","No",IF(_xlfn.XLOOKUP(B65,'Base stats'!B:B,'Base stats'!U:U)="No","No",
MAX(0.01,MROUND(_xlfn.XLOOKUP(B65,'Base stats'!B:B,'Base stats'!BR:BR)/10000,0.01))
))</f>
        <v>No</v>
      </c>
      <c r="V65" s="4" t="str">
        <f>IF(S65="No","No",
MROUND(_xlfn.XLOOKUP(B65,'Base stats'!B:B,'Base stats'!BD:BD)^0.25
/((_xlfn.XLOOKUP(B65,'Base stats'!B:B,'Base stats'!BM:BM))*10)*_xlfn.XLOOKUP(_xlfn.XLOOKUP(B65,'Base stats'!B:B,'Base stats'!E:E),Groups!A:A,Groups!AE:AE)*150 + 0.5 + _xlfn.XLOOKUP(B65,'Base stats'!B:B,'Base stats'!BU:BU),
0.05))</f>
        <v>No</v>
      </c>
      <c r="W65" s="8">
        <f>MROUND(_xlfn.XLOOKUP(_xlfn.XLOOKUP(B65,'Base stats'!B:B,'Base stats'!E:E),Groups!A:A,Groups!BG:BG)*_xlfn.XLOOKUP(B65,'Base stats'!B:B,'Base stats'!C:C)^-0.165,0.01)</f>
        <v>1.1300000000000001</v>
      </c>
      <c r="X65" s="1">
        <f>MROUND(_xlfn.XLOOKUP(_xlfn.XLOOKUP(B65,'Base stats'!B:B,'Base stats'!E:E),Groups!A:A,Groups!BH:BH)*_xlfn.XLOOKUP(B65,'Base stats'!B:B,'Base stats'!C:C)^0.165,0.01)</f>
        <v>0.09</v>
      </c>
      <c r="Y65" s="8">
        <f>MROUND(_xlfn.XLOOKUP(_xlfn.XLOOKUP(B65,'Base stats'!B:B,'Base stats'!E:E),Groups!A:A,Groups!BI:BI)*_xlfn.XLOOKUP(B65,'Base stats'!B:B,'Base stats'!C:C)^0.165,0.01)</f>
        <v>0.02</v>
      </c>
      <c r="Z65" s="18">
        <f>ROUND(_xlfn.XLOOKUP(B65,'Base stats'!B:B,'Base stats'!AO:AO)*_xlfn.XLOOKUP(_xlfn.XLOOKUP(B65,'Base stats'!B:B,'Base stats'!E:E),Groups!A:A,Groups!H:H)/1000,2)</f>
        <v>0</v>
      </c>
      <c r="AA65" s="18">
        <f>ROUND((1/2)*(_xlfn.XLOOKUP(_xlfn.XLOOKUP(B65,'Base stats'!B:B,'Base stats'!E:E),Groups!A:A,Groups!H:H)*_xlfn.XLOOKUP(_xlfn.XLOOKUP(B65,'Base stats'!B:B,'Base stats'!E:E),Groups!A:A,Groups!I:I))*_xlfn.XLOOKUP(B65,'Base stats'!B:B,'Base stats'!AO:AO)*0.01,2)</f>
        <v>0</v>
      </c>
      <c r="AB65" s="18">
        <f>250*(Animals!AO65+Animals!AP65)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stats'!BQ:BQ) * (_xlfn.XLOOKUP(B66,'Base stats'!B:B,'Base stats'!AM:AM)*5%)^0.9 / 21,0.1),0.05)</f>
        <v>0.1</v>
      </c>
      <c r="E66" s="11">
        <f>MAX(0.01,MROUND(_xlfn.XLOOKUP(B66,'Base stats'!B:B,'Base stats'!BE:BE) * 0.01 * 2, 0.01))</f>
        <v>0.04</v>
      </c>
      <c r="F66" s="7">
        <f>MROUND(_xlfn.XLOOKUP(B66,'Base stats'!B:B,'Base stats'!BB:BB)^0.25 / (_xlfn.XLOOKUP(B66,'Base stats'!B:B,'Base stats'!BI:BI) * 10) * 150 + 0.5 + _xlfn.XLOOKUP(B66,'Base stats'!B:B,'Base stats'!BU:BU), 0.05)</f>
        <v>1.1500000000000001</v>
      </c>
      <c r="G66" s="3">
        <f>IF(Animals!S66="No","No",
IF(_xlfn.XLOOKUP(B66,'Base stats'!B:B,'Base stats'!U:U)="No",
MAX(MROUND(_xlfn.XLOOKUP(B66,'Base stats'!B:B,'Base stats'!BR:BR) * _xlfn.XLOOKUP(B66,'Base stats'!B:B,'Base stats'!BN:BN)^0.9 / 21 * _xlfn.XLOOKUP(B66,'Base stats'!B:B,'Base stats'!BV:BV),0.1),0.05),
MAX(MROUND(((MIN(10,_xlfn.XLOOKUP(B66,'Base stats'!B:B,'Base stats'!U:U)))^0.4*_xlfn.XLOOKUP(B66,'Base stats'!B:B,'Base stats'!BF:BF)^0.73)^0.6 * _xlfn.XLOOKUP(B66,'Base stats'!B:B,'Base stats'!BV:BV),0.1),0.05)
))</f>
        <v>1.7000000000000002</v>
      </c>
      <c r="H66" s="11">
        <f>IF(G66="No","No",
MAX(0.01,MROUND(_xlfn.XLOOKUP(B66,'Base stats'!B:B,'Base stats'!BF:BF) * 0.01 * 2, 0.01))
)</f>
        <v>0.06</v>
      </c>
      <c r="I66" s="11">
        <f>IF(G66="No","No",IF(_xlfn.XLOOKUP(B66,'Base stats'!B:B,'Base stats'!U:U)="No","No",
MAX(0.01,MROUND(_xlfn.XLOOKUP(B66,'Base stats'!B:B,'Base stats'!BR:BR)/10000,0.01))
))</f>
        <v>0.02</v>
      </c>
      <c r="J66" s="4">
        <f>IF(G66="No","No",
MROUND(_xlfn.XLOOKUP(B66,'Base stats'!B:B,'Base stats'!BC:BC)^0.25
/((_xlfn.XLOOKUP(B66,'Base stats'!B:B,'Base stats'!BJ:BJ))*10)*_xlfn.XLOOKUP(_xlfn.XLOOKUP(B66,'Base stats'!B:B,'Base stats'!E:E),Groups!A:A,Groups!Q:Q)*150 + 0.5 + _xlfn.XLOOKUP(B66,'Base stats'!B:B,'Base stats'!BU:BU),
0.05))</f>
        <v>1.75</v>
      </c>
      <c r="K66" s="3" t="str">
        <f>IF(Animals!X66="No","No",
IF(_xlfn.XLOOKUP(_xlfn.XLOOKUP(B66,'Base stats'!B:B,'Base stats'!E:E),Groups!A:A,Groups!BD:BD)=1,
MAX(MROUND(_xlfn.XLOOKUP(B66,'Base stats'!B:B,'Base stats'!BS:BS) * _xlfn.XLOOKUP(B66,'Base stats'!B:B,'Base stats'!BO:BO)^0.9 / 21 *_xlfn.XLOOKUP(B66,'Base stats'!B:B,'Base stats'!BV:BV),0.1),0.05),
MAX(MROUND(((MIN(10,_xlfn.XLOOKUP(B66,'Base stats'!B:B,'Base stats'!W:W)))^0.4*_xlfn.XLOOKUP(B66,'Base stats'!B:B,'Base stats'!BG:BG)^0.73)^0.6 *_xlfn.XLOOKUP(B66,'Base stats'!B:B,'Base stats'!BV:BV),0.1),0.05)
))</f>
        <v>No</v>
      </c>
      <c r="L66" s="11" t="str">
        <f>IF(K66="No","No",
MAX(0.01,MROUND(_xlfn.XLOOKUP(B66,'Base stats'!B:B,'Base stats'!BG:BG) * 0.01 *2, 0.01))
)</f>
        <v>No</v>
      </c>
      <c r="M66" s="5" t="str">
        <f>IF(K66="No","No",IF(_xlfn.XLOOKUP(_xlfn.XLOOKUP(B66,'Base stats'!B:B,'Base stats'!E:E),Groups!A:A,Groups!BD:BD)=1,"No",
MAX(0.01,MROUND(_xlfn.XLOOKUP(B66,'Base stats'!B:B,'Base stats'!BS:BS)/10000,0.01))
))</f>
        <v>No</v>
      </c>
      <c r="N66" s="4" t="str">
        <f>IF(K66="No","No",
MROUND(
  _xlfn.XLOOKUP(B66,'Base stats'!B:B,'Base stats'!BA:BA)^0.25
  / (_xlfn.XLOOKUP(B66,'Base stats'!B:B,'Base stats'!BK:BK)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stats'!BU:BU),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stats'!BH:BH)^0.73)^0.6 *_xlfn.XLOOKUP(B66,'Base stats'!B:B,'Base stats'!BV:BV),0.1),0.05)
)</f>
        <v>5.2</v>
      </c>
      <c r="P66" s="11">
        <f>IF(O66="No","No",
MAX(0.01,MROUND(_xlfn.XLOOKUP(B66,'Base stats'!B:B,'Base stats'!BH:BH) * 0.01 * 2, 0.01))
)</f>
        <v>0.71</v>
      </c>
      <c r="Q66" s="5">
        <f>IF(O66="No","No",
MAX(0.01,MROUND(_xlfn.XLOOKUP(B66,'Base stats'!B:B,'Base stats'!BT:BT)/10000,0.01))
)</f>
        <v>0.08</v>
      </c>
      <c r="R66" s="4">
        <f>IF(O66="No","No",
MROUND(_xlfn.XLOOKUP(B66,'Base stats'!B:B,'Base stats'!AZ:AZ)^0.25
/((_xlfn.XLOOKUP(B66,'Base stats'!B:B,'Base stats'!BL:BL))*10)*_xlfn.XLOOKUP(_xlfn.XLOOKUP(B66,'Base stats'!B:B,'Base stats'!E:E),Groups!A:A,Groups!Z:Z)*150 + 0.5 + _xlfn.XLOOKUP(B66,'Base stats'!B:B,'Base stats'!BU:BU),
0.05))</f>
        <v>2.25</v>
      </c>
      <c r="S66" s="3" t="str">
        <f>IF(Animals!AI66="No","No",
IF(_xlfn.XLOOKUP(B66,'Base stats'!B:B,'Base stats'!U:U)="No",
MAX(MROUND(_xlfn.XLOOKUP(B66,'Base stats'!B:B,'Base stats'!BR:BR) * _xlfn.XLOOKUP(B66,'Base stats'!B:B,'Base stats'!BN:BN)^0.9 / 21 * _xlfn.XLOOKUP(B66,'Base stats'!B:B,'Base stats'!BV:BV),0.1),0.05),
MAX(MROUND(((MIN(12,_xlfn.XLOOKUP(B66,'Base stats'!B:B,'Base stats'!U:U)))^0.4*_xlfn.XLOOKUP(B66,'Base stats'!B:B,'Base stats'!BF:BF)^0.73)^0.6 * _xlfn.XLOOKUP(B66,'Base stats'!B:B,'Base stats'!BV:BV),0.1),0.05)
))</f>
        <v>No</v>
      </c>
      <c r="T66" s="11" t="str">
        <f>IF(S66="No","No",
MAX(0.01,MROUND(_xlfn.XLOOKUP(B66,'Base stats'!B:B,'Base stats'!BF:BF) * 0.01 * 2, 0.01))
)</f>
        <v>No</v>
      </c>
      <c r="U66" s="5" t="str">
        <f>IF(S66="No","No",IF(_xlfn.XLOOKUP(B66,'Base stats'!B:B,'Base stats'!U:U)="No","No",
MAX(0.01,MROUND(_xlfn.XLOOKUP(B66,'Base stats'!B:B,'Base stats'!BR:BR)/10000,0.01))
))</f>
        <v>No</v>
      </c>
      <c r="V66" s="4" t="str">
        <f>IF(S66="No","No",
MROUND(_xlfn.XLOOKUP(B66,'Base stats'!B:B,'Base stats'!BD:BD)^0.25
/((_xlfn.XLOOKUP(B66,'Base stats'!B:B,'Base stats'!BM:BM))*10)*_xlfn.XLOOKUP(_xlfn.XLOOKUP(B66,'Base stats'!B:B,'Base stats'!E:E),Groups!A:A,Groups!AE:AE)*150 + 0.5 + _xlfn.XLOOKUP(B66,'Base stats'!B:B,'Base stats'!BU:BU),
0.05))</f>
        <v>No</v>
      </c>
      <c r="W66" s="8">
        <f>MROUND(_xlfn.XLOOKUP(_xlfn.XLOOKUP(B66,'Base stats'!B:B,'Base stats'!E:E),Groups!A:A,Groups!BG:BG)*_xlfn.XLOOKUP(B66,'Base stats'!B:B,'Base stats'!C:C)^-0.165,0.01)</f>
        <v>1</v>
      </c>
      <c r="X66" s="1">
        <f>MROUND(_xlfn.XLOOKUP(_xlfn.XLOOKUP(B66,'Base stats'!B:B,'Base stats'!E:E),Groups!A:A,Groups!BH:BH)*_xlfn.XLOOKUP(B66,'Base stats'!B:B,'Base stats'!C:C)^0.165,0.01)</f>
        <v>0.1</v>
      </c>
      <c r="Y66" s="8">
        <f>MROUND(_xlfn.XLOOKUP(_xlfn.XLOOKUP(B66,'Base stats'!B:B,'Base stats'!E:E),Groups!A:A,Groups!BI:BI)*_xlfn.XLOOKUP(B66,'Base stats'!B:B,'Base stats'!C:C)^0.165,0.01)</f>
        <v>0.03</v>
      </c>
      <c r="Z66" s="18">
        <f>ROUND(_xlfn.XLOOKUP(B66,'Base stats'!B:B,'Base stats'!AO:AO)*_xlfn.XLOOKUP(_xlfn.XLOOKUP(B66,'Base stats'!B:B,'Base stats'!E:E),Groups!A:A,Groups!H:H)/1000,2)</f>
        <v>0</v>
      </c>
      <c r="AA66" s="18">
        <f>ROUND((1/2)*(_xlfn.XLOOKUP(_xlfn.XLOOKUP(B66,'Base stats'!B:B,'Base stats'!E:E),Groups!A:A,Groups!H:H)*_xlfn.XLOOKUP(_xlfn.XLOOKUP(B66,'Base stats'!B:B,'Base stats'!E:E),Groups!A:A,Groups!I:I))*_xlfn.XLOOKUP(B66,'Base stats'!B:B,'Base stats'!AO:AO)*0.01,2)</f>
        <v>0</v>
      </c>
      <c r="AB66" s="18">
        <f>250*(Animals!AO66+Animals!AP66)</f>
        <v>75.000000000000014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stats'!BQ:BQ) * (_xlfn.XLOOKUP(B67,'Base stats'!B:B,'Base stats'!AM:AM)*5%)^0.9 / 21,0.1),0.05)</f>
        <v>0.05</v>
      </c>
      <c r="E67" s="11">
        <f>MAX(0.01,MROUND(_xlfn.XLOOKUP(B67,'Base stats'!B:B,'Base stats'!BE:BE) * 0.01 * 2, 0.01))</f>
        <v>0.01</v>
      </c>
      <c r="F67" s="7">
        <f>MROUND(_xlfn.XLOOKUP(B67,'Base stats'!B:B,'Base stats'!BB:BB)^0.25 / (_xlfn.XLOOKUP(B67,'Base stats'!B:B,'Base stats'!BI:BI) * 10) * 150 + 0.5 + _xlfn.XLOOKUP(B67,'Base stats'!B:B,'Base stats'!BU:BU), 0.05)</f>
        <v>1.05</v>
      </c>
      <c r="G67" s="3">
        <f>IF(Animals!S67="No","No",
IF(_xlfn.XLOOKUP(B67,'Base stats'!B:B,'Base stats'!U:U)="No",
MAX(MROUND(_xlfn.XLOOKUP(B67,'Base stats'!B:B,'Base stats'!BR:BR) * _xlfn.XLOOKUP(B67,'Base stats'!B:B,'Base stats'!BN:BN)^0.9 / 21 * _xlfn.XLOOKUP(B67,'Base stats'!B:B,'Base stats'!BV:BV),0.1),0.05),
MAX(MROUND(((MIN(10,_xlfn.XLOOKUP(B67,'Base stats'!B:B,'Base stats'!U:U)))^0.4*_xlfn.XLOOKUP(B67,'Base stats'!B:B,'Base stats'!BF:BF)^0.73)^0.6 * _xlfn.XLOOKUP(B67,'Base stats'!B:B,'Base stats'!BV:BV),0.1),0.05)
))</f>
        <v>0.60000000000000009</v>
      </c>
      <c r="H67" s="11">
        <f>IF(G67="No","No",
MAX(0.01,MROUND(_xlfn.XLOOKUP(B67,'Base stats'!B:B,'Base stats'!BF:BF) * 0.01 * 2, 0.01))
)</f>
        <v>0.01</v>
      </c>
      <c r="I67" s="11">
        <f>IF(G67="No","No",IF(_xlfn.XLOOKUP(B67,'Base stats'!B:B,'Base stats'!U:U)="No","No",
MAX(0.01,MROUND(_xlfn.XLOOKUP(B67,'Base stats'!B:B,'Base stats'!BR:BR)/10000,0.01))
))</f>
        <v>0.01</v>
      </c>
      <c r="J67" s="4">
        <f>IF(G67="No","No",
MROUND(_xlfn.XLOOKUP(B67,'Base stats'!B:B,'Base stats'!BC:BC)^0.25
/((_xlfn.XLOOKUP(B67,'Base stats'!B:B,'Base stats'!BJ:BJ))*10)*_xlfn.XLOOKUP(_xlfn.XLOOKUP(B67,'Base stats'!B:B,'Base stats'!E:E),Groups!A:A,Groups!Q:Q)*150 + 0.5 + _xlfn.XLOOKUP(B67,'Base stats'!B:B,'Base stats'!BU:BU),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stats'!BS:BS) * _xlfn.XLOOKUP(B67,'Base stats'!B:B,'Base stats'!BO:BO)^0.9 / 21 *_xlfn.XLOOKUP(B67,'Base stats'!B:B,'Base stats'!BV:BV),0.1),0.05),
MAX(MROUND(((MIN(10,_xlfn.XLOOKUP(B67,'Base stats'!B:B,'Base stats'!W:W)))^0.4*_xlfn.XLOOKUP(B67,'Base stats'!B:B,'Base stats'!BG:BG)^0.73)^0.6 *_xlfn.XLOOKUP(B67,'Base stats'!B:B,'Base stats'!BV:BV),0.1),0.05)
))</f>
        <v>No</v>
      </c>
      <c r="L67" s="11" t="str">
        <f>IF(K67="No","No",
MAX(0.01,MROUND(_xlfn.XLOOKUP(B67,'Base stats'!B:B,'Base stats'!BG:BG) * 0.01 *2, 0.01))
)</f>
        <v>No</v>
      </c>
      <c r="M67" s="5" t="str">
        <f>IF(K67="No","No",IF(_xlfn.XLOOKUP(_xlfn.XLOOKUP(B67,'Base stats'!B:B,'Base stats'!E:E),Groups!A:A,Groups!BD:BD)=1,"No",
MAX(0.01,MROUND(_xlfn.XLOOKUP(B67,'Base stats'!B:B,'Base stats'!BS:BS)/10000,0.01))
))</f>
        <v>No</v>
      </c>
      <c r="N67" s="4" t="str">
        <f>IF(K67="No","No",
MROUND(
  _xlfn.XLOOKUP(B67,'Base stats'!B:B,'Base stats'!BA:BA)^0.25
  / (_xlfn.XLOOKUP(B67,'Base stats'!B:B,'Base stats'!BK:BK)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stats'!BU:BU),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stats'!BH:BH)^0.73)^0.6 *_xlfn.XLOOKUP(B67,'Base stats'!B:B,'Base stats'!BV:BV),0.1),0.05)
)</f>
        <v>0.30000000000000004</v>
      </c>
      <c r="P67" s="11">
        <f>IF(O67="No","No",
MAX(0.01,MROUND(_xlfn.XLOOKUP(B67,'Base stats'!B:B,'Base stats'!BH:BH) * 0.01 * 2, 0.01))
)</f>
        <v>0.01</v>
      </c>
      <c r="Q67" s="5">
        <f>IF(O67="No","No",
MAX(0.01,MROUND(_xlfn.XLOOKUP(B67,'Base stats'!B:B,'Base stats'!BT:BT)/10000,0.01))
)</f>
        <v>0.01</v>
      </c>
      <c r="R67" s="4">
        <f>IF(O67="No","No",
MROUND(_xlfn.XLOOKUP(B67,'Base stats'!B:B,'Base stats'!AZ:AZ)^0.25
/((_xlfn.XLOOKUP(B67,'Base stats'!B:B,'Base stats'!BL:BL))*10)*_xlfn.XLOOKUP(_xlfn.XLOOKUP(B67,'Base stats'!B:B,'Base stats'!E:E),Groups!A:A,Groups!Z:Z)*150 + 0.5 + _xlfn.XLOOKUP(B67,'Base stats'!B:B,'Base stats'!BU:BU),
0.05))</f>
        <v>1.75</v>
      </c>
      <c r="S67" s="3" t="str">
        <f>IF(Animals!AI67="No","No",
IF(_xlfn.XLOOKUP(B67,'Base stats'!B:B,'Base stats'!U:U)="No",
MAX(MROUND(_xlfn.XLOOKUP(B67,'Base stats'!B:B,'Base stats'!BR:BR) * _xlfn.XLOOKUP(B67,'Base stats'!B:B,'Base stats'!BN:BN)^0.9 / 21 * _xlfn.XLOOKUP(B67,'Base stats'!B:B,'Base stats'!BV:BV),0.1),0.05),
MAX(MROUND(((MIN(12,_xlfn.XLOOKUP(B67,'Base stats'!B:B,'Base stats'!U:U)))^0.4*_xlfn.XLOOKUP(B67,'Base stats'!B:B,'Base stats'!BF:BF)^0.73)^0.6 * _xlfn.XLOOKUP(B67,'Base stats'!B:B,'Base stats'!BV:BV),0.1),0.05)
))</f>
        <v>No</v>
      </c>
      <c r="T67" s="11" t="str">
        <f>IF(S67="No","No",
MAX(0.01,MROUND(_xlfn.XLOOKUP(B67,'Base stats'!B:B,'Base stats'!BF:BF) * 0.01 * 2, 0.01))
)</f>
        <v>No</v>
      </c>
      <c r="U67" s="5" t="str">
        <f>IF(S67="No","No",IF(_xlfn.XLOOKUP(B67,'Base stats'!B:B,'Base stats'!U:U)="No","No",
MAX(0.01,MROUND(_xlfn.XLOOKUP(B67,'Base stats'!B:B,'Base stats'!BR:BR)/10000,0.01))
))</f>
        <v>No</v>
      </c>
      <c r="V67" s="4" t="str">
        <f>IF(S67="No","No",
MROUND(_xlfn.XLOOKUP(B67,'Base stats'!B:B,'Base stats'!BD:BD)^0.25
/((_xlfn.XLOOKUP(B67,'Base stats'!B:B,'Base stats'!BM:BM))*10)*_xlfn.XLOOKUP(_xlfn.XLOOKUP(B67,'Base stats'!B:B,'Base stats'!E:E),Groups!A:A,Groups!AE:AE)*150 + 0.5 + _xlfn.XLOOKUP(B67,'Base stats'!B:B,'Base stats'!BU:BU),
0.05))</f>
        <v>No</v>
      </c>
      <c r="W67" s="8">
        <f>MROUND(_xlfn.XLOOKUP(_xlfn.XLOOKUP(B67,'Base stats'!B:B,'Base stats'!E:E),Groups!A:A,Groups!BG:BG)*_xlfn.XLOOKUP(B67,'Base stats'!B:B,'Base stats'!C:C)^-0.165,0.01)</f>
        <v>1.46</v>
      </c>
      <c r="X67" s="1">
        <f>MROUND(_xlfn.XLOOKUP(_xlfn.XLOOKUP(B67,'Base stats'!B:B,'Base stats'!E:E),Groups!A:A,Groups!BH:BH)*_xlfn.XLOOKUP(B67,'Base stats'!B:B,'Base stats'!C:C)^0.165,0.01)</f>
        <v>0</v>
      </c>
      <c r="Y67" s="8">
        <f>MROUND(_xlfn.XLOOKUP(_xlfn.XLOOKUP(B67,'Base stats'!B:B,'Base stats'!E:E),Groups!A:A,Groups!BI:BI)*_xlfn.XLOOKUP(B67,'Base stats'!B:B,'Base stats'!C:C)^0.165,0.01)</f>
        <v>0</v>
      </c>
      <c r="Z67" s="18">
        <f>ROUND(_xlfn.XLOOKUP(B67,'Base stats'!B:B,'Base stats'!AO:AO)*_xlfn.XLOOKUP(_xlfn.XLOOKUP(B67,'Base stats'!B:B,'Base stats'!E:E),Groups!A:A,Groups!H:H)/1000,2)</f>
        <v>0</v>
      </c>
      <c r="AA67" s="18">
        <f>ROUND((1/2)*(_xlfn.XLOOKUP(_xlfn.XLOOKUP(B67,'Base stats'!B:B,'Base stats'!E:E),Groups!A:A,Groups!H:H)*_xlfn.XLOOKUP(_xlfn.XLOOKUP(B67,'Base stats'!B:B,'Base stats'!E:E),Groups!A:A,Groups!I:I))*_xlfn.XLOOKUP(B67,'Base stats'!B:B,'Base stats'!AO:AO)*0.01,2)</f>
        <v>0</v>
      </c>
      <c r="AB67" s="18">
        <f>250*(Animals!AO67+Animals!AP67)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stats'!BQ:BQ) * (_xlfn.XLOOKUP(B68,'Base stats'!B:B,'Base stats'!AM:AM)*5%)^0.9 / 21,0.1),0.05)</f>
        <v>0.4</v>
      </c>
      <c r="E68" s="11">
        <f>MAX(0.01,MROUND(_xlfn.XLOOKUP(B68,'Base stats'!B:B,'Base stats'!BE:BE) * 0.01 * 2, 0.01))</f>
        <v>0.3</v>
      </c>
      <c r="F68" s="7">
        <f>MROUND(_xlfn.XLOOKUP(B68,'Base stats'!B:B,'Base stats'!BB:BB)^0.25 / (_xlfn.XLOOKUP(B68,'Base stats'!B:B,'Base stats'!BI:BI) * 10) * 150 + 0.5 + _xlfn.XLOOKUP(B68,'Base stats'!B:B,'Base stats'!BU:BU), 0.05)</f>
        <v>1.4500000000000002</v>
      </c>
      <c r="G68" s="3" t="str">
        <f>IF(Animals!S68="No","No",
IF(_xlfn.XLOOKUP(B68,'Base stats'!B:B,'Base stats'!U:U)="No",
MAX(MROUND(_xlfn.XLOOKUP(B68,'Base stats'!B:B,'Base stats'!BR:BR) * _xlfn.XLOOKUP(B68,'Base stats'!B:B,'Base stats'!BN:BN)^0.9 / 21 * _xlfn.XLOOKUP(B68,'Base stats'!B:B,'Base stats'!BV:BV),0.1),0.05),
MAX(MROUND(((MIN(10,_xlfn.XLOOKUP(B68,'Base stats'!B:B,'Base stats'!U:U)))^0.4*_xlfn.XLOOKUP(B68,'Base stats'!B:B,'Base stats'!BF:BF)^0.73)^0.6 * _xlfn.XLOOKUP(B68,'Base stats'!B:B,'Base stats'!BV:BV),0.1),0.05)
))</f>
        <v>No</v>
      </c>
      <c r="H68" s="11" t="str">
        <f>IF(G68="No","No",
MAX(0.01,MROUND(_xlfn.XLOOKUP(B68,'Base stats'!B:B,'Base stats'!BF:BF) * 0.01 * 2, 0.01))
)</f>
        <v>No</v>
      </c>
      <c r="I68" s="11" t="str">
        <f>IF(G68="No","No",IF(_xlfn.XLOOKUP(B68,'Base stats'!B:B,'Base stats'!U:U)="No","No",
MAX(0.01,MROUND(_xlfn.XLOOKUP(B68,'Base stats'!B:B,'Base stats'!BR:BR)/10000,0.01))
))</f>
        <v>No</v>
      </c>
      <c r="J68" s="4" t="str">
        <f>IF(G68="No","No",
MROUND(_xlfn.XLOOKUP(B68,'Base stats'!B:B,'Base stats'!BC:BC)^0.25
/((_xlfn.XLOOKUP(B68,'Base stats'!B:B,'Base stats'!BJ:BJ))*10)*_xlfn.XLOOKUP(_xlfn.XLOOKUP(B68,'Base stats'!B:B,'Base stats'!E:E),Groups!A:A,Groups!Q:Q)*150 + 0.5 + _xlfn.XLOOKUP(B68,'Base stats'!B:B,'Base stats'!BU:BU),
0.05))</f>
        <v>No</v>
      </c>
      <c r="K68" s="3" t="str">
        <f>IF(Animals!X68="No","No",
IF(_xlfn.XLOOKUP(_xlfn.XLOOKUP(B68,'Base stats'!B:B,'Base stats'!E:E),Groups!A:A,Groups!BD:BD)=1,
MAX(MROUND(_xlfn.XLOOKUP(B68,'Base stats'!B:B,'Base stats'!BS:BS) * _xlfn.XLOOKUP(B68,'Base stats'!B:B,'Base stats'!BO:BO)^0.9 / 21 *_xlfn.XLOOKUP(B68,'Base stats'!B:B,'Base stats'!BV:BV),0.1),0.05),
MAX(MROUND(((MIN(10,_xlfn.XLOOKUP(B68,'Base stats'!B:B,'Base stats'!W:W)))^0.4*_xlfn.XLOOKUP(B68,'Base stats'!B:B,'Base stats'!BG:BG)^0.73)^0.6 *_xlfn.XLOOKUP(B68,'Base stats'!B:B,'Base stats'!BV:BV),0.1),0.05)
))</f>
        <v>No</v>
      </c>
      <c r="L68" s="11" t="str">
        <f>IF(K68="No","No",
MAX(0.01,MROUND(_xlfn.XLOOKUP(B68,'Base stats'!B:B,'Base stats'!BG:BG) * 0.01 *2, 0.01))
)</f>
        <v>No</v>
      </c>
      <c r="M68" s="5" t="str">
        <f>IF(K68="No","No",IF(_xlfn.XLOOKUP(_xlfn.XLOOKUP(B68,'Base stats'!B:B,'Base stats'!E:E),Groups!A:A,Groups!BD:BD)=1,"No",
MAX(0.01,MROUND(_xlfn.XLOOKUP(B68,'Base stats'!B:B,'Base stats'!BS:BS)/10000,0.01))
))</f>
        <v>No</v>
      </c>
      <c r="N68" s="4" t="str">
        <f>IF(K68="No","No",
MROUND(
  _xlfn.XLOOKUP(B68,'Base stats'!B:B,'Base stats'!BA:BA)^0.25
  / (_xlfn.XLOOKUP(B68,'Base stats'!B:B,'Base stats'!BK:BK)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stats'!BU:BU),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stats'!BH:BH)^0.73)^0.6 *_xlfn.XLOOKUP(B68,'Base stats'!B:B,'Base stats'!BV:BV),0.1),0.05)
)</f>
        <v>2.1</v>
      </c>
      <c r="P68" s="11">
        <f>IF(O68="No","No",
MAX(0.01,MROUND(_xlfn.XLOOKUP(B68,'Base stats'!B:B,'Base stats'!BH:BH) * 0.01 * 2, 0.01))
)</f>
        <v>7.0000000000000007E-2</v>
      </c>
      <c r="Q68" s="5">
        <f>IF(O68="No","No",
MAX(0.01,MROUND(_xlfn.XLOOKUP(B68,'Base stats'!B:B,'Base stats'!BT:BT)/10000,0.01))
)</f>
        <v>0.01</v>
      </c>
      <c r="R68" s="4">
        <f>IF(O68="No","No",
MROUND(_xlfn.XLOOKUP(B68,'Base stats'!B:B,'Base stats'!AZ:AZ)^0.25
/((_xlfn.XLOOKUP(B68,'Base stats'!B:B,'Base stats'!BL:BL))*10)*_xlfn.XLOOKUP(_xlfn.XLOOKUP(B68,'Base stats'!B:B,'Base stats'!E:E),Groups!A:A,Groups!Z:Z)*150 + 0.5 + _xlfn.XLOOKUP(B68,'Base stats'!B:B,'Base stats'!BU:BU),
0.05))</f>
        <v>1.8</v>
      </c>
      <c r="S68" s="3" t="str">
        <f>IF(Animals!AI68="No","No",
IF(_xlfn.XLOOKUP(B68,'Base stats'!B:B,'Base stats'!U:U)="No",
MAX(MROUND(_xlfn.XLOOKUP(B68,'Base stats'!B:B,'Base stats'!BR:BR) * _xlfn.XLOOKUP(B68,'Base stats'!B:B,'Base stats'!BN:BN)^0.9 / 21 * _xlfn.XLOOKUP(B68,'Base stats'!B:B,'Base stats'!BV:BV),0.1),0.05),
MAX(MROUND(((MIN(12,_xlfn.XLOOKUP(B68,'Base stats'!B:B,'Base stats'!U:U)))^0.4*_xlfn.XLOOKUP(B68,'Base stats'!B:B,'Base stats'!BF:BF)^0.73)^0.6 * _xlfn.XLOOKUP(B68,'Base stats'!B:B,'Base stats'!BV:BV),0.1),0.05)
))</f>
        <v>No</v>
      </c>
      <c r="T68" s="11" t="str">
        <f>IF(S68="No","No",
MAX(0.01,MROUND(_xlfn.XLOOKUP(B68,'Base stats'!B:B,'Base stats'!BF:BF) * 0.01 * 2, 0.01))
)</f>
        <v>No</v>
      </c>
      <c r="U68" s="5" t="str">
        <f>IF(S68="No","No",IF(_xlfn.XLOOKUP(B68,'Base stats'!B:B,'Base stats'!U:U)="No","No",
MAX(0.01,MROUND(_xlfn.XLOOKUP(B68,'Base stats'!B:B,'Base stats'!BR:BR)/10000,0.01))
))</f>
        <v>No</v>
      </c>
      <c r="V68" s="4" t="str">
        <f>IF(S68="No","No",
MROUND(_xlfn.XLOOKUP(B68,'Base stats'!B:B,'Base stats'!BD:BD)^0.25
/((_xlfn.XLOOKUP(B68,'Base stats'!B:B,'Base stats'!BM:BM))*10)*_xlfn.XLOOKUP(_xlfn.XLOOKUP(B68,'Base stats'!B:B,'Base stats'!E:E),Groups!A:A,Groups!AE:AE)*150 + 0.5 + _xlfn.XLOOKUP(B68,'Base stats'!B:B,'Base stats'!BU:BU),
0.05))</f>
        <v>No</v>
      </c>
      <c r="W68" s="8">
        <f>MROUND(_xlfn.XLOOKUP(_xlfn.XLOOKUP(B68,'Base stats'!B:B,'Base stats'!E:E),Groups!A:A,Groups!BG:BG)*_xlfn.XLOOKUP(B68,'Base stats'!B:B,'Base stats'!C:C)^-0.165,0.01)</f>
        <v>0.69000000000000006</v>
      </c>
      <c r="X68" s="1">
        <f>MROUND(_xlfn.XLOOKUP(_xlfn.XLOOKUP(B68,'Base stats'!B:B,'Base stats'!E:E),Groups!A:A,Groups!BH:BH)*_xlfn.XLOOKUP(B68,'Base stats'!B:B,'Base stats'!C:C)^0.165,0.01)</f>
        <v>0</v>
      </c>
      <c r="Y68" s="8">
        <f>MROUND(_xlfn.XLOOKUP(_xlfn.XLOOKUP(B68,'Base stats'!B:B,'Base stats'!E:E),Groups!A:A,Groups!BI:BI)*_xlfn.XLOOKUP(B68,'Base stats'!B:B,'Base stats'!C:C)^0.165,0.01)</f>
        <v>0</v>
      </c>
      <c r="Z68" s="18">
        <f>ROUND(_xlfn.XLOOKUP(B68,'Base stats'!B:B,'Base stats'!AO:AO)*_xlfn.XLOOKUP(_xlfn.XLOOKUP(B68,'Base stats'!B:B,'Base stats'!E:E),Groups!A:A,Groups!H:H)/1000,2)</f>
        <v>0</v>
      </c>
      <c r="AA68" s="18">
        <f>ROUND((1/2)*(_xlfn.XLOOKUP(_xlfn.XLOOKUP(B68,'Base stats'!B:B,'Base stats'!E:E),Groups!A:A,Groups!H:H)*_xlfn.XLOOKUP(_xlfn.XLOOKUP(B68,'Base stats'!B:B,'Base stats'!E:E),Groups!A:A,Groups!I:I))*_xlfn.XLOOKUP(B68,'Base stats'!B:B,'Base stats'!AO:AO)*0.01,2)</f>
        <v>0.01</v>
      </c>
      <c r="AB68" s="18">
        <f>250*(Animals!AO68+Animals!AP68)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stats'!BQ:BQ) * (_xlfn.XLOOKUP(B69,'Base stats'!B:B,'Base stats'!AM:AM)*5%)^0.9 / 21,0.1),0.05)</f>
        <v>0.1</v>
      </c>
      <c r="E69" s="11">
        <f>MAX(0.01,MROUND(_xlfn.XLOOKUP(B69,'Base stats'!B:B,'Base stats'!BE:BE) * 0.01 * 2, 0.01))</f>
        <v>0.06</v>
      </c>
      <c r="F69" s="7">
        <f>MROUND(_xlfn.XLOOKUP(B69,'Base stats'!B:B,'Base stats'!BB:BB)^0.25 / (_xlfn.XLOOKUP(B69,'Base stats'!B:B,'Base stats'!BI:BI) * 10) * 150 + 0.5 + _xlfn.XLOOKUP(B69,'Base stats'!B:B,'Base stats'!BU:BU), 0.05)</f>
        <v>1.25</v>
      </c>
      <c r="G69" s="3" t="str">
        <f>IF(Animals!S69="No","No",
IF(_xlfn.XLOOKUP(B69,'Base stats'!B:B,'Base stats'!U:U)="No",
MAX(MROUND(_xlfn.XLOOKUP(B69,'Base stats'!B:B,'Base stats'!BR:BR) * _xlfn.XLOOKUP(B69,'Base stats'!B:B,'Base stats'!BN:BN)^0.9 / 21 * _xlfn.XLOOKUP(B69,'Base stats'!B:B,'Base stats'!BV:BV),0.1),0.05),
MAX(MROUND(((MIN(10,_xlfn.XLOOKUP(B69,'Base stats'!B:B,'Base stats'!U:U)))^0.4*_xlfn.XLOOKUP(B69,'Base stats'!B:B,'Base stats'!BF:BF)^0.73)^0.6 * _xlfn.XLOOKUP(B69,'Base stats'!B:B,'Base stats'!BV:BV),0.1),0.05)
))</f>
        <v>No</v>
      </c>
      <c r="H69" s="11" t="str">
        <f>IF(G69="No","No",
MAX(0.01,MROUND(_xlfn.XLOOKUP(B69,'Base stats'!B:B,'Base stats'!BF:BF) * 0.01 * 2, 0.01))
)</f>
        <v>No</v>
      </c>
      <c r="I69" s="11" t="str">
        <f>IF(G69="No","No",IF(_xlfn.XLOOKUP(B69,'Base stats'!B:B,'Base stats'!U:U)="No","No",
MAX(0.01,MROUND(_xlfn.XLOOKUP(B69,'Base stats'!B:B,'Base stats'!BR:BR)/10000,0.01))
))</f>
        <v>No</v>
      </c>
      <c r="J69" s="4" t="str">
        <f>IF(G69="No","No",
MROUND(_xlfn.XLOOKUP(B69,'Base stats'!B:B,'Base stats'!BC:BC)^0.25
/((_xlfn.XLOOKUP(B69,'Base stats'!B:B,'Base stats'!BJ:BJ))*10)*_xlfn.XLOOKUP(_xlfn.XLOOKUP(B69,'Base stats'!B:B,'Base stats'!E:E),Groups!A:A,Groups!Q:Q)*150 + 0.5 + _xlfn.XLOOKUP(B69,'Base stats'!B:B,'Base stats'!BU:BU),
0.05))</f>
        <v>No</v>
      </c>
      <c r="K69" s="3" t="str">
        <f>IF(Animals!X69="No","No",
IF(_xlfn.XLOOKUP(_xlfn.XLOOKUP(B69,'Base stats'!B:B,'Base stats'!E:E),Groups!A:A,Groups!BD:BD)=1,
MAX(MROUND(_xlfn.XLOOKUP(B69,'Base stats'!B:B,'Base stats'!BS:BS) * _xlfn.XLOOKUP(B69,'Base stats'!B:B,'Base stats'!BO:BO)^0.9 / 21 *_xlfn.XLOOKUP(B69,'Base stats'!B:B,'Base stats'!BV:BV),0.1),0.05),
MAX(MROUND(((MIN(10,_xlfn.XLOOKUP(B69,'Base stats'!B:B,'Base stats'!W:W)))^0.4*_xlfn.XLOOKUP(B69,'Base stats'!B:B,'Base stats'!BG:BG)^0.73)^0.6 *_xlfn.XLOOKUP(B69,'Base stats'!B:B,'Base stats'!BV:BV),0.1),0.05)
))</f>
        <v>No</v>
      </c>
      <c r="L69" s="11" t="str">
        <f>IF(K69="No","No",
MAX(0.01,MROUND(_xlfn.XLOOKUP(B69,'Base stats'!B:B,'Base stats'!BG:BG) * 0.01 *2, 0.01))
)</f>
        <v>No</v>
      </c>
      <c r="M69" s="5" t="str">
        <f>IF(K69="No","No",IF(_xlfn.XLOOKUP(_xlfn.XLOOKUP(B69,'Base stats'!B:B,'Base stats'!E:E),Groups!A:A,Groups!BD:BD)=1,"No",
MAX(0.01,MROUND(_xlfn.XLOOKUP(B69,'Base stats'!B:B,'Base stats'!BS:BS)/10000,0.01))
))</f>
        <v>No</v>
      </c>
      <c r="N69" s="4" t="str">
        <f>IF(K69="No","No",
MROUND(
  _xlfn.XLOOKUP(B69,'Base stats'!B:B,'Base stats'!BA:BA)^0.25
  / (_xlfn.XLOOKUP(B69,'Base stats'!B:B,'Base stats'!BK:BK)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stats'!BU:BU),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stats'!BH:BH)^0.73)^0.6 *_xlfn.XLOOKUP(B69,'Base stats'!B:B,'Base stats'!BV:BV),0.1),0.05)
)</f>
        <v>1.3</v>
      </c>
      <c r="P69" s="11">
        <f>IF(O69="No","No",
MAX(0.01,MROUND(_xlfn.XLOOKUP(B69,'Base stats'!B:B,'Base stats'!BH:BH) * 0.01 * 2, 0.01))
)</f>
        <v>0.02</v>
      </c>
      <c r="Q69" s="5">
        <f>IF(O69="No","No",
MAX(0.01,MROUND(_xlfn.XLOOKUP(B69,'Base stats'!B:B,'Base stats'!BT:BT)/10000,0.01))
)</f>
        <v>0.01</v>
      </c>
      <c r="R69" s="4">
        <f>IF(O69="No","No",
MROUND(_xlfn.XLOOKUP(B69,'Base stats'!B:B,'Base stats'!AZ:AZ)^0.25
/((_xlfn.XLOOKUP(B69,'Base stats'!B:B,'Base stats'!BL:BL))*10)*_xlfn.XLOOKUP(_xlfn.XLOOKUP(B69,'Base stats'!B:B,'Base stats'!E:E),Groups!A:A,Groups!Z:Z)*150 + 0.5 + _xlfn.XLOOKUP(B69,'Base stats'!B:B,'Base stats'!BU:BU),
0.05))</f>
        <v>1.7000000000000002</v>
      </c>
      <c r="S69" s="3" t="str">
        <f>IF(Animals!AI69="No","No",
IF(_xlfn.XLOOKUP(B69,'Base stats'!B:B,'Base stats'!U:U)="No",
MAX(MROUND(_xlfn.XLOOKUP(B69,'Base stats'!B:B,'Base stats'!BR:BR) * _xlfn.XLOOKUP(B69,'Base stats'!B:B,'Base stats'!BN:BN)^0.9 / 21 * _xlfn.XLOOKUP(B69,'Base stats'!B:B,'Base stats'!BV:BV),0.1),0.05),
MAX(MROUND(((MIN(12,_xlfn.XLOOKUP(B69,'Base stats'!B:B,'Base stats'!U:U)))^0.4*_xlfn.XLOOKUP(B69,'Base stats'!B:B,'Base stats'!BF:BF)^0.73)^0.6 * _xlfn.XLOOKUP(B69,'Base stats'!B:B,'Base stats'!BV:BV),0.1),0.05)
))</f>
        <v>No</v>
      </c>
      <c r="T69" s="11" t="str">
        <f>IF(S69="No","No",
MAX(0.01,MROUND(_xlfn.XLOOKUP(B69,'Base stats'!B:B,'Base stats'!BF:BF) * 0.01 * 2, 0.01))
)</f>
        <v>No</v>
      </c>
      <c r="U69" s="5" t="str">
        <f>IF(S69="No","No",IF(_xlfn.XLOOKUP(B69,'Base stats'!B:B,'Base stats'!U:U)="No","No",
MAX(0.01,MROUND(_xlfn.XLOOKUP(B69,'Base stats'!B:B,'Base stats'!BR:BR)/10000,0.01))
))</f>
        <v>No</v>
      </c>
      <c r="V69" s="4" t="str">
        <f>IF(S69="No","No",
MROUND(_xlfn.XLOOKUP(B69,'Base stats'!B:B,'Base stats'!BD:BD)^0.25
/((_xlfn.XLOOKUP(B69,'Base stats'!B:B,'Base stats'!BM:BM))*10)*_xlfn.XLOOKUP(_xlfn.XLOOKUP(B69,'Base stats'!B:B,'Base stats'!E:E),Groups!A:A,Groups!AE:AE)*150 + 0.5 + _xlfn.XLOOKUP(B69,'Base stats'!B:B,'Base stats'!BU:BU),
0.05))</f>
        <v>No</v>
      </c>
      <c r="W69" s="8">
        <f>MROUND(_xlfn.XLOOKUP(_xlfn.XLOOKUP(B69,'Base stats'!B:B,'Base stats'!E:E),Groups!A:A,Groups!BG:BG)*_xlfn.XLOOKUP(B69,'Base stats'!B:B,'Base stats'!C:C)^-0.165,0.01)</f>
        <v>0.94000000000000006</v>
      </c>
      <c r="X69" s="1">
        <f>MROUND(_xlfn.XLOOKUP(_xlfn.XLOOKUP(B69,'Base stats'!B:B,'Base stats'!E:E),Groups!A:A,Groups!BH:BH)*_xlfn.XLOOKUP(B69,'Base stats'!B:B,'Base stats'!C:C)^0.165,0.01)</f>
        <v>0</v>
      </c>
      <c r="Y69" s="8">
        <f>MROUND(_xlfn.XLOOKUP(_xlfn.XLOOKUP(B69,'Base stats'!B:B,'Base stats'!E:E),Groups!A:A,Groups!BI:BI)*_xlfn.XLOOKUP(B69,'Base stats'!B:B,'Base stats'!C:C)^0.165,0.01)</f>
        <v>0</v>
      </c>
      <c r="Z69" s="18">
        <f>ROUND(_xlfn.XLOOKUP(B69,'Base stats'!B:B,'Base stats'!AO:AO)*_xlfn.XLOOKUP(_xlfn.XLOOKUP(B69,'Base stats'!B:B,'Base stats'!E:E),Groups!A:A,Groups!H:H)/1000,2)</f>
        <v>0</v>
      </c>
      <c r="AA69" s="18">
        <f>ROUND((1/2)*(_xlfn.XLOOKUP(_xlfn.XLOOKUP(B69,'Base stats'!B:B,'Base stats'!E:E),Groups!A:A,Groups!H:H)*_xlfn.XLOOKUP(_xlfn.XLOOKUP(B69,'Base stats'!B:B,'Base stats'!E:E),Groups!A:A,Groups!I:I))*_xlfn.XLOOKUP(B69,'Base stats'!B:B,'Base stats'!AO:AO)*0.01,2)</f>
        <v>0</v>
      </c>
      <c r="AB69" s="18">
        <f>250*(Animals!AO69+Animals!AP69)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stats'!BQ:BQ) * (_xlfn.XLOOKUP(B70,'Base stats'!B:B,'Base stats'!AM:AM)*5%)^0.9 / 21,0.1),0.05)</f>
        <v>0.2</v>
      </c>
      <c r="E70" s="11">
        <f>MAX(0.01,MROUND(_xlfn.XLOOKUP(B70,'Base stats'!B:B,'Base stats'!BE:BE) * 0.01 * 2, 0.01))</f>
        <v>0.11</v>
      </c>
      <c r="F70" s="7">
        <f>MROUND(_xlfn.XLOOKUP(B70,'Base stats'!B:B,'Base stats'!BB:BB)^0.25 / (_xlfn.XLOOKUP(B70,'Base stats'!B:B,'Base stats'!BI:BI) * 10) * 150 + 0.5 + _xlfn.XLOOKUP(B70,'Base stats'!B:B,'Base stats'!BU:BU), 0.05)</f>
        <v>1.35</v>
      </c>
      <c r="G70" s="3" t="str">
        <f>IF(Animals!S70="No","No",
IF(_xlfn.XLOOKUP(B70,'Base stats'!B:B,'Base stats'!U:U)="No",
MAX(MROUND(_xlfn.XLOOKUP(B70,'Base stats'!B:B,'Base stats'!BR:BR) * _xlfn.XLOOKUP(B70,'Base stats'!B:B,'Base stats'!BN:BN)^0.9 / 21 * _xlfn.XLOOKUP(B70,'Base stats'!B:B,'Base stats'!BV:BV),0.1),0.05),
MAX(MROUND(((MIN(10,_xlfn.XLOOKUP(B70,'Base stats'!B:B,'Base stats'!U:U)))^0.4*_xlfn.XLOOKUP(B70,'Base stats'!B:B,'Base stats'!BF:BF)^0.73)^0.6 * _xlfn.XLOOKUP(B70,'Base stats'!B:B,'Base stats'!BV:BV),0.1),0.05)
))</f>
        <v>No</v>
      </c>
      <c r="H70" s="11" t="str">
        <f>IF(G70="No","No",
MAX(0.01,MROUND(_xlfn.XLOOKUP(B70,'Base stats'!B:B,'Base stats'!BF:BF) * 0.01 * 2, 0.01))
)</f>
        <v>No</v>
      </c>
      <c r="I70" s="11" t="str">
        <f>IF(G70="No","No",IF(_xlfn.XLOOKUP(B70,'Base stats'!B:B,'Base stats'!U:U)="No","No",
MAX(0.01,MROUND(_xlfn.XLOOKUP(B70,'Base stats'!B:B,'Base stats'!BR:BR)/10000,0.01))
))</f>
        <v>No</v>
      </c>
      <c r="J70" s="4" t="str">
        <f>IF(G70="No","No",
MROUND(_xlfn.XLOOKUP(B70,'Base stats'!B:B,'Base stats'!BC:BC)^0.25
/((_xlfn.XLOOKUP(B70,'Base stats'!B:B,'Base stats'!BJ:BJ))*10)*_xlfn.XLOOKUP(_xlfn.XLOOKUP(B70,'Base stats'!B:B,'Base stats'!E:E),Groups!A:A,Groups!Q:Q)*150 + 0.5 + _xlfn.XLOOKUP(B70,'Base stats'!B:B,'Base stats'!BU:BU),
0.05))</f>
        <v>No</v>
      </c>
      <c r="K70" s="3" t="str">
        <f>IF(Animals!X70="No","No",
IF(_xlfn.XLOOKUP(_xlfn.XLOOKUP(B70,'Base stats'!B:B,'Base stats'!E:E),Groups!A:A,Groups!BD:BD)=1,
MAX(MROUND(_xlfn.XLOOKUP(B70,'Base stats'!B:B,'Base stats'!BS:BS) * _xlfn.XLOOKUP(B70,'Base stats'!B:B,'Base stats'!BO:BO)^0.9 / 21 *_xlfn.XLOOKUP(B70,'Base stats'!B:B,'Base stats'!BV:BV),0.1),0.05),
MAX(MROUND(((MIN(10,_xlfn.XLOOKUP(B70,'Base stats'!B:B,'Base stats'!W:W)))^0.4*_xlfn.XLOOKUP(B70,'Base stats'!B:B,'Base stats'!BG:BG)^0.73)^0.6 *_xlfn.XLOOKUP(B70,'Base stats'!B:B,'Base stats'!BV:BV),0.1),0.05)
))</f>
        <v>No</v>
      </c>
      <c r="L70" s="11" t="str">
        <f>IF(K70="No","No",
MAX(0.01,MROUND(_xlfn.XLOOKUP(B70,'Base stats'!B:B,'Base stats'!BG:BG) * 0.01 *2, 0.01))
)</f>
        <v>No</v>
      </c>
      <c r="M70" s="5" t="str">
        <f>IF(K70="No","No",IF(_xlfn.XLOOKUP(_xlfn.XLOOKUP(B70,'Base stats'!B:B,'Base stats'!E:E),Groups!A:A,Groups!BD:BD)=1,"No",
MAX(0.01,MROUND(_xlfn.XLOOKUP(B70,'Base stats'!B:B,'Base stats'!BS:BS)/10000,0.01))
))</f>
        <v>No</v>
      </c>
      <c r="N70" s="4" t="str">
        <f>IF(K70="No","No",
MROUND(
  _xlfn.XLOOKUP(B70,'Base stats'!B:B,'Base stats'!BA:BA)^0.25
  / (_xlfn.XLOOKUP(B70,'Base stats'!B:B,'Base stats'!BK:BK)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stats'!BU:BU),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stats'!BH:BH)^0.73)^0.6 *_xlfn.XLOOKUP(B70,'Base stats'!B:B,'Base stats'!BV:BV),0.1),0.05)
)</f>
        <v>1.7000000000000002</v>
      </c>
      <c r="P70" s="11">
        <f>IF(O70="No","No",
MAX(0.01,MROUND(_xlfn.XLOOKUP(B70,'Base stats'!B:B,'Base stats'!BH:BH) * 0.01 * 2, 0.01))
)</f>
        <v>0.03</v>
      </c>
      <c r="Q70" s="5">
        <f>IF(O70="No","No",
MAX(0.01,MROUND(_xlfn.XLOOKUP(B70,'Base stats'!B:B,'Base stats'!BT:BT)/10000,0.01))
)</f>
        <v>0.01</v>
      </c>
      <c r="R70" s="4">
        <f>IF(O70="No","No",
MROUND(_xlfn.XLOOKUP(B70,'Base stats'!B:B,'Base stats'!AZ:AZ)^0.25
/((_xlfn.XLOOKUP(B70,'Base stats'!B:B,'Base stats'!BL:BL))*10)*_xlfn.XLOOKUP(_xlfn.XLOOKUP(B70,'Base stats'!B:B,'Base stats'!E:E),Groups!A:A,Groups!Z:Z)*150 + 0.5 + _xlfn.XLOOKUP(B70,'Base stats'!B:B,'Base stats'!BU:BU),
0.05))</f>
        <v>1.85</v>
      </c>
      <c r="S70" s="3" t="str">
        <f>IF(Animals!AI70="No","No",
IF(_xlfn.XLOOKUP(B70,'Base stats'!B:B,'Base stats'!U:U)="No",
MAX(MROUND(_xlfn.XLOOKUP(B70,'Base stats'!B:B,'Base stats'!BR:BR) * _xlfn.XLOOKUP(B70,'Base stats'!B:B,'Base stats'!BN:BN)^0.9 / 21 * _xlfn.XLOOKUP(B70,'Base stats'!B:B,'Base stats'!BV:BV),0.1),0.05),
MAX(MROUND(((MIN(12,_xlfn.XLOOKUP(B70,'Base stats'!B:B,'Base stats'!U:U)))^0.4*_xlfn.XLOOKUP(B70,'Base stats'!B:B,'Base stats'!BF:BF)^0.73)^0.6 * _xlfn.XLOOKUP(B70,'Base stats'!B:B,'Base stats'!BV:BV),0.1),0.05)
))</f>
        <v>No</v>
      </c>
      <c r="T70" s="11" t="str">
        <f>IF(S70="No","No",
MAX(0.01,MROUND(_xlfn.XLOOKUP(B70,'Base stats'!B:B,'Base stats'!BF:BF) * 0.01 * 2, 0.01))
)</f>
        <v>No</v>
      </c>
      <c r="U70" s="5" t="str">
        <f>IF(S70="No","No",IF(_xlfn.XLOOKUP(B70,'Base stats'!B:B,'Base stats'!U:U)="No","No",
MAX(0.01,MROUND(_xlfn.XLOOKUP(B70,'Base stats'!B:B,'Base stats'!BR:BR)/10000,0.01))
))</f>
        <v>No</v>
      </c>
      <c r="V70" s="4" t="str">
        <f>IF(S70="No","No",
MROUND(_xlfn.XLOOKUP(B70,'Base stats'!B:B,'Base stats'!BD:BD)^0.25
/((_xlfn.XLOOKUP(B70,'Base stats'!B:B,'Base stats'!BM:BM))*10)*_xlfn.XLOOKUP(_xlfn.XLOOKUP(B70,'Base stats'!B:B,'Base stats'!E:E),Groups!A:A,Groups!AE:AE)*150 + 0.5 + _xlfn.XLOOKUP(B70,'Base stats'!B:B,'Base stats'!BU:BU),
0.05))</f>
        <v>No</v>
      </c>
      <c r="W70" s="8">
        <f>MROUND(_xlfn.XLOOKUP(_xlfn.XLOOKUP(B70,'Base stats'!B:B,'Base stats'!E:E),Groups!A:A,Groups!BG:BG)*_xlfn.XLOOKUP(B70,'Base stats'!B:B,'Base stats'!C:C)^-0.165,0.01)</f>
        <v>0.82000000000000006</v>
      </c>
      <c r="X70" s="1">
        <f>MROUND(_xlfn.XLOOKUP(_xlfn.XLOOKUP(B70,'Base stats'!B:B,'Base stats'!E:E),Groups!A:A,Groups!BH:BH)*_xlfn.XLOOKUP(B70,'Base stats'!B:B,'Base stats'!C:C)^0.165,0.01)</f>
        <v>0</v>
      </c>
      <c r="Y70" s="8">
        <f>MROUND(_xlfn.XLOOKUP(_xlfn.XLOOKUP(B70,'Base stats'!B:B,'Base stats'!E:E),Groups!A:A,Groups!BI:BI)*_xlfn.XLOOKUP(B70,'Base stats'!B:B,'Base stats'!C:C)^0.165,0.01)</f>
        <v>0</v>
      </c>
      <c r="Z70" s="18">
        <f>ROUND(_xlfn.XLOOKUP(B70,'Base stats'!B:B,'Base stats'!AO:AO)*_xlfn.XLOOKUP(_xlfn.XLOOKUP(B70,'Base stats'!B:B,'Base stats'!E:E),Groups!A:A,Groups!H:H)/1000,2)</f>
        <v>0</v>
      </c>
      <c r="AA70" s="18">
        <f>ROUND((1/2)*(_xlfn.XLOOKUP(_xlfn.XLOOKUP(B70,'Base stats'!B:B,'Base stats'!E:E),Groups!A:A,Groups!H:H)*_xlfn.XLOOKUP(_xlfn.XLOOKUP(B70,'Base stats'!B:B,'Base stats'!E:E),Groups!A:A,Groups!I:I))*_xlfn.XLOOKUP(B70,'Base stats'!B:B,'Base stats'!AO:AO)*0.01,2)</f>
        <v>0.01</v>
      </c>
      <c r="AB70" s="18">
        <f>250*(Animals!AO70+Animals!AP70)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stats'!BQ:BQ) * (_xlfn.XLOOKUP(B71,'Base stats'!B:B,'Base stats'!AM:AM)*5%)^0.9 / 21,0.1),0.05)</f>
        <v>1.1000000000000001</v>
      </c>
      <c r="E71" s="11">
        <f>MAX(0.01,MROUND(_xlfn.XLOOKUP(B71,'Base stats'!B:B,'Base stats'!BE:BE) * 0.01 * 2, 0.01))</f>
        <v>0.85</v>
      </c>
      <c r="F71" s="7">
        <f>MROUND(_xlfn.XLOOKUP(B71,'Base stats'!B:B,'Base stats'!BB:BB)^0.25 / (_xlfn.XLOOKUP(B71,'Base stats'!B:B,'Base stats'!BI:BI) * 10) * 150 + 0.5 + _xlfn.XLOOKUP(B71,'Base stats'!B:B,'Base stats'!BU:BU), 0.05)</f>
        <v>1.75</v>
      </c>
      <c r="G71" s="3" t="str">
        <f>IF(Animals!S71="No","No",
IF(_xlfn.XLOOKUP(B71,'Base stats'!B:B,'Base stats'!U:U)="No",
MAX(MROUND(_xlfn.XLOOKUP(B71,'Base stats'!B:B,'Base stats'!BR:BR) * _xlfn.XLOOKUP(B71,'Base stats'!B:B,'Base stats'!BN:BN)^0.9 / 21 * _xlfn.XLOOKUP(B71,'Base stats'!B:B,'Base stats'!BV:BV),0.1),0.05),
MAX(MROUND(((MIN(10,_xlfn.XLOOKUP(B71,'Base stats'!B:B,'Base stats'!U:U)))^0.4*_xlfn.XLOOKUP(B71,'Base stats'!B:B,'Base stats'!BF:BF)^0.73)^0.6 * _xlfn.XLOOKUP(B71,'Base stats'!B:B,'Base stats'!BV:BV),0.1),0.05)
))</f>
        <v>No</v>
      </c>
      <c r="H71" s="11" t="str">
        <f>IF(G71="No","No",
MAX(0.01,MROUND(_xlfn.XLOOKUP(B71,'Base stats'!B:B,'Base stats'!BF:BF) * 0.01 * 2, 0.01))
)</f>
        <v>No</v>
      </c>
      <c r="I71" s="11" t="str">
        <f>IF(G71="No","No",IF(_xlfn.XLOOKUP(B71,'Base stats'!B:B,'Base stats'!U:U)="No","No",
MAX(0.01,MROUND(_xlfn.XLOOKUP(B71,'Base stats'!B:B,'Base stats'!BR:BR)/10000,0.01))
))</f>
        <v>No</v>
      </c>
      <c r="J71" s="4" t="str">
        <f>IF(G71="No","No",
MROUND(_xlfn.XLOOKUP(B71,'Base stats'!B:B,'Base stats'!BC:BC)^0.25
/((_xlfn.XLOOKUP(B71,'Base stats'!B:B,'Base stats'!BJ:BJ))*10)*_xlfn.XLOOKUP(_xlfn.XLOOKUP(B71,'Base stats'!B:B,'Base stats'!E:E),Groups!A:A,Groups!Q:Q)*150 + 0.5 + _xlfn.XLOOKUP(B71,'Base stats'!B:B,'Base stats'!BU:BU),
0.05))</f>
        <v>No</v>
      </c>
      <c r="K71" s="3" t="str">
        <f>IF(Animals!X71="No","No",
IF(_xlfn.XLOOKUP(_xlfn.XLOOKUP(B71,'Base stats'!B:B,'Base stats'!E:E),Groups!A:A,Groups!BD:BD)=1,
MAX(MROUND(_xlfn.XLOOKUP(B71,'Base stats'!B:B,'Base stats'!BS:BS) * _xlfn.XLOOKUP(B71,'Base stats'!B:B,'Base stats'!BO:BO)^0.9 / 21 *_xlfn.XLOOKUP(B71,'Base stats'!B:B,'Base stats'!BV:BV),0.1),0.05),
MAX(MROUND(((MIN(10,_xlfn.XLOOKUP(B71,'Base stats'!B:B,'Base stats'!W:W)))^0.4*_xlfn.XLOOKUP(B71,'Base stats'!B:B,'Base stats'!BG:BG)^0.73)^0.6 *_xlfn.XLOOKUP(B71,'Base stats'!B:B,'Base stats'!BV:BV),0.1),0.05)
))</f>
        <v>No</v>
      </c>
      <c r="L71" s="11" t="str">
        <f>IF(K71="No","No",
MAX(0.01,MROUND(_xlfn.XLOOKUP(B71,'Base stats'!B:B,'Base stats'!BG:BG) * 0.01 *2, 0.01))
)</f>
        <v>No</v>
      </c>
      <c r="M71" s="5" t="str">
        <f>IF(K71="No","No",IF(_xlfn.XLOOKUP(_xlfn.XLOOKUP(B71,'Base stats'!B:B,'Base stats'!E:E),Groups!A:A,Groups!BD:BD)=1,"No",
MAX(0.01,MROUND(_xlfn.XLOOKUP(B71,'Base stats'!B:B,'Base stats'!BS:BS)/10000,0.01))
))</f>
        <v>No</v>
      </c>
      <c r="N71" s="4" t="str">
        <f>IF(K71="No","No",
MROUND(
  _xlfn.XLOOKUP(B71,'Base stats'!B:B,'Base stats'!BA:BA)^0.25
  / (_xlfn.XLOOKUP(B71,'Base stats'!B:B,'Base stats'!BK:BK)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stats'!BU:BU),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stats'!BH:BH)^0.73)^0.6 *_xlfn.XLOOKUP(B71,'Base stats'!B:B,'Base stats'!BV:BV),0.1),0.05)
)</f>
        <v>3.2</v>
      </c>
      <c r="P71" s="11">
        <f>IF(O71="No","No",
MAX(0.01,MROUND(_xlfn.XLOOKUP(B71,'Base stats'!B:B,'Base stats'!BH:BH) * 0.01 * 2, 0.01))
)</f>
        <v>0.17</v>
      </c>
      <c r="Q71" s="5">
        <f>IF(O71="No","No",
MAX(0.01,MROUND(_xlfn.XLOOKUP(B71,'Base stats'!B:B,'Base stats'!BT:BT)/10000,0.01))
)</f>
        <v>0.01</v>
      </c>
      <c r="R71" s="4">
        <f>IF(O71="No","No",
MROUND(_xlfn.XLOOKUP(B71,'Base stats'!B:B,'Base stats'!AZ:AZ)^0.25
/((_xlfn.XLOOKUP(B71,'Base stats'!B:B,'Base stats'!BL:BL))*10)*_xlfn.XLOOKUP(_xlfn.XLOOKUP(B71,'Base stats'!B:B,'Base stats'!E:E),Groups!A:A,Groups!Z:Z)*150 + 0.5 + _xlfn.XLOOKUP(B71,'Base stats'!B:B,'Base stats'!BU:BU),
0.05))</f>
        <v>2.1</v>
      </c>
      <c r="S71" s="3" t="str">
        <f>IF(Animals!AI71="No","No",
IF(_xlfn.XLOOKUP(B71,'Base stats'!B:B,'Base stats'!U:U)="No",
MAX(MROUND(_xlfn.XLOOKUP(B71,'Base stats'!B:B,'Base stats'!BR:BR) * _xlfn.XLOOKUP(B71,'Base stats'!B:B,'Base stats'!BN:BN)^0.9 / 21 * _xlfn.XLOOKUP(B71,'Base stats'!B:B,'Base stats'!BV:BV),0.1),0.05),
MAX(MROUND(((MIN(12,_xlfn.XLOOKUP(B71,'Base stats'!B:B,'Base stats'!U:U)))^0.4*_xlfn.XLOOKUP(B71,'Base stats'!B:B,'Base stats'!BF:BF)^0.73)^0.6 * _xlfn.XLOOKUP(B71,'Base stats'!B:B,'Base stats'!BV:BV),0.1),0.05)
))</f>
        <v>No</v>
      </c>
      <c r="T71" s="11" t="str">
        <f>IF(S71="No","No",
MAX(0.01,MROUND(_xlfn.XLOOKUP(B71,'Base stats'!B:B,'Base stats'!BF:BF) * 0.01 * 2, 0.01))
)</f>
        <v>No</v>
      </c>
      <c r="U71" s="5" t="str">
        <f>IF(S71="No","No",IF(_xlfn.XLOOKUP(B71,'Base stats'!B:B,'Base stats'!U:U)="No","No",
MAX(0.01,MROUND(_xlfn.XLOOKUP(B71,'Base stats'!B:B,'Base stats'!BR:BR)/10000,0.01))
))</f>
        <v>No</v>
      </c>
      <c r="V71" s="4" t="str">
        <f>IF(S71="No","No",
MROUND(_xlfn.XLOOKUP(B71,'Base stats'!B:B,'Base stats'!BD:BD)^0.25
/((_xlfn.XLOOKUP(B71,'Base stats'!B:B,'Base stats'!BM:BM))*10)*_xlfn.XLOOKUP(_xlfn.XLOOKUP(B71,'Base stats'!B:B,'Base stats'!E:E),Groups!A:A,Groups!AE:AE)*150 + 0.5 + _xlfn.XLOOKUP(B71,'Base stats'!B:B,'Base stats'!BU:BU),
0.05))</f>
        <v>No</v>
      </c>
      <c r="W71" s="8">
        <f>MROUND(_xlfn.XLOOKUP(_xlfn.XLOOKUP(B71,'Base stats'!B:B,'Base stats'!E:E),Groups!A:A,Groups!BG:BG)*_xlfn.XLOOKUP(B71,'Base stats'!B:B,'Base stats'!C:C)^-0.165,0.01)</f>
        <v>0.57000000000000006</v>
      </c>
      <c r="X71" s="1">
        <f>MROUND(_xlfn.XLOOKUP(_xlfn.XLOOKUP(B71,'Base stats'!B:B,'Base stats'!E:E),Groups!A:A,Groups!BH:BH)*_xlfn.XLOOKUP(B71,'Base stats'!B:B,'Base stats'!C:C)^0.165,0.01)</f>
        <v>0</v>
      </c>
      <c r="Y71" s="8">
        <f>MROUND(_xlfn.XLOOKUP(_xlfn.XLOOKUP(B71,'Base stats'!B:B,'Base stats'!E:E),Groups!A:A,Groups!BI:BI)*_xlfn.XLOOKUP(B71,'Base stats'!B:B,'Base stats'!C:C)^0.165,0.01)</f>
        <v>0</v>
      </c>
      <c r="Z71" s="18">
        <f>ROUND(_xlfn.XLOOKUP(B71,'Base stats'!B:B,'Base stats'!AO:AO)*_xlfn.XLOOKUP(_xlfn.XLOOKUP(B71,'Base stats'!B:B,'Base stats'!E:E),Groups!A:A,Groups!H:H)/1000,2)</f>
        <v>0</v>
      </c>
      <c r="AA71" s="18">
        <f>ROUND((1/2)*(_xlfn.XLOOKUP(_xlfn.XLOOKUP(B71,'Base stats'!B:B,'Base stats'!E:E),Groups!A:A,Groups!H:H)*_xlfn.XLOOKUP(_xlfn.XLOOKUP(B71,'Base stats'!B:B,'Base stats'!E:E),Groups!A:A,Groups!I:I))*_xlfn.XLOOKUP(B71,'Base stats'!B:B,'Base stats'!AO:AO)*0.01,2)</f>
        <v>0.01</v>
      </c>
      <c r="AB71" s="18">
        <f>250*(Animals!AO71+Animals!AP71)</f>
        <v>350.00000000000006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stats'!BQ:BQ) * (_xlfn.XLOOKUP(B72,'Base stats'!B:B,'Base stats'!AM:AM)*5%)^0.9 / 21,0.1),0.05)</f>
        <v>0.2</v>
      </c>
      <c r="E72" s="11">
        <f>MAX(0.01,MROUND(_xlfn.XLOOKUP(B72,'Base stats'!B:B,'Base stats'!BE:BE) * 0.01 * 2, 0.01))</f>
        <v>0.14000000000000001</v>
      </c>
      <c r="F72" s="7">
        <f>MROUND(_xlfn.XLOOKUP(B72,'Base stats'!B:B,'Base stats'!BB:BB)^0.25 / (_xlfn.XLOOKUP(B72,'Base stats'!B:B,'Base stats'!BI:BI) * 10) * 150 + 0.5 + _xlfn.XLOOKUP(B72,'Base stats'!B:B,'Base stats'!BU:BU), 0.05)</f>
        <v>1.3</v>
      </c>
      <c r="G72" s="3">
        <f>IF(Animals!S72="No","No",
IF(_xlfn.XLOOKUP(B72,'Base stats'!B:B,'Base stats'!U:U)="No",
MAX(MROUND(_xlfn.XLOOKUP(B72,'Base stats'!B:B,'Base stats'!BR:BR) * _xlfn.XLOOKUP(B72,'Base stats'!B:B,'Base stats'!BN:BN)^0.9 / 21 * _xlfn.XLOOKUP(B72,'Base stats'!B:B,'Base stats'!BV:BV),0.1),0.05),
MAX(MROUND(((MIN(10,_xlfn.XLOOKUP(B72,'Base stats'!B:B,'Base stats'!U:U)))^0.4*_xlfn.XLOOKUP(B72,'Base stats'!B:B,'Base stats'!BF:BF)^0.73)^0.6 * _xlfn.XLOOKUP(B72,'Base stats'!B:B,'Base stats'!BV:BV),0.1),0.05)
))</f>
        <v>3.3000000000000003</v>
      </c>
      <c r="H72" s="11">
        <f>IF(G72="No","No",
MAX(0.01,MROUND(_xlfn.XLOOKUP(B72,'Base stats'!B:B,'Base stats'!BF:BF) * 0.01 * 2, 0.01))
)</f>
        <v>0.22</v>
      </c>
      <c r="I72" s="11">
        <f>IF(G72="No","No",IF(_xlfn.XLOOKUP(B72,'Base stats'!B:B,'Base stats'!U:U)="No","No",
MAX(0.01,MROUND(_xlfn.XLOOKUP(B72,'Base stats'!B:B,'Base stats'!BR:BR)/10000,0.01))
))</f>
        <v>0.04</v>
      </c>
      <c r="J72" s="4">
        <f>IF(G72="No","No",
MROUND(_xlfn.XLOOKUP(B72,'Base stats'!B:B,'Base stats'!BC:BC)^0.25
/((_xlfn.XLOOKUP(B72,'Base stats'!B:B,'Base stats'!BJ:BJ))*10)*_xlfn.XLOOKUP(_xlfn.XLOOKUP(B72,'Base stats'!B:B,'Base stats'!E:E),Groups!A:A,Groups!Q:Q)*150 + 0.5 + _xlfn.XLOOKUP(B72,'Base stats'!B:B,'Base stats'!BU:BU),
0.05))</f>
        <v>2.15</v>
      </c>
      <c r="K72" s="3" t="str">
        <f>IF(Animals!X72="No","No",
IF(_xlfn.XLOOKUP(_xlfn.XLOOKUP(B72,'Base stats'!B:B,'Base stats'!E:E),Groups!A:A,Groups!BD:BD)=1,
MAX(MROUND(_xlfn.XLOOKUP(B72,'Base stats'!B:B,'Base stats'!BS:BS) * _xlfn.XLOOKUP(B72,'Base stats'!B:B,'Base stats'!BO:BO)^0.9 / 21 *_xlfn.XLOOKUP(B72,'Base stats'!B:B,'Base stats'!BV:BV),0.1),0.05),
MAX(MROUND(((MIN(10,_xlfn.XLOOKUP(B72,'Base stats'!B:B,'Base stats'!W:W)))^0.4*_xlfn.XLOOKUP(B72,'Base stats'!B:B,'Base stats'!BG:BG)^0.73)^0.6 *_xlfn.XLOOKUP(B72,'Base stats'!B:B,'Base stats'!BV:BV),0.1),0.05)
))</f>
        <v>No</v>
      </c>
      <c r="L72" s="11" t="str">
        <f>IF(K72="No","No",
MAX(0.01,MROUND(_xlfn.XLOOKUP(B72,'Base stats'!B:B,'Base stats'!BG:BG) * 0.01 *2, 0.01))
)</f>
        <v>No</v>
      </c>
      <c r="M72" s="5" t="str">
        <f>IF(K72="No","No",IF(_xlfn.XLOOKUP(_xlfn.XLOOKUP(B72,'Base stats'!B:B,'Base stats'!E:E),Groups!A:A,Groups!BD:BD)=1,"No",
MAX(0.01,MROUND(_xlfn.XLOOKUP(B72,'Base stats'!B:B,'Base stats'!BS:BS)/10000,0.01))
))</f>
        <v>No</v>
      </c>
      <c r="N72" s="4" t="str">
        <f>IF(K72="No","No",
MROUND(
  _xlfn.XLOOKUP(B72,'Base stats'!B:B,'Base stats'!BA:BA)^0.25
  / (_xlfn.XLOOKUP(B72,'Base stats'!B:B,'Base stats'!BK:BK)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stats'!BU:BU),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stats'!BH:BH)^0.73)^0.6 *_xlfn.XLOOKUP(B72,'Base stats'!B:B,'Base stats'!BV:BV),0.1),0.05)
)</f>
        <v>1.1000000000000001</v>
      </c>
      <c r="P72" s="11">
        <f>IF(O72="No","No",
MAX(0.01,MROUND(_xlfn.XLOOKUP(B72,'Base stats'!B:B,'Base stats'!BH:BH) * 0.01 * 2, 0.01))
)</f>
        <v>0.04</v>
      </c>
      <c r="Q72" s="5">
        <f>IF(O72="No","No",
MAX(0.01,MROUND(_xlfn.XLOOKUP(B72,'Base stats'!B:B,'Base stats'!BT:BT)/10000,0.01))
)</f>
        <v>0.01</v>
      </c>
      <c r="R72" s="4">
        <f>IF(O72="No","No",
MROUND(_xlfn.XLOOKUP(B72,'Base stats'!B:B,'Base stats'!AZ:AZ)^0.25
/((_xlfn.XLOOKUP(B72,'Base stats'!B:B,'Base stats'!BL:BL))*10)*_xlfn.XLOOKUP(_xlfn.XLOOKUP(B72,'Base stats'!B:B,'Base stats'!E:E),Groups!A:A,Groups!Z:Z)*150 + 0.5 + _xlfn.XLOOKUP(B72,'Base stats'!B:B,'Base stats'!BU:BU),
0.05))</f>
        <v>2.25</v>
      </c>
      <c r="S72" s="3" t="str">
        <f>IF(Animals!AI72="No","No",
IF(_xlfn.XLOOKUP(B72,'Base stats'!B:B,'Base stats'!U:U)="No",
MAX(MROUND(_xlfn.XLOOKUP(B72,'Base stats'!B:B,'Base stats'!BR:BR) * _xlfn.XLOOKUP(B72,'Base stats'!B:B,'Base stats'!BN:BN)^0.9 / 21 * _xlfn.XLOOKUP(B72,'Base stats'!B:B,'Base stats'!BV:BV),0.1),0.05),
MAX(MROUND(((MIN(12,_xlfn.XLOOKUP(B72,'Base stats'!B:B,'Base stats'!U:U)))^0.4*_xlfn.XLOOKUP(B72,'Base stats'!B:B,'Base stats'!BF:BF)^0.73)^0.6 * _xlfn.XLOOKUP(B72,'Base stats'!B:B,'Base stats'!BV:BV),0.1),0.05)
))</f>
        <v>No</v>
      </c>
      <c r="T72" s="11" t="str">
        <f>IF(S72="No","No",
MAX(0.01,MROUND(_xlfn.XLOOKUP(B72,'Base stats'!B:B,'Base stats'!BF:BF) * 0.01 * 2, 0.01))
)</f>
        <v>No</v>
      </c>
      <c r="U72" s="5" t="str">
        <f>IF(S72="No","No",IF(_xlfn.XLOOKUP(B72,'Base stats'!B:B,'Base stats'!U:U)="No","No",
MAX(0.01,MROUND(_xlfn.XLOOKUP(B72,'Base stats'!B:B,'Base stats'!BR:BR)/10000,0.01))
))</f>
        <v>No</v>
      </c>
      <c r="V72" s="4" t="str">
        <f>IF(S72="No","No",
MROUND(_xlfn.XLOOKUP(B72,'Base stats'!B:B,'Base stats'!BD:BD)^0.25
/((_xlfn.XLOOKUP(B72,'Base stats'!B:B,'Base stats'!BM:BM))*10)*_xlfn.XLOOKUP(_xlfn.XLOOKUP(B72,'Base stats'!B:B,'Base stats'!E:E),Groups!A:A,Groups!AE:AE)*150 + 0.5 + _xlfn.XLOOKUP(B72,'Base stats'!B:B,'Base stats'!BU:BU),
0.05))</f>
        <v>No</v>
      </c>
      <c r="W72" s="8">
        <f>MROUND(_xlfn.XLOOKUP(_xlfn.XLOOKUP(B72,'Base stats'!B:B,'Base stats'!E:E),Groups!A:A,Groups!BG:BG)*_xlfn.XLOOKUP(B72,'Base stats'!B:B,'Base stats'!C:C)^-0.165,0.01)</f>
        <v>0.79</v>
      </c>
      <c r="X72" s="1">
        <f>MROUND(_xlfn.XLOOKUP(_xlfn.XLOOKUP(B72,'Base stats'!B:B,'Base stats'!E:E),Groups!A:A,Groups!BH:BH)*_xlfn.XLOOKUP(B72,'Base stats'!B:B,'Base stats'!C:C)^0.165,0.01)</f>
        <v>0</v>
      </c>
      <c r="Y72" s="8">
        <f>MROUND(_xlfn.XLOOKUP(_xlfn.XLOOKUP(B72,'Base stats'!B:B,'Base stats'!E:E),Groups!A:A,Groups!BI:BI)*_xlfn.XLOOKUP(B72,'Base stats'!B:B,'Base stats'!C:C)^0.165,0.01)</f>
        <v>0</v>
      </c>
      <c r="Z72" s="18">
        <f>ROUND(_xlfn.XLOOKUP(B72,'Base stats'!B:B,'Base stats'!AO:AO)*_xlfn.XLOOKUP(_xlfn.XLOOKUP(B72,'Base stats'!B:B,'Base stats'!E:E),Groups!A:A,Groups!H:H)/1000,2)</f>
        <v>0</v>
      </c>
      <c r="AA72" s="18">
        <f>ROUND((1/2)*(_xlfn.XLOOKUP(_xlfn.XLOOKUP(B72,'Base stats'!B:B,'Base stats'!E:E),Groups!A:A,Groups!H:H)*_xlfn.XLOOKUP(_xlfn.XLOOKUP(B72,'Base stats'!B:B,'Base stats'!E:E),Groups!A:A,Groups!I:I))*_xlfn.XLOOKUP(B72,'Base stats'!B:B,'Base stats'!AO:AO)*0.01,2)</f>
        <v>0.01</v>
      </c>
      <c r="AB72" s="18">
        <f>250*(Animals!AO72+Animals!AP72)</f>
        <v>150.00000000000003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stats'!BQ:BQ) * (_xlfn.XLOOKUP(B73,'Base stats'!B:B,'Base stats'!AM:AM)*5%)^0.9 / 21,0.1),0.05)</f>
        <v>0.30000000000000004</v>
      </c>
      <c r="E73" s="11">
        <f>MAX(0.01,MROUND(_xlfn.XLOOKUP(B73,'Base stats'!B:B,'Base stats'!BE:BE) * 0.01 * 2, 0.01))</f>
        <v>0.18</v>
      </c>
      <c r="F73" s="7">
        <f>MROUND(_xlfn.XLOOKUP(B73,'Base stats'!B:B,'Base stats'!BB:BB)^0.25 / (_xlfn.XLOOKUP(B73,'Base stats'!B:B,'Base stats'!BI:BI) * 10) * 150 + 0.5 + _xlfn.XLOOKUP(B73,'Base stats'!B:B,'Base stats'!BU:BU), 0.05)</f>
        <v>1.4500000000000002</v>
      </c>
      <c r="G73" s="3">
        <f>IF(Animals!S73="No","No",
IF(_xlfn.XLOOKUP(B73,'Base stats'!B:B,'Base stats'!U:U)="No",
MAX(MROUND(_xlfn.XLOOKUP(B73,'Base stats'!B:B,'Base stats'!BR:BR) * _xlfn.XLOOKUP(B73,'Base stats'!B:B,'Base stats'!BN:BN)^0.9 / 21 * _xlfn.XLOOKUP(B73,'Base stats'!B:B,'Base stats'!BV:BV),0.1),0.05),
MAX(MROUND(((MIN(10,_xlfn.XLOOKUP(B73,'Base stats'!B:B,'Base stats'!U:U)))^0.4*_xlfn.XLOOKUP(B73,'Base stats'!B:B,'Base stats'!BF:BF)^0.73)^0.6 * _xlfn.XLOOKUP(B73,'Base stats'!B:B,'Base stats'!BV:BV),0.1),0.05)
))</f>
        <v>3.7</v>
      </c>
      <c r="H73" s="11">
        <f>IF(G73="No","No",
MAX(0.01,MROUND(_xlfn.XLOOKUP(B73,'Base stats'!B:B,'Base stats'!BF:BF) * 0.01 * 2, 0.01))
)</f>
        <v>0.27</v>
      </c>
      <c r="I73" s="11">
        <f>IF(G73="No","No",IF(_xlfn.XLOOKUP(B73,'Base stats'!B:B,'Base stats'!U:U)="No","No",
MAX(0.01,MROUND(_xlfn.XLOOKUP(B73,'Base stats'!B:B,'Base stats'!BR:BR)/10000,0.01))
))</f>
        <v>0.05</v>
      </c>
      <c r="J73" s="4">
        <f>IF(G73="No","No",
MROUND(_xlfn.XLOOKUP(B73,'Base stats'!B:B,'Base stats'!BC:BC)^0.25
/((_xlfn.XLOOKUP(B73,'Base stats'!B:B,'Base stats'!BJ:BJ))*10)*_xlfn.XLOOKUP(_xlfn.XLOOKUP(B73,'Base stats'!B:B,'Base stats'!E:E),Groups!A:A,Groups!Q:Q)*150 + 0.5 + _xlfn.XLOOKUP(B73,'Base stats'!B:B,'Base stats'!BU:BU),
0.05))</f>
        <v>2.25</v>
      </c>
      <c r="K73" s="3" t="str">
        <f>IF(Animals!X73="No","No",
IF(_xlfn.XLOOKUP(_xlfn.XLOOKUP(B73,'Base stats'!B:B,'Base stats'!E:E),Groups!A:A,Groups!BD:BD)=1,
MAX(MROUND(_xlfn.XLOOKUP(B73,'Base stats'!B:B,'Base stats'!BS:BS) * _xlfn.XLOOKUP(B73,'Base stats'!B:B,'Base stats'!BO:BO)^0.9 / 21 *_xlfn.XLOOKUP(B73,'Base stats'!B:B,'Base stats'!BV:BV),0.1),0.05),
MAX(MROUND(((MIN(10,_xlfn.XLOOKUP(B73,'Base stats'!B:B,'Base stats'!W:W)))^0.4*_xlfn.XLOOKUP(B73,'Base stats'!B:B,'Base stats'!BG:BG)^0.73)^0.6 *_xlfn.XLOOKUP(B73,'Base stats'!B:B,'Base stats'!BV:BV),0.1),0.05)
))</f>
        <v>No</v>
      </c>
      <c r="L73" s="11" t="str">
        <f>IF(K73="No","No",
MAX(0.01,MROUND(_xlfn.XLOOKUP(B73,'Base stats'!B:B,'Base stats'!BG:BG) * 0.01 *2, 0.01))
)</f>
        <v>No</v>
      </c>
      <c r="M73" s="5" t="str">
        <f>IF(K73="No","No",IF(_xlfn.XLOOKUP(_xlfn.XLOOKUP(B73,'Base stats'!B:B,'Base stats'!E:E),Groups!A:A,Groups!BD:BD)=1,"No",
MAX(0.01,MROUND(_xlfn.XLOOKUP(B73,'Base stats'!B:B,'Base stats'!BS:BS)/10000,0.01))
))</f>
        <v>No</v>
      </c>
      <c r="N73" s="4" t="str">
        <f>IF(K73="No","No",
MROUND(
  _xlfn.XLOOKUP(B73,'Base stats'!B:B,'Base stats'!BA:BA)^0.25
  / (_xlfn.XLOOKUP(B73,'Base stats'!B:B,'Base stats'!BK:BK)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stats'!BU:BU),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stats'!BH:BH)^0.73)^0.6 *_xlfn.XLOOKUP(B73,'Base stats'!B:B,'Base stats'!BV:BV),0.1),0.05)
)</f>
        <v>1.6</v>
      </c>
      <c r="P73" s="11">
        <f>IF(O73="No","No",
MAX(0.01,MROUND(_xlfn.XLOOKUP(B73,'Base stats'!B:B,'Base stats'!BH:BH) * 0.01 * 2, 0.01))
)</f>
        <v>0.05</v>
      </c>
      <c r="Q73" s="5">
        <f>IF(O73="No","No",
MAX(0.01,MROUND(_xlfn.XLOOKUP(B73,'Base stats'!B:B,'Base stats'!BT:BT)/10000,0.01))
)</f>
        <v>0.01</v>
      </c>
      <c r="R73" s="4">
        <f>IF(O73="No","No",
MROUND(_xlfn.XLOOKUP(B73,'Base stats'!B:B,'Base stats'!AZ:AZ)^0.25
/((_xlfn.XLOOKUP(B73,'Base stats'!B:B,'Base stats'!BL:BL))*10)*_xlfn.XLOOKUP(_xlfn.XLOOKUP(B73,'Base stats'!B:B,'Base stats'!E:E),Groups!A:A,Groups!Z:Z)*150 + 0.5 + _xlfn.XLOOKUP(B73,'Base stats'!B:B,'Base stats'!BU:BU),
0.05))</f>
        <v>2.35</v>
      </c>
      <c r="S73" s="3" t="str">
        <f>IF(Animals!AI73="No","No",
IF(_xlfn.XLOOKUP(B73,'Base stats'!B:B,'Base stats'!U:U)="No",
MAX(MROUND(_xlfn.XLOOKUP(B73,'Base stats'!B:B,'Base stats'!BR:BR) * _xlfn.XLOOKUP(B73,'Base stats'!B:B,'Base stats'!BN:BN)^0.9 / 21 * _xlfn.XLOOKUP(B73,'Base stats'!B:B,'Base stats'!BV:BV),0.1),0.05),
MAX(MROUND(((MIN(12,_xlfn.XLOOKUP(B73,'Base stats'!B:B,'Base stats'!U:U)))^0.4*_xlfn.XLOOKUP(B73,'Base stats'!B:B,'Base stats'!BF:BF)^0.73)^0.6 * _xlfn.XLOOKUP(B73,'Base stats'!B:B,'Base stats'!BV:BV),0.1),0.05)
))</f>
        <v>No</v>
      </c>
      <c r="T73" s="11" t="str">
        <f>IF(S73="No","No",
MAX(0.01,MROUND(_xlfn.XLOOKUP(B73,'Base stats'!B:B,'Base stats'!BF:BF) * 0.01 * 2, 0.01))
)</f>
        <v>No</v>
      </c>
      <c r="U73" s="5" t="str">
        <f>IF(S73="No","No",IF(_xlfn.XLOOKUP(B73,'Base stats'!B:B,'Base stats'!U:U)="No","No",
MAX(0.01,MROUND(_xlfn.XLOOKUP(B73,'Base stats'!B:B,'Base stats'!BR:BR)/10000,0.01))
))</f>
        <v>No</v>
      </c>
      <c r="V73" s="4" t="str">
        <f>IF(S73="No","No",
MROUND(_xlfn.XLOOKUP(B73,'Base stats'!B:B,'Base stats'!BD:BD)^0.25
/((_xlfn.XLOOKUP(B73,'Base stats'!B:B,'Base stats'!BM:BM))*10)*_xlfn.XLOOKUP(_xlfn.XLOOKUP(B73,'Base stats'!B:B,'Base stats'!E:E),Groups!A:A,Groups!AE:AE)*150 + 0.5 + _xlfn.XLOOKUP(B73,'Base stats'!B:B,'Base stats'!BU:BU),
0.05))</f>
        <v>No</v>
      </c>
      <c r="W73" s="8">
        <f>MROUND(_xlfn.XLOOKUP(_xlfn.XLOOKUP(B73,'Base stats'!B:B,'Base stats'!E:E),Groups!A:A,Groups!BG:BG)*_xlfn.XLOOKUP(B73,'Base stats'!B:B,'Base stats'!C:C)^-0.165,0.01)</f>
        <v>0.76</v>
      </c>
      <c r="X73" s="1">
        <f>MROUND(_xlfn.XLOOKUP(_xlfn.XLOOKUP(B73,'Base stats'!B:B,'Base stats'!E:E),Groups!A:A,Groups!BH:BH)*_xlfn.XLOOKUP(B73,'Base stats'!B:B,'Base stats'!C:C)^0.165,0.01)</f>
        <v>0.13</v>
      </c>
      <c r="Y73" s="8">
        <f>MROUND(_xlfn.XLOOKUP(_xlfn.XLOOKUP(B73,'Base stats'!B:B,'Base stats'!E:E),Groups!A:A,Groups!BI:BI)*_xlfn.XLOOKUP(B73,'Base stats'!B:B,'Base stats'!C:C)^0.165,0.01)</f>
        <v>0.03</v>
      </c>
      <c r="Z73" s="18">
        <f>ROUND(_xlfn.XLOOKUP(B73,'Base stats'!B:B,'Base stats'!AO:AO)*_xlfn.XLOOKUP(_xlfn.XLOOKUP(B73,'Base stats'!B:B,'Base stats'!E:E),Groups!A:A,Groups!H:H)/1000,2)</f>
        <v>0</v>
      </c>
      <c r="AA73" s="18">
        <f>ROUND((1/2)*(_xlfn.XLOOKUP(_xlfn.XLOOKUP(B73,'Base stats'!B:B,'Base stats'!E:E),Groups!A:A,Groups!H:H)*_xlfn.XLOOKUP(_xlfn.XLOOKUP(B73,'Base stats'!B:B,'Base stats'!E:E),Groups!A:A,Groups!I:I))*_xlfn.XLOOKUP(B73,'Base stats'!B:B,'Base stats'!AO:AO)*0.01,2)</f>
        <v>0.01</v>
      </c>
      <c r="AB73" s="18">
        <f>250*(Animals!AO73+Animals!AP73)</f>
        <v>150.00000000000003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stats'!BQ:BQ) * (_xlfn.XLOOKUP(B74,'Base stats'!B:B,'Base stats'!AM:AM)*5%)^0.9 / 21,0.1),0.05)</f>
        <v>5</v>
      </c>
      <c r="E74" s="11">
        <f>MAX(0.01,MROUND(_xlfn.XLOOKUP(B74,'Base stats'!B:B,'Base stats'!BE:BE) * 0.01 * 2, 0.01))</f>
        <v>4.42</v>
      </c>
      <c r="F74" s="7">
        <f>MROUND(_xlfn.XLOOKUP(B74,'Base stats'!B:B,'Base stats'!BB:BB)^0.25 / (_xlfn.XLOOKUP(B74,'Base stats'!B:B,'Base stats'!BI:BI) * 10) * 150 + 0.5 + _xlfn.XLOOKUP(B74,'Base stats'!B:B,'Base stats'!BU:BU), 0.05)</f>
        <v>2.15</v>
      </c>
      <c r="G74" s="3" t="str">
        <f>IF(Animals!S74="No","No",
IF(_xlfn.XLOOKUP(B74,'Base stats'!B:B,'Base stats'!U:U)="No",
MAX(MROUND(_xlfn.XLOOKUP(B74,'Base stats'!B:B,'Base stats'!BR:BR) * _xlfn.XLOOKUP(B74,'Base stats'!B:B,'Base stats'!BN:BN)^0.9 / 21 * _xlfn.XLOOKUP(B74,'Base stats'!B:B,'Base stats'!BV:BV),0.1),0.05),
MAX(MROUND(((MIN(10,_xlfn.XLOOKUP(B74,'Base stats'!B:B,'Base stats'!U:U)))^0.4*_xlfn.XLOOKUP(B74,'Base stats'!B:B,'Base stats'!BF:BF)^0.73)^0.6 * _xlfn.XLOOKUP(B74,'Base stats'!B:B,'Base stats'!BV:BV),0.1),0.05)
))</f>
        <v>No</v>
      </c>
      <c r="H74" s="11" t="str">
        <f>IF(G74="No","No",
MAX(0.01,MROUND(_xlfn.XLOOKUP(B74,'Base stats'!B:B,'Base stats'!BF:BF) * 0.01 * 2, 0.01))
)</f>
        <v>No</v>
      </c>
      <c r="I74" s="11" t="str">
        <f>IF(G74="No","No",IF(_xlfn.XLOOKUP(B74,'Base stats'!B:B,'Base stats'!U:U)="No","No",
MAX(0.01,MROUND(_xlfn.XLOOKUP(B74,'Base stats'!B:B,'Base stats'!BR:BR)/10000,0.01))
))</f>
        <v>No</v>
      </c>
      <c r="J74" s="4" t="str">
        <f>IF(G74="No","No",
MROUND(_xlfn.XLOOKUP(B74,'Base stats'!B:B,'Base stats'!BC:BC)^0.25
/((_xlfn.XLOOKUP(B74,'Base stats'!B:B,'Base stats'!BJ:BJ))*10)*_xlfn.XLOOKUP(_xlfn.XLOOKUP(B74,'Base stats'!B:B,'Base stats'!E:E),Groups!A:A,Groups!Q:Q)*150 + 0.5 + _xlfn.XLOOKUP(B74,'Base stats'!B:B,'Base stats'!BU:BU),
0.05))</f>
        <v>No</v>
      </c>
      <c r="K74" s="3" t="str">
        <f>IF(Animals!X74="No","No",
IF(_xlfn.XLOOKUP(_xlfn.XLOOKUP(B74,'Base stats'!B:B,'Base stats'!E:E),Groups!A:A,Groups!BD:BD)=1,
MAX(MROUND(_xlfn.XLOOKUP(B74,'Base stats'!B:B,'Base stats'!BS:BS) * _xlfn.XLOOKUP(B74,'Base stats'!B:B,'Base stats'!BO:BO)^0.9 / 21 *_xlfn.XLOOKUP(B74,'Base stats'!B:B,'Base stats'!BV:BV),0.1),0.05),
MAX(MROUND(((MIN(10,_xlfn.XLOOKUP(B74,'Base stats'!B:B,'Base stats'!W:W)))^0.4*_xlfn.XLOOKUP(B74,'Base stats'!B:B,'Base stats'!BG:BG)^0.73)^0.6 *_xlfn.XLOOKUP(B74,'Base stats'!B:B,'Base stats'!BV:BV),0.1),0.05)
))</f>
        <v>No</v>
      </c>
      <c r="L74" s="11" t="str">
        <f>IF(K74="No","No",
MAX(0.01,MROUND(_xlfn.XLOOKUP(B74,'Base stats'!B:B,'Base stats'!BG:BG) * 0.01 *2, 0.01))
)</f>
        <v>No</v>
      </c>
      <c r="M74" s="5" t="str">
        <f>IF(K74="No","No",IF(_xlfn.XLOOKUP(_xlfn.XLOOKUP(B74,'Base stats'!B:B,'Base stats'!E:E),Groups!A:A,Groups!BD:BD)=1,"No",
MAX(0.01,MROUND(_xlfn.XLOOKUP(B74,'Base stats'!B:B,'Base stats'!BS:BS)/10000,0.01))
))</f>
        <v>No</v>
      </c>
      <c r="N74" s="4" t="str">
        <f>IF(K74="No","No",
MROUND(
  _xlfn.XLOOKUP(B74,'Base stats'!B:B,'Base stats'!BA:BA)^0.25
  / (_xlfn.XLOOKUP(B74,'Base stats'!B:B,'Base stats'!BK:BK)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stats'!BU:BU),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stats'!BH:BH)^0.73)^0.6 *_xlfn.XLOOKUP(B74,'Base stats'!B:B,'Base stats'!BV:BV),0.1),0.05)
)</f>
        <v>27.1</v>
      </c>
      <c r="P74" s="11">
        <f>IF(O74="No","No",
MAX(0.01,MROUND(_xlfn.XLOOKUP(B74,'Base stats'!B:B,'Base stats'!BH:BH) * 0.01 * 2, 0.01))
)</f>
        <v>13.36</v>
      </c>
      <c r="Q74" s="5">
        <f>IF(O74="No","No",
MAX(0.01,MROUND(_xlfn.XLOOKUP(B74,'Base stats'!B:B,'Base stats'!BT:BT)/10000,0.01))
)</f>
        <v>0.55000000000000004</v>
      </c>
      <c r="R74" s="4">
        <f>IF(O74="No","No",
MROUND(_xlfn.XLOOKUP(B74,'Base stats'!B:B,'Base stats'!AZ:AZ)^0.25
/((_xlfn.XLOOKUP(B74,'Base stats'!B:B,'Base stats'!BL:BL))*10)*_xlfn.XLOOKUP(_xlfn.XLOOKUP(B74,'Base stats'!B:B,'Base stats'!E:E),Groups!A:A,Groups!Z:Z)*150 + 0.5 + _xlfn.XLOOKUP(B74,'Base stats'!B:B,'Base stats'!BU:BU),
0.05))</f>
        <v>2</v>
      </c>
      <c r="S74" s="3">
        <f>IF(Animals!AI74="No","No",
IF(_xlfn.XLOOKUP(B74,'Base stats'!B:B,'Base stats'!U:U)="No",
MAX(MROUND(_xlfn.XLOOKUP(B74,'Base stats'!B:B,'Base stats'!BR:BR) * _xlfn.XLOOKUP(B74,'Base stats'!B:B,'Base stats'!BN:BN)^0.9 / 21 * _xlfn.XLOOKUP(B74,'Base stats'!B:B,'Base stats'!BV:BV),0.1),0.05),
MAX(MROUND(((MIN(12,_xlfn.XLOOKUP(B74,'Base stats'!B:B,'Base stats'!U:U)))^0.4*_xlfn.XLOOKUP(B74,'Base stats'!B:B,'Base stats'!BF:BF)^0.73)^0.6 * _xlfn.XLOOKUP(B74,'Base stats'!B:B,'Base stats'!BV:BV),0.1),0.05)
))</f>
        <v>19.200000000000003</v>
      </c>
      <c r="T74" s="11">
        <f>IF(S74="No","No",
MAX(0.01,MROUND(_xlfn.XLOOKUP(B74,'Base stats'!B:B,'Base stats'!BF:BF) * 0.01 * 2, 0.01))
)</f>
        <v>5.38</v>
      </c>
      <c r="U74" s="5">
        <f>IF(S74="No","No",IF(_xlfn.XLOOKUP(B74,'Base stats'!B:B,'Base stats'!U:U)="No","No",
MAX(0.01,MROUND(_xlfn.XLOOKUP(B74,'Base stats'!B:B,'Base stats'!BR:BR)/10000,0.01))
))</f>
        <v>0.22</v>
      </c>
      <c r="V74" s="4">
        <f>IF(S74="No","No",
MROUND(_xlfn.XLOOKUP(B74,'Base stats'!B:B,'Base stats'!BD:BD)^0.25
/((_xlfn.XLOOKUP(B74,'Base stats'!B:B,'Base stats'!BM:BM))*10)*_xlfn.XLOOKUP(_xlfn.XLOOKUP(B74,'Base stats'!B:B,'Base stats'!E:E),Groups!A:A,Groups!AE:AE)*150 + 0.5 + _xlfn.XLOOKUP(B74,'Base stats'!B:B,'Base stats'!BU:BU),
0.05))</f>
        <v>1.5</v>
      </c>
      <c r="W74" s="8">
        <f>MROUND(_xlfn.XLOOKUP(_xlfn.XLOOKUP(B74,'Base stats'!B:B,'Base stats'!E:E),Groups!A:A,Groups!BG:BG)*_xlfn.XLOOKUP(B74,'Base stats'!B:B,'Base stats'!C:C)^-0.165,0.01)</f>
        <v>0.53</v>
      </c>
      <c r="X74" s="1">
        <f>MROUND(_xlfn.XLOOKUP(_xlfn.XLOOKUP(B74,'Base stats'!B:B,'Base stats'!E:E),Groups!A:A,Groups!BH:BH)*_xlfn.XLOOKUP(B74,'Base stats'!B:B,'Base stats'!C:C)^0.165,0.01)</f>
        <v>0.59</v>
      </c>
      <c r="Y74" s="8">
        <f>MROUND(_xlfn.XLOOKUP(_xlfn.XLOOKUP(B74,'Base stats'!B:B,'Base stats'!E:E),Groups!A:A,Groups!BI:BI)*_xlfn.XLOOKUP(B74,'Base stats'!B:B,'Base stats'!C:C)^0.165,0.01)</f>
        <v>0.06</v>
      </c>
      <c r="Z74" s="18">
        <f>ROUND(_xlfn.XLOOKUP(B74,'Base stats'!B:B,'Base stats'!AO:AO)*_xlfn.XLOOKUP(_xlfn.XLOOKUP(B74,'Base stats'!B:B,'Base stats'!E:E),Groups!A:A,Groups!H:H)/1000,2)</f>
        <v>0.14000000000000001</v>
      </c>
      <c r="AA74" s="18">
        <f>ROUND((1/2)*(_xlfn.XLOOKUP(_xlfn.XLOOKUP(B74,'Base stats'!B:B,'Base stats'!E:E),Groups!A:A,Groups!H:H)*_xlfn.XLOOKUP(_xlfn.XLOOKUP(B74,'Base stats'!B:B,'Base stats'!E:E),Groups!A:A,Groups!I:I))*_xlfn.XLOOKUP(B74,'Base stats'!B:B,'Base stats'!AO:AO)*0.01,2)</f>
        <v>1.03</v>
      </c>
      <c r="AB74" s="18">
        <f>250*(Animals!AO74+Animals!AP74)</f>
        <v>937.50000000000011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stats'!BQ:BQ) * (_xlfn.XLOOKUP(B75,'Base stats'!B:B,'Base stats'!AM:AM)*5%)^0.9 / 21,0.1),0.05)</f>
        <v>5.9</v>
      </c>
      <c r="E75" s="11">
        <f>MAX(0.01,MROUND(_xlfn.XLOOKUP(B75,'Base stats'!B:B,'Base stats'!BE:BE) * 0.01 * 2, 0.01))</f>
        <v>5.22</v>
      </c>
      <c r="F75" s="7">
        <f>MROUND(_xlfn.XLOOKUP(B75,'Base stats'!B:B,'Base stats'!BB:BB)^0.25 / (_xlfn.XLOOKUP(B75,'Base stats'!B:B,'Base stats'!BI:BI) * 10) * 150 + 0.5 + _xlfn.XLOOKUP(B75,'Base stats'!B:B,'Base stats'!BU:BU), 0.05)</f>
        <v>2.2000000000000002</v>
      </c>
      <c r="G75" s="3" t="str">
        <f>IF(Animals!S75="No","No",
IF(_xlfn.XLOOKUP(B75,'Base stats'!B:B,'Base stats'!U:U)="No",
MAX(MROUND(_xlfn.XLOOKUP(B75,'Base stats'!B:B,'Base stats'!BR:BR) * _xlfn.XLOOKUP(B75,'Base stats'!B:B,'Base stats'!BN:BN)^0.9 / 21 * _xlfn.XLOOKUP(B75,'Base stats'!B:B,'Base stats'!BV:BV),0.1),0.05),
MAX(MROUND(((MIN(10,_xlfn.XLOOKUP(B75,'Base stats'!B:B,'Base stats'!U:U)))^0.4*_xlfn.XLOOKUP(B75,'Base stats'!B:B,'Base stats'!BF:BF)^0.73)^0.6 * _xlfn.XLOOKUP(B75,'Base stats'!B:B,'Base stats'!BV:BV),0.1),0.05)
))</f>
        <v>No</v>
      </c>
      <c r="H75" s="11" t="str">
        <f>IF(G75="No","No",
MAX(0.01,MROUND(_xlfn.XLOOKUP(B75,'Base stats'!B:B,'Base stats'!BF:BF) * 0.01 * 2, 0.01))
)</f>
        <v>No</v>
      </c>
      <c r="I75" s="11" t="str">
        <f>IF(G75="No","No",IF(_xlfn.XLOOKUP(B75,'Base stats'!B:B,'Base stats'!U:U)="No","No",
MAX(0.01,MROUND(_xlfn.XLOOKUP(B75,'Base stats'!B:B,'Base stats'!BR:BR)/10000,0.01))
))</f>
        <v>No</v>
      </c>
      <c r="J75" s="4" t="str">
        <f>IF(G75="No","No",
MROUND(_xlfn.XLOOKUP(B75,'Base stats'!B:B,'Base stats'!BC:BC)^0.25
/((_xlfn.XLOOKUP(B75,'Base stats'!B:B,'Base stats'!BJ:BJ))*10)*_xlfn.XLOOKUP(_xlfn.XLOOKUP(B75,'Base stats'!B:B,'Base stats'!E:E),Groups!A:A,Groups!Q:Q)*150 + 0.5 + _xlfn.XLOOKUP(B75,'Base stats'!B:B,'Base stats'!BU:BU),
0.05))</f>
        <v>No</v>
      </c>
      <c r="K75" s="3" t="str">
        <f>IF(Animals!X75="No","No",
IF(_xlfn.XLOOKUP(_xlfn.XLOOKUP(B75,'Base stats'!B:B,'Base stats'!E:E),Groups!A:A,Groups!BD:BD)=1,
MAX(MROUND(_xlfn.XLOOKUP(B75,'Base stats'!B:B,'Base stats'!BS:BS) * _xlfn.XLOOKUP(B75,'Base stats'!B:B,'Base stats'!BO:BO)^0.9 / 21 *_xlfn.XLOOKUP(B75,'Base stats'!B:B,'Base stats'!BV:BV),0.1),0.05),
MAX(MROUND(((MIN(10,_xlfn.XLOOKUP(B75,'Base stats'!B:B,'Base stats'!W:W)))^0.4*_xlfn.XLOOKUP(B75,'Base stats'!B:B,'Base stats'!BG:BG)^0.73)^0.6 *_xlfn.XLOOKUP(B75,'Base stats'!B:B,'Base stats'!BV:BV),0.1),0.05)
))</f>
        <v>No</v>
      </c>
      <c r="L75" s="11" t="str">
        <f>IF(K75="No","No",
MAX(0.01,MROUND(_xlfn.XLOOKUP(B75,'Base stats'!B:B,'Base stats'!BG:BG) * 0.01 *2, 0.01))
)</f>
        <v>No</v>
      </c>
      <c r="M75" s="5" t="str">
        <f>IF(K75="No","No",IF(_xlfn.XLOOKUP(_xlfn.XLOOKUP(B75,'Base stats'!B:B,'Base stats'!E:E),Groups!A:A,Groups!BD:BD)=1,"No",
MAX(0.01,MROUND(_xlfn.XLOOKUP(B75,'Base stats'!B:B,'Base stats'!BS:BS)/10000,0.01))
))</f>
        <v>No</v>
      </c>
      <c r="N75" s="4" t="str">
        <f>IF(K75="No","No",
MROUND(
  _xlfn.XLOOKUP(B75,'Base stats'!B:B,'Base stats'!BA:BA)^0.25
  / (_xlfn.XLOOKUP(B75,'Base stats'!B:B,'Base stats'!BK:BK)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stats'!BU:BU),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stats'!BH:BH)^0.73)^0.6 *_xlfn.XLOOKUP(B75,'Base stats'!B:B,'Base stats'!BV:BV),0.1),0.05)
)</f>
        <v>28.5</v>
      </c>
      <c r="P75" s="11">
        <f>IF(O75="No","No",
MAX(0.01,MROUND(_xlfn.XLOOKUP(B75,'Base stats'!B:B,'Base stats'!BH:BH) * 0.01 * 2, 0.01))
)</f>
        <v>11.86</v>
      </c>
      <c r="Q75" s="5">
        <f>IF(O75="No","No",
MAX(0.01,MROUND(_xlfn.XLOOKUP(B75,'Base stats'!B:B,'Base stats'!BT:BT)/10000,0.01))
)</f>
        <v>0.45</v>
      </c>
      <c r="R75" s="4">
        <f>IF(O75="No","No",
MROUND(_xlfn.XLOOKUP(B75,'Base stats'!B:B,'Base stats'!AZ:AZ)^0.25
/((_xlfn.XLOOKUP(B75,'Base stats'!B:B,'Base stats'!BL:BL))*10)*_xlfn.XLOOKUP(_xlfn.XLOOKUP(B75,'Base stats'!B:B,'Base stats'!E:E),Groups!A:A,Groups!Z:Z)*150 + 0.5 + _xlfn.XLOOKUP(B75,'Base stats'!B:B,'Base stats'!BU:BU),
0.05))</f>
        <v>2.1</v>
      </c>
      <c r="S75" s="3">
        <f>IF(Animals!AI75="No","No",
IF(_xlfn.XLOOKUP(B75,'Base stats'!B:B,'Base stats'!U:U)="No",
MAX(MROUND(_xlfn.XLOOKUP(B75,'Base stats'!B:B,'Base stats'!BR:BR) * _xlfn.XLOOKUP(B75,'Base stats'!B:B,'Base stats'!BN:BN)^0.9 / 21 * _xlfn.XLOOKUP(B75,'Base stats'!B:B,'Base stats'!BV:BV),0.1),0.05),
MAX(MROUND(((MIN(12,_xlfn.XLOOKUP(B75,'Base stats'!B:B,'Base stats'!U:U)))^0.4*_xlfn.XLOOKUP(B75,'Base stats'!B:B,'Base stats'!BF:BF)^0.73)^0.6 * _xlfn.XLOOKUP(B75,'Base stats'!B:B,'Base stats'!BV:BV),0.1),0.05)
))</f>
        <v>20.6</v>
      </c>
      <c r="T75" s="11">
        <f>IF(S75="No","No",
MAX(0.01,MROUND(_xlfn.XLOOKUP(B75,'Base stats'!B:B,'Base stats'!BF:BF) * 0.01 * 2, 0.01))
)</f>
        <v>6.29</v>
      </c>
      <c r="U75" s="5">
        <f>IF(S75="No","No",IF(_xlfn.XLOOKUP(B75,'Base stats'!B:B,'Base stats'!U:U)="No","No",
MAX(0.01,MROUND(_xlfn.XLOOKUP(B75,'Base stats'!B:B,'Base stats'!BR:BR)/10000,0.01))
))</f>
        <v>0.24</v>
      </c>
      <c r="V75" s="4">
        <f>IF(S75="No","No",
MROUND(_xlfn.XLOOKUP(B75,'Base stats'!B:B,'Base stats'!BD:BD)^0.25
/((_xlfn.XLOOKUP(B75,'Base stats'!B:B,'Base stats'!BM:BM))*10)*_xlfn.XLOOKUP(_xlfn.XLOOKUP(B75,'Base stats'!B:B,'Base stats'!E:E),Groups!A:A,Groups!AE:AE)*150 + 0.5 + _xlfn.XLOOKUP(B75,'Base stats'!B:B,'Base stats'!BU:BU),
0.05))</f>
        <v>1.55</v>
      </c>
      <c r="W75" s="8">
        <f>MROUND(_xlfn.XLOOKUP(_xlfn.XLOOKUP(B75,'Base stats'!B:B,'Base stats'!E:E),Groups!A:A,Groups!BG:BG)*_xlfn.XLOOKUP(B75,'Base stats'!B:B,'Base stats'!C:C)^-0.165,0.01)</f>
        <v>0.51</v>
      </c>
      <c r="X75" s="1">
        <f>MROUND(_xlfn.XLOOKUP(_xlfn.XLOOKUP(B75,'Base stats'!B:B,'Base stats'!E:E),Groups!A:A,Groups!BH:BH)*_xlfn.XLOOKUP(B75,'Base stats'!B:B,'Base stats'!C:C)^0.165,0.01)</f>
        <v>0.61</v>
      </c>
      <c r="Y75" s="8">
        <f>MROUND(_xlfn.XLOOKUP(_xlfn.XLOOKUP(B75,'Base stats'!B:B,'Base stats'!E:E),Groups!A:A,Groups!BI:BI)*_xlfn.XLOOKUP(B75,'Base stats'!B:B,'Base stats'!C:C)^0.165,0.01)</f>
        <v>0.06</v>
      </c>
      <c r="Z75" s="18">
        <f>ROUND(_xlfn.XLOOKUP(B75,'Base stats'!B:B,'Base stats'!AO:AO)*_xlfn.XLOOKUP(_xlfn.XLOOKUP(B75,'Base stats'!B:B,'Base stats'!E:E),Groups!A:A,Groups!H:H)/1000,2)</f>
        <v>0.15</v>
      </c>
      <c r="AA75" s="18">
        <f>ROUND((1/2)*(_xlfn.XLOOKUP(_xlfn.XLOOKUP(B75,'Base stats'!B:B,'Base stats'!E:E),Groups!A:A,Groups!H:H)*_xlfn.XLOOKUP(_xlfn.XLOOKUP(B75,'Base stats'!B:B,'Base stats'!E:E),Groups!A:A,Groups!I:I))*_xlfn.XLOOKUP(B75,'Base stats'!B:B,'Base stats'!AO:AO)*0.01,2)</f>
        <v>1.1000000000000001</v>
      </c>
      <c r="AB75" s="18">
        <f>250*(Animals!AO75+Animals!AP75)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stats'!BQ:BQ) * (_xlfn.XLOOKUP(B76,'Base stats'!B:B,'Base stats'!AM:AM)*5%)^0.9 / 21,0.1),0.05)</f>
        <v>0.05</v>
      </c>
      <c r="E76" s="11">
        <f>MAX(0.01,MROUND(_xlfn.XLOOKUP(B76,'Base stats'!B:B,'Base stats'!BE:BE) * 0.01 * 2, 0.01))</f>
        <v>0.02</v>
      </c>
      <c r="F76" s="7">
        <f>MROUND(_xlfn.XLOOKUP(B76,'Base stats'!B:B,'Base stats'!BB:BB)^0.25 / (_xlfn.XLOOKUP(B76,'Base stats'!B:B,'Base stats'!BI:BI) * 10) * 150 + 0.5 + _xlfn.XLOOKUP(B76,'Base stats'!B:B,'Base stats'!BU:BU), 0.05)</f>
        <v>1.1500000000000001</v>
      </c>
      <c r="G76" s="3" t="str">
        <f>IF(Animals!S76="No","No",
IF(_xlfn.XLOOKUP(B76,'Base stats'!B:B,'Base stats'!U:U)="No",
MAX(MROUND(_xlfn.XLOOKUP(B76,'Base stats'!B:B,'Base stats'!BR:BR) * _xlfn.XLOOKUP(B76,'Base stats'!B:B,'Base stats'!BN:BN)^0.9 / 21 * _xlfn.XLOOKUP(B76,'Base stats'!B:B,'Base stats'!BV:BV),0.1),0.05),
MAX(MROUND(((MIN(10,_xlfn.XLOOKUP(B76,'Base stats'!B:B,'Base stats'!U:U)))^0.4*_xlfn.XLOOKUP(B76,'Base stats'!B:B,'Base stats'!BF:BF)^0.73)^0.6 * _xlfn.XLOOKUP(B76,'Base stats'!B:B,'Base stats'!BV:BV),0.1),0.05)
))</f>
        <v>No</v>
      </c>
      <c r="H76" s="11" t="str">
        <f>IF(G76="No","No",
MAX(0.01,MROUND(_xlfn.XLOOKUP(B76,'Base stats'!B:B,'Base stats'!BF:BF) * 0.01 * 2, 0.01))
)</f>
        <v>No</v>
      </c>
      <c r="I76" s="11" t="str">
        <f>IF(G76="No","No",IF(_xlfn.XLOOKUP(B76,'Base stats'!B:B,'Base stats'!U:U)="No","No",
MAX(0.01,MROUND(_xlfn.XLOOKUP(B76,'Base stats'!B:B,'Base stats'!BR:BR)/10000,0.01))
))</f>
        <v>No</v>
      </c>
      <c r="J76" s="4" t="str">
        <f>IF(G76="No","No",
MROUND(_xlfn.XLOOKUP(B76,'Base stats'!B:B,'Base stats'!BC:BC)^0.25
/((_xlfn.XLOOKUP(B76,'Base stats'!B:B,'Base stats'!BJ:BJ))*10)*_xlfn.XLOOKUP(_xlfn.XLOOKUP(B76,'Base stats'!B:B,'Base stats'!E:E),Groups!A:A,Groups!Q:Q)*150 + 0.5 + _xlfn.XLOOKUP(B76,'Base stats'!B:B,'Base stats'!BU:BU),
0.05))</f>
        <v>No</v>
      </c>
      <c r="K76" s="3" t="str">
        <f>IF(Animals!X76="No","No",
IF(_xlfn.XLOOKUP(_xlfn.XLOOKUP(B76,'Base stats'!B:B,'Base stats'!E:E),Groups!A:A,Groups!BD:BD)=1,
MAX(MROUND(_xlfn.XLOOKUP(B76,'Base stats'!B:B,'Base stats'!BS:BS) * _xlfn.XLOOKUP(B76,'Base stats'!B:B,'Base stats'!BO:BO)^0.9 / 21 *_xlfn.XLOOKUP(B76,'Base stats'!B:B,'Base stats'!BV:BV),0.1),0.05),
MAX(MROUND(((MIN(10,_xlfn.XLOOKUP(B76,'Base stats'!B:B,'Base stats'!W:W)))^0.4*_xlfn.XLOOKUP(B76,'Base stats'!B:B,'Base stats'!BG:BG)^0.73)^0.6 *_xlfn.XLOOKUP(B76,'Base stats'!B:B,'Base stats'!BV:BV),0.1),0.05)
))</f>
        <v>No</v>
      </c>
      <c r="L76" s="11" t="str">
        <f>IF(K76="No","No",
MAX(0.01,MROUND(_xlfn.XLOOKUP(B76,'Base stats'!B:B,'Base stats'!BG:BG) * 0.01 *2, 0.01))
)</f>
        <v>No</v>
      </c>
      <c r="M76" s="5" t="str">
        <f>IF(K76="No","No",IF(_xlfn.XLOOKUP(_xlfn.XLOOKUP(B76,'Base stats'!B:B,'Base stats'!E:E),Groups!A:A,Groups!BD:BD)=1,"No",
MAX(0.01,MROUND(_xlfn.XLOOKUP(B76,'Base stats'!B:B,'Base stats'!BS:BS)/10000,0.01))
))</f>
        <v>No</v>
      </c>
      <c r="N76" s="4" t="str">
        <f>IF(K76="No","No",
MROUND(
  _xlfn.XLOOKUP(B76,'Base stats'!B:B,'Base stats'!BA:BA)^0.25
  / (_xlfn.XLOOKUP(B76,'Base stats'!B:B,'Base stats'!BK:BK)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stats'!BU:BU),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stats'!BH:BH)^0.73)^0.6 *_xlfn.XLOOKUP(B76,'Base stats'!B:B,'Base stats'!BV:BV),0.1),0.05)
)</f>
        <v>1.3</v>
      </c>
      <c r="P76" s="11">
        <f>IF(O76="No","No",
MAX(0.01,MROUND(_xlfn.XLOOKUP(B76,'Base stats'!B:B,'Base stats'!BH:BH) * 0.01 * 2, 0.01))
)</f>
        <v>0.04</v>
      </c>
      <c r="Q76" s="5">
        <f>IF(O76="No","No",
MAX(0.01,MROUND(_xlfn.XLOOKUP(B76,'Base stats'!B:B,'Base stats'!BT:BT)/10000,0.01))
)</f>
        <v>0.02</v>
      </c>
      <c r="R76" s="4">
        <f>IF(O76="No","No",
MROUND(_xlfn.XLOOKUP(B76,'Base stats'!B:B,'Base stats'!AZ:AZ)^0.25
/((_xlfn.XLOOKUP(B76,'Base stats'!B:B,'Base stats'!BL:BL))*10)*_xlfn.XLOOKUP(_xlfn.XLOOKUP(B76,'Base stats'!B:B,'Base stats'!E:E),Groups!A:A,Groups!Z:Z)*150 + 0.5 + _xlfn.XLOOKUP(B76,'Base stats'!B:B,'Base stats'!BU:BU),
0.05))</f>
        <v>1.9000000000000001</v>
      </c>
      <c r="S76" s="3" t="str">
        <f>IF(Animals!AI76="No","No",
IF(_xlfn.XLOOKUP(B76,'Base stats'!B:B,'Base stats'!U:U)="No",
MAX(MROUND(_xlfn.XLOOKUP(B76,'Base stats'!B:B,'Base stats'!BR:BR) * _xlfn.XLOOKUP(B76,'Base stats'!B:B,'Base stats'!BN:BN)^0.9 / 21 * _xlfn.XLOOKUP(B76,'Base stats'!B:B,'Base stats'!BV:BV),0.1),0.05),
MAX(MROUND(((MIN(12,_xlfn.XLOOKUP(B76,'Base stats'!B:B,'Base stats'!U:U)))^0.4*_xlfn.XLOOKUP(B76,'Base stats'!B:B,'Base stats'!BF:BF)^0.73)^0.6 * _xlfn.XLOOKUP(B76,'Base stats'!B:B,'Base stats'!BV:BV),0.1),0.05)
))</f>
        <v>No</v>
      </c>
      <c r="T76" s="11" t="str">
        <f>IF(S76="No","No",
MAX(0.01,MROUND(_xlfn.XLOOKUP(B76,'Base stats'!B:B,'Base stats'!BF:BF) * 0.01 * 2, 0.01))
)</f>
        <v>No</v>
      </c>
      <c r="U76" s="5" t="str">
        <f>IF(S76="No","No",IF(_xlfn.XLOOKUP(B76,'Base stats'!B:B,'Base stats'!U:U)="No","No",
MAX(0.01,MROUND(_xlfn.XLOOKUP(B76,'Base stats'!B:B,'Base stats'!BR:BR)/10000,0.01))
))</f>
        <v>No</v>
      </c>
      <c r="V76" s="4" t="str">
        <f>IF(S76="No","No",
MROUND(_xlfn.XLOOKUP(B76,'Base stats'!B:B,'Base stats'!BD:BD)^0.25
/((_xlfn.XLOOKUP(B76,'Base stats'!B:B,'Base stats'!BM:BM))*10)*_xlfn.XLOOKUP(_xlfn.XLOOKUP(B76,'Base stats'!B:B,'Base stats'!E:E),Groups!A:A,Groups!AE:AE)*150 + 0.5 + _xlfn.XLOOKUP(B76,'Base stats'!B:B,'Base stats'!BU:BU),
0.05))</f>
        <v>No</v>
      </c>
      <c r="W76" s="8">
        <f>MROUND(_xlfn.XLOOKUP(_xlfn.XLOOKUP(B76,'Base stats'!B:B,'Base stats'!E:E),Groups!A:A,Groups!BG:BG)*_xlfn.XLOOKUP(B76,'Base stats'!B:B,'Base stats'!C:C)^-0.165,0.01)</f>
        <v>0.56000000000000005</v>
      </c>
      <c r="X76" s="1">
        <f>MROUND(_xlfn.XLOOKUP(_xlfn.XLOOKUP(B76,'Base stats'!B:B,'Base stats'!E:E),Groups!A:A,Groups!BH:BH)*_xlfn.XLOOKUP(B76,'Base stats'!B:B,'Base stats'!C:C)^0.165,0.01)</f>
        <v>0</v>
      </c>
      <c r="Y76" s="8">
        <f>MROUND(_xlfn.XLOOKUP(_xlfn.XLOOKUP(B76,'Base stats'!B:B,'Base stats'!E:E),Groups!A:A,Groups!BI:BI)*_xlfn.XLOOKUP(B76,'Base stats'!B:B,'Base stats'!C:C)^0.165,0.01)</f>
        <v>0</v>
      </c>
      <c r="Z76" s="18">
        <f>ROUND(_xlfn.XLOOKUP(B76,'Base stats'!B:B,'Base stats'!AO:AO)*_xlfn.XLOOKUP(_xlfn.XLOOKUP(B76,'Base stats'!B:B,'Base stats'!E:E),Groups!A:A,Groups!H:H)/1000,2)</f>
        <v>0.01</v>
      </c>
      <c r="AA76" s="18">
        <f>ROUND((1/2)*(_xlfn.XLOOKUP(_xlfn.XLOOKUP(B76,'Base stats'!B:B,'Base stats'!E:E),Groups!A:A,Groups!H:H)*_xlfn.XLOOKUP(_xlfn.XLOOKUP(B76,'Base stats'!B:B,'Base stats'!E:E),Groups!A:A,Groups!I:I))*_xlfn.XLOOKUP(B76,'Base stats'!B:B,'Base stats'!AO:AO)*0.01,2)</f>
        <v>0.04</v>
      </c>
      <c r="AB76" s="18">
        <f>250*(Animals!AO76+Animals!AP76)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stats'!BQ:BQ) * (_xlfn.XLOOKUP(B77,'Base stats'!B:B,'Base stats'!AM:AM)*5%)^0.9 / 21,0.1),0.05)</f>
        <v>1.8</v>
      </c>
      <c r="E77" s="11">
        <f>MAX(0.01,MROUND(_xlfn.XLOOKUP(B77,'Base stats'!B:B,'Base stats'!BE:BE) * 0.01 * 2, 0.01))</f>
        <v>1.5</v>
      </c>
      <c r="F77" s="7">
        <f>MROUND(_xlfn.XLOOKUP(B77,'Base stats'!B:B,'Base stats'!BB:BB)^0.25 / (_xlfn.XLOOKUP(B77,'Base stats'!B:B,'Base stats'!BI:BI) * 10) * 150 + 0.5 + _xlfn.XLOOKUP(B77,'Base stats'!B:B,'Base stats'!BU:BU), 0.05)</f>
        <v>1.9000000000000001</v>
      </c>
      <c r="G77" s="3" t="str">
        <f>IF(Animals!S77="No","No",
IF(_xlfn.XLOOKUP(B77,'Base stats'!B:B,'Base stats'!U:U)="No",
MAX(MROUND(_xlfn.XLOOKUP(B77,'Base stats'!B:B,'Base stats'!BR:BR) * _xlfn.XLOOKUP(B77,'Base stats'!B:B,'Base stats'!BN:BN)^0.9 / 21 * _xlfn.XLOOKUP(B77,'Base stats'!B:B,'Base stats'!BV:BV),0.1),0.05),
MAX(MROUND(((MIN(10,_xlfn.XLOOKUP(B77,'Base stats'!B:B,'Base stats'!U:U)))^0.4*_xlfn.XLOOKUP(B77,'Base stats'!B:B,'Base stats'!BF:BF)^0.73)^0.6 * _xlfn.XLOOKUP(B77,'Base stats'!B:B,'Base stats'!BV:BV),0.1),0.05)
))</f>
        <v>No</v>
      </c>
      <c r="H77" s="11" t="str">
        <f>IF(G77="No","No",
MAX(0.01,MROUND(_xlfn.XLOOKUP(B77,'Base stats'!B:B,'Base stats'!BF:BF) * 0.01 * 2, 0.01))
)</f>
        <v>No</v>
      </c>
      <c r="I77" s="11" t="str">
        <f>IF(G77="No","No",IF(_xlfn.XLOOKUP(B77,'Base stats'!B:B,'Base stats'!U:U)="No","No",
MAX(0.01,MROUND(_xlfn.XLOOKUP(B77,'Base stats'!B:B,'Base stats'!BR:BR)/10000,0.01))
))</f>
        <v>No</v>
      </c>
      <c r="J77" s="4" t="str">
        <f>IF(G77="No","No",
MROUND(_xlfn.XLOOKUP(B77,'Base stats'!B:B,'Base stats'!BC:BC)^0.25
/((_xlfn.XLOOKUP(B77,'Base stats'!B:B,'Base stats'!BJ:BJ))*10)*_xlfn.XLOOKUP(_xlfn.XLOOKUP(B77,'Base stats'!B:B,'Base stats'!E:E),Groups!A:A,Groups!Q:Q)*150 + 0.5 + _xlfn.XLOOKUP(B77,'Base stats'!B:B,'Base stats'!BU:BU),
0.05))</f>
        <v>No</v>
      </c>
      <c r="K77" s="3" t="str">
        <f>IF(Animals!X77="No","No",
IF(_xlfn.XLOOKUP(_xlfn.XLOOKUP(B77,'Base stats'!B:B,'Base stats'!E:E),Groups!A:A,Groups!BD:BD)=1,
MAX(MROUND(_xlfn.XLOOKUP(B77,'Base stats'!B:B,'Base stats'!BS:BS) * _xlfn.XLOOKUP(B77,'Base stats'!B:B,'Base stats'!BO:BO)^0.9 / 21 *_xlfn.XLOOKUP(B77,'Base stats'!B:B,'Base stats'!BV:BV),0.1),0.05),
MAX(MROUND(((MIN(10,_xlfn.XLOOKUP(B77,'Base stats'!B:B,'Base stats'!W:W)))^0.4*_xlfn.XLOOKUP(B77,'Base stats'!B:B,'Base stats'!BG:BG)^0.73)^0.6 *_xlfn.XLOOKUP(B77,'Base stats'!B:B,'Base stats'!BV:BV),0.1),0.05)
))</f>
        <v>No</v>
      </c>
      <c r="L77" s="11" t="str">
        <f>IF(K77="No","No",
MAX(0.01,MROUND(_xlfn.XLOOKUP(B77,'Base stats'!B:B,'Base stats'!BG:BG) * 0.01 *2, 0.01))
)</f>
        <v>No</v>
      </c>
      <c r="M77" s="5" t="str">
        <f>IF(K77="No","No",IF(_xlfn.XLOOKUP(_xlfn.XLOOKUP(B77,'Base stats'!B:B,'Base stats'!E:E),Groups!A:A,Groups!BD:BD)=1,"No",
MAX(0.01,MROUND(_xlfn.XLOOKUP(B77,'Base stats'!B:B,'Base stats'!BS:BS)/10000,0.01))
))</f>
        <v>No</v>
      </c>
      <c r="N77" s="4" t="str">
        <f>IF(K77="No","No",
MROUND(
  _xlfn.XLOOKUP(B77,'Base stats'!B:B,'Base stats'!BA:BA)^0.25
  / (_xlfn.XLOOKUP(B77,'Base stats'!B:B,'Base stats'!BK:BK)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stats'!BU:BU),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stats'!BH:BH)^0.73)^0.6 *_xlfn.XLOOKUP(B77,'Base stats'!B:B,'Base stats'!BV:BV),0.1),0.05)
)</f>
        <v>8.7000000000000011</v>
      </c>
      <c r="P77" s="11">
        <f>IF(O77="No","No",
MAX(0.01,MROUND(_xlfn.XLOOKUP(B77,'Base stats'!B:B,'Base stats'!BH:BH) * 0.01 * 2, 0.01))
)</f>
        <v>1.1500000000000001</v>
      </c>
      <c r="Q77" s="5">
        <f>IF(O77="No","No",
MAX(0.01,MROUND(_xlfn.XLOOKUP(B77,'Base stats'!B:B,'Base stats'!BT:BT)/10000,0.01))
)</f>
        <v>0.08</v>
      </c>
      <c r="R77" s="4">
        <f>IF(O77="No","No",
MROUND(_xlfn.XLOOKUP(B77,'Base stats'!B:B,'Base stats'!AZ:AZ)^0.25
/((_xlfn.XLOOKUP(B77,'Base stats'!B:B,'Base stats'!BL:BL))*10)*_xlfn.XLOOKUP(_xlfn.XLOOKUP(B77,'Base stats'!B:B,'Base stats'!E:E),Groups!A:A,Groups!Z:Z)*150 + 0.5 + _xlfn.XLOOKUP(B77,'Base stats'!B:B,'Base stats'!BU:BU),
0.05))</f>
        <v>2.3000000000000003</v>
      </c>
      <c r="S77" s="3" t="str">
        <f>IF(Animals!AI77="No","No",
IF(_xlfn.XLOOKUP(B77,'Base stats'!B:B,'Base stats'!U:U)="No",
MAX(MROUND(_xlfn.XLOOKUP(B77,'Base stats'!B:B,'Base stats'!BR:BR) * _xlfn.XLOOKUP(B77,'Base stats'!B:B,'Base stats'!BN:BN)^0.9 / 21 * _xlfn.XLOOKUP(B77,'Base stats'!B:B,'Base stats'!BV:BV),0.1),0.05),
MAX(MROUND(((MIN(12,_xlfn.XLOOKUP(B77,'Base stats'!B:B,'Base stats'!U:U)))^0.4*_xlfn.XLOOKUP(B77,'Base stats'!B:B,'Base stats'!BF:BF)^0.73)^0.6 * _xlfn.XLOOKUP(B77,'Base stats'!B:B,'Base stats'!BV:BV),0.1),0.05)
))</f>
        <v>No</v>
      </c>
      <c r="T77" s="11" t="str">
        <f>IF(S77="No","No",
MAX(0.01,MROUND(_xlfn.XLOOKUP(B77,'Base stats'!B:B,'Base stats'!BF:BF) * 0.01 * 2, 0.01))
)</f>
        <v>No</v>
      </c>
      <c r="U77" s="5" t="str">
        <f>IF(S77="No","No",IF(_xlfn.XLOOKUP(B77,'Base stats'!B:B,'Base stats'!U:U)="No","No",
MAX(0.01,MROUND(_xlfn.XLOOKUP(B77,'Base stats'!B:B,'Base stats'!BR:BR)/10000,0.01))
))</f>
        <v>No</v>
      </c>
      <c r="V77" s="4" t="str">
        <f>IF(S77="No","No",
MROUND(_xlfn.XLOOKUP(B77,'Base stats'!B:B,'Base stats'!BD:BD)^0.25
/((_xlfn.XLOOKUP(B77,'Base stats'!B:B,'Base stats'!BM:BM))*10)*_xlfn.XLOOKUP(_xlfn.XLOOKUP(B77,'Base stats'!B:B,'Base stats'!E:E),Groups!A:A,Groups!AE:AE)*150 + 0.5 + _xlfn.XLOOKUP(B77,'Base stats'!B:B,'Base stats'!BU:BU),
0.05))</f>
        <v>No</v>
      </c>
      <c r="W77" s="8">
        <f>MROUND(_xlfn.XLOOKUP(_xlfn.XLOOKUP(B77,'Base stats'!B:B,'Base stats'!E:E),Groups!A:A,Groups!BG:BG)*_xlfn.XLOOKUP(B77,'Base stats'!B:B,'Base stats'!C:C)^-0.165,0.01)</f>
        <v>0.26</v>
      </c>
      <c r="X77" s="1">
        <f>MROUND(_xlfn.XLOOKUP(_xlfn.XLOOKUP(B77,'Base stats'!B:B,'Base stats'!E:E),Groups!A:A,Groups!BH:BH)*_xlfn.XLOOKUP(B77,'Base stats'!B:B,'Base stats'!C:C)^0.165,0.01)</f>
        <v>0</v>
      </c>
      <c r="Y77" s="8">
        <f>MROUND(_xlfn.XLOOKUP(_xlfn.XLOOKUP(B77,'Base stats'!B:B,'Base stats'!E:E),Groups!A:A,Groups!BI:BI)*_xlfn.XLOOKUP(B77,'Base stats'!B:B,'Base stats'!C:C)^0.165,0.01)</f>
        <v>0</v>
      </c>
      <c r="Z77" s="18">
        <f>ROUND(_xlfn.XLOOKUP(B77,'Base stats'!B:B,'Base stats'!AO:AO)*_xlfn.XLOOKUP(_xlfn.XLOOKUP(B77,'Base stats'!B:B,'Base stats'!E:E),Groups!A:A,Groups!H:H)/1000,2)</f>
        <v>0.04</v>
      </c>
      <c r="AA77" s="18">
        <f>ROUND((1/2)*(_xlfn.XLOOKUP(_xlfn.XLOOKUP(B77,'Base stats'!B:B,'Base stats'!E:E),Groups!A:A,Groups!H:H)*_xlfn.XLOOKUP(_xlfn.XLOOKUP(B77,'Base stats'!B:B,'Base stats'!E:E),Groups!A:A,Groups!I:I))*_xlfn.XLOOKUP(B77,'Base stats'!B:B,'Base stats'!AO:AO)*0.01,2)</f>
        <v>0.15</v>
      </c>
      <c r="AB77" s="18">
        <f>250*(Animals!AO77+Animals!AP77)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stats'!BQ:BQ) * (_xlfn.XLOOKUP(B78,'Base stats'!B:B,'Base stats'!AM:AM)*5%)^0.9 / 21,0.1),0.05)</f>
        <v>27.200000000000003</v>
      </c>
      <c r="E78" s="11">
        <f>MAX(0.01,MROUND(_xlfn.XLOOKUP(B78,'Base stats'!B:B,'Base stats'!BE:BE) * 0.01 * 2, 0.01))</f>
        <v>27.26</v>
      </c>
      <c r="F78" s="7">
        <f>MROUND(_xlfn.XLOOKUP(B78,'Base stats'!B:B,'Base stats'!BB:BB)^0.25 / (_xlfn.XLOOKUP(B78,'Base stats'!B:B,'Base stats'!BI:BI) * 10) * 150 + 0.5 + _xlfn.XLOOKUP(B78,'Base stats'!B:B,'Base stats'!BU:BU), 0.05)</f>
        <v>2</v>
      </c>
      <c r="G78" s="3" t="str">
        <f>IF(Animals!S78="No","No",
IF(_xlfn.XLOOKUP(B78,'Base stats'!B:B,'Base stats'!U:U)="No",
MAX(MROUND(_xlfn.XLOOKUP(B78,'Base stats'!B:B,'Base stats'!BR:BR) * _xlfn.XLOOKUP(B78,'Base stats'!B:B,'Base stats'!BN:BN)^0.9 / 21 * _xlfn.XLOOKUP(B78,'Base stats'!B:B,'Base stats'!BV:BV),0.1),0.05),
MAX(MROUND(((MIN(10,_xlfn.XLOOKUP(B78,'Base stats'!B:B,'Base stats'!U:U)))^0.4*_xlfn.XLOOKUP(B78,'Base stats'!B:B,'Base stats'!BF:BF)^0.73)^0.6 * _xlfn.XLOOKUP(B78,'Base stats'!B:B,'Base stats'!BV:BV),0.1),0.05)
))</f>
        <v>No</v>
      </c>
      <c r="H78" s="11" t="str">
        <f>IF(G78="No","No",
MAX(0.01,MROUND(_xlfn.XLOOKUP(B78,'Base stats'!B:B,'Base stats'!BF:BF) * 0.01 * 2, 0.01))
)</f>
        <v>No</v>
      </c>
      <c r="I78" s="11" t="str">
        <f>IF(G78="No","No",IF(_xlfn.XLOOKUP(B78,'Base stats'!B:B,'Base stats'!U:U)="No","No",
MAX(0.01,MROUND(_xlfn.XLOOKUP(B78,'Base stats'!B:B,'Base stats'!BR:BR)/10000,0.01))
))</f>
        <v>No</v>
      </c>
      <c r="J78" s="4" t="str">
        <f>IF(G78="No","No",
MROUND(_xlfn.XLOOKUP(B78,'Base stats'!B:B,'Base stats'!BC:BC)^0.25
/((_xlfn.XLOOKUP(B78,'Base stats'!B:B,'Base stats'!BJ:BJ))*10)*_xlfn.XLOOKUP(_xlfn.XLOOKUP(B78,'Base stats'!B:B,'Base stats'!E:E),Groups!A:A,Groups!Q:Q)*150 + 0.5 + _xlfn.XLOOKUP(B78,'Base stats'!B:B,'Base stats'!BU:BU),
0.05))</f>
        <v>No</v>
      </c>
      <c r="K78" s="3" t="str">
        <f>IF(Animals!X78="No","No",
IF(_xlfn.XLOOKUP(_xlfn.XLOOKUP(B78,'Base stats'!B:B,'Base stats'!E:E),Groups!A:A,Groups!BD:BD)=1,
MAX(MROUND(_xlfn.XLOOKUP(B78,'Base stats'!B:B,'Base stats'!BS:BS) * _xlfn.XLOOKUP(B78,'Base stats'!B:B,'Base stats'!BO:BO)^0.9 / 21 *_xlfn.XLOOKUP(B78,'Base stats'!B:B,'Base stats'!BV:BV),0.1),0.05),
MAX(MROUND(((MIN(10,_xlfn.XLOOKUP(B78,'Base stats'!B:B,'Base stats'!W:W)))^0.4*_xlfn.XLOOKUP(B78,'Base stats'!B:B,'Base stats'!BG:BG)^0.73)^0.6 *_xlfn.XLOOKUP(B78,'Base stats'!B:B,'Base stats'!BV:BV),0.1),0.05)
))</f>
        <v>No</v>
      </c>
      <c r="L78" s="11" t="str">
        <f>IF(K78="No","No",
MAX(0.01,MROUND(_xlfn.XLOOKUP(B78,'Base stats'!B:B,'Base stats'!BG:BG) * 0.01 *2, 0.01))
)</f>
        <v>No</v>
      </c>
      <c r="M78" s="5" t="str">
        <f>IF(K78="No","No",IF(_xlfn.XLOOKUP(_xlfn.XLOOKUP(B78,'Base stats'!B:B,'Base stats'!E:E),Groups!A:A,Groups!BD:BD)=1,"No",
MAX(0.01,MROUND(_xlfn.XLOOKUP(B78,'Base stats'!B:B,'Base stats'!BS:BS)/10000,0.01))
))</f>
        <v>No</v>
      </c>
      <c r="N78" s="4" t="str">
        <f>IF(K78="No","No",
MROUND(
  _xlfn.XLOOKUP(B78,'Base stats'!B:B,'Base stats'!BA:BA)^0.25
  / (_xlfn.XLOOKUP(B78,'Base stats'!B:B,'Base stats'!BK:BK)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stats'!BU:BU),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stats'!BH:BH)^0.73)^0.6 *_xlfn.XLOOKUP(B78,'Base stats'!B:B,'Base stats'!BV:BV),0.1),0.05)
)</f>
        <v>33.4</v>
      </c>
      <c r="P78" s="11">
        <f>IF(O78="No","No",
MAX(0.01,MROUND(_xlfn.XLOOKUP(B78,'Base stats'!B:B,'Base stats'!BH:BH) * 0.01 * 2, 0.01))
)</f>
        <v>17.059999999999999</v>
      </c>
      <c r="Q78" s="5">
        <f>IF(O78="No","No",
MAX(0.01,MROUND(_xlfn.XLOOKUP(B78,'Base stats'!B:B,'Base stats'!BT:BT)/10000,0.01))
)</f>
        <v>0.1</v>
      </c>
      <c r="R78" s="4">
        <f>IF(O78="No","No",
MROUND(_xlfn.XLOOKUP(B78,'Base stats'!B:B,'Base stats'!AZ:AZ)^0.25
/((_xlfn.XLOOKUP(B78,'Base stats'!B:B,'Base stats'!BL:BL))*10)*_xlfn.XLOOKUP(_xlfn.XLOOKUP(B78,'Base stats'!B:B,'Base stats'!E:E),Groups!A:A,Groups!Z:Z)*150 + 0.5 + _xlfn.XLOOKUP(B78,'Base stats'!B:B,'Base stats'!BU:BU),
0.05))</f>
        <v>2.7</v>
      </c>
      <c r="S78" s="3" t="str">
        <f>IF(Animals!AI78="No","No",
IF(_xlfn.XLOOKUP(B78,'Base stats'!B:B,'Base stats'!U:U)="No",
MAX(MROUND(_xlfn.XLOOKUP(B78,'Base stats'!B:B,'Base stats'!BR:BR) * _xlfn.XLOOKUP(B78,'Base stats'!B:B,'Base stats'!BN:BN)^0.9 / 21 * _xlfn.XLOOKUP(B78,'Base stats'!B:B,'Base stats'!BV:BV),0.1),0.05),
MAX(MROUND(((MIN(12,_xlfn.XLOOKUP(B78,'Base stats'!B:B,'Base stats'!U:U)))^0.4*_xlfn.XLOOKUP(B78,'Base stats'!B:B,'Base stats'!BF:BF)^0.73)^0.6 * _xlfn.XLOOKUP(B78,'Base stats'!B:B,'Base stats'!BV:BV),0.1),0.05)
))</f>
        <v>No</v>
      </c>
      <c r="T78" s="11" t="str">
        <f>IF(S78="No","No",
MAX(0.01,MROUND(_xlfn.XLOOKUP(B78,'Base stats'!B:B,'Base stats'!BF:BF) * 0.01 * 2, 0.01))
)</f>
        <v>No</v>
      </c>
      <c r="U78" s="5" t="str">
        <f>IF(S78="No","No",IF(_xlfn.XLOOKUP(B78,'Base stats'!B:B,'Base stats'!U:U)="No","No",
MAX(0.01,MROUND(_xlfn.XLOOKUP(B78,'Base stats'!B:B,'Base stats'!BR:BR)/10000,0.01))
))</f>
        <v>No</v>
      </c>
      <c r="V78" s="4" t="str">
        <f>IF(S78="No","No",
MROUND(_xlfn.XLOOKUP(B78,'Base stats'!B:B,'Base stats'!BD:BD)^0.25
/((_xlfn.XLOOKUP(B78,'Base stats'!B:B,'Base stats'!BM:BM))*10)*_xlfn.XLOOKUP(_xlfn.XLOOKUP(B78,'Base stats'!B:B,'Base stats'!E:E),Groups!A:A,Groups!AE:AE)*150 + 0.5 + _xlfn.XLOOKUP(B78,'Base stats'!B:B,'Base stats'!BU:BU),
0.05))</f>
        <v>No</v>
      </c>
      <c r="W78" s="8">
        <f>MROUND(_xlfn.XLOOKUP(_xlfn.XLOOKUP(B78,'Base stats'!B:B,'Base stats'!E:E),Groups!A:A,Groups!BG:BG)*_xlfn.XLOOKUP(B78,'Base stats'!B:B,'Base stats'!C:C)^-0.165,0.01)</f>
        <v>0.08</v>
      </c>
      <c r="X78" s="1">
        <f>MROUND(_xlfn.XLOOKUP(_xlfn.XLOOKUP(B78,'Base stats'!B:B,'Base stats'!E:E),Groups!A:A,Groups!BH:BH)*_xlfn.XLOOKUP(B78,'Base stats'!B:B,'Base stats'!C:C)^0.165,0.01)</f>
        <v>0.33</v>
      </c>
      <c r="Y78" s="8">
        <f>MROUND(_xlfn.XLOOKUP(_xlfn.XLOOKUP(B78,'Base stats'!B:B,'Base stats'!E:E),Groups!A:A,Groups!BI:BI)*_xlfn.XLOOKUP(B78,'Base stats'!B:B,'Base stats'!C:C)^0.165,0.01)</f>
        <v>0.08</v>
      </c>
      <c r="Z78" s="18">
        <f>ROUND(_xlfn.XLOOKUP(B78,'Base stats'!B:B,'Base stats'!AO:AO)*_xlfn.XLOOKUP(_xlfn.XLOOKUP(B78,'Base stats'!B:B,'Base stats'!E:E),Groups!A:A,Groups!H:H)/1000,2)</f>
        <v>0.4</v>
      </c>
      <c r="AA78" s="18">
        <f>ROUND((1/2)*(_xlfn.XLOOKUP(_xlfn.XLOOKUP(B78,'Base stats'!B:B,'Base stats'!E:E),Groups!A:A,Groups!H:H)*_xlfn.XLOOKUP(_xlfn.XLOOKUP(B78,'Base stats'!B:B,'Base stats'!E:E),Groups!A:A,Groups!I:I))*_xlfn.XLOOKUP(B78,'Base stats'!B:B,'Base stats'!AO:AO)*0.01,2)</f>
        <v>2.19</v>
      </c>
      <c r="AB78" s="18">
        <f>250*(Animals!AO78+Animals!AP78)</f>
        <v>2062.5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stats'!BQ:BQ) * (_xlfn.XLOOKUP(B79,'Base stats'!B:B,'Base stats'!AM:AM)*5%)^0.9 / 21,0.1),0.05)</f>
        <v>48.400000000000006</v>
      </c>
      <c r="E79" s="11">
        <f>MAX(0.01,MROUND(_xlfn.XLOOKUP(B79,'Base stats'!B:B,'Base stats'!BE:BE) * 0.01 * 2, 0.01))</f>
        <v>53.410000000000004</v>
      </c>
      <c r="F79" s="7">
        <f>MROUND(_xlfn.XLOOKUP(B79,'Base stats'!B:B,'Base stats'!BB:BB)^0.25 / (_xlfn.XLOOKUP(B79,'Base stats'!B:B,'Base stats'!BI:BI) * 10) * 150 + 0.5 + _xlfn.XLOOKUP(B79,'Base stats'!B:B,'Base stats'!BU:BU), 0.05)</f>
        <v>3.1500000000000004</v>
      </c>
      <c r="G79" s="3">
        <f>IF(Animals!S79="No","No",
IF(_xlfn.XLOOKUP(B79,'Base stats'!B:B,'Base stats'!U:U)="No",
MAX(MROUND(_xlfn.XLOOKUP(B79,'Base stats'!B:B,'Base stats'!BR:BR) * _xlfn.XLOOKUP(B79,'Base stats'!B:B,'Base stats'!BN:BN)^0.9 / 21 * _xlfn.XLOOKUP(B79,'Base stats'!B:B,'Base stats'!BV:BV),0.1),0.05),
MAX(MROUND(((MIN(10,_xlfn.XLOOKUP(B79,'Base stats'!B:B,'Base stats'!U:U)))^0.4*_xlfn.XLOOKUP(B79,'Base stats'!B:B,'Base stats'!BF:BF)^0.73)^0.6 * _xlfn.XLOOKUP(B79,'Base stats'!B:B,'Base stats'!BV:BV),0.1),0.05)
))</f>
        <v>55.900000000000006</v>
      </c>
      <c r="H79" s="11">
        <f>IF(G79="No","No",
MAX(0.01,MROUND(_xlfn.XLOOKUP(B79,'Base stats'!B:B,'Base stats'!BF:BF) * 0.01 * 2, 0.01))
)</f>
        <v>46.35</v>
      </c>
      <c r="I79" s="11" t="str">
        <f>IF(G79="No","No",IF(_xlfn.XLOOKUP(B79,'Base stats'!B:B,'Base stats'!U:U)="No","No",
MAX(0.01,MROUND(_xlfn.XLOOKUP(B79,'Base stats'!B:B,'Base stats'!BR:BR)/10000,0.01))
))</f>
        <v>No</v>
      </c>
      <c r="J79" s="4">
        <f>IF(G79="No","No",
MROUND(_xlfn.XLOOKUP(B79,'Base stats'!B:B,'Base stats'!BC:BC)^0.25
/((_xlfn.XLOOKUP(B79,'Base stats'!B:B,'Base stats'!BJ:BJ))*10)*_xlfn.XLOOKUP(_xlfn.XLOOKUP(B79,'Base stats'!B:B,'Base stats'!E:E),Groups!A:A,Groups!Q:Q)*150 + 0.5 + _xlfn.XLOOKUP(B79,'Base stats'!B:B,'Base stats'!BU:BU),
0.05))</f>
        <v>3.5500000000000003</v>
      </c>
      <c r="K79" s="3">
        <f>IF(Animals!X79="No","No",
IF(_xlfn.XLOOKUP(_xlfn.XLOOKUP(B79,'Base stats'!B:B,'Base stats'!E:E),Groups!A:A,Groups!BD:BD)=1,
MAX(MROUND(_xlfn.XLOOKUP(B79,'Base stats'!B:B,'Base stats'!BS:BS) * _xlfn.XLOOKUP(B79,'Base stats'!B:B,'Base stats'!BO:BO)^0.9 / 21 *_xlfn.XLOOKUP(B79,'Base stats'!B:B,'Base stats'!BV:BV),0.1),0.05),
MAX(MROUND(((MIN(10,_xlfn.XLOOKUP(B79,'Base stats'!B:B,'Base stats'!W:W)))^0.4*_xlfn.XLOOKUP(B79,'Base stats'!B:B,'Base stats'!BG:BG)^0.73)^0.6 *_xlfn.XLOOKUP(B79,'Base stats'!B:B,'Base stats'!BV:BV),0.1),0.05)
))</f>
        <v>56</v>
      </c>
      <c r="L79" s="11">
        <f>IF(K79="No","No",
MAX(0.01,MROUND(_xlfn.XLOOKUP(B79,'Base stats'!B:B,'Base stats'!BG:BG) * 0.01 *2, 0.01))
)</f>
        <v>55.61</v>
      </c>
      <c r="M79" s="5">
        <f>IF(K79="No","No",IF(_xlfn.XLOOKUP(_xlfn.XLOOKUP(B79,'Base stats'!B:B,'Base stats'!E:E),Groups!A:A,Groups!BD:BD)=1,"No",
MAX(0.01,MROUND(_xlfn.XLOOKUP(B79,'Base stats'!B:B,'Base stats'!BS:BS)/10000,0.01))
))</f>
        <v>2.35</v>
      </c>
      <c r="N79" s="4">
        <f>IF(K79="No","No",
MROUND(
  _xlfn.XLOOKUP(B79,'Base stats'!B:B,'Base stats'!BA:BA)^0.25
  / (_xlfn.XLOOKUP(B79,'Base stats'!B:B,'Base stats'!BK:BK)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stats'!BU:BU),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stats'!BH:BH)^0.73)^0.6 *_xlfn.XLOOKUP(B79,'Base stats'!B:B,'Base stats'!BV:BV),0.1),0.05)
)</f>
        <v>No</v>
      </c>
      <c r="P79" s="11" t="str">
        <f>IF(O79="No","No",
MAX(0.01,MROUND(_xlfn.XLOOKUP(B79,'Base stats'!B:B,'Base stats'!BH:BH) * 0.01 * 2, 0.01))
)</f>
        <v>No</v>
      </c>
      <c r="Q79" s="5" t="str">
        <f>IF(O79="No","No",
MAX(0.01,MROUND(_xlfn.XLOOKUP(B79,'Base stats'!B:B,'Base stats'!BT:BT)/10000,0.01))
)</f>
        <v>No</v>
      </c>
      <c r="R79" s="4" t="str">
        <f>IF(O79="No","No",
MROUND(_xlfn.XLOOKUP(B79,'Base stats'!B:B,'Base stats'!AZ:AZ)^0.25
/((_xlfn.XLOOKUP(B79,'Base stats'!B:B,'Base stats'!BL:BL))*10)*_xlfn.XLOOKUP(_xlfn.XLOOKUP(B79,'Base stats'!B:B,'Base stats'!E:E),Groups!A:A,Groups!Z:Z)*150 + 0.5 + _xlfn.XLOOKUP(B79,'Base stats'!B:B,'Base stats'!BU:BU),
0.05))</f>
        <v>No</v>
      </c>
      <c r="S79" s="3" t="str">
        <f>IF(Animals!AI79="No","No",
IF(_xlfn.XLOOKUP(B79,'Base stats'!B:B,'Base stats'!U:U)="No",
MAX(MROUND(_xlfn.XLOOKUP(B79,'Base stats'!B:B,'Base stats'!BR:BR) * _xlfn.XLOOKUP(B79,'Base stats'!B:B,'Base stats'!BN:BN)^0.9 / 21 * _xlfn.XLOOKUP(B79,'Base stats'!B:B,'Base stats'!BV:BV),0.1),0.05),
MAX(MROUND(((MIN(12,_xlfn.XLOOKUP(B79,'Base stats'!B:B,'Base stats'!U:U)))^0.4*_xlfn.XLOOKUP(B79,'Base stats'!B:B,'Base stats'!BF:BF)^0.73)^0.6 * _xlfn.XLOOKUP(B79,'Base stats'!B:B,'Base stats'!BV:BV),0.1),0.05)
))</f>
        <v>No</v>
      </c>
      <c r="T79" s="11" t="str">
        <f>IF(S79="No","No",
MAX(0.01,MROUND(_xlfn.XLOOKUP(B79,'Base stats'!B:B,'Base stats'!BF:BF) * 0.01 * 2, 0.01))
)</f>
        <v>No</v>
      </c>
      <c r="U79" s="5" t="str">
        <f>IF(S79="No","No",IF(_xlfn.XLOOKUP(B79,'Base stats'!B:B,'Base stats'!U:U)="No","No",
MAX(0.01,MROUND(_xlfn.XLOOKUP(B79,'Base stats'!B:B,'Base stats'!BR:BR)/10000,0.01))
))</f>
        <v>No</v>
      </c>
      <c r="V79" s="4" t="str">
        <f>IF(S79="No","No",
MROUND(_xlfn.XLOOKUP(B79,'Base stats'!B:B,'Base stats'!BD:BD)^0.25
/((_xlfn.XLOOKUP(B79,'Base stats'!B:B,'Base stats'!BM:BM))*10)*_xlfn.XLOOKUP(_xlfn.XLOOKUP(B79,'Base stats'!B:B,'Base stats'!E:E),Groups!A:A,Groups!AE:AE)*150 + 0.5 + _xlfn.XLOOKUP(B79,'Base stats'!B:B,'Base stats'!BU:BU),
0.05))</f>
        <v>No</v>
      </c>
      <c r="W79" s="8">
        <f>MROUND(_xlfn.XLOOKUP(_xlfn.XLOOKUP(B79,'Base stats'!B:B,'Base stats'!E:E),Groups!A:A,Groups!BG:BG)*_xlfn.XLOOKUP(B79,'Base stats'!B:B,'Base stats'!C:C)^-0.165,0.01)</f>
        <v>0.06</v>
      </c>
      <c r="X79" s="1">
        <f>MROUND(_xlfn.XLOOKUP(_xlfn.XLOOKUP(B79,'Base stats'!B:B,'Base stats'!E:E),Groups!A:A,Groups!BH:BH)*_xlfn.XLOOKUP(B79,'Base stats'!B:B,'Base stats'!C:C)^0.165,0.01)</f>
        <v>0.42</v>
      </c>
      <c r="Y79" s="8">
        <f>MROUND(_xlfn.XLOOKUP(_xlfn.XLOOKUP(B79,'Base stats'!B:B,'Base stats'!E:E),Groups!A:A,Groups!BI:BI)*_xlfn.XLOOKUP(B79,'Base stats'!B:B,'Base stats'!C:C)^0.165,0.01)</f>
        <v>0.21</v>
      </c>
      <c r="Z79" s="18">
        <f>ROUND(_xlfn.XLOOKUP(B79,'Base stats'!B:B,'Base stats'!AO:AO)*_xlfn.XLOOKUP(_xlfn.XLOOKUP(B79,'Base stats'!B:B,'Base stats'!E:E),Groups!A:A,Groups!H:H)/1000,2)</f>
        <v>0.2</v>
      </c>
      <c r="AA79" s="18">
        <f>ROUND((1/2)*(_xlfn.XLOOKUP(_xlfn.XLOOKUP(B79,'Base stats'!B:B,'Base stats'!E:E),Groups!A:A,Groups!H:H)*_xlfn.XLOOKUP(_xlfn.XLOOKUP(B79,'Base stats'!B:B,'Base stats'!E:E),Groups!A:A,Groups!I:I))*_xlfn.XLOOKUP(B79,'Base stats'!B:B,'Base stats'!AO:AO)*0.01,2)</f>
        <v>1.08</v>
      </c>
      <c r="AB79" s="18">
        <f>250*(Animals!AO79+Animals!AP79)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stats'!BQ:BQ) * (_xlfn.XLOOKUP(B80,'Base stats'!B:B,'Base stats'!AM:AM)*5%)^0.9 / 21,0.1),0.05)</f>
        <v>55.1</v>
      </c>
      <c r="E80" s="11">
        <f>MAX(0.01,MROUND(_xlfn.XLOOKUP(B80,'Base stats'!B:B,'Base stats'!BE:BE) * 0.01 * 2, 0.01))</f>
        <v>61.45</v>
      </c>
      <c r="F80" s="7">
        <f>MROUND(_xlfn.XLOOKUP(B80,'Base stats'!B:B,'Base stats'!BB:BB)^0.25 / (_xlfn.XLOOKUP(B80,'Base stats'!B:B,'Base stats'!BI:BI) * 10) * 150 + 0.5 + _xlfn.XLOOKUP(B80,'Base stats'!B:B,'Base stats'!BU:BU), 0.05)</f>
        <v>3.0500000000000003</v>
      </c>
      <c r="G80" s="3">
        <f>IF(Animals!S80="No","No",
IF(_xlfn.XLOOKUP(B80,'Base stats'!B:B,'Base stats'!U:U)="No",
MAX(MROUND(_xlfn.XLOOKUP(B80,'Base stats'!B:B,'Base stats'!BR:BR) * _xlfn.XLOOKUP(B80,'Base stats'!B:B,'Base stats'!BN:BN)^0.9 / 21 * _xlfn.XLOOKUP(B80,'Base stats'!B:B,'Base stats'!BV:BV),0.1),0.05),
MAX(MROUND(((MIN(10,_xlfn.XLOOKUP(B80,'Base stats'!B:B,'Base stats'!U:U)))^0.4*_xlfn.XLOOKUP(B80,'Base stats'!B:B,'Base stats'!BF:BF)^0.73)^0.6 * _xlfn.XLOOKUP(B80,'Base stats'!B:B,'Base stats'!BV:BV),0.1),0.05)
))</f>
        <v>62.900000000000006</v>
      </c>
      <c r="H80" s="11">
        <f>IF(G80="No","No",
MAX(0.01,MROUND(_xlfn.XLOOKUP(B80,'Base stats'!B:B,'Base stats'!BF:BF) * 0.01 * 2, 0.01))
)</f>
        <v>52.86</v>
      </c>
      <c r="I80" s="11" t="str">
        <f>IF(G80="No","No",IF(_xlfn.XLOOKUP(B80,'Base stats'!B:B,'Base stats'!U:U)="No","No",
MAX(0.01,MROUND(_xlfn.XLOOKUP(B80,'Base stats'!B:B,'Base stats'!BR:BR)/10000,0.01))
))</f>
        <v>No</v>
      </c>
      <c r="J80" s="4">
        <f>IF(G80="No","No",
MROUND(_xlfn.XLOOKUP(B80,'Base stats'!B:B,'Base stats'!BC:BC)^0.25
/((_xlfn.XLOOKUP(B80,'Base stats'!B:B,'Base stats'!BJ:BJ))*10)*_xlfn.XLOOKUP(_xlfn.XLOOKUP(B80,'Base stats'!B:B,'Base stats'!E:E),Groups!A:A,Groups!Q:Q)*150 + 0.5 + _xlfn.XLOOKUP(B80,'Base stats'!B:B,'Base stats'!BU:BU),
0.05))</f>
        <v>3.6</v>
      </c>
      <c r="K80" s="3">
        <f>IF(Animals!X80="No","No",
IF(_xlfn.XLOOKUP(_xlfn.XLOOKUP(B80,'Base stats'!B:B,'Base stats'!E:E),Groups!A:A,Groups!BD:BD)=1,
MAX(MROUND(_xlfn.XLOOKUP(B80,'Base stats'!B:B,'Base stats'!BS:BS) * _xlfn.XLOOKUP(B80,'Base stats'!B:B,'Base stats'!BO:BO)^0.9 / 21 *_xlfn.XLOOKUP(B80,'Base stats'!B:B,'Base stats'!BV:BV),0.1),0.05),
MAX(MROUND(((MIN(10,_xlfn.XLOOKUP(B80,'Base stats'!B:B,'Base stats'!W:W)))^0.4*_xlfn.XLOOKUP(B80,'Base stats'!B:B,'Base stats'!BG:BG)^0.73)^0.6 *_xlfn.XLOOKUP(B80,'Base stats'!B:B,'Base stats'!BV:BV),0.1),0.05)
))</f>
        <v>63.400000000000006</v>
      </c>
      <c r="L80" s="11">
        <f>IF(K80="No","No",
MAX(0.01,MROUND(_xlfn.XLOOKUP(B80,'Base stats'!B:B,'Base stats'!BG:BG) * 0.01 *2, 0.01))
)</f>
        <v>73.739999999999995</v>
      </c>
      <c r="M80" s="5">
        <f>IF(K80="No","No",IF(_xlfn.XLOOKUP(_xlfn.XLOOKUP(B80,'Base stats'!B:B,'Base stats'!E:E),Groups!A:A,Groups!BD:BD)=1,"No",
MAX(0.01,MROUND(_xlfn.XLOOKUP(B80,'Base stats'!B:B,'Base stats'!BS:BS)/10000,0.01))
))</f>
        <v>30.79</v>
      </c>
      <c r="N80" s="4">
        <f>IF(K80="No","No",
MROUND(
  _xlfn.XLOOKUP(B80,'Base stats'!B:B,'Base stats'!BA:BA)^0.25
  / (_xlfn.XLOOKUP(B80,'Base stats'!B:B,'Base stats'!BK:BK)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stats'!BU:BU),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stats'!BH:BH)^0.73)^0.6 *_xlfn.XLOOKUP(B80,'Base stats'!B:B,'Base stats'!BV:BV),0.1),0.05)
)</f>
        <v>No</v>
      </c>
      <c r="P80" s="11" t="str">
        <f>IF(O80="No","No",
MAX(0.01,MROUND(_xlfn.XLOOKUP(B80,'Base stats'!B:B,'Base stats'!BH:BH) * 0.01 * 2, 0.01))
)</f>
        <v>No</v>
      </c>
      <c r="Q80" s="5" t="str">
        <f>IF(O80="No","No",
MAX(0.01,MROUND(_xlfn.XLOOKUP(B80,'Base stats'!B:B,'Base stats'!BT:BT)/10000,0.01))
)</f>
        <v>No</v>
      </c>
      <c r="R80" s="4" t="str">
        <f>IF(O80="No","No",
MROUND(_xlfn.XLOOKUP(B80,'Base stats'!B:B,'Base stats'!AZ:AZ)^0.25
/((_xlfn.XLOOKUP(B80,'Base stats'!B:B,'Base stats'!BL:BL))*10)*_xlfn.XLOOKUP(_xlfn.XLOOKUP(B80,'Base stats'!B:B,'Base stats'!E:E),Groups!A:A,Groups!Z:Z)*150 + 0.5 + _xlfn.XLOOKUP(B80,'Base stats'!B:B,'Base stats'!BU:BU),
0.05))</f>
        <v>No</v>
      </c>
      <c r="S80" s="3" t="str">
        <f>IF(Animals!AI80="No","No",
IF(_xlfn.XLOOKUP(B80,'Base stats'!B:B,'Base stats'!U:U)="No",
MAX(MROUND(_xlfn.XLOOKUP(B80,'Base stats'!B:B,'Base stats'!BR:BR) * _xlfn.XLOOKUP(B80,'Base stats'!B:B,'Base stats'!BN:BN)^0.9 / 21 * _xlfn.XLOOKUP(B80,'Base stats'!B:B,'Base stats'!BV:BV),0.1),0.05),
MAX(MROUND(((MIN(12,_xlfn.XLOOKUP(B80,'Base stats'!B:B,'Base stats'!U:U)))^0.4*_xlfn.XLOOKUP(B80,'Base stats'!B:B,'Base stats'!BF:BF)^0.73)^0.6 * _xlfn.XLOOKUP(B80,'Base stats'!B:B,'Base stats'!BV:BV),0.1),0.05)
))</f>
        <v>No</v>
      </c>
      <c r="T80" s="11" t="str">
        <f>IF(S80="No","No",
MAX(0.01,MROUND(_xlfn.XLOOKUP(B80,'Base stats'!B:B,'Base stats'!BF:BF) * 0.01 * 2, 0.01))
)</f>
        <v>No</v>
      </c>
      <c r="U80" s="5" t="str">
        <f>IF(S80="No","No",IF(_xlfn.XLOOKUP(B80,'Base stats'!B:B,'Base stats'!U:U)="No","No",
MAX(0.01,MROUND(_xlfn.XLOOKUP(B80,'Base stats'!B:B,'Base stats'!BR:BR)/10000,0.01))
))</f>
        <v>No</v>
      </c>
      <c r="V80" s="4" t="str">
        <f>IF(S80="No","No",
MROUND(_xlfn.XLOOKUP(B80,'Base stats'!B:B,'Base stats'!BD:BD)^0.25
/((_xlfn.XLOOKUP(B80,'Base stats'!B:B,'Base stats'!BM:BM))*10)*_xlfn.XLOOKUP(_xlfn.XLOOKUP(B80,'Base stats'!B:B,'Base stats'!E:E),Groups!A:A,Groups!AE:AE)*150 + 0.5 + _xlfn.XLOOKUP(B80,'Base stats'!B:B,'Base stats'!BU:BU),
0.05))</f>
        <v>No</v>
      </c>
      <c r="W80" s="8">
        <f>MROUND(_xlfn.XLOOKUP(_xlfn.XLOOKUP(B80,'Base stats'!B:B,'Base stats'!E:E),Groups!A:A,Groups!BG:BG)*_xlfn.XLOOKUP(B80,'Base stats'!B:B,'Base stats'!C:C)^-0.165,0.01)</f>
        <v>0.16</v>
      </c>
      <c r="X80" s="1">
        <f>MROUND(_xlfn.XLOOKUP(_xlfn.XLOOKUP(B80,'Base stats'!B:B,'Base stats'!E:E),Groups!A:A,Groups!BH:BH)*_xlfn.XLOOKUP(B80,'Base stats'!B:B,'Base stats'!C:C)^0.165,0.01)</f>
        <v>0.65</v>
      </c>
      <c r="Y80" s="8">
        <f>MROUND(_xlfn.XLOOKUP(_xlfn.XLOOKUP(B80,'Base stats'!B:B,'Base stats'!E:E),Groups!A:A,Groups!BI:BI)*_xlfn.XLOOKUP(B80,'Base stats'!B:B,'Base stats'!C:C)^0.165,0.01)</f>
        <v>0.22</v>
      </c>
      <c r="Z80" s="18">
        <f>ROUND(_xlfn.XLOOKUP(B80,'Base stats'!B:B,'Base stats'!AO:AO)*_xlfn.XLOOKUP(_xlfn.XLOOKUP(B80,'Base stats'!B:B,'Base stats'!E:E),Groups!A:A,Groups!H:H)/1000,2)</f>
        <v>2.2799999999999998</v>
      </c>
      <c r="AA80" s="18">
        <f>ROUND((1/2)*(_xlfn.XLOOKUP(_xlfn.XLOOKUP(B80,'Base stats'!B:B,'Base stats'!E:E),Groups!A:A,Groups!H:H)*_xlfn.XLOOKUP(_xlfn.XLOOKUP(B80,'Base stats'!B:B,'Base stats'!E:E),Groups!A:A,Groups!I:I))*_xlfn.XLOOKUP(B80,'Base stats'!B:B,'Base stats'!AO:AO)*0.01,2)</f>
        <v>2.2799999999999998</v>
      </c>
      <c r="AB80" s="18">
        <f>250*(Animals!AO80+Animals!AP80)</f>
        <v>3750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Dasypus novemcinctus</v>
      </c>
      <c r="C81" s="1" t="str">
        <f>Animals!C81</f>
        <v>&lt;li&gt;Armadillo&lt;/li&gt;</v>
      </c>
      <c r="D81" s="47">
        <f>MAX(MROUND(_xlfn.XLOOKUP(B81,'Base stats'!B:B,'Base stats'!BQ:BQ) * (_xlfn.XLOOKUP(B81,'Base stats'!B:B,'Base stats'!AM:AM)*5%)^0.9 / 21,0.1),0.05)</f>
        <v>0.30000000000000004</v>
      </c>
      <c r="E81" s="11">
        <f>MAX(0.01,MROUND(_xlfn.XLOOKUP(B81,'Base stats'!B:B,'Base stats'!BE:BE) * 0.01 * 2, 0.01))</f>
        <v>0.19</v>
      </c>
      <c r="F81" s="7">
        <f>MROUND(_xlfn.XLOOKUP(B81,'Base stats'!B:B,'Base stats'!BB:BB)^0.25 / (_xlfn.XLOOKUP(B81,'Base stats'!B:B,'Base stats'!BI:BI) * 10) * 150 + 0.5 + _xlfn.XLOOKUP(B81,'Base stats'!B:B,'Base stats'!BU:BU), 0.05)</f>
        <v>1.4500000000000002</v>
      </c>
      <c r="G81" s="3" t="str">
        <f>IF(Animals!S81="No","No",
IF(_xlfn.XLOOKUP(B81,'Base stats'!B:B,'Base stats'!U:U)="No",
MAX(MROUND(_xlfn.XLOOKUP(B81,'Base stats'!B:B,'Base stats'!BR:BR) * _xlfn.XLOOKUP(B81,'Base stats'!B:B,'Base stats'!BN:BN)^0.9 / 21 * _xlfn.XLOOKUP(B81,'Base stats'!B:B,'Base stats'!BV:BV),0.1),0.05),
MAX(MROUND(((MIN(10,_xlfn.XLOOKUP(B81,'Base stats'!B:B,'Base stats'!U:U)))^0.4*_xlfn.XLOOKUP(B81,'Base stats'!B:B,'Base stats'!BF:BF)^0.73)^0.6 * _xlfn.XLOOKUP(B81,'Base stats'!B:B,'Base stats'!BV:BV),0.1),0.05)
))</f>
        <v>No</v>
      </c>
      <c r="H81" s="11" t="str">
        <f>IF(G81="No","No",
MAX(0.01,MROUND(_xlfn.XLOOKUP(B81,'Base stats'!B:B,'Base stats'!BF:BF) * 0.01 * 2, 0.01))
)</f>
        <v>No</v>
      </c>
      <c r="I81" s="11" t="str">
        <f>IF(G81="No","No",IF(_xlfn.XLOOKUP(B81,'Base stats'!B:B,'Base stats'!U:U)="No","No",
MAX(0.01,MROUND(_xlfn.XLOOKUP(B81,'Base stats'!B:B,'Base stats'!BR:BR)/10000,0.01))
))</f>
        <v>No</v>
      </c>
      <c r="J81" s="4" t="str">
        <f>IF(G81="No","No",
MROUND(_xlfn.XLOOKUP(B81,'Base stats'!B:B,'Base stats'!BC:BC)^0.25
/((_xlfn.XLOOKUP(B81,'Base stats'!B:B,'Base stats'!BJ:BJ))*10)*_xlfn.XLOOKUP(_xlfn.XLOOKUP(B81,'Base stats'!B:B,'Base stats'!E:E),Groups!A:A,Groups!Q:Q)*150 + 0.5 + _xlfn.XLOOKUP(B81,'Base stats'!B:B,'Base stats'!BU:BU),
0.05))</f>
        <v>No</v>
      </c>
      <c r="K81" s="3" t="str">
        <f>IF(Animals!X81="No","No",
IF(_xlfn.XLOOKUP(_xlfn.XLOOKUP(B81,'Base stats'!B:B,'Base stats'!E:E),Groups!A:A,Groups!BD:BD)=1,
MAX(MROUND(_xlfn.XLOOKUP(B81,'Base stats'!B:B,'Base stats'!BS:BS) * _xlfn.XLOOKUP(B81,'Base stats'!B:B,'Base stats'!BO:BO)^0.9 / 21 *_xlfn.XLOOKUP(B81,'Base stats'!B:B,'Base stats'!BV:BV),0.1),0.05),
MAX(MROUND(((MIN(10,_xlfn.XLOOKUP(B81,'Base stats'!B:B,'Base stats'!W:W)))^0.4*_xlfn.XLOOKUP(B81,'Base stats'!B:B,'Base stats'!BG:BG)^0.73)^0.6 *_xlfn.XLOOKUP(B81,'Base stats'!B:B,'Base stats'!BV:BV),0.1),0.05)
))</f>
        <v>No</v>
      </c>
      <c r="L81" s="11" t="str">
        <f>IF(K81="No","No",
MAX(0.01,MROUND(_xlfn.XLOOKUP(B81,'Base stats'!B:B,'Base stats'!BG:BG) * 0.01 *2, 0.01))
)</f>
        <v>No</v>
      </c>
      <c r="M81" s="5" t="str">
        <f>IF(K81="No","No",IF(_xlfn.XLOOKUP(_xlfn.XLOOKUP(B81,'Base stats'!B:B,'Base stats'!E:E),Groups!A:A,Groups!BD:BD)=1,"No",
MAX(0.01,MROUND(_xlfn.XLOOKUP(B81,'Base stats'!B:B,'Base stats'!BS:BS)/10000,0.01))
))</f>
        <v>No</v>
      </c>
      <c r="N81" s="4" t="str">
        <f>IF(K81="No","No",
MROUND(
  _xlfn.XLOOKUP(B81,'Base stats'!B:B,'Base stats'!BA:BA)^0.25
  / (_xlfn.XLOOKUP(B81,'Base stats'!B:B,'Base stats'!BK:BK)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stats'!BU:BU),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stats'!BH:BH)^0.73)^0.6 *_xlfn.XLOOKUP(B81,'Base stats'!B:B,'Base stats'!BV:BV),0.1),0.05)
)</f>
        <v>3.6</v>
      </c>
      <c r="P81" s="11">
        <f>IF(O81="No","No",
MAX(0.01,MROUND(_xlfn.XLOOKUP(B81,'Base stats'!B:B,'Base stats'!BH:BH) * 0.01 * 2, 0.01))
)</f>
        <v>0.3</v>
      </c>
      <c r="Q81" s="5">
        <f>IF(O81="No","No",
MAX(0.01,MROUND(_xlfn.XLOOKUP(B81,'Base stats'!B:B,'Base stats'!BT:BT)/10000,0.01))
)</f>
        <v>0.05</v>
      </c>
      <c r="R81" s="4">
        <f>IF(O81="No","No",
MROUND(_xlfn.XLOOKUP(B81,'Base stats'!B:B,'Base stats'!AZ:AZ)^0.25
/((_xlfn.XLOOKUP(B81,'Base stats'!B:B,'Base stats'!BL:BL))*10)*_xlfn.XLOOKUP(_xlfn.XLOOKUP(B81,'Base stats'!B:B,'Base stats'!E:E),Groups!A:A,Groups!Z:Z)*150 + 0.5 + _xlfn.XLOOKUP(B81,'Base stats'!B:B,'Base stats'!BU:BU),
0.05))</f>
        <v>1.8</v>
      </c>
      <c r="S81" s="3" t="str">
        <f>IF(Animals!AI81="No","No",
IF(_xlfn.XLOOKUP(B81,'Base stats'!B:B,'Base stats'!U:U)="No",
MAX(MROUND(_xlfn.XLOOKUP(B81,'Base stats'!B:B,'Base stats'!BR:BR) * _xlfn.XLOOKUP(B81,'Base stats'!B:B,'Base stats'!BN:BN)^0.9 / 21 * _xlfn.XLOOKUP(B81,'Base stats'!B:B,'Base stats'!BV:BV),0.1),0.05),
MAX(MROUND(((MIN(12,_xlfn.XLOOKUP(B81,'Base stats'!B:B,'Base stats'!U:U)))^0.4*_xlfn.XLOOKUP(B81,'Base stats'!B:B,'Base stats'!BF:BF)^0.73)^0.6 * _xlfn.XLOOKUP(B81,'Base stats'!B:B,'Base stats'!BV:BV),0.1),0.05)
))</f>
        <v>No</v>
      </c>
      <c r="T81" s="11" t="str">
        <f>IF(S81="No","No",
MAX(0.01,MROUND(_xlfn.XLOOKUP(B81,'Base stats'!B:B,'Base stats'!BF:BF) * 0.01 * 2, 0.01))
)</f>
        <v>No</v>
      </c>
      <c r="U81" s="5" t="str">
        <f>IF(S81="No","No",IF(_xlfn.XLOOKUP(B81,'Base stats'!B:B,'Base stats'!U:U)="No","No",
MAX(0.01,MROUND(_xlfn.XLOOKUP(B81,'Base stats'!B:B,'Base stats'!BR:BR)/10000,0.01))
))</f>
        <v>No</v>
      </c>
      <c r="V81" s="4" t="str">
        <f>IF(S81="No","No",
MROUND(_xlfn.XLOOKUP(B81,'Base stats'!B:B,'Base stats'!BD:BD)^0.25
/((_xlfn.XLOOKUP(B81,'Base stats'!B:B,'Base stats'!BM:BM))*10)*_xlfn.XLOOKUP(_xlfn.XLOOKUP(B81,'Base stats'!B:B,'Base stats'!E:E),Groups!A:A,Groups!AE:AE)*150 + 0.5 + _xlfn.XLOOKUP(B81,'Base stats'!B:B,'Base stats'!BU:BU),
0.05))</f>
        <v>No</v>
      </c>
      <c r="W81" s="8">
        <f>MROUND(_xlfn.XLOOKUP(_xlfn.XLOOKUP(B81,'Base stats'!B:B,'Base stats'!E:E),Groups!A:A,Groups!BG:BG)*_xlfn.XLOOKUP(B81,'Base stats'!B:B,'Base stats'!C:C)^-0.165,0.01)</f>
        <v>0.38</v>
      </c>
      <c r="X81" s="1">
        <f>MROUND(_xlfn.XLOOKUP(_xlfn.XLOOKUP(B81,'Base stats'!B:B,'Base stats'!E:E),Groups!A:A,Groups!BH:BH)*_xlfn.XLOOKUP(B81,'Base stats'!B:B,'Base stats'!C:C)^0.165,0.01)</f>
        <v>0</v>
      </c>
      <c r="Y81" s="8">
        <f>MROUND(_xlfn.XLOOKUP(_xlfn.XLOOKUP(B81,'Base stats'!B:B,'Base stats'!E:E),Groups!A:A,Groups!BI:BI)*_xlfn.XLOOKUP(B81,'Base stats'!B:B,'Base stats'!C:C)^0.165,0.01)</f>
        <v>0</v>
      </c>
      <c r="Z81" s="18">
        <f>ROUND(_xlfn.XLOOKUP(B81,'Base stats'!B:B,'Base stats'!AO:AO)*_xlfn.XLOOKUP(_xlfn.XLOOKUP(B81,'Base stats'!B:B,'Base stats'!E:E),Groups!A:A,Groups!H:H)/1000,2)</f>
        <v>0.48</v>
      </c>
      <c r="AA81" s="18">
        <f>ROUND((1/2)*(_xlfn.XLOOKUP(_xlfn.XLOOKUP(B81,'Base stats'!B:B,'Base stats'!E:E),Groups!A:A,Groups!H:H)*_xlfn.XLOOKUP(_xlfn.XLOOKUP(B81,'Base stats'!B:B,'Base stats'!E:E),Groups!A:A,Groups!I:I))*_xlfn.XLOOKUP(B81,'Base stats'!B:B,'Base stats'!AO:AO)*0.01,2)</f>
        <v>0.34</v>
      </c>
      <c r="AB81" s="18">
        <f>250*(Animals!AO81+Animals!AP81)</f>
        <v>150.00000000000003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stats'!BQ:BQ) * (_xlfn.XLOOKUP(B82,'Base stats'!B:B,'Base stats'!AM:AM)*5%)^0.9 / 21,0.1),0.05)</f>
        <v>0.8</v>
      </c>
      <c r="E82" s="11">
        <f>MAX(0.01,MROUND(_xlfn.XLOOKUP(B82,'Base stats'!B:B,'Base stats'!BE:BE) * 0.01 * 2, 0.01))</f>
        <v>0.59</v>
      </c>
      <c r="F82" s="7">
        <f>MROUND(_xlfn.XLOOKUP(B82,'Base stats'!B:B,'Base stats'!BB:BB)^0.25 / (_xlfn.XLOOKUP(B82,'Base stats'!B:B,'Base stats'!BI:BI) * 10) * 150 + 0.5 + _xlfn.XLOOKUP(B82,'Base stats'!B:B,'Base stats'!BU:BU), 0.05)</f>
        <v>1.6</v>
      </c>
      <c r="G82" s="3" t="str">
        <f>IF(Animals!S82="No","No",
IF(_xlfn.XLOOKUP(B82,'Base stats'!B:B,'Base stats'!U:U)="No",
MAX(MROUND(_xlfn.XLOOKUP(B82,'Base stats'!B:B,'Base stats'!BR:BR) * _xlfn.XLOOKUP(B82,'Base stats'!B:B,'Base stats'!BN:BN)^0.9 / 21 * _xlfn.XLOOKUP(B82,'Base stats'!B:B,'Base stats'!BV:BV),0.1),0.05),
MAX(MROUND(((MIN(10,_xlfn.XLOOKUP(B82,'Base stats'!B:B,'Base stats'!U:U)))^0.4*_xlfn.XLOOKUP(B82,'Base stats'!B:B,'Base stats'!BF:BF)^0.73)^0.6 * _xlfn.XLOOKUP(B82,'Base stats'!B:B,'Base stats'!BV:BV),0.1),0.05)
))</f>
        <v>No</v>
      </c>
      <c r="H82" s="11" t="str">
        <f>IF(G82="No","No",
MAX(0.01,MROUND(_xlfn.XLOOKUP(B82,'Base stats'!B:B,'Base stats'!BF:BF) * 0.01 * 2, 0.01))
)</f>
        <v>No</v>
      </c>
      <c r="I82" s="11" t="str">
        <f>IF(G82="No","No",IF(_xlfn.XLOOKUP(B82,'Base stats'!B:B,'Base stats'!U:U)="No","No",
MAX(0.01,MROUND(_xlfn.XLOOKUP(B82,'Base stats'!B:B,'Base stats'!BR:BR)/10000,0.01))
))</f>
        <v>No</v>
      </c>
      <c r="J82" s="4" t="str">
        <f>IF(G82="No","No",
MROUND(_xlfn.XLOOKUP(B82,'Base stats'!B:B,'Base stats'!BC:BC)^0.25
/((_xlfn.XLOOKUP(B82,'Base stats'!B:B,'Base stats'!BJ:BJ))*10)*_xlfn.XLOOKUP(_xlfn.XLOOKUP(B82,'Base stats'!B:B,'Base stats'!E:E),Groups!A:A,Groups!Q:Q)*150 + 0.5 + _xlfn.XLOOKUP(B82,'Base stats'!B:B,'Base stats'!BU:BU),
0.05))</f>
        <v>No</v>
      </c>
      <c r="K82" s="3" t="str">
        <f>IF(Animals!X82="No","No",
IF(_xlfn.XLOOKUP(_xlfn.XLOOKUP(B82,'Base stats'!B:B,'Base stats'!E:E),Groups!A:A,Groups!BD:BD)=1,
MAX(MROUND(_xlfn.XLOOKUP(B82,'Base stats'!B:B,'Base stats'!BS:BS) * _xlfn.XLOOKUP(B82,'Base stats'!B:B,'Base stats'!BO:BO)^0.9 / 21 *_xlfn.XLOOKUP(B82,'Base stats'!B:B,'Base stats'!BV:BV),0.1),0.05),
MAX(MROUND(((MIN(10,_xlfn.XLOOKUP(B82,'Base stats'!B:B,'Base stats'!W:W)))^0.4*_xlfn.XLOOKUP(B82,'Base stats'!B:B,'Base stats'!BG:BG)^0.73)^0.6 *_xlfn.XLOOKUP(B82,'Base stats'!B:B,'Base stats'!BV:BV),0.1),0.05)
))</f>
        <v>No</v>
      </c>
      <c r="L82" s="11" t="str">
        <f>IF(K82="No","No",
MAX(0.01,MROUND(_xlfn.XLOOKUP(B82,'Base stats'!B:B,'Base stats'!BG:BG) * 0.01 *2, 0.01))
)</f>
        <v>No</v>
      </c>
      <c r="M82" s="5" t="str">
        <f>IF(K82="No","No",IF(_xlfn.XLOOKUP(_xlfn.XLOOKUP(B82,'Base stats'!B:B,'Base stats'!E:E),Groups!A:A,Groups!BD:BD)=1,"No",
MAX(0.01,MROUND(_xlfn.XLOOKUP(B82,'Base stats'!B:B,'Base stats'!BS:BS)/10000,0.01))
))</f>
        <v>No</v>
      </c>
      <c r="N82" s="4" t="str">
        <f>IF(K82="No","No",
MROUND(
  _xlfn.XLOOKUP(B82,'Base stats'!B:B,'Base stats'!BA:BA)^0.25
  / (_xlfn.XLOOKUP(B82,'Base stats'!B:B,'Base stats'!BK:BK)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stats'!BU:BU),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stats'!BH:BH)^0.73)^0.6 *_xlfn.XLOOKUP(B82,'Base stats'!B:B,'Base stats'!BV:BV),0.1),0.05)
)</f>
        <v>9.4</v>
      </c>
      <c r="P82" s="11">
        <f>IF(O82="No","No",
MAX(0.01,MROUND(_xlfn.XLOOKUP(B82,'Base stats'!B:B,'Base stats'!BH:BH) * 0.01 * 2, 0.01))
)</f>
        <v>1.92</v>
      </c>
      <c r="Q82" s="5">
        <f>IF(O82="No","No",
MAX(0.01,MROUND(_xlfn.XLOOKUP(B82,'Base stats'!B:B,'Base stats'!BT:BT)/10000,0.01))
)</f>
        <v>0.19</v>
      </c>
      <c r="R82" s="4">
        <f>IF(O82="No","No",
MROUND(_xlfn.XLOOKUP(B82,'Base stats'!B:B,'Base stats'!AZ:AZ)^0.25
/((_xlfn.XLOOKUP(B82,'Base stats'!B:B,'Base stats'!BL:BL))*10)*_xlfn.XLOOKUP(_xlfn.XLOOKUP(B82,'Base stats'!B:B,'Base stats'!E:E),Groups!A:A,Groups!Z:Z)*150 + 0.5 + _xlfn.XLOOKUP(B82,'Base stats'!B:B,'Base stats'!BU:BU),
0.05))</f>
        <v>2.1</v>
      </c>
      <c r="S82" s="3">
        <f>IF(Animals!AI82="No","No",
IF(_xlfn.XLOOKUP(B82,'Base stats'!B:B,'Base stats'!U:U)="No",
MAX(MROUND(_xlfn.XLOOKUP(B82,'Base stats'!B:B,'Base stats'!BR:BR) * _xlfn.XLOOKUP(B82,'Base stats'!B:B,'Base stats'!BN:BN)^0.9 / 21 * _xlfn.XLOOKUP(B82,'Base stats'!B:B,'Base stats'!BV:BV),0.1),0.05),
MAX(MROUND(((MIN(12,_xlfn.XLOOKUP(B82,'Base stats'!B:B,'Base stats'!U:U)))^0.4*_xlfn.XLOOKUP(B82,'Base stats'!B:B,'Base stats'!BF:BF)^0.73)^0.6 * _xlfn.XLOOKUP(B82,'Base stats'!B:B,'Base stats'!BV:BV),0.1),0.05)
))</f>
        <v>7</v>
      </c>
      <c r="T82" s="11">
        <f>IF(S82="No","No",
MAX(0.01,MROUND(_xlfn.XLOOKUP(B82,'Base stats'!B:B,'Base stats'!BF:BF) * 0.01 * 2, 0.01))
)</f>
        <v>0.81</v>
      </c>
      <c r="U82" s="5">
        <f>IF(S82="No","No",IF(_xlfn.XLOOKUP(B82,'Base stats'!B:B,'Base stats'!U:U)="No","No",
MAX(0.01,MROUND(_xlfn.XLOOKUP(B82,'Base stats'!B:B,'Base stats'!BR:BR)/10000,0.01))
))</f>
        <v>0.08</v>
      </c>
      <c r="V82" s="4">
        <f>IF(S82="No","No",
MROUND(_xlfn.XLOOKUP(B82,'Base stats'!B:B,'Base stats'!BD:BD)^0.25
/((_xlfn.XLOOKUP(B82,'Base stats'!B:B,'Base stats'!BM:BM))*10)*_xlfn.XLOOKUP(_xlfn.XLOOKUP(B82,'Base stats'!B:B,'Base stats'!E:E),Groups!A:A,Groups!AE:AE)*150 + 0.5 + _xlfn.XLOOKUP(B82,'Base stats'!B:B,'Base stats'!BU:BU),
0.05))</f>
        <v>1.25</v>
      </c>
      <c r="W82" s="8">
        <f>MROUND(_xlfn.XLOOKUP(_xlfn.XLOOKUP(B82,'Base stats'!B:B,'Base stats'!E:E),Groups!A:A,Groups!BG:BG)*_xlfn.XLOOKUP(B82,'Base stats'!B:B,'Base stats'!C:C)^-0.165,0.01)</f>
        <v>0.67</v>
      </c>
      <c r="X82" s="1">
        <f>MROUND(_xlfn.XLOOKUP(_xlfn.XLOOKUP(B82,'Base stats'!B:B,'Base stats'!E:E),Groups!A:A,Groups!BH:BH)*_xlfn.XLOOKUP(B82,'Base stats'!B:B,'Base stats'!C:C)^0.165,0.01)</f>
        <v>0.33</v>
      </c>
      <c r="Y82" s="8">
        <f>MROUND(_xlfn.XLOOKUP(_xlfn.XLOOKUP(B82,'Base stats'!B:B,'Base stats'!E:E),Groups!A:A,Groups!BI:BI)*_xlfn.XLOOKUP(B82,'Base stats'!B:B,'Base stats'!C:C)^0.165,0.01)</f>
        <v>0.04</v>
      </c>
      <c r="Z82" s="18">
        <f>ROUND(_xlfn.XLOOKUP(B82,'Base stats'!B:B,'Base stats'!AO:AO)*_xlfn.XLOOKUP(_xlfn.XLOOKUP(B82,'Base stats'!B:B,'Base stats'!E:E),Groups!A:A,Groups!H:H)/1000,2)</f>
        <v>0.06</v>
      </c>
      <c r="AA82" s="18">
        <f>ROUND((1/2)*(_xlfn.XLOOKUP(_xlfn.XLOOKUP(B82,'Base stats'!B:B,'Base stats'!E:E),Groups!A:A,Groups!H:H)*_xlfn.XLOOKUP(_xlfn.XLOOKUP(B82,'Base stats'!B:B,'Base stats'!E:E),Groups!A:A,Groups!I:I))*_xlfn.XLOOKUP(B82,'Base stats'!B:B,'Base stats'!AO:AO)*0.01,2)</f>
        <v>0.47</v>
      </c>
      <c r="AB82" s="18">
        <f>250*(Animals!AO82+Animals!AP82)</f>
        <v>300.00000000000006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stats'!BQ:BQ) * (_xlfn.XLOOKUP(B83,'Base stats'!B:B,'Base stats'!AM:AM)*5%)^0.9 / 21,0.1),0.05)</f>
        <v>0.1</v>
      </c>
      <c r="E83" s="11">
        <f>MAX(0.01,MROUND(_xlfn.XLOOKUP(B83,'Base stats'!B:B,'Base stats'!BE:BE) * 0.01 * 2, 0.01))</f>
        <v>0.04</v>
      </c>
      <c r="F83" s="7">
        <f>MROUND(_xlfn.XLOOKUP(B83,'Base stats'!B:B,'Base stats'!BB:BB)^0.25 / (_xlfn.XLOOKUP(B83,'Base stats'!B:B,'Base stats'!BI:BI) * 10) * 150 + 0.5 + _xlfn.XLOOKUP(B83,'Base stats'!B:B,'Base stats'!BU:BU), 0.05)</f>
        <v>1.25</v>
      </c>
      <c r="G83" s="3" t="str">
        <f>IF(Animals!S83="No","No",
IF(_xlfn.XLOOKUP(B83,'Base stats'!B:B,'Base stats'!U:U)="No",
MAX(MROUND(_xlfn.XLOOKUP(B83,'Base stats'!B:B,'Base stats'!BR:BR) * _xlfn.XLOOKUP(B83,'Base stats'!B:B,'Base stats'!BN:BN)^0.9 / 21 * _xlfn.XLOOKUP(B83,'Base stats'!B:B,'Base stats'!BV:BV),0.1),0.05),
MAX(MROUND(((MIN(10,_xlfn.XLOOKUP(B83,'Base stats'!B:B,'Base stats'!U:U)))^0.4*_xlfn.XLOOKUP(B83,'Base stats'!B:B,'Base stats'!BF:BF)^0.73)^0.6 * _xlfn.XLOOKUP(B83,'Base stats'!B:B,'Base stats'!BV:BV),0.1),0.05)
))</f>
        <v>No</v>
      </c>
      <c r="H83" s="11" t="str">
        <f>IF(G83="No","No",
MAX(0.01,MROUND(_xlfn.XLOOKUP(B83,'Base stats'!B:B,'Base stats'!BF:BF) * 0.01 * 2, 0.01))
)</f>
        <v>No</v>
      </c>
      <c r="I83" s="11" t="str">
        <f>IF(G83="No","No",IF(_xlfn.XLOOKUP(B83,'Base stats'!B:B,'Base stats'!U:U)="No","No",
MAX(0.01,MROUND(_xlfn.XLOOKUP(B83,'Base stats'!B:B,'Base stats'!BR:BR)/10000,0.01))
))</f>
        <v>No</v>
      </c>
      <c r="J83" s="4" t="str">
        <f>IF(G83="No","No",
MROUND(_xlfn.XLOOKUP(B83,'Base stats'!B:B,'Base stats'!BC:BC)^0.25
/((_xlfn.XLOOKUP(B83,'Base stats'!B:B,'Base stats'!BJ:BJ))*10)*_xlfn.XLOOKUP(_xlfn.XLOOKUP(B83,'Base stats'!B:B,'Base stats'!E:E),Groups!A:A,Groups!Q:Q)*150 + 0.5 + _xlfn.XLOOKUP(B83,'Base stats'!B:B,'Base stats'!BU:BU),
0.05))</f>
        <v>No</v>
      </c>
      <c r="K83" s="3" t="str">
        <f>IF(Animals!X83="No","No",
IF(_xlfn.XLOOKUP(_xlfn.XLOOKUP(B83,'Base stats'!B:B,'Base stats'!E:E),Groups!A:A,Groups!BD:BD)=1,
MAX(MROUND(_xlfn.XLOOKUP(B83,'Base stats'!B:B,'Base stats'!BS:BS) * _xlfn.XLOOKUP(B83,'Base stats'!B:B,'Base stats'!BO:BO)^0.9 / 21 *_xlfn.XLOOKUP(B83,'Base stats'!B:B,'Base stats'!BV:BV),0.1),0.05),
MAX(MROUND(((MIN(10,_xlfn.XLOOKUP(B83,'Base stats'!B:B,'Base stats'!W:W)))^0.4*_xlfn.XLOOKUP(B83,'Base stats'!B:B,'Base stats'!BG:BG)^0.73)^0.6 *_xlfn.XLOOKUP(B83,'Base stats'!B:B,'Base stats'!BV:BV),0.1),0.05)
))</f>
        <v>No</v>
      </c>
      <c r="L83" s="11" t="str">
        <f>IF(K83="No","No",
MAX(0.01,MROUND(_xlfn.XLOOKUP(B83,'Base stats'!B:B,'Base stats'!BG:BG) * 0.01 *2, 0.01))
)</f>
        <v>No</v>
      </c>
      <c r="M83" s="5" t="str">
        <f>IF(K83="No","No",IF(_xlfn.XLOOKUP(_xlfn.XLOOKUP(B83,'Base stats'!B:B,'Base stats'!E:E),Groups!A:A,Groups!BD:BD)=1,"No",
MAX(0.01,MROUND(_xlfn.XLOOKUP(B83,'Base stats'!B:B,'Base stats'!BS:BS)/10000,0.01))
))</f>
        <v>No</v>
      </c>
      <c r="N83" s="4" t="str">
        <f>IF(K83="No","No",
MROUND(
  _xlfn.XLOOKUP(B83,'Base stats'!B:B,'Base stats'!BA:BA)^0.25
  / (_xlfn.XLOOKUP(B83,'Base stats'!B:B,'Base stats'!BK:BK)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stats'!BU:BU),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stats'!BH:BH)^0.73)^0.6 *_xlfn.XLOOKUP(B83,'Base stats'!B:B,'Base stats'!BV:BV),0.1),0.05)
)</f>
        <v>1.9000000000000001</v>
      </c>
      <c r="P83" s="11">
        <f>IF(O83="No","No",
MAX(0.01,MROUND(_xlfn.XLOOKUP(B83,'Base stats'!B:B,'Base stats'!BH:BH) * 0.01 * 2, 0.01))
)</f>
        <v>0.08</v>
      </c>
      <c r="Q83" s="5">
        <f>IF(O83="No","No",
MAX(0.01,MROUND(_xlfn.XLOOKUP(B83,'Base stats'!B:B,'Base stats'!BT:BT)/10000,0.01))
)</f>
        <v>0.03</v>
      </c>
      <c r="R83" s="4">
        <f>IF(O83="No","No",
MROUND(_xlfn.XLOOKUP(B83,'Base stats'!B:B,'Base stats'!AZ:AZ)^0.25
/((_xlfn.XLOOKUP(B83,'Base stats'!B:B,'Base stats'!BL:BL))*10)*_xlfn.XLOOKUP(_xlfn.XLOOKUP(B83,'Base stats'!B:B,'Base stats'!E:E),Groups!A:A,Groups!Z:Z)*150 + 0.5 + _xlfn.XLOOKUP(B83,'Base stats'!B:B,'Base stats'!BU:BU),
0.05))</f>
        <v>1.8</v>
      </c>
      <c r="S83" s="3">
        <f>IF(Animals!AI83="No","No",
IF(_xlfn.XLOOKUP(B83,'Base stats'!B:B,'Base stats'!U:U)="No",
MAX(MROUND(_xlfn.XLOOKUP(B83,'Base stats'!B:B,'Base stats'!BR:BR) * _xlfn.XLOOKUP(B83,'Base stats'!B:B,'Base stats'!BN:BN)^0.9 / 21 * _xlfn.XLOOKUP(B83,'Base stats'!B:B,'Base stats'!BV:BV),0.1),0.05),
MAX(MROUND(((MIN(12,_xlfn.XLOOKUP(B83,'Base stats'!B:B,'Base stats'!U:U)))^0.4*_xlfn.XLOOKUP(B83,'Base stats'!B:B,'Base stats'!BF:BF)^0.73)^0.6 * _xlfn.XLOOKUP(B83,'Base stats'!B:B,'Base stats'!BV:BV),0.1),0.05)
))</f>
        <v>1.6</v>
      </c>
      <c r="T83" s="11">
        <f>IF(S83="No","No",
MAX(0.01,MROUND(_xlfn.XLOOKUP(B83,'Base stats'!B:B,'Base stats'!BF:BF) * 0.01 * 2, 0.01))
)</f>
        <v>0.06</v>
      </c>
      <c r="U83" s="5">
        <f>IF(S83="No","No",IF(_xlfn.XLOOKUP(B83,'Base stats'!B:B,'Base stats'!U:U)="No","No",
MAX(0.01,MROUND(_xlfn.XLOOKUP(B83,'Base stats'!B:B,'Base stats'!BR:BR)/10000,0.01))
))</f>
        <v>0.02</v>
      </c>
      <c r="V83" s="4">
        <f>IF(S83="No","No",
MROUND(_xlfn.XLOOKUP(B83,'Base stats'!B:B,'Base stats'!BD:BD)^0.25
/((_xlfn.XLOOKUP(B83,'Base stats'!B:B,'Base stats'!BM:BM))*10)*_xlfn.XLOOKUP(_xlfn.XLOOKUP(B83,'Base stats'!B:B,'Base stats'!E:E),Groups!A:A,Groups!AE:AE)*150 + 0.5 + _xlfn.XLOOKUP(B83,'Base stats'!B:B,'Base stats'!BU:BU),
0.05))</f>
        <v>1</v>
      </c>
      <c r="W83" s="8">
        <f>MROUND(_xlfn.XLOOKUP(_xlfn.XLOOKUP(B83,'Base stats'!B:B,'Base stats'!E:E),Groups!A:A,Groups!BG:BG)*_xlfn.XLOOKUP(B83,'Base stats'!B:B,'Base stats'!C:C)^-0.165,0.01)</f>
        <v>1.1100000000000001</v>
      </c>
      <c r="X83" s="1">
        <f>MROUND(_xlfn.XLOOKUP(_xlfn.XLOOKUP(B83,'Base stats'!B:B,'Base stats'!E:E),Groups!A:A,Groups!BH:BH)*_xlfn.XLOOKUP(B83,'Base stats'!B:B,'Base stats'!C:C)^0.165,0.01)</f>
        <v>0.2</v>
      </c>
      <c r="Y83" s="8">
        <f>MROUND(_xlfn.XLOOKUP(_xlfn.XLOOKUP(B83,'Base stats'!B:B,'Base stats'!E:E),Groups!A:A,Groups!BI:BI)*_xlfn.XLOOKUP(B83,'Base stats'!B:B,'Base stats'!C:C)^0.165,0.01)</f>
        <v>0.02</v>
      </c>
      <c r="Z83" s="18">
        <f>ROUND(_xlfn.XLOOKUP(B83,'Base stats'!B:B,'Base stats'!AO:AO)*_xlfn.XLOOKUP(_xlfn.XLOOKUP(B83,'Base stats'!B:B,'Base stats'!E:E),Groups!A:A,Groups!H:H)/1000,2)</f>
        <v>0.02</v>
      </c>
      <c r="AA83" s="18">
        <f>ROUND((1/2)*(_xlfn.XLOOKUP(_xlfn.XLOOKUP(B83,'Base stats'!B:B,'Base stats'!E:E),Groups!A:A,Groups!H:H)*_xlfn.XLOOKUP(_xlfn.XLOOKUP(B83,'Base stats'!B:B,'Base stats'!E:E),Groups!A:A,Groups!I:I))*_xlfn.XLOOKUP(B83,'Base stats'!B:B,'Base stats'!AO:AO)*0.01,2)</f>
        <v>0.16</v>
      </c>
      <c r="AB83" s="18">
        <f>250*(Animals!AO83+Animals!AP83)</f>
        <v>87.500000000000014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stats'!BQ:BQ) * (_xlfn.XLOOKUP(B84,'Base stats'!B:B,'Base stats'!AM:AM)*5%)^0.9 / 21,0.1),0.05)</f>
        <v>0.5</v>
      </c>
      <c r="E84" s="11">
        <f>MAX(0.01,MROUND(_xlfn.XLOOKUP(B84,'Base stats'!B:B,'Base stats'!BE:BE) * 0.01 * 2, 0.01))</f>
        <v>0.4</v>
      </c>
      <c r="F84" s="7">
        <f>MROUND(_xlfn.XLOOKUP(B84,'Base stats'!B:B,'Base stats'!BB:BB)^0.25 / (_xlfn.XLOOKUP(B84,'Base stats'!B:B,'Base stats'!BI:BI) * 10) * 150 + 0.5 + _xlfn.XLOOKUP(B84,'Base stats'!B:B,'Base stats'!BU:BU), 0.05)</f>
        <v>1.4000000000000001</v>
      </c>
      <c r="G84" s="3" t="str">
        <f>IF(Animals!S84="No","No",
IF(_xlfn.XLOOKUP(B84,'Base stats'!B:B,'Base stats'!U:U)="No",
MAX(MROUND(_xlfn.XLOOKUP(B84,'Base stats'!B:B,'Base stats'!BR:BR) * _xlfn.XLOOKUP(B84,'Base stats'!B:B,'Base stats'!BN:BN)^0.9 / 21 * _xlfn.XLOOKUP(B84,'Base stats'!B:B,'Base stats'!BV:BV),0.1),0.05),
MAX(MROUND(((MIN(10,_xlfn.XLOOKUP(B84,'Base stats'!B:B,'Base stats'!U:U)))^0.4*_xlfn.XLOOKUP(B84,'Base stats'!B:B,'Base stats'!BF:BF)^0.73)^0.6 * _xlfn.XLOOKUP(B84,'Base stats'!B:B,'Base stats'!BV:BV),0.1),0.05)
))</f>
        <v>No</v>
      </c>
      <c r="H84" s="11" t="str">
        <f>IF(G84="No","No",
MAX(0.01,MROUND(_xlfn.XLOOKUP(B84,'Base stats'!B:B,'Base stats'!BF:BF) * 0.01 * 2, 0.01))
)</f>
        <v>No</v>
      </c>
      <c r="I84" s="11" t="str">
        <f>IF(G84="No","No",IF(_xlfn.XLOOKUP(B84,'Base stats'!B:B,'Base stats'!U:U)="No","No",
MAX(0.01,MROUND(_xlfn.XLOOKUP(B84,'Base stats'!B:B,'Base stats'!BR:BR)/10000,0.01))
))</f>
        <v>No</v>
      </c>
      <c r="J84" s="4" t="str">
        <f>IF(G84="No","No",
MROUND(_xlfn.XLOOKUP(B84,'Base stats'!B:B,'Base stats'!BC:BC)^0.25
/((_xlfn.XLOOKUP(B84,'Base stats'!B:B,'Base stats'!BJ:BJ))*10)*_xlfn.XLOOKUP(_xlfn.XLOOKUP(B84,'Base stats'!B:B,'Base stats'!E:E),Groups!A:A,Groups!Q:Q)*150 + 0.5 + _xlfn.XLOOKUP(B84,'Base stats'!B:B,'Base stats'!BU:BU),
0.05))</f>
        <v>No</v>
      </c>
      <c r="K84" s="3" t="str">
        <f>IF(Animals!X84="No","No",
IF(_xlfn.XLOOKUP(_xlfn.XLOOKUP(B84,'Base stats'!B:B,'Base stats'!E:E),Groups!A:A,Groups!BD:BD)=1,
MAX(MROUND(_xlfn.XLOOKUP(B84,'Base stats'!B:B,'Base stats'!BS:BS) * _xlfn.XLOOKUP(B84,'Base stats'!B:B,'Base stats'!BO:BO)^0.9 / 21 *_xlfn.XLOOKUP(B84,'Base stats'!B:B,'Base stats'!BV:BV),0.1),0.05),
MAX(MROUND(((MIN(10,_xlfn.XLOOKUP(B84,'Base stats'!B:B,'Base stats'!W:W)))^0.4*_xlfn.XLOOKUP(B84,'Base stats'!B:B,'Base stats'!BG:BG)^0.73)^0.6 *_xlfn.XLOOKUP(B84,'Base stats'!B:B,'Base stats'!BV:BV),0.1),0.05)
))</f>
        <v>No</v>
      </c>
      <c r="L84" s="11" t="str">
        <f>IF(K84="No","No",
MAX(0.01,MROUND(_xlfn.XLOOKUP(B84,'Base stats'!B:B,'Base stats'!BG:BG) * 0.01 *2, 0.01))
)</f>
        <v>No</v>
      </c>
      <c r="M84" s="5" t="str">
        <f>IF(K84="No","No",IF(_xlfn.XLOOKUP(_xlfn.XLOOKUP(B84,'Base stats'!B:B,'Base stats'!E:E),Groups!A:A,Groups!BD:BD)=1,"No",
MAX(0.01,MROUND(_xlfn.XLOOKUP(B84,'Base stats'!B:B,'Base stats'!BS:BS)/10000,0.01))
))</f>
        <v>No</v>
      </c>
      <c r="N84" s="4" t="str">
        <f>IF(K84="No","No",
MROUND(
  _xlfn.XLOOKUP(B84,'Base stats'!B:B,'Base stats'!BA:BA)^0.25
  / (_xlfn.XLOOKUP(B84,'Base stats'!B:B,'Base stats'!BK:BK)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stats'!BU:BU),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stats'!BH:BH)^0.73)^0.6 *_xlfn.XLOOKUP(B84,'Base stats'!B:B,'Base stats'!BV:BV),0.1),0.05)
)</f>
        <v>5.2</v>
      </c>
      <c r="P84" s="11">
        <f>IF(O84="No","No",
MAX(0.01,MROUND(_xlfn.XLOOKUP(B84,'Base stats'!B:B,'Base stats'!BH:BH) * 0.01 * 2, 0.01))
)</f>
        <v>0.59</v>
      </c>
      <c r="Q84" s="5">
        <f>IF(O84="No","No",
MAX(0.01,MROUND(_xlfn.XLOOKUP(B84,'Base stats'!B:B,'Base stats'!BT:BT)/10000,0.01))
)</f>
        <v>7.0000000000000007E-2</v>
      </c>
      <c r="R84" s="4">
        <f>IF(O84="No","No",
MROUND(_xlfn.XLOOKUP(B84,'Base stats'!B:B,'Base stats'!AZ:AZ)^0.25
/((_xlfn.XLOOKUP(B84,'Base stats'!B:B,'Base stats'!BL:BL))*10)*_xlfn.XLOOKUP(_xlfn.XLOOKUP(B84,'Base stats'!B:B,'Base stats'!E:E),Groups!A:A,Groups!Z:Z)*150 + 0.5 + _xlfn.XLOOKUP(B84,'Base stats'!B:B,'Base stats'!BU:BU),
0.05))</f>
        <v>1.9000000000000001</v>
      </c>
      <c r="S84" s="3">
        <f>IF(Animals!AI84="No","No",
IF(_xlfn.XLOOKUP(B84,'Base stats'!B:B,'Base stats'!U:U)="No",
MAX(MROUND(_xlfn.XLOOKUP(B84,'Base stats'!B:B,'Base stats'!BR:BR) * _xlfn.XLOOKUP(B84,'Base stats'!B:B,'Base stats'!BN:BN)^0.9 / 21 * _xlfn.XLOOKUP(B84,'Base stats'!B:B,'Base stats'!BV:BV),0.1),0.05),
MAX(MROUND(((MIN(12,_xlfn.XLOOKUP(B84,'Base stats'!B:B,'Base stats'!U:U)))^0.4*_xlfn.XLOOKUP(B84,'Base stats'!B:B,'Base stats'!BF:BF)^0.73)^0.6 * _xlfn.XLOOKUP(B84,'Base stats'!B:B,'Base stats'!BV:BV),0.1),0.05)
))</f>
        <v>5.9</v>
      </c>
      <c r="T84" s="11">
        <f>IF(S84="No","No",
MAX(0.01,MROUND(_xlfn.XLOOKUP(B84,'Base stats'!B:B,'Base stats'!BF:BF) * 0.01 * 2, 0.01))
)</f>
        <v>0.57000000000000006</v>
      </c>
      <c r="U84" s="5">
        <f>IF(S84="No","No",IF(_xlfn.XLOOKUP(B84,'Base stats'!B:B,'Base stats'!U:U)="No","No",
MAX(0.01,MROUND(_xlfn.XLOOKUP(B84,'Base stats'!B:B,'Base stats'!BR:BR)/10000,0.01))
))</f>
        <v>7.0000000000000007E-2</v>
      </c>
      <c r="V84" s="4">
        <f>IF(S84="No","No",
MROUND(_xlfn.XLOOKUP(B84,'Base stats'!B:B,'Base stats'!BD:BD)^0.25
/((_xlfn.XLOOKUP(B84,'Base stats'!B:B,'Base stats'!BM:BM))*10)*_xlfn.XLOOKUP(_xlfn.XLOOKUP(B84,'Base stats'!B:B,'Base stats'!E:E),Groups!A:A,Groups!AE:AE)*150 + 0.5 + _xlfn.XLOOKUP(B84,'Base stats'!B:B,'Base stats'!BU:BU),
0.05))</f>
        <v>1.2000000000000002</v>
      </c>
      <c r="W84" s="8">
        <f>MROUND(_xlfn.XLOOKUP(_xlfn.XLOOKUP(B84,'Base stats'!B:B,'Base stats'!E:E),Groups!A:A,Groups!BG:BG)*_xlfn.XLOOKUP(B84,'Base stats'!B:B,'Base stats'!C:C)^-0.165,0.01)</f>
        <v>0.72</v>
      </c>
      <c r="X84" s="1">
        <f>MROUND(_xlfn.XLOOKUP(_xlfn.XLOOKUP(B84,'Base stats'!B:B,'Base stats'!E:E),Groups!A:A,Groups!BH:BH)*_xlfn.XLOOKUP(B84,'Base stats'!B:B,'Base stats'!C:C)^0.165,0.01)</f>
        <v>0.31</v>
      </c>
      <c r="Y84" s="8">
        <f>MROUND(_xlfn.XLOOKUP(_xlfn.XLOOKUP(B84,'Base stats'!B:B,'Base stats'!E:E),Groups!A:A,Groups!BI:BI)*_xlfn.XLOOKUP(B84,'Base stats'!B:B,'Base stats'!C:C)^0.165,0.01)</f>
        <v>0.04</v>
      </c>
      <c r="Z84" s="18">
        <f>ROUND(_xlfn.XLOOKUP(B84,'Base stats'!B:B,'Base stats'!AO:AO)*_xlfn.XLOOKUP(_xlfn.XLOOKUP(B84,'Base stats'!B:B,'Base stats'!E:E),Groups!A:A,Groups!H:H)/1000,2)</f>
        <v>0.05</v>
      </c>
      <c r="AA84" s="18">
        <f>ROUND((1/2)*(_xlfn.XLOOKUP(_xlfn.XLOOKUP(B84,'Base stats'!B:B,'Base stats'!E:E),Groups!A:A,Groups!H:H)*_xlfn.XLOOKUP(_xlfn.XLOOKUP(B84,'Base stats'!B:B,'Base stats'!E:E),Groups!A:A,Groups!I:I))*_xlfn.XLOOKUP(B84,'Base stats'!B:B,'Base stats'!AO:AO)*0.01,2)</f>
        <v>0.41</v>
      </c>
      <c r="AB84" s="18">
        <f>250*(Animals!AO84+Animals!AP84)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stats'!BQ:BQ) * (_xlfn.XLOOKUP(B85,'Base stats'!B:B,'Base stats'!AM:AM)*5%)^0.9 / 21,0.1),0.05)</f>
        <v>0.5</v>
      </c>
      <c r="E85" s="11">
        <f>MAX(0.01,MROUND(_xlfn.XLOOKUP(B85,'Base stats'!B:B,'Base stats'!BE:BE) * 0.01 * 2, 0.01))</f>
        <v>0.35000000000000003</v>
      </c>
      <c r="F85" s="7">
        <f>MROUND(_xlfn.XLOOKUP(B85,'Base stats'!B:B,'Base stats'!BB:BB)^0.25 / (_xlfn.XLOOKUP(B85,'Base stats'!B:B,'Base stats'!BI:BI) * 10) * 150 + 0.5 + _xlfn.XLOOKUP(B85,'Base stats'!B:B,'Base stats'!BU:BU), 0.05)</f>
        <v>1.6</v>
      </c>
      <c r="G85" s="3" t="str">
        <f>IF(Animals!S85="No","No",
IF(_xlfn.XLOOKUP(B85,'Base stats'!B:B,'Base stats'!U:U)="No",
MAX(MROUND(_xlfn.XLOOKUP(B85,'Base stats'!B:B,'Base stats'!BR:BR) * _xlfn.XLOOKUP(B85,'Base stats'!B:B,'Base stats'!BN:BN)^0.9 / 21 * _xlfn.XLOOKUP(B85,'Base stats'!B:B,'Base stats'!BV:BV),0.1),0.05),
MAX(MROUND(((MIN(10,_xlfn.XLOOKUP(B85,'Base stats'!B:B,'Base stats'!U:U)))^0.4*_xlfn.XLOOKUP(B85,'Base stats'!B:B,'Base stats'!BF:BF)^0.73)^0.6 * _xlfn.XLOOKUP(B85,'Base stats'!B:B,'Base stats'!BV:BV),0.1),0.05)
))</f>
        <v>No</v>
      </c>
      <c r="H85" s="11" t="str">
        <f>IF(G85="No","No",
MAX(0.01,MROUND(_xlfn.XLOOKUP(B85,'Base stats'!B:B,'Base stats'!BF:BF) * 0.01 * 2, 0.01))
)</f>
        <v>No</v>
      </c>
      <c r="I85" s="11" t="str">
        <f>IF(G85="No","No",IF(_xlfn.XLOOKUP(B85,'Base stats'!B:B,'Base stats'!U:U)="No","No",
MAX(0.01,MROUND(_xlfn.XLOOKUP(B85,'Base stats'!B:B,'Base stats'!BR:BR)/10000,0.01))
))</f>
        <v>No</v>
      </c>
      <c r="J85" s="4" t="str">
        <f>IF(G85="No","No",
MROUND(_xlfn.XLOOKUP(B85,'Base stats'!B:B,'Base stats'!BC:BC)^0.25
/((_xlfn.XLOOKUP(B85,'Base stats'!B:B,'Base stats'!BJ:BJ))*10)*_xlfn.XLOOKUP(_xlfn.XLOOKUP(B85,'Base stats'!B:B,'Base stats'!E:E),Groups!A:A,Groups!Q:Q)*150 + 0.5 + _xlfn.XLOOKUP(B85,'Base stats'!B:B,'Base stats'!BU:BU),
0.05))</f>
        <v>No</v>
      </c>
      <c r="K85" s="3" t="str">
        <f>IF(Animals!X85="No","No",
IF(_xlfn.XLOOKUP(_xlfn.XLOOKUP(B85,'Base stats'!B:B,'Base stats'!E:E),Groups!A:A,Groups!BD:BD)=1,
MAX(MROUND(_xlfn.XLOOKUP(B85,'Base stats'!B:B,'Base stats'!BS:BS) * _xlfn.XLOOKUP(B85,'Base stats'!B:B,'Base stats'!BO:BO)^0.9 / 21 *_xlfn.XLOOKUP(B85,'Base stats'!B:B,'Base stats'!BV:BV),0.1),0.05),
MAX(MROUND(((MIN(10,_xlfn.XLOOKUP(B85,'Base stats'!B:B,'Base stats'!W:W)))^0.4*_xlfn.XLOOKUP(B85,'Base stats'!B:B,'Base stats'!BG:BG)^0.73)^0.6 *_xlfn.XLOOKUP(B85,'Base stats'!B:B,'Base stats'!BV:BV),0.1),0.05)
))</f>
        <v>No</v>
      </c>
      <c r="L85" s="11" t="str">
        <f>IF(K85="No","No",
MAX(0.01,MROUND(_xlfn.XLOOKUP(B85,'Base stats'!B:B,'Base stats'!BG:BG) * 0.01 *2, 0.01))
)</f>
        <v>No</v>
      </c>
      <c r="M85" s="5" t="str">
        <f>IF(K85="No","No",IF(_xlfn.XLOOKUP(_xlfn.XLOOKUP(B85,'Base stats'!B:B,'Base stats'!E:E),Groups!A:A,Groups!BD:BD)=1,"No",
MAX(0.01,MROUND(_xlfn.XLOOKUP(B85,'Base stats'!B:B,'Base stats'!BS:BS)/10000,0.01))
))</f>
        <v>No</v>
      </c>
      <c r="N85" s="4" t="str">
        <f>IF(K85="No","No",
MROUND(
  _xlfn.XLOOKUP(B85,'Base stats'!B:B,'Base stats'!BA:BA)^0.25
  / (_xlfn.XLOOKUP(B85,'Base stats'!B:B,'Base stats'!BK:BK)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stats'!BU:BU),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stats'!BH:BH)^0.73)^0.6 *_xlfn.XLOOKUP(B85,'Base stats'!B:B,'Base stats'!BV:BV),0.1),0.05)
)</f>
        <v>4.5</v>
      </c>
      <c r="P85" s="11">
        <f>IF(O85="No","No",
MAX(0.01,MROUND(_xlfn.XLOOKUP(B85,'Base stats'!B:B,'Base stats'!BH:BH) * 0.01 * 2, 0.01))
)</f>
        <v>0.52</v>
      </c>
      <c r="Q85" s="5">
        <f>IF(O85="No","No",
MAX(0.01,MROUND(_xlfn.XLOOKUP(B85,'Base stats'!B:B,'Base stats'!BT:BT)/10000,0.01))
)</f>
        <v>7.0000000000000007E-2</v>
      </c>
      <c r="R85" s="4">
        <f>IF(O85="No","No",
MROUND(_xlfn.XLOOKUP(B85,'Base stats'!B:B,'Base stats'!AZ:AZ)^0.25
/((_xlfn.XLOOKUP(B85,'Base stats'!B:B,'Base stats'!BL:BL))*10)*_xlfn.XLOOKUP(_xlfn.XLOOKUP(B85,'Base stats'!B:B,'Base stats'!E:E),Groups!A:A,Groups!Z:Z)*150 + 0.5 + _xlfn.XLOOKUP(B85,'Base stats'!B:B,'Base stats'!BU:BU),
0.05))</f>
        <v>1.9000000000000001</v>
      </c>
      <c r="S85" s="3">
        <f>IF(Animals!AI85="No","No",
IF(_xlfn.XLOOKUP(B85,'Base stats'!B:B,'Base stats'!U:U)="No",
MAX(MROUND(_xlfn.XLOOKUP(B85,'Base stats'!B:B,'Base stats'!BR:BR) * _xlfn.XLOOKUP(B85,'Base stats'!B:B,'Base stats'!BN:BN)^0.9 / 21 * _xlfn.XLOOKUP(B85,'Base stats'!B:B,'Base stats'!BV:BV),0.1),0.05),
MAX(MROUND(((MIN(12,_xlfn.XLOOKUP(B85,'Base stats'!B:B,'Base stats'!U:U)))^0.4*_xlfn.XLOOKUP(B85,'Base stats'!B:B,'Base stats'!BF:BF)^0.73)^0.6 * _xlfn.XLOOKUP(B85,'Base stats'!B:B,'Base stats'!BV:BV),0.1),0.05)
))</f>
        <v>4.1000000000000005</v>
      </c>
      <c r="T85" s="11">
        <f>IF(S85="No","No",
MAX(0.01,MROUND(_xlfn.XLOOKUP(B85,'Base stats'!B:B,'Base stats'!BF:BF) * 0.01 * 2, 0.01))
)</f>
        <v>0.5</v>
      </c>
      <c r="U85" s="5">
        <f>IF(S85="No","No",IF(_xlfn.XLOOKUP(B85,'Base stats'!B:B,'Base stats'!U:U)="No","No",
MAX(0.01,MROUND(_xlfn.XLOOKUP(B85,'Base stats'!B:B,'Base stats'!BR:BR)/10000,0.01))
))</f>
        <v>0.06</v>
      </c>
      <c r="V85" s="4">
        <f>IF(S85="No","No",
MROUND(_xlfn.XLOOKUP(B85,'Base stats'!B:B,'Base stats'!BD:BD)^0.25
/((_xlfn.XLOOKUP(B85,'Base stats'!B:B,'Base stats'!BM:BM))*10)*_xlfn.XLOOKUP(_xlfn.XLOOKUP(B85,'Base stats'!B:B,'Base stats'!E:E),Groups!A:A,Groups!AE:AE)*150 + 0.5 + _xlfn.XLOOKUP(B85,'Base stats'!B:B,'Base stats'!BU:BU),
0.05))</f>
        <v>1.2000000000000002</v>
      </c>
      <c r="W85" s="8">
        <f>MROUND(_xlfn.XLOOKUP(_xlfn.XLOOKUP(B85,'Base stats'!B:B,'Base stats'!E:E),Groups!A:A,Groups!BG:BG)*_xlfn.XLOOKUP(B85,'Base stats'!B:B,'Base stats'!C:C)^-0.165,0.01)</f>
        <v>0.74</v>
      </c>
      <c r="X85" s="1">
        <f>MROUND(_xlfn.XLOOKUP(_xlfn.XLOOKUP(B85,'Base stats'!B:B,'Base stats'!E:E),Groups!A:A,Groups!BH:BH)*_xlfn.XLOOKUP(B85,'Base stats'!B:B,'Base stats'!C:C)^0.165,0.01)</f>
        <v>0.3</v>
      </c>
      <c r="Y85" s="8">
        <f>MROUND(_xlfn.XLOOKUP(_xlfn.XLOOKUP(B85,'Base stats'!B:B,'Base stats'!E:E),Groups!A:A,Groups!BI:BI)*_xlfn.XLOOKUP(B85,'Base stats'!B:B,'Base stats'!C:C)^0.165,0.01)</f>
        <v>0.04</v>
      </c>
      <c r="Z85" s="18">
        <f>ROUND(_xlfn.XLOOKUP(B85,'Base stats'!B:B,'Base stats'!AO:AO)*_xlfn.XLOOKUP(_xlfn.XLOOKUP(B85,'Base stats'!B:B,'Base stats'!E:E),Groups!A:A,Groups!H:H)/1000,2)</f>
        <v>0.05</v>
      </c>
      <c r="AA85" s="18">
        <f>ROUND((1/2)*(_xlfn.XLOOKUP(_xlfn.XLOOKUP(B85,'Base stats'!B:B,'Base stats'!E:E),Groups!A:A,Groups!H:H)*_xlfn.XLOOKUP(_xlfn.XLOOKUP(B85,'Base stats'!B:B,'Base stats'!E:E),Groups!A:A,Groups!I:I))*_xlfn.XLOOKUP(B85,'Base stats'!B:B,'Base stats'!AO:AO)*0.01,2)</f>
        <v>0.39</v>
      </c>
      <c r="AB85" s="18">
        <f>250*(Animals!AO85+Animals!AP85)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stats'!BQ:BQ) * (_xlfn.XLOOKUP(B86,'Base stats'!B:B,'Base stats'!AM:AM)*5%)^0.9 / 21,0.1),0.05)</f>
        <v>5</v>
      </c>
      <c r="E86" s="11">
        <f>MAX(0.01,MROUND(_xlfn.XLOOKUP(B86,'Base stats'!B:B,'Base stats'!BE:BE) * 0.01 * 2, 0.01))</f>
        <v>4.41</v>
      </c>
      <c r="F86" s="7">
        <f>MROUND(_xlfn.XLOOKUP(B86,'Base stats'!B:B,'Base stats'!BB:BB)^0.25 / (_xlfn.XLOOKUP(B86,'Base stats'!B:B,'Base stats'!BI:BI) * 10) * 150 + 0.5 + _xlfn.XLOOKUP(B86,'Base stats'!B:B,'Base stats'!BU:BU), 0.05)</f>
        <v>2.15</v>
      </c>
      <c r="G86" s="3" t="str">
        <f>IF(Animals!S86="No","No",
IF(_xlfn.XLOOKUP(B86,'Base stats'!B:B,'Base stats'!U:U)="No",
MAX(MROUND(_xlfn.XLOOKUP(B86,'Base stats'!B:B,'Base stats'!BR:BR) * _xlfn.XLOOKUP(B86,'Base stats'!B:B,'Base stats'!BN:BN)^0.9 / 21 * _xlfn.XLOOKUP(B86,'Base stats'!B:B,'Base stats'!BV:BV),0.1),0.05),
MAX(MROUND(((MIN(10,_xlfn.XLOOKUP(B86,'Base stats'!B:B,'Base stats'!U:U)))^0.4*_xlfn.XLOOKUP(B86,'Base stats'!B:B,'Base stats'!BF:BF)^0.73)^0.6 * _xlfn.XLOOKUP(B86,'Base stats'!B:B,'Base stats'!BV:BV),0.1),0.05)
))</f>
        <v>No</v>
      </c>
      <c r="H86" s="11" t="str">
        <f>IF(G86="No","No",
MAX(0.01,MROUND(_xlfn.XLOOKUP(B86,'Base stats'!B:B,'Base stats'!BF:BF) * 0.01 * 2, 0.01))
)</f>
        <v>No</v>
      </c>
      <c r="I86" s="11" t="str">
        <f>IF(G86="No","No",IF(_xlfn.XLOOKUP(B86,'Base stats'!B:B,'Base stats'!U:U)="No","No",
MAX(0.01,MROUND(_xlfn.XLOOKUP(B86,'Base stats'!B:B,'Base stats'!BR:BR)/10000,0.01))
))</f>
        <v>No</v>
      </c>
      <c r="J86" s="4" t="str">
        <f>IF(G86="No","No",
MROUND(_xlfn.XLOOKUP(B86,'Base stats'!B:B,'Base stats'!BC:BC)^0.25
/((_xlfn.XLOOKUP(B86,'Base stats'!B:B,'Base stats'!BJ:BJ))*10)*_xlfn.XLOOKUP(_xlfn.XLOOKUP(B86,'Base stats'!B:B,'Base stats'!E:E),Groups!A:A,Groups!Q:Q)*150 + 0.5 + _xlfn.XLOOKUP(B86,'Base stats'!B:B,'Base stats'!BU:BU),
0.05))</f>
        <v>No</v>
      </c>
      <c r="K86" s="3" t="str">
        <f>IF(Animals!X86="No","No",
IF(_xlfn.XLOOKUP(_xlfn.XLOOKUP(B86,'Base stats'!B:B,'Base stats'!E:E),Groups!A:A,Groups!BD:BD)=1,
MAX(MROUND(_xlfn.XLOOKUP(B86,'Base stats'!B:B,'Base stats'!BS:BS) * _xlfn.XLOOKUP(B86,'Base stats'!B:B,'Base stats'!BO:BO)^0.9 / 21 *_xlfn.XLOOKUP(B86,'Base stats'!B:B,'Base stats'!BV:BV),0.1),0.05),
MAX(MROUND(((MIN(10,_xlfn.XLOOKUP(B86,'Base stats'!B:B,'Base stats'!W:W)))^0.4*_xlfn.XLOOKUP(B86,'Base stats'!B:B,'Base stats'!BG:BG)^0.73)^0.6 *_xlfn.XLOOKUP(B86,'Base stats'!B:B,'Base stats'!BV:BV),0.1),0.05)
))</f>
        <v>No</v>
      </c>
      <c r="L86" s="11" t="str">
        <f>IF(K86="No","No",
MAX(0.01,MROUND(_xlfn.XLOOKUP(B86,'Base stats'!B:B,'Base stats'!BG:BG) * 0.01 *2, 0.01))
)</f>
        <v>No</v>
      </c>
      <c r="M86" s="5" t="str">
        <f>IF(K86="No","No",IF(_xlfn.XLOOKUP(_xlfn.XLOOKUP(B86,'Base stats'!B:B,'Base stats'!E:E),Groups!A:A,Groups!BD:BD)=1,"No",
MAX(0.01,MROUND(_xlfn.XLOOKUP(B86,'Base stats'!B:B,'Base stats'!BS:BS)/10000,0.01))
))</f>
        <v>No</v>
      </c>
      <c r="N86" s="4" t="str">
        <f>IF(K86="No","No",
MROUND(
  _xlfn.XLOOKUP(B86,'Base stats'!B:B,'Base stats'!BA:BA)^0.25
  / (_xlfn.XLOOKUP(B86,'Base stats'!B:B,'Base stats'!BK:BK)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stats'!BU:BU),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stats'!BH:BH)^0.73)^0.6 *_xlfn.XLOOKUP(B86,'Base stats'!B:B,'Base stats'!BV:BV),0.1),0.05)
)</f>
        <v>16.5</v>
      </c>
      <c r="P86" s="11">
        <f>IF(O86="No","No",
MAX(0.01,MROUND(_xlfn.XLOOKUP(B86,'Base stats'!B:B,'Base stats'!BH:BH) * 0.01 * 2, 0.01))
)</f>
        <v>4.93</v>
      </c>
      <c r="Q86" s="5">
        <f>IF(O86="No","No",
MAX(0.01,MROUND(_xlfn.XLOOKUP(B86,'Base stats'!B:B,'Base stats'!BT:BT)/10000,0.01))
)</f>
        <v>0.2</v>
      </c>
      <c r="R86" s="4">
        <f>IF(O86="No","No",
MROUND(_xlfn.XLOOKUP(B86,'Base stats'!B:B,'Base stats'!AZ:AZ)^0.25
/((_xlfn.XLOOKUP(B86,'Base stats'!B:B,'Base stats'!BL:BL))*10)*_xlfn.XLOOKUP(_xlfn.XLOOKUP(B86,'Base stats'!B:B,'Base stats'!E:E),Groups!A:A,Groups!Z:Z)*150 + 0.5 + _xlfn.XLOOKUP(B86,'Base stats'!B:B,'Base stats'!BU:BU),
0.05))</f>
        <v>2.3000000000000003</v>
      </c>
      <c r="S86" s="3" t="str">
        <f>IF(Animals!AI86="No","No",
IF(_xlfn.XLOOKUP(B86,'Base stats'!B:B,'Base stats'!U:U)="No",
MAX(MROUND(_xlfn.XLOOKUP(B86,'Base stats'!B:B,'Base stats'!BR:BR) * _xlfn.XLOOKUP(B86,'Base stats'!B:B,'Base stats'!BN:BN)^0.9 / 21 * _xlfn.XLOOKUP(B86,'Base stats'!B:B,'Base stats'!BV:BV),0.1),0.05),
MAX(MROUND(((MIN(12,_xlfn.XLOOKUP(B86,'Base stats'!B:B,'Base stats'!U:U)))^0.4*_xlfn.XLOOKUP(B86,'Base stats'!B:B,'Base stats'!BF:BF)^0.73)^0.6 * _xlfn.XLOOKUP(B86,'Base stats'!B:B,'Base stats'!BV:BV),0.1),0.05)
))</f>
        <v>No</v>
      </c>
      <c r="T86" s="11" t="str">
        <f>IF(S86="No","No",
MAX(0.01,MROUND(_xlfn.XLOOKUP(B86,'Base stats'!B:B,'Base stats'!BF:BF) * 0.01 * 2, 0.01))
)</f>
        <v>No</v>
      </c>
      <c r="U86" s="5" t="str">
        <f>IF(S86="No","No",IF(_xlfn.XLOOKUP(B86,'Base stats'!B:B,'Base stats'!U:U)="No","No",
MAX(0.01,MROUND(_xlfn.XLOOKUP(B86,'Base stats'!B:B,'Base stats'!BR:BR)/10000,0.01))
))</f>
        <v>No</v>
      </c>
      <c r="V86" s="4" t="str">
        <f>IF(S86="No","No",
MROUND(_xlfn.XLOOKUP(B86,'Base stats'!B:B,'Base stats'!BD:BD)^0.25
/((_xlfn.XLOOKUP(B86,'Base stats'!B:B,'Base stats'!BM:BM))*10)*_xlfn.XLOOKUP(_xlfn.XLOOKUP(B86,'Base stats'!B:B,'Base stats'!E:E),Groups!A:A,Groups!AE:AE)*150 + 0.5 + _xlfn.XLOOKUP(B86,'Base stats'!B:B,'Base stats'!BU:BU),
0.05))</f>
        <v>No</v>
      </c>
      <c r="W86" s="8">
        <f>MROUND(_xlfn.XLOOKUP(_xlfn.XLOOKUP(B86,'Base stats'!B:B,'Base stats'!E:E),Groups!A:A,Groups!BG:BG)*_xlfn.XLOOKUP(B86,'Base stats'!B:B,'Base stats'!C:C)^-0.165,0.01)</f>
        <v>0.3</v>
      </c>
      <c r="X86" s="1">
        <f>MROUND(_xlfn.XLOOKUP(_xlfn.XLOOKUP(B86,'Base stats'!B:B,'Base stats'!E:E),Groups!A:A,Groups!BH:BH)*_xlfn.XLOOKUP(B86,'Base stats'!B:B,'Base stats'!C:C)^0.165,0.01)</f>
        <v>0.24</v>
      </c>
      <c r="Y86" s="8">
        <f>MROUND(_xlfn.XLOOKUP(_xlfn.XLOOKUP(B86,'Base stats'!B:B,'Base stats'!E:E),Groups!A:A,Groups!BI:BI)*_xlfn.XLOOKUP(B86,'Base stats'!B:B,'Base stats'!C:C)^0.165,0.01)</f>
        <v>0.06</v>
      </c>
      <c r="Z86" s="18">
        <f>ROUND(_xlfn.XLOOKUP(B86,'Base stats'!B:B,'Base stats'!AO:AO)*_xlfn.XLOOKUP(_xlfn.XLOOKUP(B86,'Base stats'!B:B,'Base stats'!E:E),Groups!A:A,Groups!H:H)/1000,2)</f>
        <v>0.14000000000000001</v>
      </c>
      <c r="AA86" s="18">
        <f>ROUND((1/2)*(_xlfn.XLOOKUP(_xlfn.XLOOKUP(B86,'Base stats'!B:B,'Base stats'!E:E),Groups!A:A,Groups!H:H)*_xlfn.XLOOKUP(_xlfn.XLOOKUP(B86,'Base stats'!B:B,'Base stats'!E:E),Groups!A:A,Groups!I:I))*_xlfn.XLOOKUP(B86,'Base stats'!B:B,'Base stats'!AO:AO)*0.01,2)</f>
        <v>0.75</v>
      </c>
      <c r="AB86" s="18">
        <f>250*(Animals!AO86+Animals!AP86)</f>
        <v>937.50000000000011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stats'!BQ:BQ) * (_xlfn.XLOOKUP(B87,'Base stats'!B:B,'Base stats'!AM:AM)*5%)^0.9 / 21,0.1),0.05)</f>
        <v>3.4000000000000004</v>
      </c>
      <c r="E87" s="11">
        <f>MAX(0.01,MROUND(_xlfn.XLOOKUP(B87,'Base stats'!B:B,'Base stats'!BE:BE) * 0.01 * 2, 0.01))</f>
        <v>2.94</v>
      </c>
      <c r="F87" s="7">
        <f>MROUND(_xlfn.XLOOKUP(B87,'Base stats'!B:B,'Base stats'!BB:BB)^0.25 / (_xlfn.XLOOKUP(B87,'Base stats'!B:B,'Base stats'!BI:BI) * 10) * 150 + 0.5 + _xlfn.XLOOKUP(B87,'Base stats'!B:B,'Base stats'!BU:BU), 0.05)</f>
        <v>2</v>
      </c>
      <c r="G87" s="3" t="str">
        <f>IF(Animals!S87="No","No",
IF(_xlfn.XLOOKUP(B87,'Base stats'!B:B,'Base stats'!U:U)="No",
MAX(MROUND(_xlfn.XLOOKUP(B87,'Base stats'!B:B,'Base stats'!BR:BR) * _xlfn.XLOOKUP(B87,'Base stats'!B:B,'Base stats'!BN:BN)^0.9 / 21 * _xlfn.XLOOKUP(B87,'Base stats'!B:B,'Base stats'!BV:BV),0.1),0.05),
MAX(MROUND(((MIN(10,_xlfn.XLOOKUP(B87,'Base stats'!B:B,'Base stats'!U:U)))^0.4*_xlfn.XLOOKUP(B87,'Base stats'!B:B,'Base stats'!BF:BF)^0.73)^0.6 * _xlfn.XLOOKUP(B87,'Base stats'!B:B,'Base stats'!BV:BV),0.1),0.05)
))</f>
        <v>No</v>
      </c>
      <c r="H87" s="11" t="str">
        <f>IF(G87="No","No",
MAX(0.01,MROUND(_xlfn.XLOOKUP(B87,'Base stats'!B:B,'Base stats'!BF:BF) * 0.01 * 2, 0.01))
)</f>
        <v>No</v>
      </c>
      <c r="I87" s="11" t="str">
        <f>IF(G87="No","No",IF(_xlfn.XLOOKUP(B87,'Base stats'!B:B,'Base stats'!U:U)="No","No",
MAX(0.01,MROUND(_xlfn.XLOOKUP(B87,'Base stats'!B:B,'Base stats'!BR:BR)/10000,0.01))
))</f>
        <v>No</v>
      </c>
      <c r="J87" s="4" t="str">
        <f>IF(G87="No","No",
MROUND(_xlfn.XLOOKUP(B87,'Base stats'!B:B,'Base stats'!BC:BC)^0.25
/((_xlfn.XLOOKUP(B87,'Base stats'!B:B,'Base stats'!BJ:BJ))*10)*_xlfn.XLOOKUP(_xlfn.XLOOKUP(B87,'Base stats'!B:B,'Base stats'!E:E),Groups!A:A,Groups!Q:Q)*150 + 0.5 + _xlfn.XLOOKUP(B87,'Base stats'!B:B,'Base stats'!BU:BU),
0.05))</f>
        <v>No</v>
      </c>
      <c r="K87" s="3" t="str">
        <f>IF(Animals!X87="No","No",
IF(_xlfn.XLOOKUP(_xlfn.XLOOKUP(B87,'Base stats'!B:B,'Base stats'!E:E),Groups!A:A,Groups!BD:BD)=1,
MAX(MROUND(_xlfn.XLOOKUP(B87,'Base stats'!B:B,'Base stats'!BS:BS) * _xlfn.XLOOKUP(B87,'Base stats'!B:B,'Base stats'!BO:BO)^0.9 / 21 *_xlfn.XLOOKUP(B87,'Base stats'!B:B,'Base stats'!BV:BV),0.1),0.05),
MAX(MROUND(((MIN(10,_xlfn.XLOOKUP(B87,'Base stats'!B:B,'Base stats'!W:W)))^0.4*_xlfn.XLOOKUP(B87,'Base stats'!B:B,'Base stats'!BG:BG)^0.73)^0.6 *_xlfn.XLOOKUP(B87,'Base stats'!B:B,'Base stats'!BV:BV),0.1),0.05)
))</f>
        <v>No</v>
      </c>
      <c r="L87" s="11" t="str">
        <f>IF(K87="No","No",
MAX(0.01,MROUND(_xlfn.XLOOKUP(B87,'Base stats'!B:B,'Base stats'!BG:BG) * 0.01 *2, 0.01))
)</f>
        <v>No</v>
      </c>
      <c r="M87" s="5" t="str">
        <f>IF(K87="No","No",IF(_xlfn.XLOOKUP(_xlfn.XLOOKUP(B87,'Base stats'!B:B,'Base stats'!E:E),Groups!A:A,Groups!BD:BD)=1,"No",
MAX(0.01,MROUND(_xlfn.XLOOKUP(B87,'Base stats'!B:B,'Base stats'!BS:BS)/10000,0.01))
))</f>
        <v>No</v>
      </c>
      <c r="N87" s="4" t="str">
        <f>IF(K87="No","No",
MROUND(
  _xlfn.XLOOKUP(B87,'Base stats'!B:B,'Base stats'!BA:BA)^0.25
  / (_xlfn.XLOOKUP(B87,'Base stats'!B:B,'Base stats'!BK:BK)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stats'!BU:BU),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stats'!BH:BH)^0.73)^0.6 *_xlfn.XLOOKUP(B87,'Base stats'!B:B,'Base stats'!BV:BV),0.1),0.05)
)</f>
        <v>13.600000000000001</v>
      </c>
      <c r="P87" s="11">
        <f>IF(O87="No","No",
MAX(0.01,MROUND(_xlfn.XLOOKUP(B87,'Base stats'!B:B,'Base stats'!BH:BH) * 0.01 * 2, 0.01))
)</f>
        <v>3.43</v>
      </c>
      <c r="Q87" s="5">
        <f>IF(O87="No","No",
MAX(0.01,MROUND(_xlfn.XLOOKUP(B87,'Base stats'!B:B,'Base stats'!BT:BT)/10000,0.01))
)</f>
        <v>0.17</v>
      </c>
      <c r="R87" s="4">
        <f>IF(O87="No","No",
MROUND(_xlfn.XLOOKUP(B87,'Base stats'!B:B,'Base stats'!AZ:AZ)^0.25
/((_xlfn.XLOOKUP(B87,'Base stats'!B:B,'Base stats'!BL:BL))*10)*_xlfn.XLOOKUP(_xlfn.XLOOKUP(B87,'Base stats'!B:B,'Base stats'!E:E),Groups!A:A,Groups!Z:Z)*150 + 0.5 + _xlfn.XLOOKUP(B87,'Base stats'!B:B,'Base stats'!BU:BU),
0.05))</f>
        <v>2.2000000000000002</v>
      </c>
      <c r="S87" s="3" t="str">
        <f>IF(Animals!AI87="No","No",
IF(_xlfn.XLOOKUP(B87,'Base stats'!B:B,'Base stats'!U:U)="No",
MAX(MROUND(_xlfn.XLOOKUP(B87,'Base stats'!B:B,'Base stats'!BR:BR) * _xlfn.XLOOKUP(B87,'Base stats'!B:B,'Base stats'!BN:BN)^0.9 / 21 * _xlfn.XLOOKUP(B87,'Base stats'!B:B,'Base stats'!BV:BV),0.1),0.05),
MAX(MROUND(((MIN(12,_xlfn.XLOOKUP(B87,'Base stats'!B:B,'Base stats'!U:U)))^0.4*_xlfn.XLOOKUP(B87,'Base stats'!B:B,'Base stats'!BF:BF)^0.73)^0.6 * _xlfn.XLOOKUP(B87,'Base stats'!B:B,'Base stats'!BV:BV),0.1),0.05)
))</f>
        <v>No</v>
      </c>
      <c r="T87" s="11" t="str">
        <f>IF(S87="No","No",
MAX(0.01,MROUND(_xlfn.XLOOKUP(B87,'Base stats'!B:B,'Base stats'!BF:BF) * 0.01 * 2, 0.01))
)</f>
        <v>No</v>
      </c>
      <c r="U87" s="5" t="str">
        <f>IF(S87="No","No",IF(_xlfn.XLOOKUP(B87,'Base stats'!B:B,'Base stats'!U:U)="No","No",
MAX(0.01,MROUND(_xlfn.XLOOKUP(B87,'Base stats'!B:B,'Base stats'!BR:BR)/10000,0.01))
))</f>
        <v>No</v>
      </c>
      <c r="V87" s="4" t="str">
        <f>IF(S87="No","No",
MROUND(_xlfn.XLOOKUP(B87,'Base stats'!B:B,'Base stats'!BD:BD)^0.25
/((_xlfn.XLOOKUP(B87,'Base stats'!B:B,'Base stats'!BM:BM))*10)*_xlfn.XLOOKUP(_xlfn.XLOOKUP(B87,'Base stats'!B:B,'Base stats'!E:E),Groups!A:A,Groups!AE:AE)*150 + 0.5 + _xlfn.XLOOKUP(B87,'Base stats'!B:B,'Base stats'!BU:BU),
0.05))</f>
        <v>No</v>
      </c>
      <c r="W87" s="8">
        <f>MROUND(_xlfn.XLOOKUP(_xlfn.XLOOKUP(B87,'Base stats'!B:B,'Base stats'!E:E),Groups!A:A,Groups!BG:BG)*_xlfn.XLOOKUP(B87,'Base stats'!B:B,'Base stats'!C:C)^-0.165,0.01)</f>
        <v>0.32</v>
      </c>
      <c r="X87" s="1">
        <f>MROUND(_xlfn.XLOOKUP(_xlfn.XLOOKUP(B87,'Base stats'!B:B,'Base stats'!E:E),Groups!A:A,Groups!BH:BH)*_xlfn.XLOOKUP(B87,'Base stats'!B:B,'Base stats'!C:C)^0.165,0.01)</f>
        <v>0.22</v>
      </c>
      <c r="Y87" s="8">
        <f>MROUND(_xlfn.XLOOKUP(_xlfn.XLOOKUP(B87,'Base stats'!B:B,'Base stats'!E:E),Groups!A:A,Groups!BI:BI)*_xlfn.XLOOKUP(B87,'Base stats'!B:B,'Base stats'!C:C)^0.165,0.01)</f>
        <v>0.05</v>
      </c>
      <c r="Z87" s="18">
        <f>ROUND(_xlfn.XLOOKUP(B87,'Base stats'!B:B,'Base stats'!AO:AO)*_xlfn.XLOOKUP(_xlfn.XLOOKUP(B87,'Base stats'!B:B,'Base stats'!E:E),Groups!A:A,Groups!H:H)/1000,2)</f>
        <v>0.12</v>
      </c>
      <c r="AA87" s="18">
        <f>ROUND((1/2)*(_xlfn.XLOOKUP(_xlfn.XLOOKUP(B87,'Base stats'!B:B,'Base stats'!E:E),Groups!A:A,Groups!H:H)*_xlfn.XLOOKUP(_xlfn.XLOOKUP(B87,'Base stats'!B:B,'Base stats'!E:E),Groups!A:A,Groups!I:I))*_xlfn.XLOOKUP(B87,'Base stats'!B:B,'Base stats'!AO:AO)*0.01,2)</f>
        <v>0.64</v>
      </c>
      <c r="AB87" s="18">
        <f>250*(Animals!AO87+Animals!AP87)</f>
        <v>712.5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stats'!BQ:BQ) * (_xlfn.XLOOKUP(B88,'Base stats'!B:B,'Base stats'!AM:AM)*5%)^0.9 / 21,0.1),0.05)</f>
        <v>21.5</v>
      </c>
      <c r="E88" s="11">
        <f>MAX(0.01,MROUND(_xlfn.XLOOKUP(B88,'Base stats'!B:B,'Base stats'!BE:BE) * 0.01 * 2, 0.01))</f>
        <v>21.2</v>
      </c>
      <c r="F88" s="7">
        <f>MROUND(_xlfn.XLOOKUP(B88,'Base stats'!B:B,'Base stats'!BB:BB)^0.25 / (_xlfn.XLOOKUP(B88,'Base stats'!B:B,'Base stats'!BI:BI) * 10) * 150 + 0.5 + _xlfn.XLOOKUP(B88,'Base stats'!B:B,'Base stats'!BU:BU), 0.05)</f>
        <v>2.6500000000000004</v>
      </c>
      <c r="G88" s="3" t="str">
        <f>IF(Animals!S88="No","No",
IF(_xlfn.XLOOKUP(B88,'Base stats'!B:B,'Base stats'!U:U)="No",
MAX(MROUND(_xlfn.XLOOKUP(B88,'Base stats'!B:B,'Base stats'!BR:BR) * _xlfn.XLOOKUP(B88,'Base stats'!B:B,'Base stats'!BN:BN)^0.9 / 21 * _xlfn.XLOOKUP(B88,'Base stats'!B:B,'Base stats'!BV:BV),0.1),0.05),
MAX(MROUND(((MIN(10,_xlfn.XLOOKUP(B88,'Base stats'!B:B,'Base stats'!U:U)))^0.4*_xlfn.XLOOKUP(B88,'Base stats'!B:B,'Base stats'!BF:BF)^0.73)^0.6 * _xlfn.XLOOKUP(B88,'Base stats'!B:B,'Base stats'!BV:BV),0.1),0.05)
))</f>
        <v>No</v>
      </c>
      <c r="H88" s="11" t="str">
        <f>IF(G88="No","No",
MAX(0.01,MROUND(_xlfn.XLOOKUP(B88,'Base stats'!B:B,'Base stats'!BF:BF) * 0.01 * 2, 0.01))
)</f>
        <v>No</v>
      </c>
      <c r="I88" s="11" t="str">
        <f>IF(G88="No","No",IF(_xlfn.XLOOKUP(B88,'Base stats'!B:B,'Base stats'!U:U)="No","No",
MAX(0.01,MROUND(_xlfn.XLOOKUP(B88,'Base stats'!B:B,'Base stats'!BR:BR)/10000,0.01))
))</f>
        <v>No</v>
      </c>
      <c r="J88" s="4" t="str">
        <f>IF(G88="No","No",
MROUND(_xlfn.XLOOKUP(B88,'Base stats'!B:B,'Base stats'!BC:BC)^0.25
/((_xlfn.XLOOKUP(B88,'Base stats'!B:B,'Base stats'!BJ:BJ))*10)*_xlfn.XLOOKUP(_xlfn.XLOOKUP(B88,'Base stats'!B:B,'Base stats'!E:E),Groups!A:A,Groups!Q:Q)*150 + 0.5 + _xlfn.XLOOKUP(B88,'Base stats'!B:B,'Base stats'!BU:BU),
0.05))</f>
        <v>No</v>
      </c>
      <c r="K88" s="3">
        <f>IF(Animals!X88="No","No",
IF(_xlfn.XLOOKUP(_xlfn.XLOOKUP(B88,'Base stats'!B:B,'Base stats'!E:E),Groups!A:A,Groups!BD:BD)=1,
MAX(MROUND(_xlfn.XLOOKUP(B88,'Base stats'!B:B,'Base stats'!BS:BS) * _xlfn.XLOOKUP(B88,'Base stats'!B:B,'Base stats'!BO:BO)^0.9 / 21 *_xlfn.XLOOKUP(B88,'Base stats'!B:B,'Base stats'!BV:BV),0.1),0.05),
MAX(MROUND(((MIN(10,_xlfn.XLOOKUP(B88,'Base stats'!B:B,'Base stats'!W:W)))^0.4*_xlfn.XLOOKUP(B88,'Base stats'!B:B,'Base stats'!BG:BG)^0.73)^0.6 *_xlfn.XLOOKUP(B88,'Base stats'!B:B,'Base stats'!BV:BV),0.1),0.05)
))</f>
        <v>41.6</v>
      </c>
      <c r="L88" s="11">
        <f>IF(K88="No","No",
MAX(0.01,MROUND(_xlfn.XLOOKUP(B88,'Base stats'!B:B,'Base stats'!BG:BG) * 0.01 *2, 0.01))
)</f>
        <v>28.14</v>
      </c>
      <c r="M88" s="5">
        <f>IF(K88="No","No",IF(_xlfn.XLOOKUP(_xlfn.XLOOKUP(B88,'Base stats'!B:B,'Base stats'!E:E),Groups!A:A,Groups!BD:BD)=1,"No",
MAX(0.01,MROUND(_xlfn.XLOOKUP(B88,'Base stats'!B:B,'Base stats'!BS:BS)/10000,0.01))
))</f>
        <v>1.3900000000000001</v>
      </c>
      <c r="N88" s="4">
        <f>IF(K88="No","No",
MROUND(
  _xlfn.XLOOKUP(B88,'Base stats'!B:B,'Base stats'!BA:BA)^0.25
  / (_xlfn.XLOOKUP(B88,'Base stats'!B:B,'Base stats'!BK:BK)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stats'!BU:BU),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stats'!BH:BH)^0.73)^0.6 *_xlfn.XLOOKUP(B88,'Base stats'!B:B,'Base stats'!BV:BV),0.1),0.05)
)</f>
        <v>No</v>
      </c>
      <c r="P88" s="11" t="str">
        <f>IF(O88="No","No",
MAX(0.01,MROUND(_xlfn.XLOOKUP(B88,'Base stats'!B:B,'Base stats'!BH:BH) * 0.01 * 2, 0.01))
)</f>
        <v>No</v>
      </c>
      <c r="Q88" s="5" t="str">
        <f>IF(O88="No","No",
MAX(0.01,MROUND(_xlfn.XLOOKUP(B88,'Base stats'!B:B,'Base stats'!BT:BT)/10000,0.01))
)</f>
        <v>No</v>
      </c>
      <c r="R88" s="4" t="str">
        <f>IF(O88="No","No",
MROUND(_xlfn.XLOOKUP(B88,'Base stats'!B:B,'Base stats'!AZ:AZ)^0.25
/((_xlfn.XLOOKUP(B88,'Base stats'!B:B,'Base stats'!BL:BL))*10)*_xlfn.XLOOKUP(_xlfn.XLOOKUP(B88,'Base stats'!B:B,'Base stats'!E:E),Groups!A:A,Groups!Z:Z)*150 + 0.5 + _xlfn.XLOOKUP(B88,'Base stats'!B:B,'Base stats'!BU:BU),
0.05))</f>
        <v>No</v>
      </c>
      <c r="S88" s="3" t="str">
        <f>IF(Animals!AI88="No","No",
IF(_xlfn.XLOOKUP(B88,'Base stats'!B:B,'Base stats'!U:U)="No",
MAX(MROUND(_xlfn.XLOOKUP(B88,'Base stats'!B:B,'Base stats'!BR:BR) * _xlfn.XLOOKUP(B88,'Base stats'!B:B,'Base stats'!BN:BN)^0.9 / 21 * _xlfn.XLOOKUP(B88,'Base stats'!B:B,'Base stats'!BV:BV),0.1),0.05),
MAX(MROUND(((MIN(12,_xlfn.XLOOKUP(B88,'Base stats'!B:B,'Base stats'!U:U)))^0.4*_xlfn.XLOOKUP(B88,'Base stats'!B:B,'Base stats'!BF:BF)^0.73)^0.6 * _xlfn.XLOOKUP(B88,'Base stats'!B:B,'Base stats'!BV:BV),0.1),0.05)
))</f>
        <v>No</v>
      </c>
      <c r="T88" s="11" t="str">
        <f>IF(S88="No","No",
MAX(0.01,MROUND(_xlfn.XLOOKUP(B88,'Base stats'!B:B,'Base stats'!BF:BF) * 0.01 * 2, 0.01))
)</f>
        <v>No</v>
      </c>
      <c r="U88" s="5" t="str">
        <f>IF(S88="No","No",IF(_xlfn.XLOOKUP(B88,'Base stats'!B:B,'Base stats'!U:U)="No","No",
MAX(0.01,MROUND(_xlfn.XLOOKUP(B88,'Base stats'!B:B,'Base stats'!BR:BR)/10000,0.01))
))</f>
        <v>No</v>
      </c>
      <c r="V88" s="4" t="str">
        <f>IF(S88="No","No",
MROUND(_xlfn.XLOOKUP(B88,'Base stats'!B:B,'Base stats'!BD:BD)^0.25
/((_xlfn.XLOOKUP(B88,'Base stats'!B:B,'Base stats'!BM:BM))*10)*_xlfn.XLOOKUP(_xlfn.XLOOKUP(B88,'Base stats'!B:B,'Base stats'!E:E),Groups!A:A,Groups!AE:AE)*150 + 0.5 + _xlfn.XLOOKUP(B88,'Base stats'!B:B,'Base stats'!BU:BU),
0.05))</f>
        <v>No</v>
      </c>
      <c r="W88" s="8">
        <f>MROUND(_xlfn.XLOOKUP(_xlfn.XLOOKUP(B88,'Base stats'!B:B,'Base stats'!E:E),Groups!A:A,Groups!BG:BG)*_xlfn.XLOOKUP(B88,'Base stats'!B:B,'Base stats'!C:C)^-0.165,0.01)</f>
        <v>0.22</v>
      </c>
      <c r="X88" s="1">
        <f>MROUND(_xlfn.XLOOKUP(_xlfn.XLOOKUP(B88,'Base stats'!B:B,'Base stats'!E:E),Groups!A:A,Groups!BH:BH)*_xlfn.XLOOKUP(B88,'Base stats'!B:B,'Base stats'!C:C)^0.165,0.01)</f>
        <v>0.31</v>
      </c>
      <c r="Y88" s="8">
        <f>MROUND(_xlfn.XLOOKUP(_xlfn.XLOOKUP(B88,'Base stats'!B:B,'Base stats'!E:E),Groups!A:A,Groups!BI:BI)*_xlfn.XLOOKUP(B88,'Base stats'!B:B,'Base stats'!C:C)^0.165,0.01)</f>
        <v>0.08</v>
      </c>
      <c r="Z88" s="18">
        <f>ROUND(_xlfn.XLOOKUP(B88,'Base stats'!B:B,'Base stats'!AO:AO)*_xlfn.XLOOKUP(_xlfn.XLOOKUP(B88,'Base stats'!B:B,'Base stats'!E:E),Groups!A:A,Groups!H:H)/1000,2)</f>
        <v>0.25</v>
      </c>
      <c r="AA88" s="18">
        <f>ROUND((1/2)*(_xlfn.XLOOKUP(_xlfn.XLOOKUP(B88,'Base stats'!B:B,'Base stats'!E:E),Groups!A:A,Groups!H:H)*_xlfn.XLOOKUP(_xlfn.XLOOKUP(B88,'Base stats'!B:B,'Base stats'!E:E),Groups!A:A,Groups!I:I))*_xlfn.XLOOKUP(B88,'Base stats'!B:B,'Base stats'!AO:AO)*0.01,2)</f>
        <v>1.38</v>
      </c>
      <c r="AB88" s="18">
        <f>250*(Animals!AO88+Animals!AP88)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stats'!BQ:BQ) * (_xlfn.XLOOKUP(B89,'Base stats'!B:B,'Base stats'!AM:AM)*5%)^0.9 / 21,0.1),0.05)</f>
        <v>4.3</v>
      </c>
      <c r="E89" s="11">
        <f>MAX(0.01,MROUND(_xlfn.XLOOKUP(B89,'Base stats'!B:B,'Base stats'!BE:BE) * 0.01 * 2, 0.01))</f>
        <v>3.74</v>
      </c>
      <c r="F89" s="7">
        <f>MROUND(_xlfn.XLOOKUP(B89,'Base stats'!B:B,'Base stats'!BB:BB)^0.25 / (_xlfn.XLOOKUP(B89,'Base stats'!B:B,'Base stats'!BI:BI) * 10) * 150 + 0.5 + _xlfn.XLOOKUP(B89,'Base stats'!B:B,'Base stats'!BU:BU), 0.05)</f>
        <v>1.75</v>
      </c>
      <c r="G89" s="3" t="str">
        <f>IF(Animals!S89="No","No",
IF(_xlfn.XLOOKUP(B89,'Base stats'!B:B,'Base stats'!U:U)="No",
MAX(MROUND(_xlfn.XLOOKUP(B89,'Base stats'!B:B,'Base stats'!BR:BR) * _xlfn.XLOOKUP(B89,'Base stats'!B:B,'Base stats'!BN:BN)^0.9 / 21 * _xlfn.XLOOKUP(B89,'Base stats'!B:B,'Base stats'!BV:BV),0.1),0.05),
MAX(MROUND(((MIN(10,_xlfn.XLOOKUP(B89,'Base stats'!B:B,'Base stats'!U:U)))^0.4*_xlfn.XLOOKUP(B89,'Base stats'!B:B,'Base stats'!BF:BF)^0.73)^0.6 * _xlfn.XLOOKUP(B89,'Base stats'!B:B,'Base stats'!BV:BV),0.1),0.05)
))</f>
        <v>No</v>
      </c>
      <c r="H89" s="11" t="str">
        <f>IF(G89="No","No",
MAX(0.01,MROUND(_xlfn.XLOOKUP(B89,'Base stats'!B:B,'Base stats'!BF:BF) * 0.01 * 2, 0.01))
)</f>
        <v>No</v>
      </c>
      <c r="I89" s="11" t="str">
        <f>IF(G89="No","No",IF(_xlfn.XLOOKUP(B89,'Base stats'!B:B,'Base stats'!U:U)="No","No",
MAX(0.01,MROUND(_xlfn.XLOOKUP(B89,'Base stats'!B:B,'Base stats'!BR:BR)/10000,0.01))
))</f>
        <v>No</v>
      </c>
      <c r="J89" s="4" t="str">
        <f>IF(G89="No","No",
MROUND(_xlfn.XLOOKUP(B89,'Base stats'!B:B,'Base stats'!BC:BC)^0.25
/((_xlfn.XLOOKUP(B89,'Base stats'!B:B,'Base stats'!BJ:BJ))*10)*_xlfn.XLOOKUP(_xlfn.XLOOKUP(B89,'Base stats'!B:B,'Base stats'!E:E),Groups!A:A,Groups!Q:Q)*150 + 0.5 + _xlfn.XLOOKUP(B89,'Base stats'!B:B,'Base stats'!BU:BU),
0.05))</f>
        <v>No</v>
      </c>
      <c r="K89" s="3" t="str">
        <f>IF(Animals!X89="No","No",
IF(_xlfn.XLOOKUP(_xlfn.XLOOKUP(B89,'Base stats'!B:B,'Base stats'!E:E),Groups!A:A,Groups!BD:BD)=1,
MAX(MROUND(_xlfn.XLOOKUP(B89,'Base stats'!B:B,'Base stats'!BS:BS) * _xlfn.XLOOKUP(B89,'Base stats'!B:B,'Base stats'!BO:BO)^0.9 / 21 *_xlfn.XLOOKUP(B89,'Base stats'!B:B,'Base stats'!BV:BV),0.1),0.05),
MAX(MROUND(((MIN(10,_xlfn.XLOOKUP(B89,'Base stats'!B:B,'Base stats'!W:W)))^0.4*_xlfn.XLOOKUP(B89,'Base stats'!B:B,'Base stats'!BG:BG)^0.73)^0.6 *_xlfn.XLOOKUP(B89,'Base stats'!B:B,'Base stats'!BV:BV),0.1),0.05)
))</f>
        <v>No</v>
      </c>
      <c r="L89" s="11" t="str">
        <f>IF(K89="No","No",
MAX(0.01,MROUND(_xlfn.XLOOKUP(B89,'Base stats'!B:B,'Base stats'!BG:BG) * 0.01 *2, 0.01))
)</f>
        <v>No</v>
      </c>
      <c r="M89" s="5" t="str">
        <f>IF(K89="No","No",IF(_xlfn.XLOOKUP(_xlfn.XLOOKUP(B89,'Base stats'!B:B,'Base stats'!E:E),Groups!A:A,Groups!BD:BD)=1,"No",
MAX(0.01,MROUND(_xlfn.XLOOKUP(B89,'Base stats'!B:B,'Base stats'!BS:BS)/10000,0.01))
))</f>
        <v>No</v>
      </c>
      <c r="N89" s="4" t="str">
        <f>IF(K89="No","No",
MROUND(
  _xlfn.XLOOKUP(B89,'Base stats'!B:B,'Base stats'!BA:BA)^0.25
  / (_xlfn.XLOOKUP(B89,'Base stats'!B:B,'Base stats'!BK:BK)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stats'!BU:BU),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stats'!BH:BH)^0.73)^0.6 *_xlfn.XLOOKUP(B89,'Base stats'!B:B,'Base stats'!BV:BV),0.1),0.05)
)</f>
        <v>11.5</v>
      </c>
      <c r="P89" s="11">
        <f>IF(O89="No","No",
MAX(0.01,MROUND(_xlfn.XLOOKUP(B89,'Base stats'!B:B,'Base stats'!BH:BH) * 0.01 * 2, 0.01))
)</f>
        <v>2.79</v>
      </c>
      <c r="Q89" s="5">
        <f>IF(O89="No","No",
MAX(0.01,MROUND(_xlfn.XLOOKUP(B89,'Base stats'!B:B,'Base stats'!BT:BT)/10000,0.01))
)</f>
        <v>0.12</v>
      </c>
      <c r="R89" s="4">
        <f>IF(O89="No","No",
MROUND(_xlfn.XLOOKUP(B89,'Base stats'!B:B,'Base stats'!AZ:AZ)^0.25
/((_xlfn.XLOOKUP(B89,'Base stats'!B:B,'Base stats'!BL:BL))*10)*_xlfn.XLOOKUP(_xlfn.XLOOKUP(B89,'Base stats'!B:B,'Base stats'!E:E),Groups!A:A,Groups!Z:Z)*150 + 0.5 + _xlfn.XLOOKUP(B89,'Base stats'!B:B,'Base stats'!BU:BU),
0.05))</f>
        <v>2.1</v>
      </c>
      <c r="S89" s="3">
        <f>IF(Animals!AI89="No","No",
IF(_xlfn.XLOOKUP(B89,'Base stats'!B:B,'Base stats'!U:U)="No",
MAX(MROUND(_xlfn.XLOOKUP(B89,'Base stats'!B:B,'Base stats'!BR:BR) * _xlfn.XLOOKUP(B89,'Base stats'!B:B,'Base stats'!BN:BN)^0.9 / 21 * _xlfn.XLOOKUP(B89,'Base stats'!B:B,'Base stats'!BV:BV),0.1),0.05),
MAX(MROUND(((MIN(12,_xlfn.XLOOKUP(B89,'Base stats'!B:B,'Base stats'!U:U)))^0.4*_xlfn.XLOOKUP(B89,'Base stats'!B:B,'Base stats'!BF:BF)^0.73)^0.6 * _xlfn.XLOOKUP(B89,'Base stats'!B:B,'Base stats'!BV:BV),0.1),0.05)
))</f>
        <v>9.2000000000000011</v>
      </c>
      <c r="T89" s="11">
        <f>IF(S89="No","No",
MAX(0.01,MROUND(_xlfn.XLOOKUP(B89,'Base stats'!B:B,'Base stats'!BF:BF) * 0.01 * 2, 0.01))
)</f>
        <v>4.6000000000000005</v>
      </c>
      <c r="U89" s="5" t="str">
        <f>IF(S89="No","No",IF(_xlfn.XLOOKUP(B89,'Base stats'!B:B,'Base stats'!U:U)="No","No",
MAX(0.01,MROUND(_xlfn.XLOOKUP(B89,'Base stats'!B:B,'Base stats'!BR:BR)/10000,0.01))
))</f>
        <v>No</v>
      </c>
      <c r="V89" s="4">
        <f>IF(S89="No","No",
MROUND(_xlfn.XLOOKUP(B89,'Base stats'!B:B,'Base stats'!BD:BD)^0.25
/((_xlfn.XLOOKUP(B89,'Base stats'!B:B,'Base stats'!BM:BM))*10)*_xlfn.XLOOKUP(_xlfn.XLOOKUP(B89,'Base stats'!B:B,'Base stats'!E:E),Groups!A:A,Groups!AE:AE)*150 + 0.5 + _xlfn.XLOOKUP(B89,'Base stats'!B:B,'Base stats'!BU:BU),
0.05))</f>
        <v>1.4500000000000002</v>
      </c>
      <c r="W89" s="8">
        <f>MROUND(_xlfn.XLOOKUP(_xlfn.XLOOKUP(B89,'Base stats'!B:B,'Base stats'!E:E),Groups!A:A,Groups!BG:BG)*_xlfn.XLOOKUP(B89,'Base stats'!B:B,'Base stats'!C:C)^-0.165,0.01)</f>
        <v>0.44</v>
      </c>
      <c r="X89" s="1">
        <f>MROUND(_xlfn.XLOOKUP(_xlfn.XLOOKUP(B89,'Base stats'!B:B,'Base stats'!E:E),Groups!A:A,Groups!BH:BH)*_xlfn.XLOOKUP(B89,'Base stats'!B:B,'Base stats'!C:C)^0.165,0.01)</f>
        <v>0.23</v>
      </c>
      <c r="Y89" s="8">
        <f>MROUND(_xlfn.XLOOKUP(_xlfn.XLOOKUP(B89,'Base stats'!B:B,'Base stats'!E:E),Groups!A:A,Groups!BI:BI)*_xlfn.XLOOKUP(B89,'Base stats'!B:B,'Base stats'!C:C)^0.165,0.01)</f>
        <v>0.11</v>
      </c>
      <c r="Z89" s="18">
        <f>ROUND(_xlfn.XLOOKUP(B89,'Base stats'!B:B,'Base stats'!AO:AO)*_xlfn.XLOOKUP(_xlfn.XLOOKUP(B89,'Base stats'!B:B,'Base stats'!E:E),Groups!A:A,Groups!H:H)/1000,2)</f>
        <v>0.05</v>
      </c>
      <c r="AA89" s="18">
        <f>ROUND((1/2)*(_xlfn.XLOOKUP(_xlfn.XLOOKUP(B89,'Base stats'!B:B,'Base stats'!E:E),Groups!A:A,Groups!H:H)*_xlfn.XLOOKUP(_xlfn.XLOOKUP(B89,'Base stats'!B:B,'Base stats'!E:E),Groups!A:A,Groups!I:I))*_xlfn.XLOOKUP(B89,'Base stats'!B:B,'Base stats'!AO:AO)*0.01,2)</f>
        <v>0.28999999999999998</v>
      </c>
      <c r="AB89" s="18">
        <f>250*(Animals!AO89+Animals!AP89)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stats'!BQ:BQ) * (_xlfn.XLOOKUP(B90,'Base stats'!B:B,'Base stats'!AM:AM)*5%)^0.9 / 21,0.1),0.05)</f>
        <v>2.7</v>
      </c>
      <c r="E90" s="11">
        <f>MAX(0.01,MROUND(_xlfn.XLOOKUP(B90,'Base stats'!B:B,'Base stats'!BE:BE) * 0.01 * 2, 0.01))</f>
        <v>2.2800000000000002</v>
      </c>
      <c r="F90" s="7">
        <f>MROUND(_xlfn.XLOOKUP(B90,'Base stats'!B:B,'Base stats'!BB:BB)^0.25 / (_xlfn.XLOOKUP(B90,'Base stats'!B:B,'Base stats'!BI:BI) * 10) * 150 + 0.5 + _xlfn.XLOOKUP(B90,'Base stats'!B:B,'Base stats'!BU:BU), 0.05)</f>
        <v>2.0500000000000003</v>
      </c>
      <c r="G90" s="3" t="str">
        <f>IF(Animals!S90="No","No",
IF(_xlfn.XLOOKUP(B90,'Base stats'!B:B,'Base stats'!U:U)="No",
MAX(MROUND(_xlfn.XLOOKUP(B90,'Base stats'!B:B,'Base stats'!BR:BR) * _xlfn.XLOOKUP(B90,'Base stats'!B:B,'Base stats'!BN:BN)^0.9 / 21 * _xlfn.XLOOKUP(B90,'Base stats'!B:B,'Base stats'!BV:BV),0.1),0.05),
MAX(MROUND(((MIN(10,_xlfn.XLOOKUP(B90,'Base stats'!B:B,'Base stats'!U:U)))^0.4*_xlfn.XLOOKUP(B90,'Base stats'!B:B,'Base stats'!BF:BF)^0.73)^0.6 * _xlfn.XLOOKUP(B90,'Base stats'!B:B,'Base stats'!BV:BV),0.1),0.05)
))</f>
        <v>No</v>
      </c>
      <c r="H90" s="11" t="str">
        <f>IF(G90="No","No",
MAX(0.01,MROUND(_xlfn.XLOOKUP(B90,'Base stats'!B:B,'Base stats'!BF:BF) * 0.01 * 2, 0.01))
)</f>
        <v>No</v>
      </c>
      <c r="I90" s="11" t="str">
        <f>IF(G90="No","No",IF(_xlfn.XLOOKUP(B90,'Base stats'!B:B,'Base stats'!U:U)="No","No",
MAX(0.01,MROUND(_xlfn.XLOOKUP(B90,'Base stats'!B:B,'Base stats'!BR:BR)/10000,0.01))
))</f>
        <v>No</v>
      </c>
      <c r="J90" s="4" t="str">
        <f>IF(G90="No","No",
MROUND(_xlfn.XLOOKUP(B90,'Base stats'!B:B,'Base stats'!BC:BC)^0.25
/((_xlfn.XLOOKUP(B90,'Base stats'!B:B,'Base stats'!BJ:BJ))*10)*_xlfn.XLOOKUP(_xlfn.XLOOKUP(B90,'Base stats'!B:B,'Base stats'!E:E),Groups!A:A,Groups!Q:Q)*150 + 0.5 + _xlfn.XLOOKUP(B90,'Base stats'!B:B,'Base stats'!BU:BU),
0.05))</f>
        <v>No</v>
      </c>
      <c r="K90" s="3" t="str">
        <f>IF(Animals!X90="No","No",
IF(_xlfn.XLOOKUP(_xlfn.XLOOKUP(B90,'Base stats'!B:B,'Base stats'!E:E),Groups!A:A,Groups!BD:BD)=1,
MAX(MROUND(_xlfn.XLOOKUP(B90,'Base stats'!B:B,'Base stats'!BS:BS) * _xlfn.XLOOKUP(B90,'Base stats'!B:B,'Base stats'!BO:BO)^0.9 / 21 *_xlfn.XLOOKUP(B90,'Base stats'!B:B,'Base stats'!BV:BV),0.1),0.05),
MAX(MROUND(((MIN(10,_xlfn.XLOOKUP(B90,'Base stats'!B:B,'Base stats'!W:W)))^0.4*_xlfn.XLOOKUP(B90,'Base stats'!B:B,'Base stats'!BG:BG)^0.73)^0.6 *_xlfn.XLOOKUP(B90,'Base stats'!B:B,'Base stats'!BV:BV),0.1),0.05)
))</f>
        <v>No</v>
      </c>
      <c r="L90" s="11" t="str">
        <f>IF(K90="No","No",
MAX(0.01,MROUND(_xlfn.XLOOKUP(B90,'Base stats'!B:B,'Base stats'!BG:BG) * 0.01 *2, 0.01))
)</f>
        <v>No</v>
      </c>
      <c r="M90" s="5" t="str">
        <f>IF(K90="No","No",IF(_xlfn.XLOOKUP(_xlfn.XLOOKUP(B90,'Base stats'!B:B,'Base stats'!E:E),Groups!A:A,Groups!BD:BD)=1,"No",
MAX(0.01,MROUND(_xlfn.XLOOKUP(B90,'Base stats'!B:B,'Base stats'!BS:BS)/10000,0.01))
))</f>
        <v>No</v>
      </c>
      <c r="N90" s="4" t="str">
        <f>IF(K90="No","No",
MROUND(
  _xlfn.XLOOKUP(B90,'Base stats'!B:B,'Base stats'!BA:BA)^0.25
  / (_xlfn.XLOOKUP(B90,'Base stats'!B:B,'Base stats'!BK:BK)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stats'!BU:BU),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stats'!BH:BH)^0.73)^0.6 *_xlfn.XLOOKUP(B90,'Base stats'!B:B,'Base stats'!BV:BV),0.1),0.05)
)</f>
        <v>13.100000000000001</v>
      </c>
      <c r="P90" s="11">
        <f>IF(O90="No","No",
MAX(0.01,MROUND(_xlfn.XLOOKUP(B90,'Base stats'!B:B,'Base stats'!BH:BH) * 0.01 * 2, 0.01))
)</f>
        <v>4.2700000000000005</v>
      </c>
      <c r="Q90" s="5">
        <f>IF(O90="No","No",
MAX(0.01,MROUND(_xlfn.XLOOKUP(B90,'Base stats'!B:B,'Base stats'!BT:BT)/10000,0.01))
)</f>
        <v>0.24</v>
      </c>
      <c r="R90" s="4">
        <f>IF(O90="No","No",
MROUND(_xlfn.XLOOKUP(B90,'Base stats'!B:B,'Base stats'!AZ:AZ)^0.25
/((_xlfn.XLOOKUP(B90,'Base stats'!B:B,'Base stats'!BL:BL))*10)*_xlfn.XLOOKUP(_xlfn.XLOOKUP(B90,'Base stats'!B:B,'Base stats'!E:E),Groups!A:A,Groups!Z:Z)*150 + 0.5 + _xlfn.XLOOKUP(B90,'Base stats'!B:B,'Base stats'!BU:BU),
0.05))</f>
        <v>2.25</v>
      </c>
      <c r="S90" s="3">
        <f>IF(Animals!AI90="No","No",
IF(_xlfn.XLOOKUP(B90,'Base stats'!B:B,'Base stats'!U:U)="No",
MAX(MROUND(_xlfn.XLOOKUP(B90,'Base stats'!B:B,'Base stats'!BR:BR) * _xlfn.XLOOKUP(B90,'Base stats'!B:B,'Base stats'!BN:BN)^0.9 / 21 * _xlfn.XLOOKUP(B90,'Base stats'!B:B,'Base stats'!BV:BV),0.1),0.05),
MAX(MROUND(((MIN(12,_xlfn.XLOOKUP(B90,'Base stats'!B:B,'Base stats'!U:U)))^0.4*_xlfn.XLOOKUP(B90,'Base stats'!B:B,'Base stats'!BF:BF)^0.73)^0.6 * _xlfn.XLOOKUP(B90,'Base stats'!B:B,'Base stats'!BV:BV),0.1),0.05)
))</f>
        <v>10.4</v>
      </c>
      <c r="T90" s="11">
        <f>IF(S90="No","No",
MAX(0.01,MROUND(_xlfn.XLOOKUP(B90,'Base stats'!B:B,'Base stats'!BF:BF) * 0.01 * 2, 0.01))
)</f>
        <v>2.89</v>
      </c>
      <c r="U90" s="5">
        <f>IF(S90="No","No",IF(_xlfn.XLOOKUP(B90,'Base stats'!B:B,'Base stats'!U:U)="No","No",
MAX(0.01,MROUND(_xlfn.XLOOKUP(B90,'Base stats'!B:B,'Base stats'!BR:BR)/10000,0.01))
))</f>
        <v>0.16</v>
      </c>
      <c r="V90" s="4">
        <f>IF(S90="No","No",
MROUND(_xlfn.XLOOKUP(B90,'Base stats'!B:B,'Base stats'!BD:BD)^0.25
/((_xlfn.XLOOKUP(B90,'Base stats'!B:B,'Base stats'!BM:BM))*10)*_xlfn.XLOOKUP(_xlfn.XLOOKUP(B90,'Base stats'!B:B,'Base stats'!E:E),Groups!A:A,Groups!AE:AE)*150 + 0.5 + _xlfn.XLOOKUP(B90,'Base stats'!B:B,'Base stats'!BU:BU),
0.05))</f>
        <v>1.5</v>
      </c>
      <c r="W90" s="8">
        <f>MROUND(_xlfn.XLOOKUP(_xlfn.XLOOKUP(B90,'Base stats'!B:B,'Base stats'!E:E),Groups!A:A,Groups!BG:BG)*_xlfn.XLOOKUP(B90,'Base stats'!B:B,'Base stats'!C:C)^-0.165,0.01)</f>
        <v>0.24</v>
      </c>
      <c r="X90" s="1">
        <f>MROUND(_xlfn.XLOOKUP(_xlfn.XLOOKUP(B90,'Base stats'!B:B,'Base stats'!E:E),Groups!A:A,Groups!BH:BH)*_xlfn.XLOOKUP(B90,'Base stats'!B:B,'Base stats'!C:C)^0.165,0.01)</f>
        <v>0.42</v>
      </c>
      <c r="Y90" s="8">
        <f>MROUND(_xlfn.XLOOKUP(_xlfn.XLOOKUP(B90,'Base stats'!B:B,'Base stats'!E:E),Groups!A:A,Groups!BI:BI)*_xlfn.XLOOKUP(B90,'Base stats'!B:B,'Base stats'!C:C)^0.165,0.01)</f>
        <v>0.05</v>
      </c>
      <c r="Z90" s="18">
        <f>ROUND(_xlfn.XLOOKUP(B90,'Base stats'!B:B,'Base stats'!AO:AO)*_xlfn.XLOOKUP(_xlfn.XLOOKUP(B90,'Base stats'!B:B,'Base stats'!E:E),Groups!A:A,Groups!H:H)/1000,2)</f>
        <v>7.0000000000000007E-2</v>
      </c>
      <c r="AA90" s="18">
        <f>ROUND((1/2)*(_xlfn.XLOOKUP(_xlfn.XLOOKUP(B90,'Base stats'!B:B,'Base stats'!E:E),Groups!A:A,Groups!H:H)*_xlfn.XLOOKUP(_xlfn.XLOOKUP(B90,'Base stats'!B:B,'Base stats'!E:E),Groups!A:A,Groups!I:I))*_xlfn.XLOOKUP(B90,'Base stats'!B:B,'Base stats'!AO:AO)*0.01,2)</f>
        <v>0.28999999999999998</v>
      </c>
      <c r="AB90" s="18">
        <f>250*(Animals!AO90+Animals!AP90)</f>
        <v>637.50000000000011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stats'!BQ:BQ) * (_xlfn.XLOOKUP(B91,'Base stats'!B:B,'Base stats'!AM:AM)*5%)^0.9 / 21,0.1),0.05)</f>
        <v>4.3</v>
      </c>
      <c r="E91" s="11">
        <f>MAX(0.01,MROUND(_xlfn.XLOOKUP(B91,'Base stats'!B:B,'Base stats'!BE:BE) * 0.01 * 2, 0.01))</f>
        <v>3.7800000000000002</v>
      </c>
      <c r="F91" s="7">
        <f>MROUND(_xlfn.XLOOKUP(B91,'Base stats'!B:B,'Base stats'!BB:BB)^0.25 / (_xlfn.XLOOKUP(B91,'Base stats'!B:B,'Base stats'!BI:BI) * 10) * 150 + 0.5 + _xlfn.XLOOKUP(B91,'Base stats'!B:B,'Base stats'!BU:BU), 0.05)</f>
        <v>2.1</v>
      </c>
      <c r="G91" s="3" t="str">
        <f>IF(Animals!S91="No","No",
IF(_xlfn.XLOOKUP(B91,'Base stats'!B:B,'Base stats'!U:U)="No",
MAX(MROUND(_xlfn.XLOOKUP(B91,'Base stats'!B:B,'Base stats'!BR:BR) * _xlfn.XLOOKUP(B91,'Base stats'!B:B,'Base stats'!BN:BN)^0.9 / 21 * _xlfn.XLOOKUP(B91,'Base stats'!B:B,'Base stats'!BV:BV),0.1),0.05),
MAX(MROUND(((MIN(10,_xlfn.XLOOKUP(B91,'Base stats'!B:B,'Base stats'!U:U)))^0.4*_xlfn.XLOOKUP(B91,'Base stats'!B:B,'Base stats'!BF:BF)^0.73)^0.6 * _xlfn.XLOOKUP(B91,'Base stats'!B:B,'Base stats'!BV:BV),0.1),0.05)
))</f>
        <v>No</v>
      </c>
      <c r="H91" s="11" t="str">
        <f>IF(G91="No","No",
MAX(0.01,MROUND(_xlfn.XLOOKUP(B91,'Base stats'!B:B,'Base stats'!BF:BF) * 0.01 * 2, 0.01))
)</f>
        <v>No</v>
      </c>
      <c r="I91" s="11" t="str">
        <f>IF(G91="No","No",IF(_xlfn.XLOOKUP(B91,'Base stats'!B:B,'Base stats'!U:U)="No","No",
MAX(0.01,MROUND(_xlfn.XLOOKUP(B91,'Base stats'!B:B,'Base stats'!BR:BR)/10000,0.01))
))</f>
        <v>No</v>
      </c>
      <c r="J91" s="4" t="str">
        <f>IF(G91="No","No",
MROUND(_xlfn.XLOOKUP(B91,'Base stats'!B:B,'Base stats'!BC:BC)^0.25
/((_xlfn.XLOOKUP(B91,'Base stats'!B:B,'Base stats'!BJ:BJ))*10)*_xlfn.XLOOKUP(_xlfn.XLOOKUP(B91,'Base stats'!B:B,'Base stats'!E:E),Groups!A:A,Groups!Q:Q)*150 + 0.5 + _xlfn.XLOOKUP(B91,'Base stats'!B:B,'Base stats'!BU:BU),
0.05))</f>
        <v>No</v>
      </c>
      <c r="K91" s="3" t="str">
        <f>IF(Animals!X91="No","No",
IF(_xlfn.XLOOKUP(_xlfn.XLOOKUP(B91,'Base stats'!B:B,'Base stats'!E:E),Groups!A:A,Groups!BD:BD)=1,
MAX(MROUND(_xlfn.XLOOKUP(B91,'Base stats'!B:B,'Base stats'!BS:BS) * _xlfn.XLOOKUP(B91,'Base stats'!B:B,'Base stats'!BO:BO)^0.9 / 21 *_xlfn.XLOOKUP(B91,'Base stats'!B:B,'Base stats'!BV:BV),0.1),0.05),
MAX(MROUND(((MIN(10,_xlfn.XLOOKUP(B91,'Base stats'!B:B,'Base stats'!W:W)))^0.4*_xlfn.XLOOKUP(B91,'Base stats'!B:B,'Base stats'!BG:BG)^0.73)^0.6 *_xlfn.XLOOKUP(B91,'Base stats'!B:B,'Base stats'!BV:BV),0.1),0.05)
))</f>
        <v>No</v>
      </c>
      <c r="L91" s="11" t="str">
        <f>IF(K91="No","No",
MAX(0.01,MROUND(_xlfn.XLOOKUP(B91,'Base stats'!B:B,'Base stats'!BG:BG) * 0.01 *2, 0.01))
)</f>
        <v>No</v>
      </c>
      <c r="M91" s="5" t="str">
        <f>IF(K91="No","No",IF(_xlfn.XLOOKUP(_xlfn.XLOOKUP(B91,'Base stats'!B:B,'Base stats'!E:E),Groups!A:A,Groups!BD:BD)=1,"No",
MAX(0.01,MROUND(_xlfn.XLOOKUP(B91,'Base stats'!B:B,'Base stats'!BS:BS)/10000,0.01))
))</f>
        <v>No</v>
      </c>
      <c r="N91" s="4" t="str">
        <f>IF(K91="No","No",
MROUND(
  _xlfn.XLOOKUP(B91,'Base stats'!B:B,'Base stats'!BA:BA)^0.25
  / (_xlfn.XLOOKUP(B91,'Base stats'!B:B,'Base stats'!BK:BK)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stats'!BU:BU),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stats'!BH:BH)^0.73)^0.6 *_xlfn.XLOOKUP(B91,'Base stats'!B:B,'Base stats'!BV:BV),0.1),0.05)
)</f>
        <v>24.400000000000002</v>
      </c>
      <c r="P91" s="11">
        <f>IF(O91="No","No",
MAX(0.01,MROUND(_xlfn.XLOOKUP(B91,'Base stats'!B:B,'Base stats'!BH:BH) * 0.01 * 2, 0.01))
)</f>
        <v>16.149999999999999</v>
      </c>
      <c r="Q91" s="5">
        <f>IF(O91="No","No",
MAX(0.01,MROUND(_xlfn.XLOOKUP(B91,'Base stats'!B:B,'Base stats'!BT:BT)/10000,0.01))
)</f>
        <v>0.57999999999999996</v>
      </c>
      <c r="R91" s="4">
        <f>IF(O91="No","No",
MROUND(_xlfn.XLOOKUP(B91,'Base stats'!B:B,'Base stats'!AZ:AZ)^0.25
/((_xlfn.XLOOKUP(B91,'Base stats'!B:B,'Base stats'!BL:BL))*10)*_xlfn.XLOOKUP(_xlfn.XLOOKUP(B91,'Base stats'!B:B,'Base stats'!E:E),Groups!A:A,Groups!Z:Z)*150 + 0.5 + _xlfn.XLOOKUP(B91,'Base stats'!B:B,'Base stats'!BU:BU),
0.05))</f>
        <v>2.6500000000000004</v>
      </c>
      <c r="S91" s="3" t="str">
        <f>IF(Animals!AI91="No","No",
IF(_xlfn.XLOOKUP(B91,'Base stats'!B:B,'Base stats'!U:U)="No",
MAX(MROUND(_xlfn.XLOOKUP(B91,'Base stats'!B:B,'Base stats'!BR:BR) * _xlfn.XLOOKUP(B91,'Base stats'!B:B,'Base stats'!BN:BN)^0.9 / 21 * _xlfn.XLOOKUP(B91,'Base stats'!B:B,'Base stats'!BV:BV),0.1),0.05),
MAX(MROUND(((MIN(12,_xlfn.XLOOKUP(B91,'Base stats'!B:B,'Base stats'!U:U)))^0.4*_xlfn.XLOOKUP(B91,'Base stats'!B:B,'Base stats'!BF:BF)^0.73)^0.6 * _xlfn.XLOOKUP(B91,'Base stats'!B:B,'Base stats'!BV:BV),0.1),0.05)
))</f>
        <v>No</v>
      </c>
      <c r="T91" s="11" t="str">
        <f>IF(S91="No","No",
MAX(0.01,MROUND(_xlfn.XLOOKUP(B91,'Base stats'!B:B,'Base stats'!BF:BF) * 0.01 * 2, 0.01))
)</f>
        <v>No</v>
      </c>
      <c r="U91" s="5" t="str">
        <f>IF(S91="No","No",IF(_xlfn.XLOOKUP(B91,'Base stats'!B:B,'Base stats'!U:U)="No","No",
MAX(0.01,MROUND(_xlfn.XLOOKUP(B91,'Base stats'!B:B,'Base stats'!BR:BR)/10000,0.01))
))</f>
        <v>No</v>
      </c>
      <c r="V91" s="4" t="str">
        <f>IF(S91="No","No",
MROUND(_xlfn.XLOOKUP(B91,'Base stats'!B:B,'Base stats'!BD:BD)^0.25
/((_xlfn.XLOOKUP(B91,'Base stats'!B:B,'Base stats'!BM:BM))*10)*_xlfn.XLOOKUP(_xlfn.XLOOKUP(B91,'Base stats'!B:B,'Base stats'!E:E),Groups!A:A,Groups!AE:AE)*150 + 0.5 + _xlfn.XLOOKUP(B91,'Base stats'!B:B,'Base stats'!BU:BU),
0.05))</f>
        <v>No</v>
      </c>
      <c r="W91" s="8">
        <f>MROUND(_xlfn.XLOOKUP(_xlfn.XLOOKUP(B91,'Base stats'!B:B,'Base stats'!E:E),Groups!A:A,Groups!BG:BG)*_xlfn.XLOOKUP(B91,'Base stats'!B:B,'Base stats'!C:C)^-0.165,0.01)</f>
        <v>0.11</v>
      </c>
      <c r="X91" s="1">
        <f>MROUND(_xlfn.XLOOKUP(_xlfn.XLOOKUP(B91,'Base stats'!B:B,'Base stats'!E:E),Groups!A:A,Groups!BH:BH)*_xlfn.XLOOKUP(B91,'Base stats'!B:B,'Base stats'!C:C)^0.165,0.01)</f>
        <v>0.23</v>
      </c>
      <c r="Y91" s="8">
        <f>MROUND(_xlfn.XLOOKUP(_xlfn.XLOOKUP(B91,'Base stats'!B:B,'Base stats'!E:E),Groups!A:A,Groups!BI:BI)*_xlfn.XLOOKUP(B91,'Base stats'!B:B,'Base stats'!C:C)^0.165,0.01)</f>
        <v>0.06</v>
      </c>
      <c r="Z91" s="18">
        <f>ROUND(_xlfn.XLOOKUP(B91,'Base stats'!B:B,'Base stats'!AO:AO)*_xlfn.XLOOKUP(_xlfn.XLOOKUP(B91,'Base stats'!B:B,'Base stats'!E:E),Groups!A:A,Groups!H:H)/1000,2)</f>
        <v>0.31</v>
      </c>
      <c r="AA91" s="18">
        <f>ROUND((1/2)*(_xlfn.XLOOKUP(_xlfn.XLOOKUP(B91,'Base stats'!B:B,'Base stats'!E:E),Groups!A:A,Groups!H:H)*_xlfn.XLOOKUP(_xlfn.XLOOKUP(B91,'Base stats'!B:B,'Base stats'!E:E),Groups!A:A,Groups!I:I))*_xlfn.XLOOKUP(B91,'Base stats'!B:B,'Base stats'!AO:AO)*0.01,2)</f>
        <v>0.35</v>
      </c>
      <c r="AB91" s="18">
        <f>250*(Animals!AO91+Animals!AP91)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stats'!BQ:BQ) * (_xlfn.XLOOKUP(B92,'Base stats'!B:B,'Base stats'!AM:AM)*5%)^0.9 / 21,0.1),0.05)</f>
        <v>2.4000000000000004</v>
      </c>
      <c r="E92" s="11">
        <f>MAX(0.01,MROUND(_xlfn.XLOOKUP(B92,'Base stats'!B:B,'Base stats'!BE:BE) * 0.01 * 2, 0.01))</f>
        <v>2.1</v>
      </c>
      <c r="F92" s="7">
        <f>MROUND(_xlfn.XLOOKUP(B92,'Base stats'!B:B,'Base stats'!BB:BB)^0.25 / (_xlfn.XLOOKUP(B92,'Base stats'!B:B,'Base stats'!BI:BI) * 10) * 150 + 0.5 + _xlfn.XLOOKUP(B92,'Base stats'!B:B,'Base stats'!BU:BU), 0.05)</f>
        <v>2.25</v>
      </c>
      <c r="G92" s="3" t="str">
        <f>IF(Animals!S92="No","No",
IF(_xlfn.XLOOKUP(B92,'Base stats'!B:B,'Base stats'!U:U)="No",
MAX(MROUND(_xlfn.XLOOKUP(B92,'Base stats'!B:B,'Base stats'!BR:BR) * _xlfn.XLOOKUP(B92,'Base stats'!B:B,'Base stats'!BN:BN)^0.9 / 21 * _xlfn.XLOOKUP(B92,'Base stats'!B:B,'Base stats'!BV:BV),0.1),0.05),
MAX(MROUND(((MIN(10,_xlfn.XLOOKUP(B92,'Base stats'!B:B,'Base stats'!U:U)))^0.4*_xlfn.XLOOKUP(B92,'Base stats'!B:B,'Base stats'!BF:BF)^0.73)^0.6 * _xlfn.XLOOKUP(B92,'Base stats'!B:B,'Base stats'!BV:BV),0.1),0.05)
))</f>
        <v>No</v>
      </c>
      <c r="H92" s="11" t="str">
        <f>IF(G92="No","No",
MAX(0.01,MROUND(_xlfn.XLOOKUP(B92,'Base stats'!B:B,'Base stats'!BF:BF) * 0.01 * 2, 0.01))
)</f>
        <v>No</v>
      </c>
      <c r="I92" s="11" t="str">
        <f>IF(G92="No","No",IF(_xlfn.XLOOKUP(B92,'Base stats'!B:B,'Base stats'!U:U)="No","No",
MAX(0.01,MROUND(_xlfn.XLOOKUP(B92,'Base stats'!B:B,'Base stats'!BR:BR)/10000,0.01))
))</f>
        <v>No</v>
      </c>
      <c r="J92" s="4" t="str">
        <f>IF(G92="No","No",
MROUND(_xlfn.XLOOKUP(B92,'Base stats'!B:B,'Base stats'!BC:BC)^0.25
/((_xlfn.XLOOKUP(B92,'Base stats'!B:B,'Base stats'!BJ:BJ))*10)*_xlfn.XLOOKUP(_xlfn.XLOOKUP(B92,'Base stats'!B:B,'Base stats'!E:E),Groups!A:A,Groups!Q:Q)*150 + 0.5 + _xlfn.XLOOKUP(B92,'Base stats'!B:B,'Base stats'!BU:BU),
0.05))</f>
        <v>No</v>
      </c>
      <c r="K92" s="3" t="str">
        <f>IF(Animals!X92="No","No",
IF(_xlfn.XLOOKUP(_xlfn.XLOOKUP(B92,'Base stats'!B:B,'Base stats'!E:E),Groups!A:A,Groups!BD:BD)=1,
MAX(MROUND(_xlfn.XLOOKUP(B92,'Base stats'!B:B,'Base stats'!BS:BS) * _xlfn.XLOOKUP(B92,'Base stats'!B:B,'Base stats'!BO:BO)^0.9 / 21 *_xlfn.XLOOKUP(B92,'Base stats'!B:B,'Base stats'!BV:BV),0.1),0.05),
MAX(MROUND(((MIN(10,_xlfn.XLOOKUP(B92,'Base stats'!B:B,'Base stats'!W:W)))^0.4*_xlfn.XLOOKUP(B92,'Base stats'!B:B,'Base stats'!BG:BG)^0.73)^0.6 *_xlfn.XLOOKUP(B92,'Base stats'!B:B,'Base stats'!BV:BV),0.1),0.05)
))</f>
        <v>No</v>
      </c>
      <c r="L92" s="11" t="str">
        <f>IF(K92="No","No",
MAX(0.01,MROUND(_xlfn.XLOOKUP(B92,'Base stats'!B:B,'Base stats'!BG:BG) * 0.01 *2, 0.01))
)</f>
        <v>No</v>
      </c>
      <c r="M92" s="5" t="str">
        <f>IF(K92="No","No",IF(_xlfn.XLOOKUP(_xlfn.XLOOKUP(B92,'Base stats'!B:B,'Base stats'!E:E),Groups!A:A,Groups!BD:BD)=1,"No",
MAX(0.01,MROUND(_xlfn.XLOOKUP(B92,'Base stats'!B:B,'Base stats'!BS:BS)/10000,0.01))
))</f>
        <v>No</v>
      </c>
      <c r="N92" s="4" t="str">
        <f>IF(K92="No","No",
MROUND(
  _xlfn.XLOOKUP(B92,'Base stats'!B:B,'Base stats'!BA:BA)^0.25
  / (_xlfn.XLOOKUP(B92,'Base stats'!B:B,'Base stats'!BK:BK)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stats'!BU:BU),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stats'!BH:BH)^0.73)^0.6 *_xlfn.XLOOKUP(B92,'Base stats'!B:B,'Base stats'!BV:BV),0.1),0.05)
)</f>
        <v>9.5</v>
      </c>
      <c r="P92" s="11">
        <f>IF(O92="No","No",
MAX(0.01,MROUND(_xlfn.XLOOKUP(B92,'Base stats'!B:B,'Base stats'!BH:BH) * 0.01 * 2, 0.01))
)</f>
        <v>2.59</v>
      </c>
      <c r="Q92" s="5">
        <f>IF(O92="No","No",
MAX(0.01,MROUND(_xlfn.XLOOKUP(B92,'Base stats'!B:B,'Base stats'!BT:BT)/10000,0.01))
)</f>
        <v>0.09</v>
      </c>
      <c r="R92" s="4">
        <f>IF(O92="No","No",
MROUND(_xlfn.XLOOKUP(B92,'Base stats'!B:B,'Base stats'!AZ:AZ)^0.25
/((_xlfn.XLOOKUP(B92,'Base stats'!B:B,'Base stats'!BL:BL))*10)*_xlfn.XLOOKUP(_xlfn.XLOOKUP(B92,'Base stats'!B:B,'Base stats'!E:E),Groups!A:A,Groups!Z:Z)*150 + 0.5 + _xlfn.XLOOKUP(B92,'Base stats'!B:B,'Base stats'!BU:BU),
0.05))</f>
        <v>2.35</v>
      </c>
      <c r="S92" s="3" t="str">
        <f>IF(Animals!AI92="No","No",
IF(_xlfn.XLOOKUP(B92,'Base stats'!B:B,'Base stats'!U:U)="No",
MAX(MROUND(_xlfn.XLOOKUP(B92,'Base stats'!B:B,'Base stats'!BR:BR) * _xlfn.XLOOKUP(B92,'Base stats'!B:B,'Base stats'!BN:BN)^0.9 / 21 * _xlfn.XLOOKUP(B92,'Base stats'!B:B,'Base stats'!BV:BV),0.1),0.05),
MAX(MROUND(((MIN(12,_xlfn.XLOOKUP(B92,'Base stats'!B:B,'Base stats'!U:U)))^0.4*_xlfn.XLOOKUP(B92,'Base stats'!B:B,'Base stats'!BF:BF)^0.73)^0.6 * _xlfn.XLOOKUP(B92,'Base stats'!B:B,'Base stats'!BV:BV),0.1),0.05)
))</f>
        <v>No</v>
      </c>
      <c r="T92" s="11" t="str">
        <f>IF(S92="No","No",
MAX(0.01,MROUND(_xlfn.XLOOKUP(B92,'Base stats'!B:B,'Base stats'!BF:BF) * 0.01 * 2, 0.01))
)</f>
        <v>No</v>
      </c>
      <c r="U92" s="5" t="str">
        <f>IF(S92="No","No",IF(_xlfn.XLOOKUP(B92,'Base stats'!B:B,'Base stats'!U:U)="No","No",
MAX(0.01,MROUND(_xlfn.XLOOKUP(B92,'Base stats'!B:B,'Base stats'!BR:BR)/10000,0.01))
))</f>
        <v>No</v>
      </c>
      <c r="V92" s="4" t="str">
        <f>IF(S92="No","No",
MROUND(_xlfn.XLOOKUP(B92,'Base stats'!B:B,'Base stats'!BD:BD)^0.25
/((_xlfn.XLOOKUP(B92,'Base stats'!B:B,'Base stats'!BM:BM))*10)*_xlfn.XLOOKUP(_xlfn.XLOOKUP(B92,'Base stats'!B:B,'Base stats'!E:E),Groups!A:A,Groups!AE:AE)*150 + 0.5 + _xlfn.XLOOKUP(B92,'Base stats'!B:B,'Base stats'!BU:BU),
0.05))</f>
        <v>No</v>
      </c>
      <c r="W92" s="8">
        <f>MROUND(_xlfn.XLOOKUP(_xlfn.XLOOKUP(B92,'Base stats'!B:B,'Base stats'!E:E),Groups!A:A,Groups!BG:BG)*_xlfn.XLOOKUP(B92,'Base stats'!B:B,'Base stats'!C:C)^-0.165,0.01)</f>
        <v>0.11</v>
      </c>
      <c r="X92" s="1">
        <f>MROUND(_xlfn.XLOOKUP(_xlfn.XLOOKUP(B92,'Base stats'!B:B,'Base stats'!E:E),Groups!A:A,Groups!BH:BH)*_xlfn.XLOOKUP(B92,'Base stats'!B:B,'Base stats'!C:C)^0.165,0.01)</f>
        <v>0</v>
      </c>
      <c r="Y92" s="8">
        <f>MROUND(_xlfn.XLOOKUP(_xlfn.XLOOKUP(B92,'Base stats'!B:B,'Base stats'!E:E),Groups!A:A,Groups!BI:BI)*_xlfn.XLOOKUP(B92,'Base stats'!B:B,'Base stats'!C:C)^0.165,0.01)</f>
        <v>0</v>
      </c>
      <c r="Z92" s="18">
        <f>ROUND(_xlfn.XLOOKUP(B92,'Base stats'!B:B,'Base stats'!AO:AO)*_xlfn.XLOOKUP(_xlfn.XLOOKUP(B92,'Base stats'!B:B,'Base stats'!E:E),Groups!A:A,Groups!H:H)/1000,2)</f>
        <v>2.16</v>
      </c>
      <c r="AA92" s="18">
        <f>ROUND((1/2)*(_xlfn.XLOOKUP(_xlfn.XLOOKUP(B92,'Base stats'!B:B,'Base stats'!E:E),Groups!A:A,Groups!H:H)*_xlfn.XLOOKUP(_xlfn.XLOOKUP(B92,'Base stats'!B:B,'Base stats'!E:E),Groups!A:A,Groups!I:I))*_xlfn.XLOOKUP(B92,'Base stats'!B:B,'Base stats'!AO:AO)*0.01,2)</f>
        <v>3.8</v>
      </c>
      <c r="AB92" s="18">
        <f>250*(Animals!AO92+Animals!AP92)</f>
        <v>850.00000000000011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stats'!BQ:BQ) * (_xlfn.XLOOKUP(B93,'Base stats'!B:B,'Base stats'!AM:AM)*5%)^0.9 / 21,0.1),0.05)</f>
        <v>0.1</v>
      </c>
      <c r="E93" s="11">
        <f>MAX(0.01,MROUND(_xlfn.XLOOKUP(B93,'Base stats'!B:B,'Base stats'!BE:BE) * 0.01 * 2, 0.01))</f>
        <v>0.04</v>
      </c>
      <c r="F93" s="7">
        <f>MROUND(_xlfn.XLOOKUP(B93,'Base stats'!B:B,'Base stats'!BB:BB)^0.25 / (_xlfn.XLOOKUP(B93,'Base stats'!B:B,'Base stats'!BI:BI) * 10) * 150 + 0.5 + _xlfn.XLOOKUP(B93,'Base stats'!B:B,'Base stats'!BU:BU), 0.05)</f>
        <v>1.2000000000000002</v>
      </c>
      <c r="G93" s="3" t="str">
        <f>IF(Animals!S93="No","No",
IF(_xlfn.XLOOKUP(B93,'Base stats'!B:B,'Base stats'!U:U)="No",
MAX(MROUND(_xlfn.XLOOKUP(B93,'Base stats'!B:B,'Base stats'!BR:BR) * _xlfn.XLOOKUP(B93,'Base stats'!B:B,'Base stats'!BN:BN)^0.9 / 21 * _xlfn.XLOOKUP(B93,'Base stats'!B:B,'Base stats'!BV:BV),0.1),0.05),
MAX(MROUND(((MIN(10,_xlfn.XLOOKUP(B93,'Base stats'!B:B,'Base stats'!U:U)))^0.4*_xlfn.XLOOKUP(B93,'Base stats'!B:B,'Base stats'!BF:BF)^0.73)^0.6 * _xlfn.XLOOKUP(B93,'Base stats'!B:B,'Base stats'!BV:BV),0.1),0.05)
))</f>
        <v>No</v>
      </c>
      <c r="H93" s="11" t="str">
        <f>IF(G93="No","No",
MAX(0.01,MROUND(_xlfn.XLOOKUP(B93,'Base stats'!B:B,'Base stats'!BF:BF) * 0.01 * 2, 0.01))
)</f>
        <v>No</v>
      </c>
      <c r="I93" s="11" t="str">
        <f>IF(G93="No","No",IF(_xlfn.XLOOKUP(B93,'Base stats'!B:B,'Base stats'!U:U)="No","No",
MAX(0.01,MROUND(_xlfn.XLOOKUP(B93,'Base stats'!B:B,'Base stats'!BR:BR)/10000,0.01))
))</f>
        <v>No</v>
      </c>
      <c r="J93" s="4" t="str">
        <f>IF(G93="No","No",
MROUND(_xlfn.XLOOKUP(B93,'Base stats'!B:B,'Base stats'!BC:BC)^0.25
/((_xlfn.XLOOKUP(B93,'Base stats'!B:B,'Base stats'!BJ:BJ))*10)*_xlfn.XLOOKUP(_xlfn.XLOOKUP(B93,'Base stats'!B:B,'Base stats'!E:E),Groups!A:A,Groups!Q:Q)*150 + 0.5 + _xlfn.XLOOKUP(B93,'Base stats'!B:B,'Base stats'!BU:BU),
0.05))</f>
        <v>No</v>
      </c>
      <c r="K93" s="3" t="str">
        <f>IF(Animals!X93="No","No",
IF(_xlfn.XLOOKUP(_xlfn.XLOOKUP(B93,'Base stats'!B:B,'Base stats'!E:E),Groups!A:A,Groups!BD:BD)=1,
MAX(MROUND(_xlfn.XLOOKUP(B93,'Base stats'!B:B,'Base stats'!BS:BS) * _xlfn.XLOOKUP(B93,'Base stats'!B:B,'Base stats'!BO:BO)^0.9 / 21 *_xlfn.XLOOKUP(B93,'Base stats'!B:B,'Base stats'!BV:BV),0.1),0.05),
MAX(MROUND(((MIN(10,_xlfn.XLOOKUP(B93,'Base stats'!B:B,'Base stats'!W:W)))^0.4*_xlfn.XLOOKUP(B93,'Base stats'!B:B,'Base stats'!BG:BG)^0.73)^0.6 *_xlfn.XLOOKUP(B93,'Base stats'!B:B,'Base stats'!BV:BV),0.1),0.05)
))</f>
        <v>No</v>
      </c>
      <c r="L93" s="11" t="str">
        <f>IF(K93="No","No",
MAX(0.01,MROUND(_xlfn.XLOOKUP(B93,'Base stats'!B:B,'Base stats'!BG:BG) * 0.01 *2, 0.01))
)</f>
        <v>No</v>
      </c>
      <c r="M93" s="5" t="str">
        <f>IF(K93="No","No",IF(_xlfn.XLOOKUP(_xlfn.XLOOKUP(B93,'Base stats'!B:B,'Base stats'!E:E),Groups!A:A,Groups!BD:BD)=1,"No",
MAX(0.01,MROUND(_xlfn.XLOOKUP(B93,'Base stats'!B:B,'Base stats'!BS:BS)/10000,0.01))
))</f>
        <v>No</v>
      </c>
      <c r="N93" s="4" t="str">
        <f>IF(K93="No","No",
MROUND(
  _xlfn.XLOOKUP(B93,'Base stats'!B:B,'Base stats'!BA:BA)^0.25
  / (_xlfn.XLOOKUP(B93,'Base stats'!B:B,'Base stats'!BK:BK)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stats'!BU:BU),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stats'!BH:BH)^0.73)^0.6 *_xlfn.XLOOKUP(B93,'Base stats'!B:B,'Base stats'!BV:BV),0.1),0.05)
)</f>
        <v>1.5</v>
      </c>
      <c r="P93" s="11">
        <f>IF(O93="No","No",
MAX(0.01,MROUND(_xlfn.XLOOKUP(B93,'Base stats'!B:B,'Base stats'!BH:BH) * 0.01 * 2, 0.01))
)</f>
        <v>0.09</v>
      </c>
      <c r="Q93" s="5">
        <f>IF(O93="No","No",
MAX(0.01,MROUND(_xlfn.XLOOKUP(B93,'Base stats'!B:B,'Base stats'!BT:BT)/10000,0.01))
)</f>
        <v>0.03</v>
      </c>
      <c r="R93" s="4">
        <f>IF(O93="No","No",
MROUND(_xlfn.XLOOKUP(B93,'Base stats'!B:B,'Base stats'!AZ:AZ)^0.25
/((_xlfn.XLOOKUP(B93,'Base stats'!B:B,'Base stats'!BL:BL))*10)*_xlfn.XLOOKUP(_xlfn.XLOOKUP(B93,'Base stats'!B:B,'Base stats'!E:E),Groups!A:A,Groups!Z:Z)*150 + 0.5 + _xlfn.XLOOKUP(B93,'Base stats'!B:B,'Base stats'!BU:BU),
0.05))</f>
        <v>1.8</v>
      </c>
      <c r="S93" s="3" t="str">
        <f>IF(Animals!AI93="No","No",
IF(_xlfn.XLOOKUP(B93,'Base stats'!B:B,'Base stats'!U:U)="No",
MAX(MROUND(_xlfn.XLOOKUP(B93,'Base stats'!B:B,'Base stats'!BR:BR) * _xlfn.XLOOKUP(B93,'Base stats'!B:B,'Base stats'!BN:BN)^0.9 / 21 * _xlfn.XLOOKUP(B93,'Base stats'!B:B,'Base stats'!BV:BV),0.1),0.05),
MAX(MROUND(((MIN(12,_xlfn.XLOOKUP(B93,'Base stats'!B:B,'Base stats'!U:U)))^0.4*_xlfn.XLOOKUP(B93,'Base stats'!B:B,'Base stats'!BF:BF)^0.73)^0.6 * _xlfn.XLOOKUP(B93,'Base stats'!B:B,'Base stats'!BV:BV),0.1),0.05)
))</f>
        <v>No</v>
      </c>
      <c r="T93" s="11" t="str">
        <f>IF(S93="No","No",
MAX(0.01,MROUND(_xlfn.XLOOKUP(B93,'Base stats'!B:B,'Base stats'!BF:BF) * 0.01 * 2, 0.01))
)</f>
        <v>No</v>
      </c>
      <c r="U93" s="5" t="str">
        <f>IF(S93="No","No",IF(_xlfn.XLOOKUP(B93,'Base stats'!B:B,'Base stats'!U:U)="No","No",
MAX(0.01,MROUND(_xlfn.XLOOKUP(B93,'Base stats'!B:B,'Base stats'!BR:BR)/10000,0.01))
))</f>
        <v>No</v>
      </c>
      <c r="V93" s="4" t="str">
        <f>IF(S93="No","No",
MROUND(_xlfn.XLOOKUP(B93,'Base stats'!B:B,'Base stats'!BD:BD)^0.25
/((_xlfn.XLOOKUP(B93,'Base stats'!B:B,'Base stats'!BM:BM))*10)*_xlfn.XLOOKUP(_xlfn.XLOOKUP(B93,'Base stats'!B:B,'Base stats'!E:E),Groups!A:A,Groups!AE:AE)*150 + 0.5 + _xlfn.XLOOKUP(B93,'Base stats'!B:B,'Base stats'!BU:BU),
0.05))</f>
        <v>No</v>
      </c>
      <c r="W93" s="8">
        <f>MROUND(_xlfn.XLOOKUP(_xlfn.XLOOKUP(B93,'Base stats'!B:B,'Base stats'!E:E),Groups!A:A,Groups!BG:BG)*_xlfn.XLOOKUP(B93,'Base stats'!B:B,'Base stats'!C:C)^-0.165,0.01)</f>
        <v>0.69000000000000006</v>
      </c>
      <c r="X93" s="1">
        <f>MROUND(_xlfn.XLOOKUP(_xlfn.XLOOKUP(B93,'Base stats'!B:B,'Base stats'!E:E),Groups!A:A,Groups!BH:BH)*_xlfn.XLOOKUP(B93,'Base stats'!B:B,'Base stats'!C:C)^0.165,0.01)</f>
        <v>0</v>
      </c>
      <c r="Y93" s="8">
        <f>MROUND(_xlfn.XLOOKUP(_xlfn.XLOOKUP(B93,'Base stats'!B:B,'Base stats'!E:E),Groups!A:A,Groups!BI:BI)*_xlfn.XLOOKUP(B93,'Base stats'!B:B,'Base stats'!C:C)^0.165,0.01)</f>
        <v>0</v>
      </c>
      <c r="Z93" s="18">
        <f>ROUND(_xlfn.XLOOKUP(B93,'Base stats'!B:B,'Base stats'!AO:AO)*_xlfn.XLOOKUP(_xlfn.XLOOKUP(B93,'Base stats'!B:B,'Base stats'!E:E),Groups!A:A,Groups!H:H)/1000,2)</f>
        <v>0.01</v>
      </c>
      <c r="AA93" s="18">
        <f>ROUND((1/2)*(_xlfn.XLOOKUP(_xlfn.XLOOKUP(B93,'Base stats'!B:B,'Base stats'!E:E),Groups!A:A,Groups!H:H)*_xlfn.XLOOKUP(_xlfn.XLOOKUP(B93,'Base stats'!B:B,'Base stats'!E:E),Groups!A:A,Groups!I:I))*_xlfn.XLOOKUP(B93,'Base stats'!B:B,'Base stats'!AO:AO)*0.01,2)</f>
        <v>7.0000000000000007E-2</v>
      </c>
      <c r="AB93" s="18">
        <f>250*(Animals!AO93+Animals!AP93)</f>
        <v>75.000000000000014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stats'!BQ:BQ) * (_xlfn.XLOOKUP(B94,'Base stats'!B:B,'Base stats'!AM:AM)*5%)^0.9 / 21,0.1),0.05)</f>
        <v>0.60000000000000009</v>
      </c>
      <c r="E94" s="11">
        <f>MAX(0.01,MROUND(_xlfn.XLOOKUP(B94,'Base stats'!B:B,'Base stats'!BE:BE) * 0.01 * 2, 0.01))</f>
        <v>0.46</v>
      </c>
      <c r="F94" s="7">
        <f>MROUND(_xlfn.XLOOKUP(B94,'Base stats'!B:B,'Base stats'!BB:BB)^0.25 / (_xlfn.XLOOKUP(B94,'Base stats'!B:B,'Base stats'!BI:BI) * 10) * 150 + 0.5 + _xlfn.XLOOKUP(B94,'Base stats'!B:B,'Base stats'!BU:BU), 0.05)</f>
        <v>1.4500000000000002</v>
      </c>
      <c r="G94" s="3" t="str">
        <f>IF(Animals!S94="No","No",
IF(_xlfn.XLOOKUP(B94,'Base stats'!B:B,'Base stats'!U:U)="No",
MAX(MROUND(_xlfn.XLOOKUP(B94,'Base stats'!B:B,'Base stats'!BR:BR) * _xlfn.XLOOKUP(B94,'Base stats'!B:B,'Base stats'!BN:BN)^0.9 / 21 * _xlfn.XLOOKUP(B94,'Base stats'!B:B,'Base stats'!BV:BV),0.1),0.05),
MAX(MROUND(((MIN(10,_xlfn.XLOOKUP(B94,'Base stats'!B:B,'Base stats'!U:U)))^0.4*_xlfn.XLOOKUP(B94,'Base stats'!B:B,'Base stats'!BF:BF)^0.73)^0.6 * _xlfn.XLOOKUP(B94,'Base stats'!B:B,'Base stats'!BV:BV),0.1),0.05)
))</f>
        <v>No</v>
      </c>
      <c r="H94" s="11" t="str">
        <f>IF(G94="No","No",
MAX(0.01,MROUND(_xlfn.XLOOKUP(B94,'Base stats'!B:B,'Base stats'!BF:BF) * 0.01 * 2, 0.01))
)</f>
        <v>No</v>
      </c>
      <c r="I94" s="11" t="str">
        <f>IF(G94="No","No",IF(_xlfn.XLOOKUP(B94,'Base stats'!B:B,'Base stats'!U:U)="No","No",
MAX(0.01,MROUND(_xlfn.XLOOKUP(B94,'Base stats'!B:B,'Base stats'!BR:BR)/10000,0.01))
))</f>
        <v>No</v>
      </c>
      <c r="J94" s="4" t="str">
        <f>IF(G94="No","No",
MROUND(_xlfn.XLOOKUP(B94,'Base stats'!B:B,'Base stats'!BC:BC)^0.25
/((_xlfn.XLOOKUP(B94,'Base stats'!B:B,'Base stats'!BJ:BJ))*10)*_xlfn.XLOOKUP(_xlfn.XLOOKUP(B94,'Base stats'!B:B,'Base stats'!E:E),Groups!A:A,Groups!Q:Q)*150 + 0.5 + _xlfn.XLOOKUP(B94,'Base stats'!B:B,'Base stats'!BU:BU),
0.05))</f>
        <v>No</v>
      </c>
      <c r="K94" s="3" t="str">
        <f>IF(Animals!X94="No","No",
IF(_xlfn.XLOOKUP(_xlfn.XLOOKUP(B94,'Base stats'!B:B,'Base stats'!E:E),Groups!A:A,Groups!BD:BD)=1,
MAX(MROUND(_xlfn.XLOOKUP(B94,'Base stats'!B:B,'Base stats'!BS:BS) * _xlfn.XLOOKUP(B94,'Base stats'!B:B,'Base stats'!BO:BO)^0.9 / 21 *_xlfn.XLOOKUP(B94,'Base stats'!B:B,'Base stats'!BV:BV),0.1),0.05),
MAX(MROUND(((MIN(10,_xlfn.XLOOKUP(B94,'Base stats'!B:B,'Base stats'!W:W)))^0.4*_xlfn.XLOOKUP(B94,'Base stats'!B:B,'Base stats'!BG:BG)^0.73)^0.6 *_xlfn.XLOOKUP(B94,'Base stats'!B:B,'Base stats'!BV:BV),0.1),0.05)
))</f>
        <v>No</v>
      </c>
      <c r="L94" s="11" t="str">
        <f>IF(K94="No","No",
MAX(0.01,MROUND(_xlfn.XLOOKUP(B94,'Base stats'!B:B,'Base stats'!BG:BG) * 0.01 *2, 0.01))
)</f>
        <v>No</v>
      </c>
      <c r="M94" s="5" t="str">
        <f>IF(K94="No","No",IF(_xlfn.XLOOKUP(_xlfn.XLOOKUP(B94,'Base stats'!B:B,'Base stats'!E:E),Groups!A:A,Groups!BD:BD)=1,"No",
MAX(0.01,MROUND(_xlfn.XLOOKUP(B94,'Base stats'!B:B,'Base stats'!BS:BS)/10000,0.01))
))</f>
        <v>No</v>
      </c>
      <c r="N94" s="4" t="str">
        <f>IF(K94="No","No",
MROUND(
  _xlfn.XLOOKUP(B94,'Base stats'!B:B,'Base stats'!BA:BA)^0.25
  / (_xlfn.XLOOKUP(B94,'Base stats'!B:B,'Base stats'!BK:BK)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stats'!BU:BU),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stats'!BH:BH)^0.73)^0.6 *_xlfn.XLOOKUP(B94,'Base stats'!B:B,'Base stats'!BV:BV),0.1),0.05)
)</f>
        <v>4.9000000000000004</v>
      </c>
      <c r="P94" s="11">
        <f>IF(O94="No","No",
MAX(0.01,MROUND(_xlfn.XLOOKUP(B94,'Base stats'!B:B,'Base stats'!BH:BH) * 0.01 * 2, 0.01))
)</f>
        <v>0.42</v>
      </c>
      <c r="Q94" s="5">
        <f>IF(O94="No","No",
MAX(0.01,MROUND(_xlfn.XLOOKUP(B94,'Base stats'!B:B,'Base stats'!BT:BT)/10000,0.01))
)</f>
        <v>0.05</v>
      </c>
      <c r="R94" s="4">
        <f>IF(O94="No","No",
MROUND(_xlfn.XLOOKUP(B94,'Base stats'!B:B,'Base stats'!AZ:AZ)^0.25
/((_xlfn.XLOOKUP(B94,'Base stats'!B:B,'Base stats'!BL:BL))*10)*_xlfn.XLOOKUP(_xlfn.XLOOKUP(B94,'Base stats'!B:B,'Base stats'!E:E),Groups!A:A,Groups!Z:Z)*150 + 0.5 + _xlfn.XLOOKUP(B94,'Base stats'!B:B,'Base stats'!BU:BU),
0.05))</f>
        <v>2.0500000000000003</v>
      </c>
      <c r="S94" s="3" t="str">
        <f>IF(Animals!AI94="No","No",
IF(_xlfn.XLOOKUP(B94,'Base stats'!B:B,'Base stats'!U:U)="No",
MAX(MROUND(_xlfn.XLOOKUP(B94,'Base stats'!B:B,'Base stats'!BR:BR) * _xlfn.XLOOKUP(B94,'Base stats'!B:B,'Base stats'!BN:BN)^0.9 / 21 * _xlfn.XLOOKUP(B94,'Base stats'!B:B,'Base stats'!BV:BV),0.1),0.05),
MAX(MROUND(((MIN(12,_xlfn.XLOOKUP(B94,'Base stats'!B:B,'Base stats'!U:U)))^0.4*_xlfn.XLOOKUP(B94,'Base stats'!B:B,'Base stats'!BF:BF)^0.73)^0.6 * _xlfn.XLOOKUP(B94,'Base stats'!B:B,'Base stats'!BV:BV),0.1),0.05)
))</f>
        <v>No</v>
      </c>
      <c r="T94" s="11" t="str">
        <f>IF(S94="No","No",
MAX(0.01,MROUND(_xlfn.XLOOKUP(B94,'Base stats'!B:B,'Base stats'!BF:BF) * 0.01 * 2, 0.01))
)</f>
        <v>No</v>
      </c>
      <c r="U94" s="5" t="str">
        <f>IF(S94="No","No",IF(_xlfn.XLOOKUP(B94,'Base stats'!B:B,'Base stats'!U:U)="No","No",
MAX(0.01,MROUND(_xlfn.XLOOKUP(B94,'Base stats'!B:B,'Base stats'!BR:BR)/10000,0.01))
))</f>
        <v>No</v>
      </c>
      <c r="V94" s="4" t="str">
        <f>IF(S94="No","No",
MROUND(_xlfn.XLOOKUP(B94,'Base stats'!B:B,'Base stats'!BD:BD)^0.25
/((_xlfn.XLOOKUP(B94,'Base stats'!B:B,'Base stats'!BM:BM))*10)*_xlfn.XLOOKUP(_xlfn.XLOOKUP(B94,'Base stats'!B:B,'Base stats'!E:E),Groups!A:A,Groups!AE:AE)*150 + 0.5 + _xlfn.XLOOKUP(B94,'Base stats'!B:B,'Base stats'!BU:BU),
0.05))</f>
        <v>No</v>
      </c>
      <c r="W94" s="8">
        <f>MROUND(_xlfn.XLOOKUP(_xlfn.XLOOKUP(B94,'Base stats'!B:B,'Base stats'!E:E),Groups!A:A,Groups!BG:BG)*_xlfn.XLOOKUP(B94,'Base stats'!B:B,'Base stats'!C:C)^-0.165,0.01)</f>
        <v>0.45</v>
      </c>
      <c r="X94" s="1">
        <f>MROUND(_xlfn.XLOOKUP(_xlfn.XLOOKUP(B94,'Base stats'!B:B,'Base stats'!E:E),Groups!A:A,Groups!BH:BH)*_xlfn.XLOOKUP(B94,'Base stats'!B:B,'Base stats'!C:C)^0.165,0.01)</f>
        <v>0</v>
      </c>
      <c r="Y94" s="8">
        <f>MROUND(_xlfn.XLOOKUP(_xlfn.XLOOKUP(B94,'Base stats'!B:B,'Base stats'!E:E),Groups!A:A,Groups!BI:BI)*_xlfn.XLOOKUP(B94,'Base stats'!B:B,'Base stats'!C:C)^0.165,0.01)</f>
        <v>0</v>
      </c>
      <c r="Z94" s="18">
        <f>ROUND(_xlfn.XLOOKUP(B94,'Base stats'!B:B,'Base stats'!AO:AO)*_xlfn.XLOOKUP(_xlfn.XLOOKUP(B94,'Base stats'!B:B,'Base stats'!E:E),Groups!A:A,Groups!H:H)/1000,2)</f>
        <v>0.03</v>
      </c>
      <c r="AA94" s="18">
        <f>ROUND((1/2)*(_xlfn.XLOOKUP(_xlfn.XLOOKUP(B94,'Base stats'!B:B,'Base stats'!E:E),Groups!A:A,Groups!H:H)*_xlfn.XLOOKUP(_xlfn.XLOOKUP(B94,'Base stats'!B:B,'Base stats'!E:E),Groups!A:A,Groups!I:I))*_xlfn.XLOOKUP(B94,'Base stats'!B:B,'Base stats'!AO:AO)*0.01,2)</f>
        <v>0.15</v>
      </c>
      <c r="AB94" s="18">
        <f>250*(Animals!AO94+Animals!AP94)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stats'!BQ:BQ) * (_xlfn.XLOOKUP(B95,'Base stats'!B:B,'Base stats'!AM:AM)*5%)^0.9 / 21,0.1),0.05)</f>
        <v>2</v>
      </c>
      <c r="E95" s="11">
        <f>MAX(0.01,MROUND(_xlfn.XLOOKUP(B95,'Base stats'!B:B,'Base stats'!BE:BE) * 0.01 * 2, 0.01))</f>
        <v>1.6300000000000001</v>
      </c>
      <c r="F95" s="7">
        <f>MROUND(_xlfn.XLOOKUP(B95,'Base stats'!B:B,'Base stats'!BB:BB)^0.25 / (_xlfn.XLOOKUP(B95,'Base stats'!B:B,'Base stats'!BI:BI) * 10) * 150 + 0.5 + _xlfn.XLOOKUP(B95,'Base stats'!B:B,'Base stats'!BU:BU), 0.05)</f>
        <v>1.6</v>
      </c>
      <c r="G95" s="3" t="str">
        <f>IF(Animals!S95="No","No",
IF(_xlfn.XLOOKUP(B95,'Base stats'!B:B,'Base stats'!U:U)="No",
MAX(MROUND(_xlfn.XLOOKUP(B95,'Base stats'!B:B,'Base stats'!BR:BR) * _xlfn.XLOOKUP(B95,'Base stats'!B:B,'Base stats'!BN:BN)^0.9 / 21 * _xlfn.XLOOKUP(B95,'Base stats'!B:B,'Base stats'!BV:BV),0.1),0.05),
MAX(MROUND(((MIN(10,_xlfn.XLOOKUP(B95,'Base stats'!B:B,'Base stats'!U:U)))^0.4*_xlfn.XLOOKUP(B95,'Base stats'!B:B,'Base stats'!BF:BF)^0.73)^0.6 * _xlfn.XLOOKUP(B95,'Base stats'!B:B,'Base stats'!BV:BV),0.1),0.05)
))</f>
        <v>No</v>
      </c>
      <c r="H95" s="11" t="str">
        <f>IF(G95="No","No",
MAX(0.01,MROUND(_xlfn.XLOOKUP(B95,'Base stats'!B:B,'Base stats'!BF:BF) * 0.01 * 2, 0.01))
)</f>
        <v>No</v>
      </c>
      <c r="I95" s="11" t="str">
        <f>IF(G95="No","No",IF(_xlfn.XLOOKUP(B95,'Base stats'!B:B,'Base stats'!U:U)="No","No",
MAX(0.01,MROUND(_xlfn.XLOOKUP(B95,'Base stats'!B:B,'Base stats'!BR:BR)/10000,0.01))
))</f>
        <v>No</v>
      </c>
      <c r="J95" s="4" t="str">
        <f>IF(G95="No","No",
MROUND(_xlfn.XLOOKUP(B95,'Base stats'!B:B,'Base stats'!BC:BC)^0.25
/((_xlfn.XLOOKUP(B95,'Base stats'!B:B,'Base stats'!BJ:BJ))*10)*_xlfn.XLOOKUP(_xlfn.XLOOKUP(B95,'Base stats'!B:B,'Base stats'!E:E),Groups!A:A,Groups!Q:Q)*150 + 0.5 + _xlfn.XLOOKUP(B95,'Base stats'!B:B,'Base stats'!BU:BU),
0.05))</f>
        <v>No</v>
      </c>
      <c r="K95" s="3" t="str">
        <f>IF(Animals!X95="No","No",
IF(_xlfn.XLOOKUP(_xlfn.XLOOKUP(B95,'Base stats'!B:B,'Base stats'!E:E),Groups!A:A,Groups!BD:BD)=1,
MAX(MROUND(_xlfn.XLOOKUP(B95,'Base stats'!B:B,'Base stats'!BS:BS) * _xlfn.XLOOKUP(B95,'Base stats'!B:B,'Base stats'!BO:BO)^0.9 / 21 *_xlfn.XLOOKUP(B95,'Base stats'!B:B,'Base stats'!BV:BV),0.1),0.05),
MAX(MROUND(((MIN(10,_xlfn.XLOOKUP(B95,'Base stats'!B:B,'Base stats'!W:W)))^0.4*_xlfn.XLOOKUP(B95,'Base stats'!B:B,'Base stats'!BG:BG)^0.73)^0.6 *_xlfn.XLOOKUP(B95,'Base stats'!B:B,'Base stats'!BV:BV),0.1),0.05)
))</f>
        <v>No</v>
      </c>
      <c r="L95" s="11" t="str">
        <f>IF(K95="No","No",
MAX(0.01,MROUND(_xlfn.XLOOKUP(B95,'Base stats'!B:B,'Base stats'!BG:BG) * 0.01 *2, 0.01))
)</f>
        <v>No</v>
      </c>
      <c r="M95" s="5" t="str">
        <f>IF(K95="No","No",IF(_xlfn.XLOOKUP(_xlfn.XLOOKUP(B95,'Base stats'!B:B,'Base stats'!E:E),Groups!A:A,Groups!BD:BD)=1,"No",
MAX(0.01,MROUND(_xlfn.XLOOKUP(B95,'Base stats'!B:B,'Base stats'!BS:BS)/10000,0.01))
))</f>
        <v>No</v>
      </c>
      <c r="N95" s="4" t="str">
        <f>IF(K95="No","No",
MROUND(
  _xlfn.XLOOKUP(B95,'Base stats'!B:B,'Base stats'!BA:BA)^0.25
  / (_xlfn.XLOOKUP(B95,'Base stats'!B:B,'Base stats'!BK:BK)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stats'!BU:BU),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stats'!BH:BH)^0.73)^0.6 *_xlfn.XLOOKUP(B95,'Base stats'!B:B,'Base stats'!BV:BV),0.1),0.05)
)</f>
        <v>9.5</v>
      </c>
      <c r="P95" s="11">
        <f>IF(O95="No","No",
MAX(0.01,MROUND(_xlfn.XLOOKUP(B95,'Base stats'!B:B,'Base stats'!BH:BH) * 0.01 * 2, 0.01))
)</f>
        <v>0.98</v>
      </c>
      <c r="Q95" s="5">
        <f>IF(O95="No","No",
MAX(0.01,MROUND(_xlfn.XLOOKUP(B95,'Base stats'!B:B,'Base stats'!BT:BT)/10000,0.01))
)</f>
        <v>0.06</v>
      </c>
      <c r="R95" s="4">
        <f>IF(O95="No","No",
MROUND(_xlfn.XLOOKUP(B95,'Base stats'!B:B,'Base stats'!AZ:AZ)^0.25
/((_xlfn.XLOOKUP(B95,'Base stats'!B:B,'Base stats'!BL:BL))*10)*_xlfn.XLOOKUP(_xlfn.XLOOKUP(B95,'Base stats'!B:B,'Base stats'!E:E),Groups!A:A,Groups!Z:Z)*150 + 0.5 + _xlfn.XLOOKUP(B95,'Base stats'!B:B,'Base stats'!BU:BU),
0.05))</f>
        <v>2.15</v>
      </c>
      <c r="S95" s="3" t="str">
        <f>IF(Animals!AI95="No","No",
IF(_xlfn.XLOOKUP(B95,'Base stats'!B:B,'Base stats'!U:U)="No",
MAX(MROUND(_xlfn.XLOOKUP(B95,'Base stats'!B:B,'Base stats'!BR:BR) * _xlfn.XLOOKUP(B95,'Base stats'!B:B,'Base stats'!BN:BN)^0.9 / 21 * _xlfn.XLOOKUP(B95,'Base stats'!B:B,'Base stats'!BV:BV),0.1),0.05),
MAX(MROUND(((MIN(12,_xlfn.XLOOKUP(B95,'Base stats'!B:B,'Base stats'!U:U)))^0.4*_xlfn.XLOOKUP(B95,'Base stats'!B:B,'Base stats'!BF:BF)^0.73)^0.6 * _xlfn.XLOOKUP(B95,'Base stats'!B:B,'Base stats'!BV:BV),0.1),0.05)
))</f>
        <v>No</v>
      </c>
      <c r="T95" s="11" t="str">
        <f>IF(S95="No","No",
MAX(0.01,MROUND(_xlfn.XLOOKUP(B95,'Base stats'!B:B,'Base stats'!BF:BF) * 0.01 * 2, 0.01))
)</f>
        <v>No</v>
      </c>
      <c r="U95" s="5" t="str">
        <f>IF(S95="No","No",IF(_xlfn.XLOOKUP(B95,'Base stats'!B:B,'Base stats'!U:U)="No","No",
MAX(0.01,MROUND(_xlfn.XLOOKUP(B95,'Base stats'!B:B,'Base stats'!BR:BR)/10000,0.01))
))</f>
        <v>No</v>
      </c>
      <c r="V95" s="4" t="str">
        <f>IF(S95="No","No",
MROUND(_xlfn.XLOOKUP(B95,'Base stats'!B:B,'Base stats'!BD:BD)^0.25
/((_xlfn.XLOOKUP(B95,'Base stats'!B:B,'Base stats'!BM:BM))*10)*_xlfn.XLOOKUP(_xlfn.XLOOKUP(B95,'Base stats'!B:B,'Base stats'!E:E),Groups!A:A,Groups!AE:AE)*150 + 0.5 + _xlfn.XLOOKUP(B95,'Base stats'!B:B,'Base stats'!BU:BU),
0.05))</f>
        <v>No</v>
      </c>
      <c r="W95" s="8">
        <f>MROUND(_xlfn.XLOOKUP(_xlfn.XLOOKUP(B95,'Base stats'!B:B,'Base stats'!E:E),Groups!A:A,Groups!BG:BG)*_xlfn.XLOOKUP(B95,'Base stats'!B:B,'Base stats'!C:C)^-0.165,0.01)</f>
        <v>0.36</v>
      </c>
      <c r="X95" s="1">
        <f>MROUND(_xlfn.XLOOKUP(_xlfn.XLOOKUP(B95,'Base stats'!B:B,'Base stats'!E:E),Groups!A:A,Groups!BH:BH)*_xlfn.XLOOKUP(B95,'Base stats'!B:B,'Base stats'!C:C)^0.165,0.01)</f>
        <v>0</v>
      </c>
      <c r="Y95" s="8">
        <f>MROUND(_xlfn.XLOOKUP(_xlfn.XLOOKUP(B95,'Base stats'!B:B,'Base stats'!E:E),Groups!A:A,Groups!BI:BI)*_xlfn.XLOOKUP(B95,'Base stats'!B:B,'Base stats'!C:C)^0.165,0.01)</f>
        <v>0</v>
      </c>
      <c r="Z95" s="18">
        <f>ROUND(_xlfn.XLOOKUP(B95,'Base stats'!B:B,'Base stats'!AO:AO)*_xlfn.XLOOKUP(_xlfn.XLOOKUP(B95,'Base stats'!B:B,'Base stats'!E:E),Groups!A:A,Groups!H:H)/1000,2)</f>
        <v>0.04</v>
      </c>
      <c r="AA95" s="18">
        <f>ROUND((1/2)*(_xlfn.XLOOKUP(_xlfn.XLOOKUP(B95,'Base stats'!B:B,'Base stats'!E:E),Groups!A:A,Groups!H:H)*_xlfn.XLOOKUP(_xlfn.XLOOKUP(B95,'Base stats'!B:B,'Base stats'!E:E),Groups!A:A,Groups!I:I))*_xlfn.XLOOKUP(B95,'Base stats'!B:B,'Base stats'!AO:AO)*0.01,2)</f>
        <v>0.22</v>
      </c>
      <c r="AB95" s="18">
        <f>250*(Animals!AO95+Animals!AP95)</f>
        <v>475.00000000000006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stats'!BQ:BQ) * (_xlfn.XLOOKUP(B96,'Base stats'!B:B,'Base stats'!AM:AM)*5%)^0.9 / 21,0.1),0.05)</f>
        <v>9.5</v>
      </c>
      <c r="E96" s="11">
        <f>MAX(0.01,MROUND(_xlfn.XLOOKUP(B96,'Base stats'!B:B,'Base stats'!BE:BE) * 0.01 * 2, 0.01))</f>
        <v>8.82</v>
      </c>
      <c r="F96" s="7">
        <f>MROUND(_xlfn.XLOOKUP(B96,'Base stats'!B:B,'Base stats'!BB:BB)^0.25 / (_xlfn.XLOOKUP(B96,'Base stats'!B:B,'Base stats'!BI:BI) * 10) * 150 + 0.5 + _xlfn.XLOOKUP(B96,'Base stats'!B:B,'Base stats'!BU:BU), 0.05)</f>
        <v>1.85</v>
      </c>
      <c r="G96" s="3">
        <f>IF(Animals!S96="No","No",
IF(_xlfn.XLOOKUP(B96,'Base stats'!B:B,'Base stats'!U:U)="No",
MAX(MROUND(_xlfn.XLOOKUP(B96,'Base stats'!B:B,'Base stats'!BR:BR) * _xlfn.XLOOKUP(B96,'Base stats'!B:B,'Base stats'!BN:BN)^0.9 / 21 * _xlfn.XLOOKUP(B96,'Base stats'!B:B,'Base stats'!BV:BV),0.1),0.05),
MAX(MROUND(((MIN(10,_xlfn.XLOOKUP(B96,'Base stats'!B:B,'Base stats'!U:U)))^0.4*_xlfn.XLOOKUP(B96,'Base stats'!B:B,'Base stats'!BF:BF)^0.73)^0.6 * _xlfn.XLOOKUP(B96,'Base stats'!B:B,'Base stats'!BV:BV),0.1),0.05)
))</f>
        <v>16</v>
      </c>
      <c r="H96" s="11">
        <f>IF(G96="No","No",
MAX(0.01,MROUND(_xlfn.XLOOKUP(B96,'Base stats'!B:B,'Base stats'!BF:BF) * 0.01 * 2, 0.01))
)</f>
        <v>10.3</v>
      </c>
      <c r="I96" s="11" t="str">
        <f>IF(G96="No","No",IF(_xlfn.XLOOKUP(B96,'Base stats'!B:B,'Base stats'!U:U)="No","No",
MAX(0.01,MROUND(_xlfn.XLOOKUP(B96,'Base stats'!B:B,'Base stats'!BR:BR)/10000,0.01))
))</f>
        <v>No</v>
      </c>
      <c r="J96" s="4">
        <f>IF(G96="No","No",
MROUND(_xlfn.XLOOKUP(B96,'Base stats'!B:B,'Base stats'!BC:BC)^0.25
/((_xlfn.XLOOKUP(B96,'Base stats'!B:B,'Base stats'!BJ:BJ))*10)*_xlfn.XLOOKUP(_xlfn.XLOOKUP(B96,'Base stats'!B:B,'Base stats'!E:E),Groups!A:A,Groups!Q:Q)*150 + 0.5 + _xlfn.XLOOKUP(B96,'Base stats'!B:B,'Base stats'!BU:BU),
0.05))</f>
        <v>2.75</v>
      </c>
      <c r="K96" s="3">
        <f>IF(Animals!X96="No","No",
IF(_xlfn.XLOOKUP(_xlfn.XLOOKUP(B96,'Base stats'!B:B,'Base stats'!E:E),Groups!A:A,Groups!BD:BD)=1,
MAX(MROUND(_xlfn.XLOOKUP(B96,'Base stats'!B:B,'Base stats'!BS:BS) * _xlfn.XLOOKUP(B96,'Base stats'!B:B,'Base stats'!BO:BO)^0.9 / 21 *_xlfn.XLOOKUP(B96,'Base stats'!B:B,'Base stats'!BV:BV),0.1),0.05),
MAX(MROUND(((MIN(10,_xlfn.XLOOKUP(B96,'Base stats'!B:B,'Base stats'!W:W)))^0.4*_xlfn.XLOOKUP(B96,'Base stats'!B:B,'Base stats'!BG:BG)^0.73)^0.6 *_xlfn.XLOOKUP(B96,'Base stats'!B:B,'Base stats'!BV:BV),0.1),0.05)
))</f>
        <v>29</v>
      </c>
      <c r="L96" s="11">
        <f>IF(K96="No","No",
MAX(0.01,MROUND(_xlfn.XLOOKUP(B96,'Base stats'!B:B,'Base stats'!BG:BG) * 0.01 *2, 0.01))
)</f>
        <v>12.36</v>
      </c>
      <c r="M96" s="5">
        <f>IF(K96="No","No",IF(_xlfn.XLOOKUP(_xlfn.XLOOKUP(B96,'Base stats'!B:B,'Base stats'!E:E),Groups!A:A,Groups!BD:BD)=1,"No",
MAX(0.01,MROUND(_xlfn.XLOOKUP(B96,'Base stats'!B:B,'Base stats'!BS:BS)/10000,0.01))
))</f>
        <v>0.67</v>
      </c>
      <c r="N96" s="4">
        <f>IF(K96="No","No",
MROUND(
  _xlfn.XLOOKUP(B96,'Base stats'!B:B,'Base stats'!BA:BA)^0.25
  / (_xlfn.XLOOKUP(B96,'Base stats'!B:B,'Base stats'!BK:BK)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stats'!BU:BU),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stats'!BH:BH)^0.73)^0.6 *_xlfn.XLOOKUP(B96,'Base stats'!B:B,'Base stats'!BV:BV),0.1),0.05)
)</f>
        <v>No</v>
      </c>
      <c r="P96" s="11" t="str">
        <f>IF(O96="No","No",
MAX(0.01,MROUND(_xlfn.XLOOKUP(B96,'Base stats'!B:B,'Base stats'!BH:BH) * 0.01 * 2, 0.01))
)</f>
        <v>No</v>
      </c>
      <c r="Q96" s="5" t="str">
        <f>IF(O96="No","No",
MAX(0.01,MROUND(_xlfn.XLOOKUP(B96,'Base stats'!B:B,'Base stats'!BT:BT)/10000,0.01))
)</f>
        <v>No</v>
      </c>
      <c r="R96" s="4" t="str">
        <f>IF(O96="No","No",
MROUND(_xlfn.XLOOKUP(B96,'Base stats'!B:B,'Base stats'!AZ:AZ)^0.25
/((_xlfn.XLOOKUP(B96,'Base stats'!B:B,'Base stats'!BL:BL))*10)*_xlfn.XLOOKUP(_xlfn.XLOOKUP(B96,'Base stats'!B:B,'Base stats'!E:E),Groups!A:A,Groups!Z:Z)*150 + 0.5 + _xlfn.XLOOKUP(B96,'Base stats'!B:B,'Base stats'!BU:BU),
0.05))</f>
        <v>No</v>
      </c>
      <c r="S96" s="3" t="str">
        <f>IF(Animals!AI96="No","No",
IF(_xlfn.XLOOKUP(B96,'Base stats'!B:B,'Base stats'!U:U)="No",
MAX(MROUND(_xlfn.XLOOKUP(B96,'Base stats'!B:B,'Base stats'!BR:BR) * _xlfn.XLOOKUP(B96,'Base stats'!B:B,'Base stats'!BN:BN)^0.9 / 21 * _xlfn.XLOOKUP(B96,'Base stats'!B:B,'Base stats'!BV:BV),0.1),0.05),
MAX(MROUND(((MIN(12,_xlfn.XLOOKUP(B96,'Base stats'!B:B,'Base stats'!U:U)))^0.4*_xlfn.XLOOKUP(B96,'Base stats'!B:B,'Base stats'!BF:BF)^0.73)^0.6 * _xlfn.XLOOKUP(B96,'Base stats'!B:B,'Base stats'!BV:BV),0.1),0.05)
))</f>
        <v>No</v>
      </c>
      <c r="T96" s="11" t="str">
        <f>IF(S96="No","No",
MAX(0.01,MROUND(_xlfn.XLOOKUP(B96,'Base stats'!B:B,'Base stats'!BF:BF) * 0.01 * 2, 0.01))
)</f>
        <v>No</v>
      </c>
      <c r="U96" s="5" t="str">
        <f>IF(S96="No","No",IF(_xlfn.XLOOKUP(B96,'Base stats'!B:B,'Base stats'!U:U)="No","No",
MAX(0.01,MROUND(_xlfn.XLOOKUP(B96,'Base stats'!B:B,'Base stats'!BR:BR)/10000,0.01))
))</f>
        <v>No</v>
      </c>
      <c r="V96" s="4" t="str">
        <f>IF(S96="No","No",
MROUND(_xlfn.XLOOKUP(B96,'Base stats'!B:B,'Base stats'!BD:BD)^0.25
/((_xlfn.XLOOKUP(B96,'Base stats'!B:B,'Base stats'!BM:BM))*10)*_xlfn.XLOOKUP(_xlfn.XLOOKUP(B96,'Base stats'!B:B,'Base stats'!E:E),Groups!A:A,Groups!AE:AE)*150 + 0.5 + _xlfn.XLOOKUP(B96,'Base stats'!B:B,'Base stats'!BU:BU),
0.05))</f>
        <v>No</v>
      </c>
      <c r="W96" s="8">
        <f>MROUND(_xlfn.XLOOKUP(_xlfn.XLOOKUP(B96,'Base stats'!B:B,'Base stats'!E:E),Groups!A:A,Groups!BG:BG)*_xlfn.XLOOKUP(B96,'Base stats'!B:B,'Base stats'!C:C)^-0.165,0.01)</f>
        <v>0.19</v>
      </c>
      <c r="X96" s="1">
        <f>MROUND(_xlfn.XLOOKUP(_xlfn.XLOOKUP(B96,'Base stats'!B:B,'Base stats'!E:E),Groups!A:A,Groups!BH:BH)*_xlfn.XLOOKUP(B96,'Base stats'!B:B,'Base stats'!C:C)^0.165,0.01)</f>
        <v>0</v>
      </c>
      <c r="Y96" s="8">
        <f>MROUND(_xlfn.XLOOKUP(_xlfn.XLOOKUP(B96,'Base stats'!B:B,'Base stats'!E:E),Groups!A:A,Groups!BI:BI)*_xlfn.XLOOKUP(B96,'Base stats'!B:B,'Base stats'!C:C)^0.165,0.01)</f>
        <v>0</v>
      </c>
      <c r="Z96" s="18">
        <f>ROUND(_xlfn.XLOOKUP(B96,'Base stats'!B:B,'Base stats'!AO:AO)*_xlfn.XLOOKUP(_xlfn.XLOOKUP(B96,'Base stats'!B:B,'Base stats'!E:E),Groups!A:A,Groups!H:H)/1000,2)</f>
        <v>7.0000000000000007E-2</v>
      </c>
      <c r="AA96" s="18">
        <f>ROUND((1/2)*(_xlfn.XLOOKUP(_xlfn.XLOOKUP(B96,'Base stats'!B:B,'Base stats'!E:E),Groups!A:A,Groups!H:H)*_xlfn.XLOOKUP(_xlfn.XLOOKUP(B96,'Base stats'!B:B,'Base stats'!E:E),Groups!A:A,Groups!I:I))*_xlfn.XLOOKUP(B96,'Base stats'!B:B,'Base stats'!AO:AO)*0.01,2)</f>
        <v>0.38</v>
      </c>
      <c r="AB96" s="18">
        <f>250*(Animals!AO96+Animals!AP96)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stats'!BQ:BQ) * (_xlfn.XLOOKUP(B97,'Base stats'!B:B,'Base stats'!AM:AM)*5%)^0.9 / 21,0.1),0.05)</f>
        <v>11.3</v>
      </c>
      <c r="E97" s="11">
        <f>MAX(0.01,MROUND(_xlfn.XLOOKUP(B97,'Base stats'!B:B,'Base stats'!BE:BE) * 0.01 * 2, 0.01))</f>
        <v>10.27</v>
      </c>
      <c r="F97" s="7">
        <f>MROUND(_xlfn.XLOOKUP(B97,'Base stats'!B:B,'Base stats'!BB:BB)^0.25 / (_xlfn.XLOOKUP(B97,'Base stats'!B:B,'Base stats'!BI:BI) * 10) * 150 + 0.5 + _xlfn.XLOOKUP(B97,'Base stats'!B:B,'Base stats'!BU:BU), 0.05)</f>
        <v>1.6</v>
      </c>
      <c r="G97" s="3">
        <f>IF(Animals!S97="No","No",
IF(_xlfn.XLOOKUP(B97,'Base stats'!B:B,'Base stats'!U:U)="No",
MAX(MROUND(_xlfn.XLOOKUP(B97,'Base stats'!B:B,'Base stats'!BR:BR) * _xlfn.XLOOKUP(B97,'Base stats'!B:B,'Base stats'!BN:BN)^0.9 / 21 * _xlfn.XLOOKUP(B97,'Base stats'!B:B,'Base stats'!BV:BV),0.1),0.05),
MAX(MROUND(((MIN(10,_xlfn.XLOOKUP(B97,'Base stats'!B:B,'Base stats'!U:U)))^0.4*_xlfn.XLOOKUP(B97,'Base stats'!B:B,'Base stats'!BF:BF)^0.73)^0.6 * _xlfn.XLOOKUP(B97,'Base stats'!B:B,'Base stats'!BV:BV),0.1),0.05)
))</f>
        <v>13.700000000000001</v>
      </c>
      <c r="H97" s="11">
        <f>IF(G97="No","No",
MAX(0.01,MROUND(_xlfn.XLOOKUP(B97,'Base stats'!B:B,'Base stats'!BF:BF) * 0.01 * 2, 0.01))
)</f>
        <v>8.66</v>
      </c>
      <c r="I97" s="11" t="str">
        <f>IF(G97="No","No",IF(_xlfn.XLOOKUP(B97,'Base stats'!B:B,'Base stats'!U:U)="No","No",
MAX(0.01,MROUND(_xlfn.XLOOKUP(B97,'Base stats'!B:B,'Base stats'!BR:BR)/10000,0.01))
))</f>
        <v>No</v>
      </c>
      <c r="J97" s="4">
        <f>IF(G97="No","No",
MROUND(_xlfn.XLOOKUP(B97,'Base stats'!B:B,'Base stats'!BC:BC)^0.25
/((_xlfn.XLOOKUP(B97,'Base stats'!B:B,'Base stats'!BJ:BJ))*10)*_xlfn.XLOOKUP(_xlfn.XLOOKUP(B97,'Base stats'!B:B,'Base stats'!E:E),Groups!A:A,Groups!Q:Q)*150 + 0.5 + _xlfn.XLOOKUP(B97,'Base stats'!B:B,'Base stats'!BU:BU),
0.05))</f>
        <v>2.6500000000000004</v>
      </c>
      <c r="K97" s="3">
        <f>IF(Animals!X97="No","No",
IF(_xlfn.XLOOKUP(_xlfn.XLOOKUP(B97,'Base stats'!B:B,'Base stats'!E:E),Groups!A:A,Groups!BD:BD)=1,
MAX(MROUND(_xlfn.XLOOKUP(B97,'Base stats'!B:B,'Base stats'!BS:BS) * _xlfn.XLOOKUP(B97,'Base stats'!B:B,'Base stats'!BO:BO)^0.9 / 21 *_xlfn.XLOOKUP(B97,'Base stats'!B:B,'Base stats'!BV:BV),0.1),0.05),
MAX(MROUND(((MIN(10,_xlfn.XLOOKUP(B97,'Base stats'!B:B,'Base stats'!W:W)))^0.4*_xlfn.XLOOKUP(B97,'Base stats'!B:B,'Base stats'!BG:BG)^0.73)^0.6 *_xlfn.XLOOKUP(B97,'Base stats'!B:B,'Base stats'!BV:BV),0.1),0.05)
))</f>
        <v>13.5</v>
      </c>
      <c r="L97" s="11">
        <f>IF(K97="No","No",
MAX(0.01,MROUND(_xlfn.XLOOKUP(B97,'Base stats'!B:B,'Base stats'!BG:BG) * 0.01 *2, 0.01))
)</f>
        <v>12.32</v>
      </c>
      <c r="M97" s="5" t="str">
        <f>IF(K97="No","No",IF(_xlfn.XLOOKUP(_xlfn.XLOOKUP(B97,'Base stats'!B:B,'Base stats'!E:E),Groups!A:A,Groups!BD:BD)=1,"No",
MAX(0.01,MROUND(_xlfn.XLOOKUP(B97,'Base stats'!B:B,'Base stats'!BS:BS)/10000,0.01))
))</f>
        <v>No</v>
      </c>
      <c r="N97" s="4">
        <f>IF(K97="No","No",
MROUND(
  _xlfn.XLOOKUP(B97,'Base stats'!B:B,'Base stats'!BA:BA)^0.25
  / (_xlfn.XLOOKUP(B97,'Base stats'!B:B,'Base stats'!BK:BK)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stats'!BU:BU),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stats'!BH:BH)^0.73)^0.6 *_xlfn.XLOOKUP(B97,'Base stats'!B:B,'Base stats'!BV:BV),0.1),0.05)
)</f>
        <v>No</v>
      </c>
      <c r="P97" s="11" t="str">
        <f>IF(O97="No","No",
MAX(0.01,MROUND(_xlfn.XLOOKUP(B97,'Base stats'!B:B,'Base stats'!BH:BH) * 0.01 * 2, 0.01))
)</f>
        <v>No</v>
      </c>
      <c r="Q97" s="5" t="str">
        <f>IF(O97="No","No",
MAX(0.01,MROUND(_xlfn.XLOOKUP(B97,'Base stats'!B:B,'Base stats'!BT:BT)/10000,0.01))
)</f>
        <v>No</v>
      </c>
      <c r="R97" s="4" t="str">
        <f>IF(O97="No","No",
MROUND(_xlfn.XLOOKUP(B97,'Base stats'!B:B,'Base stats'!AZ:AZ)^0.25
/((_xlfn.XLOOKUP(B97,'Base stats'!B:B,'Base stats'!BL:BL))*10)*_xlfn.XLOOKUP(_xlfn.XLOOKUP(B97,'Base stats'!B:B,'Base stats'!E:E),Groups!A:A,Groups!Z:Z)*150 + 0.5 + _xlfn.XLOOKUP(B97,'Base stats'!B:B,'Base stats'!BU:BU),
0.05))</f>
        <v>No</v>
      </c>
      <c r="S97" s="3" t="str">
        <f>IF(Animals!AI97="No","No",
IF(_xlfn.XLOOKUP(B97,'Base stats'!B:B,'Base stats'!U:U)="No",
MAX(MROUND(_xlfn.XLOOKUP(B97,'Base stats'!B:B,'Base stats'!BR:BR) * _xlfn.XLOOKUP(B97,'Base stats'!B:B,'Base stats'!BN:BN)^0.9 / 21 * _xlfn.XLOOKUP(B97,'Base stats'!B:B,'Base stats'!BV:BV),0.1),0.05),
MAX(MROUND(((MIN(12,_xlfn.XLOOKUP(B97,'Base stats'!B:B,'Base stats'!U:U)))^0.4*_xlfn.XLOOKUP(B97,'Base stats'!B:B,'Base stats'!BF:BF)^0.73)^0.6 * _xlfn.XLOOKUP(B97,'Base stats'!B:B,'Base stats'!BV:BV),0.1),0.05)
))</f>
        <v>No</v>
      </c>
      <c r="T97" s="11" t="str">
        <f>IF(S97="No","No",
MAX(0.01,MROUND(_xlfn.XLOOKUP(B97,'Base stats'!B:B,'Base stats'!BF:BF) * 0.01 * 2, 0.01))
)</f>
        <v>No</v>
      </c>
      <c r="U97" s="5" t="str">
        <f>IF(S97="No","No",IF(_xlfn.XLOOKUP(B97,'Base stats'!B:B,'Base stats'!U:U)="No","No",
MAX(0.01,MROUND(_xlfn.XLOOKUP(B97,'Base stats'!B:B,'Base stats'!BR:BR)/10000,0.01))
))</f>
        <v>No</v>
      </c>
      <c r="V97" s="4" t="str">
        <f>IF(S97="No","No",
MROUND(_xlfn.XLOOKUP(B97,'Base stats'!B:B,'Base stats'!BD:BD)^0.25
/((_xlfn.XLOOKUP(B97,'Base stats'!B:B,'Base stats'!BM:BM))*10)*_xlfn.XLOOKUP(_xlfn.XLOOKUP(B97,'Base stats'!B:B,'Base stats'!E:E),Groups!A:A,Groups!AE:AE)*150 + 0.5 + _xlfn.XLOOKUP(B97,'Base stats'!B:B,'Base stats'!BU:BU),
0.05))</f>
        <v>No</v>
      </c>
      <c r="W97" s="8">
        <f>MROUND(_xlfn.XLOOKUP(_xlfn.XLOOKUP(B97,'Base stats'!B:B,'Base stats'!E:E),Groups!A:A,Groups!BG:BG)*_xlfn.XLOOKUP(B97,'Base stats'!B:B,'Base stats'!C:C)^-0.165,0.01)</f>
        <v>0.19</v>
      </c>
      <c r="X97" s="1">
        <f>MROUND(_xlfn.XLOOKUP(_xlfn.XLOOKUP(B97,'Base stats'!B:B,'Base stats'!E:E),Groups!A:A,Groups!BH:BH)*_xlfn.XLOOKUP(B97,'Base stats'!B:B,'Base stats'!C:C)^0.165,0.01)</f>
        <v>0</v>
      </c>
      <c r="Y97" s="8">
        <f>MROUND(_xlfn.XLOOKUP(_xlfn.XLOOKUP(B97,'Base stats'!B:B,'Base stats'!E:E),Groups!A:A,Groups!BI:BI)*_xlfn.XLOOKUP(B97,'Base stats'!B:B,'Base stats'!C:C)^0.165,0.01)</f>
        <v>0</v>
      </c>
      <c r="Z97" s="18">
        <f>ROUND(_xlfn.XLOOKUP(B97,'Base stats'!B:B,'Base stats'!AO:AO)*_xlfn.XLOOKUP(_xlfn.XLOOKUP(B97,'Base stats'!B:B,'Base stats'!E:E),Groups!A:A,Groups!H:H)/1000,2)</f>
        <v>7.0000000000000007E-2</v>
      </c>
      <c r="AA97" s="18">
        <f>ROUND((1/2)*(_xlfn.XLOOKUP(_xlfn.XLOOKUP(B97,'Base stats'!B:B,'Base stats'!E:E),Groups!A:A,Groups!H:H)*_xlfn.XLOOKUP(_xlfn.XLOOKUP(B97,'Base stats'!B:B,'Base stats'!E:E),Groups!A:A,Groups!I:I))*_xlfn.XLOOKUP(B97,'Base stats'!B:B,'Base stats'!AO:AO)*0.01,2)</f>
        <v>0.36</v>
      </c>
      <c r="AB97" s="18">
        <f>250*(Animals!AO97+Animals!AP97)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stats'!BQ:BQ) * (_xlfn.XLOOKUP(B98,'Base stats'!B:B,'Base stats'!AM:AM)*5%)^0.9 / 21,0.1),0.05)</f>
        <v>0.9</v>
      </c>
      <c r="E98" s="11">
        <f>MAX(0.01,MROUND(_xlfn.XLOOKUP(B98,'Base stats'!B:B,'Base stats'!BE:BE) * 0.01 * 2, 0.01))</f>
        <v>0.69000000000000006</v>
      </c>
      <c r="F98" s="7">
        <f>MROUND(_xlfn.XLOOKUP(B98,'Base stats'!B:B,'Base stats'!BB:BB)^0.25 / (_xlfn.XLOOKUP(B98,'Base stats'!B:B,'Base stats'!BI:BI) * 10) * 150 + 0.5 + _xlfn.XLOOKUP(B98,'Base stats'!B:B,'Base stats'!BU:BU), 0.05)</f>
        <v>2.0500000000000003</v>
      </c>
      <c r="G98" s="3" t="str">
        <f>IF(Animals!S98="No","No",
IF(_xlfn.XLOOKUP(B98,'Base stats'!B:B,'Base stats'!U:U)="No",
MAX(MROUND(_xlfn.XLOOKUP(B98,'Base stats'!B:B,'Base stats'!BR:BR) * _xlfn.XLOOKUP(B98,'Base stats'!B:B,'Base stats'!BN:BN)^0.9 / 21 * _xlfn.XLOOKUP(B98,'Base stats'!B:B,'Base stats'!BV:BV),0.1),0.05),
MAX(MROUND(((MIN(10,_xlfn.XLOOKUP(B98,'Base stats'!B:B,'Base stats'!U:U)))^0.4*_xlfn.XLOOKUP(B98,'Base stats'!B:B,'Base stats'!BF:BF)^0.73)^0.6 * _xlfn.XLOOKUP(B98,'Base stats'!B:B,'Base stats'!BV:BV),0.1),0.05)
))</f>
        <v>No</v>
      </c>
      <c r="H98" s="11" t="str">
        <f>IF(G98="No","No",
MAX(0.01,MROUND(_xlfn.XLOOKUP(B98,'Base stats'!B:B,'Base stats'!BF:BF) * 0.01 * 2, 0.01))
)</f>
        <v>No</v>
      </c>
      <c r="I98" s="11" t="str">
        <f>IF(G98="No","No",IF(_xlfn.XLOOKUP(B98,'Base stats'!B:B,'Base stats'!U:U)="No","No",
MAX(0.01,MROUND(_xlfn.XLOOKUP(B98,'Base stats'!B:B,'Base stats'!BR:BR)/10000,0.01))
))</f>
        <v>No</v>
      </c>
      <c r="J98" s="4" t="str">
        <f>IF(G98="No","No",
MROUND(_xlfn.XLOOKUP(B98,'Base stats'!B:B,'Base stats'!BC:BC)^0.25
/((_xlfn.XLOOKUP(B98,'Base stats'!B:B,'Base stats'!BJ:BJ))*10)*_xlfn.XLOOKUP(_xlfn.XLOOKUP(B98,'Base stats'!B:B,'Base stats'!E:E),Groups!A:A,Groups!Q:Q)*150 + 0.5 + _xlfn.XLOOKUP(B98,'Base stats'!B:B,'Base stats'!BU:BU),
0.05))</f>
        <v>No</v>
      </c>
      <c r="K98" s="3" t="str">
        <f>IF(Animals!X98="No","No",
IF(_xlfn.XLOOKUP(_xlfn.XLOOKUP(B98,'Base stats'!B:B,'Base stats'!E:E),Groups!A:A,Groups!BD:BD)=1,
MAX(MROUND(_xlfn.XLOOKUP(B98,'Base stats'!B:B,'Base stats'!BS:BS) * _xlfn.XLOOKUP(B98,'Base stats'!B:B,'Base stats'!BO:BO)^0.9 / 21 *_xlfn.XLOOKUP(B98,'Base stats'!B:B,'Base stats'!BV:BV),0.1),0.05),
MAX(MROUND(((MIN(10,_xlfn.XLOOKUP(B98,'Base stats'!B:B,'Base stats'!W:W)))^0.4*_xlfn.XLOOKUP(B98,'Base stats'!B:B,'Base stats'!BG:BG)^0.73)^0.6 *_xlfn.XLOOKUP(B98,'Base stats'!B:B,'Base stats'!BV:BV),0.1),0.05)
))</f>
        <v>No</v>
      </c>
      <c r="L98" s="11" t="str">
        <f>IF(K98="No","No",
MAX(0.01,MROUND(_xlfn.XLOOKUP(B98,'Base stats'!B:B,'Base stats'!BG:BG) * 0.01 *2, 0.01))
)</f>
        <v>No</v>
      </c>
      <c r="M98" s="5" t="str">
        <f>IF(K98="No","No",IF(_xlfn.XLOOKUP(_xlfn.XLOOKUP(B98,'Base stats'!B:B,'Base stats'!E:E),Groups!A:A,Groups!BD:BD)=1,"No",
MAX(0.01,MROUND(_xlfn.XLOOKUP(B98,'Base stats'!B:B,'Base stats'!BS:BS)/10000,0.01))
))</f>
        <v>No</v>
      </c>
      <c r="N98" s="4" t="str">
        <f>IF(K98="No","No",
MROUND(
  _xlfn.XLOOKUP(B98,'Base stats'!B:B,'Base stats'!BA:BA)^0.25
  / (_xlfn.XLOOKUP(B98,'Base stats'!B:B,'Base stats'!BK:BK)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stats'!BU:BU),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stats'!BH:BH)^0.73)^0.6 *_xlfn.XLOOKUP(B98,'Base stats'!B:B,'Base stats'!BV:BV),0.1),0.05)
)</f>
        <v>5.7</v>
      </c>
      <c r="P98" s="11">
        <f>IF(O98="No","No",
MAX(0.01,MROUND(_xlfn.XLOOKUP(B98,'Base stats'!B:B,'Base stats'!BH:BH) * 0.01 * 2, 0.01))
)</f>
        <v>1.07</v>
      </c>
      <c r="Q98" s="5">
        <f>IF(O98="No","No",
MAX(0.01,MROUND(_xlfn.XLOOKUP(B98,'Base stats'!B:B,'Base stats'!BT:BT)/10000,0.01))
)</f>
        <v>7.0000000000000007E-2</v>
      </c>
      <c r="R98" s="4">
        <f>IF(O98="No","No",
MROUND(_xlfn.XLOOKUP(B98,'Base stats'!B:B,'Base stats'!AZ:AZ)^0.25
/((_xlfn.XLOOKUP(B98,'Base stats'!B:B,'Base stats'!BL:BL))*10)*_xlfn.XLOOKUP(_xlfn.XLOOKUP(B98,'Base stats'!B:B,'Base stats'!E:E),Groups!A:A,Groups!Z:Z)*150 + 0.5 + _xlfn.XLOOKUP(B98,'Base stats'!B:B,'Base stats'!BU:BU),
0.05))</f>
        <v>2.25</v>
      </c>
      <c r="S98" s="3" t="str">
        <f>IF(Animals!AI98="No","No",
IF(_xlfn.XLOOKUP(B98,'Base stats'!B:B,'Base stats'!U:U)="No",
MAX(MROUND(_xlfn.XLOOKUP(B98,'Base stats'!B:B,'Base stats'!BR:BR) * _xlfn.XLOOKUP(B98,'Base stats'!B:B,'Base stats'!BN:BN)^0.9 / 21 * _xlfn.XLOOKUP(B98,'Base stats'!B:B,'Base stats'!BV:BV),0.1),0.05),
MAX(MROUND(((MIN(12,_xlfn.XLOOKUP(B98,'Base stats'!B:B,'Base stats'!U:U)))^0.4*_xlfn.XLOOKUP(B98,'Base stats'!B:B,'Base stats'!BF:BF)^0.73)^0.6 * _xlfn.XLOOKUP(B98,'Base stats'!B:B,'Base stats'!BV:BV),0.1),0.05)
))</f>
        <v>No</v>
      </c>
      <c r="T98" s="11" t="str">
        <f>IF(S98="No","No",
MAX(0.01,MROUND(_xlfn.XLOOKUP(B98,'Base stats'!B:B,'Base stats'!BF:BF) * 0.01 * 2, 0.01))
)</f>
        <v>No</v>
      </c>
      <c r="U98" s="5" t="str">
        <f>IF(S98="No","No",IF(_xlfn.XLOOKUP(B98,'Base stats'!B:B,'Base stats'!U:U)="No","No",
MAX(0.01,MROUND(_xlfn.XLOOKUP(B98,'Base stats'!B:B,'Base stats'!BR:BR)/10000,0.01))
))</f>
        <v>No</v>
      </c>
      <c r="V98" s="4" t="str">
        <f>IF(S98="No","No",
MROUND(_xlfn.XLOOKUP(B98,'Base stats'!B:B,'Base stats'!BD:BD)^0.25
/((_xlfn.XLOOKUP(B98,'Base stats'!B:B,'Base stats'!BM:BM))*10)*_xlfn.XLOOKUP(_xlfn.XLOOKUP(B98,'Base stats'!B:B,'Base stats'!E:E),Groups!A:A,Groups!AE:AE)*150 + 0.5 + _xlfn.XLOOKUP(B98,'Base stats'!B:B,'Base stats'!BU:BU),
0.05))</f>
        <v>No</v>
      </c>
      <c r="W98" s="8">
        <f>MROUND(_xlfn.XLOOKUP(_xlfn.XLOOKUP(B98,'Base stats'!B:B,'Base stats'!E:E),Groups!A:A,Groups!BG:BG)*_xlfn.XLOOKUP(B98,'Base stats'!B:B,'Base stats'!C:C)^-0.165,0.01)</f>
        <v>0.13</v>
      </c>
      <c r="X98" s="1">
        <f>MROUND(_xlfn.XLOOKUP(_xlfn.XLOOKUP(B98,'Base stats'!B:B,'Base stats'!E:E),Groups!A:A,Groups!BH:BH)*_xlfn.XLOOKUP(B98,'Base stats'!B:B,'Base stats'!C:C)^0.165,0.01)</f>
        <v>0</v>
      </c>
      <c r="Y98" s="8">
        <f>MROUND(_xlfn.XLOOKUP(_xlfn.XLOOKUP(B98,'Base stats'!B:B,'Base stats'!E:E),Groups!A:A,Groups!BI:BI)*_xlfn.XLOOKUP(B98,'Base stats'!B:B,'Base stats'!C:C)^0.165,0.01)</f>
        <v>0</v>
      </c>
      <c r="Z98" s="18">
        <f>ROUND(_xlfn.XLOOKUP(B98,'Base stats'!B:B,'Base stats'!AO:AO)*_xlfn.XLOOKUP(_xlfn.XLOOKUP(B98,'Base stats'!B:B,'Base stats'!E:E),Groups!A:A,Groups!H:H)/1000,2)</f>
        <v>1.1200000000000001</v>
      </c>
      <c r="AA98" s="18">
        <f>ROUND((1/2)*(_xlfn.XLOOKUP(_xlfn.XLOOKUP(B98,'Base stats'!B:B,'Base stats'!E:E),Groups!A:A,Groups!H:H)*_xlfn.XLOOKUP(_xlfn.XLOOKUP(B98,'Base stats'!B:B,'Base stats'!E:E),Groups!A:A,Groups!I:I))*_xlfn.XLOOKUP(B98,'Base stats'!B:B,'Base stats'!AO:AO)*0.01,2)</f>
        <v>0.03</v>
      </c>
      <c r="AB98" s="18">
        <f>250*(Animals!AO98+Animals!AP98)</f>
        <v>425.00000000000006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stats'!BQ:BQ) * (_xlfn.XLOOKUP(B99,'Base stats'!B:B,'Base stats'!AM:AM)*5%)^0.9 / 21,0.1),0.05)</f>
        <v>1.6</v>
      </c>
      <c r="E99" s="11">
        <f>MAX(0.01,MROUND(_xlfn.XLOOKUP(B99,'Base stats'!B:B,'Base stats'!BE:BE) * 0.01 * 2, 0.01))</f>
        <v>1.25</v>
      </c>
      <c r="F99" s="7">
        <f>MROUND(_xlfn.XLOOKUP(B99,'Base stats'!B:B,'Base stats'!BB:BB)^0.25 / (_xlfn.XLOOKUP(B99,'Base stats'!B:B,'Base stats'!BI:BI) * 10) * 150 + 0.5 + _xlfn.XLOOKUP(B99,'Base stats'!B:B,'Base stats'!BU:BU), 0.05)</f>
        <v>1.85</v>
      </c>
      <c r="G99" s="3" t="str">
        <f>IF(Animals!S99="No","No",
IF(_xlfn.XLOOKUP(B99,'Base stats'!B:B,'Base stats'!U:U)="No",
MAX(MROUND(_xlfn.XLOOKUP(B99,'Base stats'!B:B,'Base stats'!BR:BR) * _xlfn.XLOOKUP(B99,'Base stats'!B:B,'Base stats'!BN:BN)^0.9 / 21 * _xlfn.XLOOKUP(B99,'Base stats'!B:B,'Base stats'!BV:BV),0.1),0.05),
MAX(MROUND(((MIN(10,_xlfn.XLOOKUP(B99,'Base stats'!B:B,'Base stats'!U:U)))^0.4*_xlfn.XLOOKUP(B99,'Base stats'!B:B,'Base stats'!BF:BF)^0.73)^0.6 * _xlfn.XLOOKUP(B99,'Base stats'!B:B,'Base stats'!BV:BV),0.1),0.05)
))</f>
        <v>No</v>
      </c>
      <c r="H99" s="11" t="str">
        <f>IF(G99="No","No",
MAX(0.01,MROUND(_xlfn.XLOOKUP(B99,'Base stats'!B:B,'Base stats'!BF:BF) * 0.01 * 2, 0.01))
)</f>
        <v>No</v>
      </c>
      <c r="I99" s="11" t="str">
        <f>IF(G99="No","No",IF(_xlfn.XLOOKUP(B99,'Base stats'!B:B,'Base stats'!U:U)="No","No",
MAX(0.01,MROUND(_xlfn.XLOOKUP(B99,'Base stats'!B:B,'Base stats'!BR:BR)/10000,0.01))
))</f>
        <v>No</v>
      </c>
      <c r="J99" s="4" t="str">
        <f>IF(G99="No","No",
MROUND(_xlfn.XLOOKUP(B99,'Base stats'!B:B,'Base stats'!BC:BC)^0.25
/((_xlfn.XLOOKUP(B99,'Base stats'!B:B,'Base stats'!BJ:BJ))*10)*_xlfn.XLOOKUP(_xlfn.XLOOKUP(B99,'Base stats'!B:B,'Base stats'!E:E),Groups!A:A,Groups!Q:Q)*150 + 0.5 + _xlfn.XLOOKUP(B99,'Base stats'!B:B,'Base stats'!BU:BU),
0.05))</f>
        <v>No</v>
      </c>
      <c r="K99" s="3" t="str">
        <f>IF(Animals!X99="No","No",
IF(_xlfn.XLOOKUP(_xlfn.XLOOKUP(B99,'Base stats'!B:B,'Base stats'!E:E),Groups!A:A,Groups!BD:BD)=1,
MAX(MROUND(_xlfn.XLOOKUP(B99,'Base stats'!B:B,'Base stats'!BS:BS) * _xlfn.XLOOKUP(B99,'Base stats'!B:B,'Base stats'!BO:BO)^0.9 / 21 *_xlfn.XLOOKUP(B99,'Base stats'!B:B,'Base stats'!BV:BV),0.1),0.05),
MAX(MROUND(((MIN(10,_xlfn.XLOOKUP(B99,'Base stats'!B:B,'Base stats'!W:W)))^0.4*_xlfn.XLOOKUP(B99,'Base stats'!B:B,'Base stats'!BG:BG)^0.73)^0.6 *_xlfn.XLOOKUP(B99,'Base stats'!B:B,'Base stats'!BV:BV),0.1),0.05)
))</f>
        <v>No</v>
      </c>
      <c r="L99" s="11" t="str">
        <f>IF(K99="No","No",
MAX(0.01,MROUND(_xlfn.XLOOKUP(B99,'Base stats'!B:B,'Base stats'!BG:BG) * 0.01 *2, 0.01))
)</f>
        <v>No</v>
      </c>
      <c r="M99" s="5" t="str">
        <f>IF(K99="No","No",IF(_xlfn.XLOOKUP(_xlfn.XLOOKUP(B99,'Base stats'!B:B,'Base stats'!E:E),Groups!A:A,Groups!BD:BD)=1,"No",
MAX(0.01,MROUND(_xlfn.XLOOKUP(B99,'Base stats'!B:B,'Base stats'!BS:BS)/10000,0.01))
))</f>
        <v>No</v>
      </c>
      <c r="N99" s="4" t="str">
        <f>IF(K99="No","No",
MROUND(
  _xlfn.XLOOKUP(B99,'Base stats'!B:B,'Base stats'!BA:BA)^0.25
  / (_xlfn.XLOOKUP(B99,'Base stats'!B:B,'Base stats'!BK:BK)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stats'!BU:BU),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stats'!BH:BH)^0.73)^0.6 *_xlfn.XLOOKUP(B99,'Base stats'!B:B,'Base stats'!BV:BV),0.1),0.05)
)</f>
        <v>14.8</v>
      </c>
      <c r="P99" s="11">
        <f>IF(O99="No","No",
MAX(0.01,MROUND(_xlfn.XLOOKUP(B99,'Base stats'!B:B,'Base stats'!BH:BH) * 0.01 * 2, 0.01))
)</f>
        <v>4.9000000000000004</v>
      </c>
      <c r="Q99" s="5">
        <f>IF(O99="No","No",
MAX(0.01,MROUND(_xlfn.XLOOKUP(B99,'Base stats'!B:B,'Base stats'!BT:BT)/10000,0.01))
)</f>
        <v>0.35000000000000003</v>
      </c>
      <c r="R99" s="4">
        <f>IF(O99="No","No",
MROUND(_xlfn.XLOOKUP(B99,'Base stats'!B:B,'Base stats'!AZ:AZ)^0.25
/((_xlfn.XLOOKUP(B99,'Base stats'!B:B,'Base stats'!BL:BL))*10)*_xlfn.XLOOKUP(_xlfn.XLOOKUP(B99,'Base stats'!B:B,'Base stats'!E:E),Groups!A:A,Groups!Z:Z)*150 + 0.5 + _xlfn.XLOOKUP(B99,'Base stats'!B:B,'Base stats'!BU:BU),
0.05))</f>
        <v>2.25</v>
      </c>
      <c r="S99" s="3" t="str">
        <f>IF(Animals!AI99="No","No",
IF(_xlfn.XLOOKUP(B99,'Base stats'!B:B,'Base stats'!U:U)="No",
MAX(MROUND(_xlfn.XLOOKUP(B99,'Base stats'!B:B,'Base stats'!BR:BR) * _xlfn.XLOOKUP(B99,'Base stats'!B:B,'Base stats'!BN:BN)^0.9 / 21 * _xlfn.XLOOKUP(B99,'Base stats'!B:B,'Base stats'!BV:BV),0.1),0.05),
MAX(MROUND(((MIN(12,_xlfn.XLOOKUP(B99,'Base stats'!B:B,'Base stats'!U:U)))^0.4*_xlfn.XLOOKUP(B99,'Base stats'!B:B,'Base stats'!BF:BF)^0.73)^0.6 * _xlfn.XLOOKUP(B99,'Base stats'!B:B,'Base stats'!BV:BV),0.1),0.05)
))</f>
        <v>No</v>
      </c>
      <c r="T99" s="11" t="str">
        <f>IF(S99="No","No",
MAX(0.01,MROUND(_xlfn.XLOOKUP(B99,'Base stats'!B:B,'Base stats'!BF:BF) * 0.01 * 2, 0.01))
)</f>
        <v>No</v>
      </c>
      <c r="U99" s="5" t="str">
        <f>IF(S99="No","No",IF(_xlfn.XLOOKUP(B99,'Base stats'!B:B,'Base stats'!U:U)="No","No",
MAX(0.01,MROUND(_xlfn.XLOOKUP(B99,'Base stats'!B:B,'Base stats'!BR:BR)/10000,0.01))
))</f>
        <v>No</v>
      </c>
      <c r="V99" s="4" t="str">
        <f>IF(S99="No","No",
MROUND(_xlfn.XLOOKUP(B99,'Base stats'!B:B,'Base stats'!BD:BD)^0.25
/((_xlfn.XLOOKUP(B99,'Base stats'!B:B,'Base stats'!BM:BM))*10)*_xlfn.XLOOKUP(_xlfn.XLOOKUP(B99,'Base stats'!B:B,'Base stats'!E:E),Groups!A:A,Groups!AE:AE)*150 + 0.5 + _xlfn.XLOOKUP(B99,'Base stats'!B:B,'Base stats'!BU:BU),
0.05))</f>
        <v>No</v>
      </c>
      <c r="W99" s="8">
        <f>MROUND(_xlfn.XLOOKUP(_xlfn.XLOOKUP(B99,'Base stats'!B:B,'Base stats'!E:E),Groups!A:A,Groups!BG:BG)*_xlfn.XLOOKUP(B99,'Base stats'!B:B,'Base stats'!C:C)^-0.165,0.01)</f>
        <v>0.53</v>
      </c>
      <c r="X99" s="1">
        <f>MROUND(_xlfn.XLOOKUP(_xlfn.XLOOKUP(B99,'Base stats'!B:B,'Base stats'!E:E),Groups!A:A,Groups!BH:BH)*_xlfn.XLOOKUP(B99,'Base stats'!B:B,'Base stats'!C:C)^0.165,0.01)</f>
        <v>0.37</v>
      </c>
      <c r="Y99" s="8">
        <f>MROUND(_xlfn.XLOOKUP(_xlfn.XLOOKUP(B99,'Base stats'!B:B,'Base stats'!E:E),Groups!A:A,Groups!BI:BI)*_xlfn.XLOOKUP(B99,'Base stats'!B:B,'Base stats'!C:C)^0.165,0.01)</f>
        <v>0.05</v>
      </c>
      <c r="Z99" s="18">
        <f>ROUND(_xlfn.XLOOKUP(B99,'Base stats'!B:B,'Base stats'!AO:AO)*_xlfn.XLOOKUP(_xlfn.XLOOKUP(B99,'Base stats'!B:B,'Base stats'!E:E),Groups!A:A,Groups!H:H)/1000,2)</f>
        <v>0.08</v>
      </c>
      <c r="AA99" s="18">
        <f>ROUND((1/2)*(_xlfn.XLOOKUP(_xlfn.XLOOKUP(B99,'Base stats'!B:B,'Base stats'!E:E),Groups!A:A,Groups!H:H)*_xlfn.XLOOKUP(_xlfn.XLOOKUP(B99,'Base stats'!B:B,'Base stats'!E:E),Groups!A:A,Groups!I:I))*_xlfn.XLOOKUP(B99,'Base stats'!B:B,'Base stats'!AO:AO)*0.01,2)</f>
        <v>0.63</v>
      </c>
      <c r="AB99" s="18">
        <f>250*(Animals!AO99+Animals!AP99)</f>
        <v>437.5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stats'!BQ:BQ) * (_xlfn.XLOOKUP(B100,'Base stats'!B:B,'Base stats'!AM:AM)*5%)^0.9 / 21,0.1),0.05)</f>
        <v>2.2000000000000002</v>
      </c>
      <c r="E100" s="11">
        <f>MAX(0.01,MROUND(_xlfn.XLOOKUP(B100,'Base stats'!B:B,'Base stats'!BE:BE) * 0.01 * 2, 0.01))</f>
        <v>1.82</v>
      </c>
      <c r="F100" s="7">
        <f>MROUND(_xlfn.XLOOKUP(B100,'Base stats'!B:B,'Base stats'!BB:BB)^0.25 / (_xlfn.XLOOKUP(B100,'Base stats'!B:B,'Base stats'!BI:BI) * 10) * 150 + 0.5 + _xlfn.XLOOKUP(B100,'Base stats'!B:B,'Base stats'!BU:BU), 0.05)</f>
        <v>1.9500000000000002</v>
      </c>
      <c r="G100" s="3" t="str">
        <f>IF(Animals!S100="No","No",
IF(_xlfn.XLOOKUP(B100,'Base stats'!B:B,'Base stats'!U:U)="No",
MAX(MROUND(_xlfn.XLOOKUP(B100,'Base stats'!B:B,'Base stats'!BR:BR) * _xlfn.XLOOKUP(B100,'Base stats'!B:B,'Base stats'!BN:BN)^0.9 / 21 * _xlfn.XLOOKUP(B100,'Base stats'!B:B,'Base stats'!BV:BV),0.1),0.05),
MAX(MROUND(((MIN(10,_xlfn.XLOOKUP(B100,'Base stats'!B:B,'Base stats'!U:U)))^0.4*_xlfn.XLOOKUP(B100,'Base stats'!B:B,'Base stats'!BF:BF)^0.73)^0.6 * _xlfn.XLOOKUP(B100,'Base stats'!B:B,'Base stats'!BV:BV),0.1),0.05)
))</f>
        <v>No</v>
      </c>
      <c r="H100" s="11" t="str">
        <f>IF(G100="No","No",
MAX(0.01,MROUND(_xlfn.XLOOKUP(B100,'Base stats'!B:B,'Base stats'!BF:BF) * 0.01 * 2, 0.01))
)</f>
        <v>No</v>
      </c>
      <c r="I100" s="11" t="str">
        <f>IF(G100="No","No",IF(_xlfn.XLOOKUP(B100,'Base stats'!B:B,'Base stats'!U:U)="No","No",
MAX(0.01,MROUND(_xlfn.XLOOKUP(B100,'Base stats'!B:B,'Base stats'!BR:BR)/10000,0.01))
))</f>
        <v>No</v>
      </c>
      <c r="J100" s="4" t="str">
        <f>IF(G100="No","No",
MROUND(_xlfn.XLOOKUP(B100,'Base stats'!B:B,'Base stats'!BC:BC)^0.25
/((_xlfn.XLOOKUP(B100,'Base stats'!B:B,'Base stats'!BJ:BJ))*10)*_xlfn.XLOOKUP(_xlfn.XLOOKUP(B100,'Base stats'!B:B,'Base stats'!E:E),Groups!A:A,Groups!Q:Q)*150 + 0.5 + _xlfn.XLOOKUP(B100,'Base stats'!B:B,'Base stats'!BU:BU),
0.05))</f>
        <v>No</v>
      </c>
      <c r="K100" s="3" t="str">
        <f>IF(Animals!X100="No","No",
IF(_xlfn.XLOOKUP(_xlfn.XLOOKUP(B100,'Base stats'!B:B,'Base stats'!E:E),Groups!A:A,Groups!BD:BD)=1,
MAX(MROUND(_xlfn.XLOOKUP(B100,'Base stats'!B:B,'Base stats'!BS:BS) * _xlfn.XLOOKUP(B100,'Base stats'!B:B,'Base stats'!BO:BO)^0.9 / 21 *_xlfn.XLOOKUP(B100,'Base stats'!B:B,'Base stats'!BV:BV),0.1),0.05),
MAX(MROUND(((MIN(10,_xlfn.XLOOKUP(B100,'Base stats'!B:B,'Base stats'!W:W)))^0.4*_xlfn.XLOOKUP(B100,'Base stats'!B:B,'Base stats'!BG:BG)^0.73)^0.6 *_xlfn.XLOOKUP(B100,'Base stats'!B:B,'Base stats'!BV:BV),0.1),0.05)
))</f>
        <v>No</v>
      </c>
      <c r="L100" s="11" t="str">
        <f>IF(K100="No","No",
MAX(0.01,MROUND(_xlfn.XLOOKUP(B100,'Base stats'!B:B,'Base stats'!BG:BG) * 0.01 *2, 0.01))
)</f>
        <v>No</v>
      </c>
      <c r="M100" s="5" t="str">
        <f>IF(K100="No","No",IF(_xlfn.XLOOKUP(_xlfn.XLOOKUP(B100,'Base stats'!B:B,'Base stats'!E:E),Groups!A:A,Groups!BD:BD)=1,"No",
MAX(0.01,MROUND(_xlfn.XLOOKUP(B100,'Base stats'!B:B,'Base stats'!BS:BS)/10000,0.01))
))</f>
        <v>No</v>
      </c>
      <c r="N100" s="4" t="str">
        <f>IF(K100="No","No",
MROUND(
  _xlfn.XLOOKUP(B100,'Base stats'!B:B,'Base stats'!BA:BA)^0.25
  / (_xlfn.XLOOKUP(B100,'Base stats'!B:B,'Base stats'!BK:BK)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stats'!BU:BU),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stats'!BH:BH)^0.73)^0.6 *_xlfn.XLOOKUP(B100,'Base stats'!B:B,'Base stats'!BV:BV),0.1),0.05)
)</f>
        <v>17.5</v>
      </c>
      <c r="P100" s="11">
        <f>IF(O100="No","No",
MAX(0.01,MROUND(_xlfn.XLOOKUP(B100,'Base stats'!B:B,'Base stats'!BH:BH) * 0.01 * 2, 0.01))
)</f>
        <v>6.79</v>
      </c>
      <c r="Q100" s="5">
        <f>IF(O100="No","No",
MAX(0.01,MROUND(_xlfn.XLOOKUP(B100,'Base stats'!B:B,'Base stats'!BT:BT)/10000,0.01))
)</f>
        <v>0.41000000000000003</v>
      </c>
      <c r="R100" s="4">
        <f>IF(O100="No","No",
MROUND(_xlfn.XLOOKUP(B100,'Base stats'!B:B,'Base stats'!AZ:AZ)^0.25
/((_xlfn.XLOOKUP(B100,'Base stats'!B:B,'Base stats'!BL:BL))*10)*_xlfn.XLOOKUP(_xlfn.XLOOKUP(B100,'Base stats'!B:B,'Base stats'!E:E),Groups!A:A,Groups!Z:Z)*150 + 0.5 + _xlfn.XLOOKUP(B100,'Base stats'!B:B,'Base stats'!BU:BU),
0.05))</f>
        <v>2.15</v>
      </c>
      <c r="S100" s="3" t="str">
        <f>IF(Animals!AI100="No","No",
IF(_xlfn.XLOOKUP(B100,'Base stats'!B:B,'Base stats'!U:U)="No",
MAX(MROUND(_xlfn.XLOOKUP(B100,'Base stats'!B:B,'Base stats'!BR:BR) * _xlfn.XLOOKUP(B100,'Base stats'!B:B,'Base stats'!BN:BN)^0.9 / 21 * _xlfn.XLOOKUP(B100,'Base stats'!B:B,'Base stats'!BV:BV),0.1),0.05),
MAX(MROUND(((MIN(12,_xlfn.XLOOKUP(B100,'Base stats'!B:B,'Base stats'!U:U)))^0.4*_xlfn.XLOOKUP(B100,'Base stats'!B:B,'Base stats'!BF:BF)^0.73)^0.6 * _xlfn.XLOOKUP(B100,'Base stats'!B:B,'Base stats'!BV:BV),0.1),0.05)
))</f>
        <v>No</v>
      </c>
      <c r="T100" s="11" t="str">
        <f>IF(S100="No","No",
MAX(0.01,MROUND(_xlfn.XLOOKUP(B100,'Base stats'!B:B,'Base stats'!BF:BF) * 0.01 * 2, 0.01))
)</f>
        <v>No</v>
      </c>
      <c r="U100" s="5" t="str">
        <f>IF(S100="No","No",IF(_xlfn.XLOOKUP(B100,'Base stats'!B:B,'Base stats'!U:U)="No","No",
MAX(0.01,MROUND(_xlfn.XLOOKUP(B100,'Base stats'!B:B,'Base stats'!BR:BR)/10000,0.01))
))</f>
        <v>No</v>
      </c>
      <c r="V100" s="4" t="str">
        <f>IF(S100="No","No",
MROUND(_xlfn.XLOOKUP(B100,'Base stats'!B:B,'Base stats'!BD:BD)^0.25
/((_xlfn.XLOOKUP(B100,'Base stats'!B:B,'Base stats'!BM:BM))*10)*_xlfn.XLOOKUP(_xlfn.XLOOKUP(B100,'Base stats'!B:B,'Base stats'!E:E),Groups!A:A,Groups!AE:AE)*150 + 0.5 + _xlfn.XLOOKUP(B100,'Base stats'!B:B,'Base stats'!BU:BU),
0.05))</f>
        <v>No</v>
      </c>
      <c r="W100" s="8">
        <f>MROUND(_xlfn.XLOOKUP(_xlfn.XLOOKUP(B100,'Base stats'!B:B,'Base stats'!E:E),Groups!A:A,Groups!BG:BG)*_xlfn.XLOOKUP(B100,'Base stats'!B:B,'Base stats'!C:C)^-0.165,0.01)</f>
        <v>0.5</v>
      </c>
      <c r="X100" s="1">
        <f>MROUND(_xlfn.XLOOKUP(_xlfn.XLOOKUP(B100,'Base stats'!B:B,'Base stats'!E:E),Groups!A:A,Groups!BH:BH)*_xlfn.XLOOKUP(B100,'Base stats'!B:B,'Base stats'!C:C)^0.165,0.01)</f>
        <v>0.4</v>
      </c>
      <c r="Y100" s="8">
        <f>MROUND(_xlfn.XLOOKUP(_xlfn.XLOOKUP(B100,'Base stats'!B:B,'Base stats'!E:E),Groups!A:A,Groups!BI:BI)*_xlfn.XLOOKUP(B100,'Base stats'!B:B,'Base stats'!C:C)^0.165,0.01)</f>
        <v>0.05</v>
      </c>
      <c r="Z100" s="18">
        <f>ROUND(_xlfn.XLOOKUP(B100,'Base stats'!B:B,'Base stats'!AO:AO)*_xlfn.XLOOKUP(_xlfn.XLOOKUP(B100,'Base stats'!B:B,'Base stats'!E:E),Groups!A:A,Groups!H:H)/1000,2)</f>
        <v>0.1</v>
      </c>
      <c r="AA100" s="18">
        <f>ROUND((1/2)*(_xlfn.XLOOKUP(_xlfn.XLOOKUP(B100,'Base stats'!B:B,'Base stats'!E:E),Groups!A:A,Groups!H:H)*_xlfn.XLOOKUP(_xlfn.XLOOKUP(B100,'Base stats'!B:B,'Base stats'!E:E),Groups!A:A,Groups!I:I))*_xlfn.XLOOKUP(B100,'Base stats'!B:B,'Base stats'!AO:AO)*0.01,2)</f>
        <v>0.73</v>
      </c>
      <c r="AB100" s="18">
        <f>250*(Animals!AO100+Animals!AP100)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stats'!BQ:BQ) * (_xlfn.XLOOKUP(B101,'Base stats'!B:B,'Base stats'!AM:AM)*5%)^0.9 / 21,0.1),0.05)</f>
        <v>0.05</v>
      </c>
      <c r="E101" s="11">
        <f>MAX(0.01,MROUND(_xlfn.XLOOKUP(B101,'Base stats'!B:B,'Base stats'!BE:BE) * 0.01 * 2, 0.01))</f>
        <v>0.01</v>
      </c>
      <c r="F101" s="7">
        <f>MROUND(_xlfn.XLOOKUP(B101,'Base stats'!B:B,'Base stats'!BB:BB)^0.25 / (_xlfn.XLOOKUP(B101,'Base stats'!B:B,'Base stats'!BI:BI) * 10) * 150 + 0.5 + _xlfn.XLOOKUP(B101,'Base stats'!B:B,'Base stats'!BU:BU), 0.05)</f>
        <v>1.4000000000000001</v>
      </c>
      <c r="G101" s="3" t="str">
        <f>IF(Animals!S101="No","No",
IF(_xlfn.XLOOKUP(B101,'Base stats'!B:B,'Base stats'!U:U)="No",
MAX(MROUND(_xlfn.XLOOKUP(B101,'Base stats'!B:B,'Base stats'!BR:BR) * _xlfn.XLOOKUP(B101,'Base stats'!B:B,'Base stats'!BN:BN)^0.9 / 21 * _xlfn.XLOOKUP(B101,'Base stats'!B:B,'Base stats'!BV:BV),0.1),0.05),
MAX(MROUND(((MIN(10,_xlfn.XLOOKUP(B101,'Base stats'!B:B,'Base stats'!U:U)))^0.4*_xlfn.XLOOKUP(B101,'Base stats'!B:B,'Base stats'!BF:BF)^0.73)^0.6 * _xlfn.XLOOKUP(B101,'Base stats'!B:B,'Base stats'!BV:BV),0.1),0.05)
))</f>
        <v>No</v>
      </c>
      <c r="H101" s="11" t="str">
        <f>IF(G101="No","No",
MAX(0.01,MROUND(_xlfn.XLOOKUP(B101,'Base stats'!B:B,'Base stats'!BF:BF) * 0.01 * 2, 0.01))
)</f>
        <v>No</v>
      </c>
      <c r="I101" s="11" t="str">
        <f>IF(G101="No","No",IF(_xlfn.XLOOKUP(B101,'Base stats'!B:B,'Base stats'!U:U)="No","No",
MAX(0.01,MROUND(_xlfn.XLOOKUP(B101,'Base stats'!B:B,'Base stats'!BR:BR)/10000,0.01))
))</f>
        <v>No</v>
      </c>
      <c r="J101" s="4" t="str">
        <f>IF(G101="No","No",
MROUND(_xlfn.XLOOKUP(B101,'Base stats'!B:B,'Base stats'!BC:BC)^0.25
/((_xlfn.XLOOKUP(B101,'Base stats'!B:B,'Base stats'!BJ:BJ))*10)*_xlfn.XLOOKUP(_xlfn.XLOOKUP(B101,'Base stats'!B:B,'Base stats'!E:E),Groups!A:A,Groups!Q:Q)*150 + 0.5 + _xlfn.XLOOKUP(B101,'Base stats'!B:B,'Base stats'!BU:BU),
0.05))</f>
        <v>No</v>
      </c>
      <c r="K101" s="3" t="str">
        <f>IF(Animals!X101="No","No",
IF(_xlfn.XLOOKUP(_xlfn.XLOOKUP(B101,'Base stats'!B:B,'Base stats'!E:E),Groups!A:A,Groups!BD:BD)=1,
MAX(MROUND(_xlfn.XLOOKUP(B101,'Base stats'!B:B,'Base stats'!BS:BS) * _xlfn.XLOOKUP(B101,'Base stats'!B:B,'Base stats'!BO:BO)^0.9 / 21 *_xlfn.XLOOKUP(B101,'Base stats'!B:B,'Base stats'!BV:BV),0.1),0.05),
MAX(MROUND(((MIN(10,_xlfn.XLOOKUP(B101,'Base stats'!B:B,'Base stats'!W:W)))^0.4*_xlfn.XLOOKUP(B101,'Base stats'!B:B,'Base stats'!BG:BG)^0.73)^0.6 *_xlfn.XLOOKUP(B101,'Base stats'!B:B,'Base stats'!BV:BV),0.1),0.05)
))</f>
        <v>No</v>
      </c>
      <c r="L101" s="11" t="str">
        <f>IF(K101="No","No",
MAX(0.01,MROUND(_xlfn.XLOOKUP(B101,'Base stats'!B:B,'Base stats'!BG:BG) * 0.01 *2, 0.01))
)</f>
        <v>No</v>
      </c>
      <c r="M101" s="5" t="str">
        <f>IF(K101="No","No",IF(_xlfn.XLOOKUP(_xlfn.XLOOKUP(B101,'Base stats'!B:B,'Base stats'!E:E),Groups!A:A,Groups!BD:BD)=1,"No",
MAX(0.01,MROUND(_xlfn.XLOOKUP(B101,'Base stats'!B:B,'Base stats'!BS:BS)/10000,0.01))
))</f>
        <v>No</v>
      </c>
      <c r="N101" s="4" t="str">
        <f>IF(K101="No","No",
MROUND(
  _xlfn.XLOOKUP(B101,'Base stats'!B:B,'Base stats'!BA:BA)^0.25
  / (_xlfn.XLOOKUP(B101,'Base stats'!B:B,'Base stats'!BK:BK)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stats'!BU:BU),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stats'!BH:BH)^0.73)^0.6 *_xlfn.XLOOKUP(B101,'Base stats'!B:B,'Base stats'!BV:BV),0.1),0.05)
)</f>
        <v>No</v>
      </c>
      <c r="P101" s="11" t="str">
        <f>IF(O101="No","No",
MAX(0.01,MROUND(_xlfn.XLOOKUP(B101,'Base stats'!B:B,'Base stats'!BH:BH) * 0.01 * 2, 0.01))
)</f>
        <v>No</v>
      </c>
      <c r="Q101" s="5" t="str">
        <f>IF(O101="No","No",
MAX(0.01,MROUND(_xlfn.XLOOKUP(B101,'Base stats'!B:B,'Base stats'!BT:BT)/10000,0.01))
)</f>
        <v>No</v>
      </c>
      <c r="R101" s="4" t="str">
        <f>IF(O101="No","No",
MROUND(_xlfn.XLOOKUP(B101,'Base stats'!B:B,'Base stats'!AZ:AZ)^0.25
/((_xlfn.XLOOKUP(B101,'Base stats'!B:B,'Base stats'!BL:BL))*10)*_xlfn.XLOOKUP(_xlfn.XLOOKUP(B101,'Base stats'!B:B,'Base stats'!E:E),Groups!A:A,Groups!Z:Z)*150 + 0.5 + _xlfn.XLOOKUP(B101,'Base stats'!B:B,'Base stats'!BU:BU),
0.05))</f>
        <v>No</v>
      </c>
      <c r="S101" s="3">
        <f>IF(Animals!AI101="No","No",
IF(_xlfn.XLOOKUP(B101,'Base stats'!B:B,'Base stats'!U:U)="No",
MAX(MROUND(_xlfn.XLOOKUP(B101,'Base stats'!B:B,'Base stats'!BR:BR) * _xlfn.XLOOKUP(B101,'Base stats'!B:B,'Base stats'!BN:BN)^0.9 / 21 * _xlfn.XLOOKUP(B101,'Base stats'!B:B,'Base stats'!BV:BV),0.1),0.05),
MAX(MROUND(((MIN(12,_xlfn.XLOOKUP(B101,'Base stats'!B:B,'Base stats'!U:U)))^0.4*_xlfn.XLOOKUP(B101,'Base stats'!B:B,'Base stats'!BF:BF)^0.73)^0.6 * _xlfn.XLOOKUP(B101,'Base stats'!B:B,'Base stats'!BV:BV),0.1),0.05)
))</f>
        <v>2</v>
      </c>
      <c r="T101" s="11">
        <f>IF(S101="No","No",
MAX(0.01,MROUND(_xlfn.XLOOKUP(B101,'Base stats'!B:B,'Base stats'!BF:BF) * 0.01 * 2, 0.01))
)</f>
        <v>0.08</v>
      </c>
      <c r="U101" s="5">
        <f>IF(S101="No","No",IF(_xlfn.XLOOKUP(B101,'Base stats'!B:B,'Base stats'!U:U)="No","No",
MAX(0.01,MROUND(_xlfn.XLOOKUP(B101,'Base stats'!B:B,'Base stats'!BR:BR)/10000,0.01))
))</f>
        <v>0.04</v>
      </c>
      <c r="V101" s="4">
        <f>IF(S101="No","No",
MROUND(_xlfn.XLOOKUP(B101,'Base stats'!B:B,'Base stats'!BD:BD)^0.25
/((_xlfn.XLOOKUP(B101,'Base stats'!B:B,'Base stats'!BM:BM))*10)*_xlfn.XLOOKUP(_xlfn.XLOOKUP(B101,'Base stats'!B:B,'Base stats'!E:E),Groups!A:A,Groups!AE:AE)*150 + 0.5 + _xlfn.XLOOKUP(B101,'Base stats'!B:B,'Base stats'!BU:BU),
0.05))</f>
        <v>1.4500000000000002</v>
      </c>
      <c r="W101" s="8">
        <f>MROUND(_xlfn.XLOOKUP(_xlfn.XLOOKUP(B101,'Base stats'!B:B,'Base stats'!E:E),Groups!A:A,Groups!BG:BG)*_xlfn.XLOOKUP(B101,'Base stats'!B:B,'Base stats'!C:C)^-0.165,0.01)</f>
        <v>0.3</v>
      </c>
      <c r="X101" s="1">
        <f>MROUND(_xlfn.XLOOKUP(_xlfn.XLOOKUP(B101,'Base stats'!B:B,'Base stats'!E:E),Groups!A:A,Groups!BH:BH)*_xlfn.XLOOKUP(B101,'Base stats'!B:B,'Base stats'!C:C)^0.165,0.01)</f>
        <v>0</v>
      </c>
      <c r="Y101" s="8">
        <f>MROUND(_xlfn.XLOOKUP(_xlfn.XLOOKUP(B101,'Base stats'!B:B,'Base stats'!E:E),Groups!A:A,Groups!BI:BI)*_xlfn.XLOOKUP(B101,'Base stats'!B:B,'Base stats'!C:C)^0.165,0.01)</f>
        <v>0</v>
      </c>
      <c r="Z101" s="18">
        <f>ROUND(_xlfn.XLOOKUP(B101,'Base stats'!B:B,'Base stats'!AO:AO)*_xlfn.XLOOKUP(_xlfn.XLOOKUP(B101,'Base stats'!B:B,'Base stats'!E:E),Groups!A:A,Groups!H:H)/1000,2)</f>
        <v>0.03</v>
      </c>
      <c r="AA101" s="18">
        <f>ROUND((1/2)*(_xlfn.XLOOKUP(_xlfn.XLOOKUP(B101,'Base stats'!B:B,'Base stats'!E:E),Groups!A:A,Groups!H:H)*_xlfn.XLOOKUP(_xlfn.XLOOKUP(B101,'Base stats'!B:B,'Base stats'!E:E),Groups!A:A,Groups!I:I))*_xlfn.XLOOKUP(B101,'Base stats'!B:B,'Base stats'!AO:AO)*0.01,2)</f>
        <v>0</v>
      </c>
      <c r="AB101" s="18">
        <f>250*(Animals!AO101+Animals!AP101)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stats'!BQ:BQ) * (_xlfn.XLOOKUP(B102,'Base stats'!B:B,'Base stats'!AM:AM)*5%)^0.9 / 21,0.1),0.05)</f>
        <v>0.05</v>
      </c>
      <c r="E102" s="11">
        <f>MAX(0.01,MROUND(_xlfn.XLOOKUP(B102,'Base stats'!B:B,'Base stats'!BE:BE) * 0.01 * 2, 0.01))</f>
        <v>0.01</v>
      </c>
      <c r="F102" s="7">
        <f>MROUND(_xlfn.XLOOKUP(B102,'Base stats'!B:B,'Base stats'!BB:BB)^0.25 / (_xlfn.XLOOKUP(B102,'Base stats'!B:B,'Base stats'!BI:BI) * 10) * 150 + 0.5 + _xlfn.XLOOKUP(B102,'Base stats'!B:B,'Base stats'!BU:BU), 0.05)</f>
        <v>1.4000000000000001</v>
      </c>
      <c r="G102" s="3" t="str">
        <f>IF(Animals!S102="No","No",
IF(_xlfn.XLOOKUP(B102,'Base stats'!B:B,'Base stats'!U:U)="No",
MAX(MROUND(_xlfn.XLOOKUP(B102,'Base stats'!B:B,'Base stats'!BR:BR) * _xlfn.XLOOKUP(B102,'Base stats'!B:B,'Base stats'!BN:BN)^0.9 / 21 * _xlfn.XLOOKUP(B102,'Base stats'!B:B,'Base stats'!BV:BV),0.1),0.05),
MAX(MROUND(((MIN(10,_xlfn.XLOOKUP(B102,'Base stats'!B:B,'Base stats'!U:U)))^0.4*_xlfn.XLOOKUP(B102,'Base stats'!B:B,'Base stats'!BF:BF)^0.73)^0.6 * _xlfn.XLOOKUP(B102,'Base stats'!B:B,'Base stats'!BV:BV),0.1),0.05)
))</f>
        <v>No</v>
      </c>
      <c r="H102" s="11" t="str">
        <f>IF(G102="No","No",
MAX(0.01,MROUND(_xlfn.XLOOKUP(B102,'Base stats'!B:B,'Base stats'!BF:BF) * 0.01 * 2, 0.01))
)</f>
        <v>No</v>
      </c>
      <c r="I102" s="11" t="str">
        <f>IF(G102="No","No",IF(_xlfn.XLOOKUP(B102,'Base stats'!B:B,'Base stats'!U:U)="No","No",
MAX(0.01,MROUND(_xlfn.XLOOKUP(B102,'Base stats'!B:B,'Base stats'!BR:BR)/10000,0.01))
))</f>
        <v>No</v>
      </c>
      <c r="J102" s="4" t="str">
        <f>IF(G102="No","No",
MROUND(_xlfn.XLOOKUP(B102,'Base stats'!B:B,'Base stats'!BC:BC)^0.25
/((_xlfn.XLOOKUP(B102,'Base stats'!B:B,'Base stats'!BJ:BJ))*10)*_xlfn.XLOOKUP(_xlfn.XLOOKUP(B102,'Base stats'!B:B,'Base stats'!E:E),Groups!A:A,Groups!Q:Q)*150 + 0.5 + _xlfn.XLOOKUP(B102,'Base stats'!B:B,'Base stats'!BU:BU),
0.05))</f>
        <v>No</v>
      </c>
      <c r="K102" s="3" t="str">
        <f>IF(Animals!X102="No","No",
IF(_xlfn.XLOOKUP(_xlfn.XLOOKUP(B102,'Base stats'!B:B,'Base stats'!E:E),Groups!A:A,Groups!BD:BD)=1,
MAX(MROUND(_xlfn.XLOOKUP(B102,'Base stats'!B:B,'Base stats'!BS:BS) * _xlfn.XLOOKUP(B102,'Base stats'!B:B,'Base stats'!BO:BO)^0.9 / 21 *_xlfn.XLOOKUP(B102,'Base stats'!B:B,'Base stats'!BV:BV),0.1),0.05),
MAX(MROUND(((MIN(10,_xlfn.XLOOKUP(B102,'Base stats'!B:B,'Base stats'!W:W)))^0.4*_xlfn.XLOOKUP(B102,'Base stats'!B:B,'Base stats'!BG:BG)^0.73)^0.6 *_xlfn.XLOOKUP(B102,'Base stats'!B:B,'Base stats'!BV:BV),0.1),0.05)
))</f>
        <v>No</v>
      </c>
      <c r="L102" s="11" t="str">
        <f>IF(K102="No","No",
MAX(0.01,MROUND(_xlfn.XLOOKUP(B102,'Base stats'!B:B,'Base stats'!BG:BG) * 0.01 *2, 0.01))
)</f>
        <v>No</v>
      </c>
      <c r="M102" s="5" t="str">
        <f>IF(K102="No","No",IF(_xlfn.XLOOKUP(_xlfn.XLOOKUP(B102,'Base stats'!B:B,'Base stats'!E:E),Groups!A:A,Groups!BD:BD)=1,"No",
MAX(0.01,MROUND(_xlfn.XLOOKUP(B102,'Base stats'!B:B,'Base stats'!BS:BS)/10000,0.01))
))</f>
        <v>No</v>
      </c>
      <c r="N102" s="4" t="str">
        <f>IF(K102="No","No",
MROUND(
  _xlfn.XLOOKUP(B102,'Base stats'!B:B,'Base stats'!BA:BA)^0.25
  / (_xlfn.XLOOKUP(B102,'Base stats'!B:B,'Base stats'!BK:BK)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stats'!BU:BU),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stats'!BH:BH)^0.73)^0.6 *_xlfn.XLOOKUP(B102,'Base stats'!B:B,'Base stats'!BV:BV),0.1),0.05)
)</f>
        <v>No</v>
      </c>
      <c r="P102" s="11" t="str">
        <f>IF(O102="No","No",
MAX(0.01,MROUND(_xlfn.XLOOKUP(B102,'Base stats'!B:B,'Base stats'!BH:BH) * 0.01 * 2, 0.01))
)</f>
        <v>No</v>
      </c>
      <c r="Q102" s="5" t="str">
        <f>IF(O102="No","No",
MAX(0.01,MROUND(_xlfn.XLOOKUP(B102,'Base stats'!B:B,'Base stats'!BT:BT)/10000,0.01))
)</f>
        <v>No</v>
      </c>
      <c r="R102" s="4" t="str">
        <f>IF(O102="No","No",
MROUND(_xlfn.XLOOKUP(B102,'Base stats'!B:B,'Base stats'!AZ:AZ)^0.25
/((_xlfn.XLOOKUP(B102,'Base stats'!B:B,'Base stats'!BL:BL))*10)*_xlfn.XLOOKUP(_xlfn.XLOOKUP(B102,'Base stats'!B:B,'Base stats'!E:E),Groups!A:A,Groups!Z:Z)*150 + 0.5 + _xlfn.XLOOKUP(B102,'Base stats'!B:B,'Base stats'!BU:BU),
0.05))</f>
        <v>No</v>
      </c>
      <c r="S102" s="3">
        <f>IF(Animals!AI102="No","No",
IF(_xlfn.XLOOKUP(B102,'Base stats'!B:B,'Base stats'!U:U)="No",
MAX(MROUND(_xlfn.XLOOKUP(B102,'Base stats'!B:B,'Base stats'!BR:BR) * _xlfn.XLOOKUP(B102,'Base stats'!B:B,'Base stats'!BN:BN)^0.9 / 21 * _xlfn.XLOOKUP(B102,'Base stats'!B:B,'Base stats'!BV:BV),0.1),0.05),
MAX(MROUND(((MIN(12,_xlfn.XLOOKUP(B102,'Base stats'!B:B,'Base stats'!U:U)))^0.4*_xlfn.XLOOKUP(B102,'Base stats'!B:B,'Base stats'!BF:BF)^0.73)^0.6 * _xlfn.XLOOKUP(B102,'Base stats'!B:B,'Base stats'!BV:BV),0.1),0.05)
))</f>
        <v>2</v>
      </c>
      <c r="T102" s="11">
        <f>IF(S102="No","No",
MAX(0.01,MROUND(_xlfn.XLOOKUP(B102,'Base stats'!B:B,'Base stats'!BF:BF) * 0.01 * 2, 0.01))
)</f>
        <v>0.08</v>
      </c>
      <c r="U102" s="5">
        <f>IF(S102="No","No",IF(_xlfn.XLOOKUP(B102,'Base stats'!B:B,'Base stats'!U:U)="No","No",
MAX(0.01,MROUND(_xlfn.XLOOKUP(B102,'Base stats'!B:B,'Base stats'!BR:BR)/10000,0.01))
))</f>
        <v>0.04</v>
      </c>
      <c r="V102" s="4">
        <f>IF(S102="No","No",
MROUND(_xlfn.XLOOKUP(B102,'Base stats'!B:B,'Base stats'!BD:BD)^0.25
/((_xlfn.XLOOKUP(B102,'Base stats'!B:B,'Base stats'!BM:BM))*10)*_xlfn.XLOOKUP(_xlfn.XLOOKUP(B102,'Base stats'!B:B,'Base stats'!E:E),Groups!A:A,Groups!AE:AE)*150 + 0.5 + _xlfn.XLOOKUP(B102,'Base stats'!B:B,'Base stats'!BU:BU),
0.05))</f>
        <v>1.4500000000000002</v>
      </c>
      <c r="W102" s="8">
        <f>MROUND(_xlfn.XLOOKUP(_xlfn.XLOOKUP(B102,'Base stats'!B:B,'Base stats'!E:E),Groups!A:A,Groups!BG:BG)*_xlfn.XLOOKUP(B102,'Base stats'!B:B,'Base stats'!C:C)^-0.165,0.01)</f>
        <v>0.3</v>
      </c>
      <c r="X102" s="1">
        <f>MROUND(_xlfn.XLOOKUP(_xlfn.XLOOKUP(B102,'Base stats'!B:B,'Base stats'!E:E),Groups!A:A,Groups!BH:BH)*_xlfn.XLOOKUP(B102,'Base stats'!B:B,'Base stats'!C:C)^0.165,0.01)</f>
        <v>0</v>
      </c>
      <c r="Y102" s="8">
        <f>MROUND(_xlfn.XLOOKUP(_xlfn.XLOOKUP(B102,'Base stats'!B:B,'Base stats'!E:E),Groups!A:A,Groups!BI:BI)*_xlfn.XLOOKUP(B102,'Base stats'!B:B,'Base stats'!C:C)^0.165,0.01)</f>
        <v>0</v>
      </c>
      <c r="Z102" s="18">
        <f>ROUND(_xlfn.XLOOKUP(B102,'Base stats'!B:B,'Base stats'!AO:AO)*_xlfn.XLOOKUP(_xlfn.XLOOKUP(B102,'Base stats'!B:B,'Base stats'!E:E),Groups!A:A,Groups!H:H)/1000,2)</f>
        <v>0.03</v>
      </c>
      <c r="AA102" s="18">
        <f>ROUND((1/2)*(_xlfn.XLOOKUP(_xlfn.XLOOKUP(B102,'Base stats'!B:B,'Base stats'!E:E),Groups!A:A,Groups!H:H)*_xlfn.XLOOKUP(_xlfn.XLOOKUP(B102,'Base stats'!B:B,'Base stats'!E:E),Groups!A:A,Groups!I:I))*_xlfn.XLOOKUP(B102,'Base stats'!B:B,'Base stats'!AO:AO)*0.01,2)</f>
        <v>0</v>
      </c>
      <c r="AB102" s="18">
        <f>250*(Animals!AO102+Animals!AP102)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stats'!BQ:BQ) * (_xlfn.XLOOKUP(B103,'Base stats'!B:B,'Base stats'!AM:AM)*5%)^0.9 / 21,0.1),0.05)</f>
        <v>0.5</v>
      </c>
      <c r="E103" s="11">
        <f>MAX(0.01,MROUND(_xlfn.XLOOKUP(B103,'Base stats'!B:B,'Base stats'!BE:BE) * 0.01 * 2, 0.01))</f>
        <v>0.37</v>
      </c>
      <c r="F103" s="7">
        <f>MROUND(_xlfn.XLOOKUP(B103,'Base stats'!B:B,'Base stats'!BB:BB)^0.25 / (_xlfn.XLOOKUP(B103,'Base stats'!B:B,'Base stats'!BI:BI) * 10) * 150 + 0.5 + _xlfn.XLOOKUP(B103,'Base stats'!B:B,'Base stats'!BU:BU), 0.05)</f>
        <v>2.15</v>
      </c>
      <c r="G103" s="3" t="str">
        <f>IF(Animals!S103="No","No",
IF(_xlfn.XLOOKUP(B103,'Base stats'!B:B,'Base stats'!U:U)="No",
MAX(MROUND(_xlfn.XLOOKUP(B103,'Base stats'!B:B,'Base stats'!BR:BR) * _xlfn.XLOOKUP(B103,'Base stats'!B:B,'Base stats'!BN:BN)^0.9 / 21 * _xlfn.XLOOKUP(B103,'Base stats'!B:B,'Base stats'!BV:BV),0.1),0.05),
MAX(MROUND(((MIN(10,_xlfn.XLOOKUP(B103,'Base stats'!B:B,'Base stats'!U:U)))^0.4*_xlfn.XLOOKUP(B103,'Base stats'!B:B,'Base stats'!BF:BF)^0.73)^0.6 * _xlfn.XLOOKUP(B103,'Base stats'!B:B,'Base stats'!BV:BV),0.1),0.05)
))</f>
        <v>No</v>
      </c>
      <c r="H103" s="11" t="str">
        <f>IF(G103="No","No",
MAX(0.01,MROUND(_xlfn.XLOOKUP(B103,'Base stats'!B:B,'Base stats'!BF:BF) * 0.01 * 2, 0.01))
)</f>
        <v>No</v>
      </c>
      <c r="I103" s="11" t="str">
        <f>IF(G103="No","No",IF(_xlfn.XLOOKUP(B103,'Base stats'!B:B,'Base stats'!U:U)="No","No",
MAX(0.01,MROUND(_xlfn.XLOOKUP(B103,'Base stats'!B:B,'Base stats'!BR:BR)/10000,0.01))
))</f>
        <v>No</v>
      </c>
      <c r="J103" s="4" t="str">
        <f>IF(G103="No","No",
MROUND(_xlfn.XLOOKUP(B103,'Base stats'!B:B,'Base stats'!BC:BC)^0.25
/((_xlfn.XLOOKUP(B103,'Base stats'!B:B,'Base stats'!BJ:BJ))*10)*_xlfn.XLOOKUP(_xlfn.XLOOKUP(B103,'Base stats'!B:B,'Base stats'!E:E),Groups!A:A,Groups!Q:Q)*150 + 0.5 + _xlfn.XLOOKUP(B103,'Base stats'!B:B,'Base stats'!BU:BU),
0.05))</f>
        <v>No</v>
      </c>
      <c r="K103" s="3" t="str">
        <f>IF(Animals!X103="No","No",
IF(_xlfn.XLOOKUP(_xlfn.XLOOKUP(B103,'Base stats'!B:B,'Base stats'!E:E),Groups!A:A,Groups!BD:BD)=1,
MAX(MROUND(_xlfn.XLOOKUP(B103,'Base stats'!B:B,'Base stats'!BS:BS) * _xlfn.XLOOKUP(B103,'Base stats'!B:B,'Base stats'!BO:BO)^0.9 / 21 *_xlfn.XLOOKUP(B103,'Base stats'!B:B,'Base stats'!BV:BV),0.1),0.05),
MAX(MROUND(((MIN(10,_xlfn.XLOOKUP(B103,'Base stats'!B:B,'Base stats'!W:W)))^0.4*_xlfn.XLOOKUP(B103,'Base stats'!B:B,'Base stats'!BG:BG)^0.73)^0.6 *_xlfn.XLOOKUP(B103,'Base stats'!B:B,'Base stats'!BV:BV),0.1),0.05)
))</f>
        <v>No</v>
      </c>
      <c r="L103" s="11" t="str">
        <f>IF(K103="No","No",
MAX(0.01,MROUND(_xlfn.XLOOKUP(B103,'Base stats'!B:B,'Base stats'!BG:BG) * 0.01 *2, 0.01))
)</f>
        <v>No</v>
      </c>
      <c r="M103" s="5" t="str">
        <f>IF(K103="No","No",IF(_xlfn.XLOOKUP(_xlfn.XLOOKUP(B103,'Base stats'!B:B,'Base stats'!E:E),Groups!A:A,Groups!BD:BD)=1,"No",
MAX(0.01,MROUND(_xlfn.XLOOKUP(B103,'Base stats'!B:B,'Base stats'!BS:BS)/10000,0.01))
))</f>
        <v>No</v>
      </c>
      <c r="N103" s="4" t="str">
        <f>IF(K103="No","No",
MROUND(
  _xlfn.XLOOKUP(B103,'Base stats'!B:B,'Base stats'!BA:BA)^0.25
  / (_xlfn.XLOOKUP(B103,'Base stats'!B:B,'Base stats'!BK:BK)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stats'!BU:BU),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stats'!BH:BH)^0.73)^0.6 *_xlfn.XLOOKUP(B103,'Base stats'!B:B,'Base stats'!BV:BV),0.1),0.05)
)</f>
        <v>15.4</v>
      </c>
      <c r="P103" s="11">
        <f>IF(O103="No","No",
MAX(0.01,MROUND(_xlfn.XLOOKUP(B103,'Base stats'!B:B,'Base stats'!BH:BH) * 0.01 * 2, 0.01))
)</f>
        <v>3.3000000000000003</v>
      </c>
      <c r="Q103" s="5">
        <f>IF(O103="No","No",
MAX(0.01,MROUND(_xlfn.XLOOKUP(B103,'Base stats'!B:B,'Base stats'!BT:BT)/10000,0.01))
)</f>
        <v>0.3</v>
      </c>
      <c r="R103" s="4">
        <f>IF(O103="No","No",
MROUND(_xlfn.XLOOKUP(B103,'Base stats'!B:B,'Base stats'!AZ:AZ)^0.25
/((_xlfn.XLOOKUP(B103,'Base stats'!B:B,'Base stats'!BL:BL))*10)*_xlfn.XLOOKUP(_xlfn.XLOOKUP(B103,'Base stats'!B:B,'Base stats'!E:E),Groups!A:A,Groups!Z:Z)*150 + 0.5 + _xlfn.XLOOKUP(B103,'Base stats'!B:B,'Base stats'!BU:BU),
0.05))</f>
        <v>1.8</v>
      </c>
      <c r="S103" s="3" t="str">
        <f>IF(Animals!AI103="No","No",
IF(_xlfn.XLOOKUP(B103,'Base stats'!B:B,'Base stats'!U:U)="No",
MAX(MROUND(_xlfn.XLOOKUP(B103,'Base stats'!B:B,'Base stats'!BR:BR) * _xlfn.XLOOKUP(B103,'Base stats'!B:B,'Base stats'!BN:BN)^0.9 / 21 * _xlfn.XLOOKUP(B103,'Base stats'!B:B,'Base stats'!BV:BV),0.1),0.05),
MAX(MROUND(((MIN(12,_xlfn.XLOOKUP(B103,'Base stats'!B:B,'Base stats'!U:U)))^0.4*_xlfn.XLOOKUP(B103,'Base stats'!B:B,'Base stats'!BF:BF)^0.73)^0.6 * _xlfn.XLOOKUP(B103,'Base stats'!B:B,'Base stats'!BV:BV),0.1),0.05)
))</f>
        <v>No</v>
      </c>
      <c r="T103" s="11" t="str">
        <f>IF(S103="No","No",
MAX(0.01,MROUND(_xlfn.XLOOKUP(B103,'Base stats'!B:B,'Base stats'!BF:BF) * 0.01 * 2, 0.01))
)</f>
        <v>No</v>
      </c>
      <c r="U103" s="5" t="str">
        <f>IF(S103="No","No",IF(_xlfn.XLOOKUP(B103,'Base stats'!B:B,'Base stats'!U:U)="No","No",
MAX(0.01,MROUND(_xlfn.XLOOKUP(B103,'Base stats'!B:B,'Base stats'!BR:BR)/10000,0.01))
))</f>
        <v>No</v>
      </c>
      <c r="V103" s="4" t="str">
        <f>IF(S103="No","No",
MROUND(_xlfn.XLOOKUP(B103,'Base stats'!B:B,'Base stats'!BD:BD)^0.25
/((_xlfn.XLOOKUP(B103,'Base stats'!B:B,'Base stats'!BM:BM))*10)*_xlfn.XLOOKUP(_xlfn.XLOOKUP(B103,'Base stats'!B:B,'Base stats'!E:E),Groups!A:A,Groups!AE:AE)*150 + 0.5 + _xlfn.XLOOKUP(B103,'Base stats'!B:B,'Base stats'!BU:BU),
0.05))</f>
        <v>No</v>
      </c>
      <c r="W103" s="8">
        <f>MROUND(_xlfn.XLOOKUP(_xlfn.XLOOKUP(B103,'Base stats'!B:B,'Base stats'!E:E),Groups!A:A,Groups!BG:BG)*_xlfn.XLOOKUP(B103,'Base stats'!B:B,'Base stats'!C:C)^-0.165,0.01)</f>
        <v>0.15</v>
      </c>
      <c r="X103" s="1">
        <f>MROUND(_xlfn.XLOOKUP(_xlfn.XLOOKUP(B103,'Base stats'!B:B,'Base stats'!E:E),Groups!A:A,Groups!BH:BH)*_xlfn.XLOOKUP(B103,'Base stats'!B:B,'Base stats'!C:C)^0.165,0.01)</f>
        <v>0.17</v>
      </c>
      <c r="Y103" s="8">
        <f>MROUND(_xlfn.XLOOKUP(_xlfn.XLOOKUP(B103,'Base stats'!B:B,'Base stats'!E:E),Groups!A:A,Groups!BI:BI)*_xlfn.XLOOKUP(B103,'Base stats'!B:B,'Base stats'!C:C)^0.165,0.01)</f>
        <v>0.04</v>
      </c>
      <c r="Z103" s="18">
        <f>ROUND(_xlfn.XLOOKUP(B103,'Base stats'!B:B,'Base stats'!AO:AO)*_xlfn.XLOOKUP(_xlfn.XLOOKUP(B103,'Base stats'!B:B,'Base stats'!E:E),Groups!A:A,Groups!H:H)/1000,2)</f>
        <v>0.7</v>
      </c>
      <c r="AA103" s="18">
        <f>ROUND((1/2)*(_xlfn.XLOOKUP(_xlfn.XLOOKUP(B103,'Base stats'!B:B,'Base stats'!E:E),Groups!A:A,Groups!H:H)*_xlfn.XLOOKUP(_xlfn.XLOOKUP(B103,'Base stats'!B:B,'Base stats'!E:E),Groups!A:A,Groups!I:I))*_xlfn.XLOOKUP(B103,'Base stats'!B:B,'Base stats'!AO:AO)*0.01,2)</f>
        <v>0.05</v>
      </c>
      <c r="AB103" s="18">
        <f>250*(Animals!AO103+Animals!AP103)</f>
        <v>325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stats'!BQ:BQ) * (_xlfn.XLOOKUP(B104,'Base stats'!B:B,'Base stats'!AM:AM)*5%)^0.9 / 21,0.1),0.05)</f>
        <v>2.1</v>
      </c>
      <c r="E104" s="11">
        <f>MAX(0.01,MROUND(_xlfn.XLOOKUP(B104,'Base stats'!B:B,'Base stats'!BE:BE) * 0.01 * 2, 0.01))</f>
        <v>1.87</v>
      </c>
      <c r="F104" s="7">
        <f>MROUND(_xlfn.XLOOKUP(B104,'Base stats'!B:B,'Base stats'!BB:BB)^0.25 / (_xlfn.XLOOKUP(B104,'Base stats'!B:B,'Base stats'!BI:BI) * 10) * 150 + 0.5 + _xlfn.XLOOKUP(B104,'Base stats'!B:B,'Base stats'!BU:BU), 0.05)</f>
        <v>2.85</v>
      </c>
      <c r="G104" s="3" t="str">
        <f>IF(Animals!S104="No","No",
IF(_xlfn.XLOOKUP(B104,'Base stats'!B:B,'Base stats'!U:U)="No",
MAX(MROUND(_xlfn.XLOOKUP(B104,'Base stats'!B:B,'Base stats'!BR:BR) * _xlfn.XLOOKUP(B104,'Base stats'!B:B,'Base stats'!BN:BN)^0.9 / 21 * _xlfn.XLOOKUP(B104,'Base stats'!B:B,'Base stats'!BV:BV),0.1),0.05),
MAX(MROUND(((MIN(10,_xlfn.XLOOKUP(B104,'Base stats'!B:B,'Base stats'!U:U)))^0.4*_xlfn.XLOOKUP(B104,'Base stats'!B:B,'Base stats'!BF:BF)^0.73)^0.6 * _xlfn.XLOOKUP(B104,'Base stats'!B:B,'Base stats'!BV:BV),0.1),0.05)
))</f>
        <v>No</v>
      </c>
      <c r="H104" s="11" t="str">
        <f>IF(G104="No","No",
MAX(0.01,MROUND(_xlfn.XLOOKUP(B104,'Base stats'!B:B,'Base stats'!BF:BF) * 0.01 * 2, 0.01))
)</f>
        <v>No</v>
      </c>
      <c r="I104" s="11" t="str">
        <f>IF(G104="No","No",IF(_xlfn.XLOOKUP(B104,'Base stats'!B:B,'Base stats'!U:U)="No","No",
MAX(0.01,MROUND(_xlfn.XLOOKUP(B104,'Base stats'!B:B,'Base stats'!BR:BR)/10000,0.01))
))</f>
        <v>No</v>
      </c>
      <c r="J104" s="4" t="str">
        <f>IF(G104="No","No",
MROUND(_xlfn.XLOOKUP(B104,'Base stats'!B:B,'Base stats'!BC:BC)^0.25
/((_xlfn.XLOOKUP(B104,'Base stats'!B:B,'Base stats'!BJ:BJ))*10)*_xlfn.XLOOKUP(_xlfn.XLOOKUP(B104,'Base stats'!B:B,'Base stats'!E:E),Groups!A:A,Groups!Q:Q)*150 + 0.5 + _xlfn.XLOOKUP(B104,'Base stats'!B:B,'Base stats'!BU:BU),
0.05))</f>
        <v>No</v>
      </c>
      <c r="K104" s="3" t="str">
        <f>IF(Animals!X104="No","No",
IF(_xlfn.XLOOKUP(_xlfn.XLOOKUP(B104,'Base stats'!B:B,'Base stats'!E:E),Groups!A:A,Groups!BD:BD)=1,
MAX(MROUND(_xlfn.XLOOKUP(B104,'Base stats'!B:B,'Base stats'!BS:BS) * _xlfn.XLOOKUP(B104,'Base stats'!B:B,'Base stats'!BO:BO)^0.9 / 21 *_xlfn.XLOOKUP(B104,'Base stats'!B:B,'Base stats'!BV:BV),0.1),0.05),
MAX(MROUND(((MIN(10,_xlfn.XLOOKUP(B104,'Base stats'!B:B,'Base stats'!W:W)))^0.4*_xlfn.XLOOKUP(B104,'Base stats'!B:B,'Base stats'!BG:BG)^0.73)^0.6 *_xlfn.XLOOKUP(B104,'Base stats'!B:B,'Base stats'!BV:BV),0.1),0.05)
))</f>
        <v>No</v>
      </c>
      <c r="L104" s="11" t="str">
        <f>IF(K104="No","No",
MAX(0.01,MROUND(_xlfn.XLOOKUP(B104,'Base stats'!B:B,'Base stats'!BG:BG) * 0.01 *2, 0.01))
)</f>
        <v>No</v>
      </c>
      <c r="M104" s="5" t="str">
        <f>IF(K104="No","No",IF(_xlfn.XLOOKUP(_xlfn.XLOOKUP(B104,'Base stats'!B:B,'Base stats'!E:E),Groups!A:A,Groups!BD:BD)=1,"No",
MAX(0.01,MROUND(_xlfn.XLOOKUP(B104,'Base stats'!B:B,'Base stats'!BS:BS)/10000,0.01))
))</f>
        <v>No</v>
      </c>
      <c r="N104" s="4" t="str">
        <f>IF(K104="No","No",
MROUND(
  _xlfn.XLOOKUP(B104,'Base stats'!B:B,'Base stats'!BA:BA)^0.25
  / (_xlfn.XLOOKUP(B104,'Base stats'!B:B,'Base stats'!BK:BK)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stats'!BU:BU),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stats'!BH:BH)^0.73)^0.6 *_xlfn.XLOOKUP(B104,'Base stats'!B:B,'Base stats'!BV:BV),0.1),0.05)
)</f>
        <v>30.5</v>
      </c>
      <c r="P104" s="11">
        <f>IF(O104="No","No",
MAX(0.01,MROUND(_xlfn.XLOOKUP(B104,'Base stats'!B:B,'Base stats'!BH:BH) * 0.01 * 2, 0.01))
)</f>
        <v>13.88</v>
      </c>
      <c r="Q104" s="5">
        <f>IF(O104="No","No",
MAX(0.01,MROUND(_xlfn.XLOOKUP(B104,'Base stats'!B:B,'Base stats'!BT:BT)/10000,0.01))
)</f>
        <v>0.61</v>
      </c>
      <c r="R104" s="4">
        <f>IF(O104="No","No",
MROUND(_xlfn.XLOOKUP(B104,'Base stats'!B:B,'Base stats'!AZ:AZ)^0.25
/((_xlfn.XLOOKUP(B104,'Base stats'!B:B,'Base stats'!BL:BL))*10)*_xlfn.XLOOKUP(_xlfn.XLOOKUP(B104,'Base stats'!B:B,'Base stats'!E:E),Groups!A:A,Groups!Z:Z)*150 + 0.5 + _xlfn.XLOOKUP(B104,'Base stats'!B:B,'Base stats'!BU:BU),
0.05))</f>
        <v>2.5500000000000003</v>
      </c>
      <c r="S104" s="3">
        <f>IF(Animals!AI104="No","No",
IF(_xlfn.XLOOKUP(B104,'Base stats'!B:B,'Base stats'!U:U)="No",
MAX(MROUND(_xlfn.XLOOKUP(B104,'Base stats'!B:B,'Base stats'!BR:BR) * _xlfn.XLOOKUP(B104,'Base stats'!B:B,'Base stats'!BN:BN)^0.9 / 21 * _xlfn.XLOOKUP(B104,'Base stats'!B:B,'Base stats'!BV:BV),0.1),0.05),
MAX(MROUND(((MIN(12,_xlfn.XLOOKUP(B104,'Base stats'!B:B,'Base stats'!U:U)))^0.4*_xlfn.XLOOKUP(B104,'Base stats'!B:B,'Base stats'!BF:BF)^0.73)^0.6 * _xlfn.XLOOKUP(B104,'Base stats'!B:B,'Base stats'!BV:BV),0.1),0.05)
))</f>
        <v>24.5</v>
      </c>
      <c r="T104" s="11">
        <f>IF(S104="No","No",
MAX(0.01,MROUND(_xlfn.XLOOKUP(B104,'Base stats'!B:B,'Base stats'!BF:BF) * 0.01 * 2, 0.01))
)</f>
        <v>11.11</v>
      </c>
      <c r="U104" s="5">
        <f>IF(S104="No","No",IF(_xlfn.XLOOKUP(B104,'Base stats'!B:B,'Base stats'!U:U)="No","No",
MAX(0.01,MROUND(_xlfn.XLOOKUP(B104,'Base stats'!B:B,'Base stats'!BR:BR)/10000,0.01))
))</f>
        <v>4.8899999999999997</v>
      </c>
      <c r="V104" s="4">
        <f>IF(S104="No","No",
MROUND(_xlfn.XLOOKUP(B104,'Base stats'!B:B,'Base stats'!BD:BD)^0.25
/((_xlfn.XLOOKUP(B104,'Base stats'!B:B,'Base stats'!BM:BM))*10)*_xlfn.XLOOKUP(_xlfn.XLOOKUP(B104,'Base stats'!B:B,'Base stats'!E:E),Groups!A:A,Groups!AE:AE)*150 + 0.5 + _xlfn.XLOOKUP(B104,'Base stats'!B:B,'Base stats'!BU:BU),
0.05))</f>
        <v>3.0500000000000003</v>
      </c>
      <c r="W104" s="8">
        <f>MROUND(_xlfn.XLOOKUP(_xlfn.XLOOKUP(B104,'Base stats'!B:B,'Base stats'!E:E),Groups!A:A,Groups!BG:BG)*_xlfn.XLOOKUP(B104,'Base stats'!B:B,'Base stats'!C:C)^-0.165,0.01)</f>
        <v>0.11</v>
      </c>
      <c r="X104" s="1">
        <f>MROUND(_xlfn.XLOOKUP(_xlfn.XLOOKUP(B104,'Base stats'!B:B,'Base stats'!E:E),Groups!A:A,Groups!BH:BH)*_xlfn.XLOOKUP(B104,'Base stats'!B:B,'Base stats'!C:C)^0.165,0.01)</f>
        <v>0.23</v>
      </c>
      <c r="Y104" s="8">
        <f>MROUND(_xlfn.XLOOKUP(_xlfn.XLOOKUP(B104,'Base stats'!B:B,'Base stats'!E:E),Groups!A:A,Groups!BI:BI)*_xlfn.XLOOKUP(B104,'Base stats'!B:B,'Base stats'!C:C)^0.165,0.01)</f>
        <v>0.06</v>
      </c>
      <c r="Z104" s="18">
        <f>ROUND(_xlfn.XLOOKUP(B104,'Base stats'!B:B,'Base stats'!AO:AO)*_xlfn.XLOOKUP(_xlfn.XLOOKUP(B104,'Base stats'!B:B,'Base stats'!E:E),Groups!A:A,Groups!H:H)/1000,2)</f>
        <v>1.32</v>
      </c>
      <c r="AA104" s="18">
        <f>ROUND((1/2)*(_xlfn.XLOOKUP(_xlfn.XLOOKUP(B104,'Base stats'!B:B,'Base stats'!E:E),Groups!A:A,Groups!H:H)*_xlfn.XLOOKUP(_xlfn.XLOOKUP(B104,'Base stats'!B:B,'Base stats'!E:E),Groups!A:A,Groups!I:I))*_xlfn.XLOOKUP(B104,'Base stats'!B:B,'Base stats'!AO:AO)*0.01,2)</f>
        <v>0.09</v>
      </c>
      <c r="AB104" s="18">
        <f>250*(Animals!AO104+Animals!AP104)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stats'!BQ:BQ) * (_xlfn.XLOOKUP(B105,'Base stats'!B:B,'Base stats'!AM:AM)*5%)^0.9 / 21,0.1),0.05)</f>
        <v>3.9000000000000004</v>
      </c>
      <c r="E105" s="11">
        <f>MAX(0.01,MROUND(_xlfn.XLOOKUP(B105,'Base stats'!B:B,'Base stats'!BE:BE) * 0.01 * 2, 0.01))</f>
        <v>3.5100000000000002</v>
      </c>
      <c r="F105" s="7">
        <f>MROUND(_xlfn.XLOOKUP(B105,'Base stats'!B:B,'Base stats'!BB:BB)^0.25 / (_xlfn.XLOOKUP(B105,'Base stats'!B:B,'Base stats'!BI:BI) * 10) * 150 + 0.5 + _xlfn.XLOOKUP(B105,'Base stats'!B:B,'Base stats'!BU:BU), 0.05)</f>
        <v>3.25</v>
      </c>
      <c r="G105" s="3" t="str">
        <f>IF(Animals!S105="No","No",
IF(_xlfn.XLOOKUP(B105,'Base stats'!B:B,'Base stats'!U:U)="No",
MAX(MROUND(_xlfn.XLOOKUP(B105,'Base stats'!B:B,'Base stats'!BR:BR) * _xlfn.XLOOKUP(B105,'Base stats'!B:B,'Base stats'!BN:BN)^0.9 / 21 * _xlfn.XLOOKUP(B105,'Base stats'!B:B,'Base stats'!BV:BV),0.1),0.05),
MAX(MROUND(((MIN(10,_xlfn.XLOOKUP(B105,'Base stats'!B:B,'Base stats'!U:U)))^0.4*_xlfn.XLOOKUP(B105,'Base stats'!B:B,'Base stats'!BF:BF)^0.73)^0.6 * _xlfn.XLOOKUP(B105,'Base stats'!B:B,'Base stats'!BV:BV),0.1),0.05)
))</f>
        <v>No</v>
      </c>
      <c r="H105" s="11" t="str">
        <f>IF(G105="No","No",
MAX(0.01,MROUND(_xlfn.XLOOKUP(B105,'Base stats'!B:B,'Base stats'!BF:BF) * 0.01 * 2, 0.01))
)</f>
        <v>No</v>
      </c>
      <c r="I105" s="11" t="str">
        <f>IF(G105="No","No",IF(_xlfn.XLOOKUP(B105,'Base stats'!B:B,'Base stats'!U:U)="No","No",
MAX(0.01,MROUND(_xlfn.XLOOKUP(B105,'Base stats'!B:B,'Base stats'!BR:BR)/10000,0.01))
))</f>
        <v>No</v>
      </c>
      <c r="J105" s="4" t="str">
        <f>IF(G105="No","No",
MROUND(_xlfn.XLOOKUP(B105,'Base stats'!B:B,'Base stats'!BC:BC)^0.25
/((_xlfn.XLOOKUP(B105,'Base stats'!B:B,'Base stats'!BJ:BJ))*10)*_xlfn.XLOOKUP(_xlfn.XLOOKUP(B105,'Base stats'!B:B,'Base stats'!E:E),Groups!A:A,Groups!Q:Q)*150 + 0.5 + _xlfn.XLOOKUP(B105,'Base stats'!B:B,'Base stats'!BU:BU),
0.05))</f>
        <v>No</v>
      </c>
      <c r="K105" s="3" t="str">
        <f>IF(Animals!X105="No","No",
IF(_xlfn.XLOOKUP(_xlfn.XLOOKUP(B105,'Base stats'!B:B,'Base stats'!E:E),Groups!A:A,Groups!BD:BD)=1,
MAX(MROUND(_xlfn.XLOOKUP(B105,'Base stats'!B:B,'Base stats'!BS:BS) * _xlfn.XLOOKUP(B105,'Base stats'!B:B,'Base stats'!BO:BO)^0.9 / 21 *_xlfn.XLOOKUP(B105,'Base stats'!B:B,'Base stats'!BV:BV),0.1),0.05),
MAX(MROUND(((MIN(10,_xlfn.XLOOKUP(B105,'Base stats'!B:B,'Base stats'!W:W)))^0.4*_xlfn.XLOOKUP(B105,'Base stats'!B:B,'Base stats'!BG:BG)^0.73)^0.6 *_xlfn.XLOOKUP(B105,'Base stats'!B:B,'Base stats'!BV:BV),0.1),0.05)
))</f>
        <v>No</v>
      </c>
      <c r="L105" s="11" t="str">
        <f>IF(K105="No","No",
MAX(0.01,MROUND(_xlfn.XLOOKUP(B105,'Base stats'!B:B,'Base stats'!BG:BG) * 0.01 *2, 0.01))
)</f>
        <v>No</v>
      </c>
      <c r="M105" s="5" t="str">
        <f>IF(K105="No","No",IF(_xlfn.XLOOKUP(_xlfn.XLOOKUP(B105,'Base stats'!B:B,'Base stats'!E:E),Groups!A:A,Groups!BD:BD)=1,"No",
MAX(0.01,MROUND(_xlfn.XLOOKUP(B105,'Base stats'!B:B,'Base stats'!BS:BS)/10000,0.01))
))</f>
        <v>No</v>
      </c>
      <c r="N105" s="4" t="str">
        <f>IF(K105="No","No",
MROUND(
  _xlfn.XLOOKUP(B105,'Base stats'!B:B,'Base stats'!BA:BA)^0.25
  / (_xlfn.XLOOKUP(B105,'Base stats'!B:B,'Base stats'!BK:BK)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stats'!BU:BU),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stats'!BH:BH)^0.73)^0.6 *_xlfn.XLOOKUP(B105,'Base stats'!B:B,'Base stats'!BV:BV),0.1),0.05)
)</f>
        <v>38.900000000000006</v>
      </c>
      <c r="P105" s="11">
        <f>IF(O105="No","No",
MAX(0.01,MROUND(_xlfn.XLOOKUP(B105,'Base stats'!B:B,'Base stats'!BH:BH) * 0.01 * 2, 0.01))
)</f>
        <v>24.19</v>
      </c>
      <c r="Q105" s="5">
        <f>IF(O105="No","No",
MAX(0.01,MROUND(_xlfn.XLOOKUP(B105,'Base stats'!B:B,'Base stats'!BT:BT)/10000,0.01))
)</f>
        <v>0.8</v>
      </c>
      <c r="R105" s="4">
        <f>IF(O105="No","No",
MROUND(_xlfn.XLOOKUP(B105,'Base stats'!B:B,'Base stats'!AZ:AZ)^0.25
/((_xlfn.XLOOKUP(B105,'Base stats'!B:B,'Base stats'!BL:BL))*10)*_xlfn.XLOOKUP(_xlfn.XLOOKUP(B105,'Base stats'!B:B,'Base stats'!E:E),Groups!A:A,Groups!Z:Z)*150 + 0.5 + _xlfn.XLOOKUP(B105,'Base stats'!B:B,'Base stats'!BU:BU),
0.05))</f>
        <v>2.85</v>
      </c>
      <c r="S105" s="3">
        <f>IF(Animals!AI105="No","No",
IF(_xlfn.XLOOKUP(B105,'Base stats'!B:B,'Base stats'!U:U)="No",
MAX(MROUND(_xlfn.XLOOKUP(B105,'Base stats'!B:B,'Base stats'!BR:BR) * _xlfn.XLOOKUP(B105,'Base stats'!B:B,'Base stats'!BN:BN)^0.9 / 21 * _xlfn.XLOOKUP(B105,'Base stats'!B:B,'Base stats'!BV:BV),0.1),0.05),
MAX(MROUND(((MIN(12,_xlfn.XLOOKUP(B105,'Base stats'!B:B,'Base stats'!U:U)))^0.4*_xlfn.XLOOKUP(B105,'Base stats'!B:B,'Base stats'!BF:BF)^0.73)^0.6 * _xlfn.XLOOKUP(B105,'Base stats'!B:B,'Base stats'!BV:BV),0.1),0.05)
))</f>
        <v>33.5</v>
      </c>
      <c r="T105" s="11">
        <f>IF(S105="No","No",
MAX(0.01,MROUND(_xlfn.XLOOKUP(B105,'Base stats'!B:B,'Base stats'!BF:BF) * 0.01 * 2, 0.01))
)</f>
        <v>19.350000000000001</v>
      </c>
      <c r="U105" s="5">
        <f>IF(S105="No","No",IF(_xlfn.XLOOKUP(B105,'Base stats'!B:B,'Base stats'!U:U)="No","No",
MAX(0.01,MROUND(_xlfn.XLOOKUP(B105,'Base stats'!B:B,'Base stats'!BR:BR)/10000,0.01))
))</f>
        <v>6.43</v>
      </c>
      <c r="V105" s="4">
        <f>IF(S105="No","No",
MROUND(_xlfn.XLOOKUP(B105,'Base stats'!B:B,'Base stats'!BD:BD)^0.25
/((_xlfn.XLOOKUP(B105,'Base stats'!B:B,'Base stats'!BM:BM))*10)*_xlfn.XLOOKUP(_xlfn.XLOOKUP(B105,'Base stats'!B:B,'Base stats'!E:E),Groups!A:A,Groups!AE:AE)*150 + 0.5 + _xlfn.XLOOKUP(B105,'Base stats'!B:B,'Base stats'!BU:BU),
0.05))</f>
        <v>3.45</v>
      </c>
      <c r="W105" s="8">
        <f>MROUND(_xlfn.XLOOKUP(_xlfn.XLOOKUP(B105,'Base stats'!B:B,'Base stats'!E:E),Groups!A:A,Groups!BG:BG)*_xlfn.XLOOKUP(B105,'Base stats'!B:B,'Base stats'!C:C)^-0.165,0.01)</f>
        <v>0.1</v>
      </c>
      <c r="X105" s="1">
        <f>MROUND(_xlfn.XLOOKUP(_xlfn.XLOOKUP(B105,'Base stats'!B:B,'Base stats'!E:E),Groups!A:A,Groups!BH:BH)*_xlfn.XLOOKUP(B105,'Base stats'!B:B,'Base stats'!C:C)^0.165,0.01)</f>
        <v>0.26</v>
      </c>
      <c r="Y105" s="8">
        <f>MROUND(_xlfn.XLOOKUP(_xlfn.XLOOKUP(B105,'Base stats'!B:B,'Base stats'!E:E),Groups!A:A,Groups!BI:BI)*_xlfn.XLOOKUP(B105,'Base stats'!B:B,'Base stats'!C:C)^0.165,0.01)</f>
        <v>0.06</v>
      </c>
      <c r="Z105" s="18">
        <f>ROUND(_xlfn.XLOOKUP(B105,'Base stats'!B:B,'Base stats'!AO:AO)*_xlfn.XLOOKUP(_xlfn.XLOOKUP(B105,'Base stats'!B:B,'Base stats'!E:E),Groups!A:A,Groups!H:H)/1000,2)</f>
        <v>1.68</v>
      </c>
      <c r="AA105" s="18">
        <f>ROUND((1/2)*(_xlfn.XLOOKUP(_xlfn.XLOOKUP(B105,'Base stats'!B:B,'Base stats'!E:E),Groups!A:A,Groups!H:H)*_xlfn.XLOOKUP(_xlfn.XLOOKUP(B105,'Base stats'!B:B,'Base stats'!E:E),Groups!A:A,Groups!I:I))*_xlfn.XLOOKUP(B105,'Base stats'!B:B,'Base stats'!AO:AO)*0.01,2)</f>
        <v>0.11</v>
      </c>
      <c r="AB105" s="18">
        <f>250*(Animals!AO105+Animals!AP105)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stats'!BQ:BQ) * (_xlfn.XLOOKUP(B106,'Base stats'!B:B,'Base stats'!AM:AM)*5%)^0.9 / 21,0.1),0.05)</f>
        <v>51.7</v>
      </c>
      <c r="E106" s="11">
        <f>MAX(0.01,MROUND(_xlfn.XLOOKUP(B106,'Base stats'!B:B,'Base stats'!BE:BE) * 0.01 * 2, 0.01))</f>
        <v>57.45</v>
      </c>
      <c r="F106" s="7">
        <f>MROUND(_xlfn.XLOOKUP(B106,'Base stats'!B:B,'Base stats'!BB:BB)^0.25 / (_xlfn.XLOOKUP(B106,'Base stats'!B:B,'Base stats'!BI:BI) * 10) * 150 + 0.5 + _xlfn.XLOOKUP(B106,'Base stats'!B:B,'Base stats'!BU:BU), 0.05)</f>
        <v>5.1000000000000005</v>
      </c>
      <c r="G106" s="3" t="str">
        <f>IF(Animals!S106="No","No",
IF(_xlfn.XLOOKUP(B106,'Base stats'!B:B,'Base stats'!U:U)="No",
MAX(MROUND(_xlfn.XLOOKUP(B106,'Base stats'!B:B,'Base stats'!BR:BR) * _xlfn.XLOOKUP(B106,'Base stats'!B:B,'Base stats'!BN:BN)^0.9 / 21 * _xlfn.XLOOKUP(B106,'Base stats'!B:B,'Base stats'!BV:BV),0.1),0.05),
MAX(MROUND(((MIN(10,_xlfn.XLOOKUP(B106,'Base stats'!B:B,'Base stats'!U:U)))^0.4*_xlfn.XLOOKUP(B106,'Base stats'!B:B,'Base stats'!BF:BF)^0.73)^0.6 * _xlfn.XLOOKUP(B106,'Base stats'!B:B,'Base stats'!BV:BV),0.1),0.05)
))</f>
        <v>No</v>
      </c>
      <c r="H106" s="11" t="str">
        <f>IF(G106="No","No",
MAX(0.01,MROUND(_xlfn.XLOOKUP(B106,'Base stats'!B:B,'Base stats'!BF:BF) * 0.01 * 2, 0.01))
)</f>
        <v>No</v>
      </c>
      <c r="I106" s="11" t="str">
        <f>IF(G106="No","No",IF(_xlfn.XLOOKUP(B106,'Base stats'!B:B,'Base stats'!U:U)="No","No",
MAX(0.01,MROUND(_xlfn.XLOOKUP(B106,'Base stats'!B:B,'Base stats'!BR:BR)/10000,0.01))
))</f>
        <v>No</v>
      </c>
      <c r="J106" s="4" t="str">
        <f>IF(G106="No","No",
MROUND(_xlfn.XLOOKUP(B106,'Base stats'!B:B,'Base stats'!BC:BC)^0.25
/((_xlfn.XLOOKUP(B106,'Base stats'!B:B,'Base stats'!BJ:BJ))*10)*_xlfn.XLOOKUP(_xlfn.XLOOKUP(B106,'Base stats'!B:B,'Base stats'!E:E),Groups!A:A,Groups!Q:Q)*150 + 0.5 + _xlfn.XLOOKUP(B106,'Base stats'!B:B,'Base stats'!BU:BU),
0.05))</f>
        <v>No</v>
      </c>
      <c r="K106" s="3" t="str">
        <f>IF(Animals!X106="No","No",
IF(_xlfn.XLOOKUP(_xlfn.XLOOKUP(B106,'Base stats'!B:B,'Base stats'!E:E),Groups!A:A,Groups!BD:BD)=1,
MAX(MROUND(_xlfn.XLOOKUP(B106,'Base stats'!B:B,'Base stats'!BS:BS) * _xlfn.XLOOKUP(B106,'Base stats'!B:B,'Base stats'!BO:BO)^0.9 / 21 *_xlfn.XLOOKUP(B106,'Base stats'!B:B,'Base stats'!BV:BV),0.1),0.05),
MAX(MROUND(((MIN(10,_xlfn.XLOOKUP(B106,'Base stats'!B:B,'Base stats'!W:W)))^0.4*_xlfn.XLOOKUP(B106,'Base stats'!B:B,'Base stats'!BG:BG)^0.73)^0.6 *_xlfn.XLOOKUP(B106,'Base stats'!B:B,'Base stats'!BV:BV),0.1),0.05)
))</f>
        <v>No</v>
      </c>
      <c r="L106" s="11" t="str">
        <f>IF(K106="No","No",
MAX(0.01,MROUND(_xlfn.XLOOKUP(B106,'Base stats'!B:B,'Base stats'!BG:BG) * 0.01 *2, 0.01))
)</f>
        <v>No</v>
      </c>
      <c r="M106" s="5" t="str">
        <f>IF(K106="No","No",IF(_xlfn.XLOOKUP(_xlfn.XLOOKUP(B106,'Base stats'!B:B,'Base stats'!E:E),Groups!A:A,Groups!BD:BD)=1,"No",
MAX(0.01,MROUND(_xlfn.XLOOKUP(B106,'Base stats'!B:B,'Base stats'!BS:BS)/10000,0.01))
))</f>
        <v>No</v>
      </c>
      <c r="N106" s="4" t="str">
        <f>IF(K106="No","No",
MROUND(
  _xlfn.XLOOKUP(B106,'Base stats'!B:B,'Base stats'!BA:BA)^0.25
  / (_xlfn.XLOOKUP(B106,'Base stats'!B:B,'Base stats'!BK:BK)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stats'!BU:BU),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stats'!BH:BH)^0.73)^0.6 *_xlfn.XLOOKUP(B106,'Base stats'!B:B,'Base stats'!BV:BV),0.1),0.05)
)</f>
        <v>114.5</v>
      </c>
      <c r="P106" s="11">
        <f>IF(O106="No","No",
MAX(0.01,MROUND(_xlfn.XLOOKUP(B106,'Base stats'!B:B,'Base stats'!BH:BH) * 0.01 * 2, 0.01))
)</f>
        <v>284.11</v>
      </c>
      <c r="Q106" s="5">
        <f>IF(O106="No","No",
MAX(0.01,MROUND(_xlfn.XLOOKUP(B106,'Base stats'!B:B,'Base stats'!BT:BT)/10000,0.01))
)</f>
        <v>2.69</v>
      </c>
      <c r="R106" s="4">
        <f>IF(O106="No","No",
MROUND(_xlfn.XLOOKUP(B106,'Base stats'!B:B,'Base stats'!AZ:AZ)^0.25
/((_xlfn.XLOOKUP(B106,'Base stats'!B:B,'Base stats'!BL:BL))*10)*_xlfn.XLOOKUP(_xlfn.XLOOKUP(B106,'Base stats'!B:B,'Base stats'!E:E),Groups!A:A,Groups!Z:Z)*150 + 0.5 + _xlfn.XLOOKUP(B106,'Base stats'!B:B,'Base stats'!BU:BU),
0.05))</f>
        <v>4.95</v>
      </c>
      <c r="S106" s="3" t="str">
        <f>IF(Animals!AI106="No","No",
IF(_xlfn.XLOOKUP(B106,'Base stats'!B:B,'Base stats'!U:U)="No",
MAX(MROUND(_xlfn.XLOOKUP(B106,'Base stats'!B:B,'Base stats'!BR:BR) * _xlfn.XLOOKUP(B106,'Base stats'!B:B,'Base stats'!BN:BN)^0.9 / 21 * _xlfn.XLOOKUP(B106,'Base stats'!B:B,'Base stats'!BV:BV),0.1),0.05),
MAX(MROUND(((MIN(12,_xlfn.XLOOKUP(B106,'Base stats'!B:B,'Base stats'!U:U)))^0.4*_xlfn.XLOOKUP(B106,'Base stats'!B:B,'Base stats'!BF:BF)^0.73)^0.6 * _xlfn.XLOOKUP(B106,'Base stats'!B:B,'Base stats'!BV:BV),0.1),0.05)
))</f>
        <v>No</v>
      </c>
      <c r="T106" s="11" t="str">
        <f>IF(S106="No","No",
MAX(0.01,MROUND(_xlfn.XLOOKUP(B106,'Base stats'!B:B,'Base stats'!BF:BF) * 0.01 * 2, 0.01))
)</f>
        <v>No</v>
      </c>
      <c r="U106" s="5" t="str">
        <f>IF(S106="No","No",IF(_xlfn.XLOOKUP(B106,'Base stats'!B:B,'Base stats'!U:U)="No","No",
MAX(0.01,MROUND(_xlfn.XLOOKUP(B106,'Base stats'!B:B,'Base stats'!BR:BR)/10000,0.01))
))</f>
        <v>No</v>
      </c>
      <c r="V106" s="4" t="str">
        <f>IF(S106="No","No",
MROUND(_xlfn.XLOOKUP(B106,'Base stats'!B:B,'Base stats'!BD:BD)^0.25
/((_xlfn.XLOOKUP(B106,'Base stats'!B:B,'Base stats'!BM:BM))*10)*_xlfn.XLOOKUP(_xlfn.XLOOKUP(B106,'Base stats'!B:B,'Base stats'!E:E),Groups!A:A,Groups!AE:AE)*150 + 0.5 + _xlfn.XLOOKUP(B106,'Base stats'!B:B,'Base stats'!BU:BU),
0.05))</f>
        <v>No</v>
      </c>
      <c r="W106" s="8">
        <f>MROUND(_xlfn.XLOOKUP(_xlfn.XLOOKUP(B106,'Base stats'!B:B,'Base stats'!E:E),Groups!A:A,Groups!BG:BG)*_xlfn.XLOOKUP(B106,'Base stats'!B:B,'Base stats'!C:C)^-0.165,0.01)</f>
        <v>0.06</v>
      </c>
      <c r="X106" s="1">
        <f>MROUND(_xlfn.XLOOKUP(_xlfn.XLOOKUP(B106,'Base stats'!B:B,'Base stats'!E:E),Groups!A:A,Groups!BH:BH)*_xlfn.XLOOKUP(B106,'Base stats'!B:B,'Base stats'!C:C)^0.165,0.01)</f>
        <v>0.43</v>
      </c>
      <c r="Y106" s="8">
        <f>MROUND(_xlfn.XLOOKUP(_xlfn.XLOOKUP(B106,'Base stats'!B:B,'Base stats'!E:E),Groups!A:A,Groups!BI:BI)*_xlfn.XLOOKUP(B106,'Base stats'!B:B,'Base stats'!C:C)^0.165,0.01)</f>
        <v>0.11</v>
      </c>
      <c r="Z106" s="18">
        <f>ROUND(_xlfn.XLOOKUP(B106,'Base stats'!B:B,'Base stats'!AO:AO)*_xlfn.XLOOKUP(_xlfn.XLOOKUP(B106,'Base stats'!B:B,'Base stats'!E:E),Groups!A:A,Groups!H:H)/1000,2)</f>
        <v>4.93</v>
      </c>
      <c r="AA106" s="18">
        <f>ROUND((1/2)*(_xlfn.XLOOKUP(_xlfn.XLOOKUP(B106,'Base stats'!B:B,'Base stats'!E:E),Groups!A:A,Groups!H:H)*_xlfn.XLOOKUP(_xlfn.XLOOKUP(B106,'Base stats'!B:B,'Base stats'!E:E),Groups!A:A,Groups!I:I))*_xlfn.XLOOKUP(B106,'Base stats'!B:B,'Base stats'!AO:AO)*0.01,2)</f>
        <v>0.33</v>
      </c>
      <c r="AB106" s="18">
        <f>250*(Animals!AO106+Animals!AP106)</f>
        <v>2750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stats'!BQ:BQ) * (_xlfn.XLOOKUP(B107,'Base stats'!B:B,'Base stats'!AM:AM)*5%)^0.9 / 21,0.1),0.05)</f>
        <v>0.30000000000000004</v>
      </c>
      <c r="E107" s="11">
        <f>MAX(0.01,MROUND(_xlfn.XLOOKUP(B107,'Base stats'!B:B,'Base stats'!BE:BE) * 0.01 * 2, 0.01))</f>
        <v>0.23</v>
      </c>
      <c r="F107" s="7">
        <f>MROUND(_xlfn.XLOOKUP(B107,'Base stats'!B:B,'Base stats'!BB:BB)^0.25 / (_xlfn.XLOOKUP(B107,'Base stats'!B:B,'Base stats'!BI:BI) * 10) * 150 + 0.5 + _xlfn.XLOOKUP(B107,'Base stats'!B:B,'Base stats'!BU:BU), 0.05)</f>
        <v>2.15</v>
      </c>
      <c r="G107" s="3" t="str">
        <f>IF(Animals!S107="No","No",
IF(_xlfn.XLOOKUP(B107,'Base stats'!B:B,'Base stats'!U:U)="No",
MAX(MROUND(_xlfn.XLOOKUP(B107,'Base stats'!B:B,'Base stats'!BR:BR) * _xlfn.XLOOKUP(B107,'Base stats'!B:B,'Base stats'!BN:BN)^0.9 / 21 * _xlfn.XLOOKUP(B107,'Base stats'!B:B,'Base stats'!BV:BV),0.1),0.05),
MAX(MROUND(((MIN(10,_xlfn.XLOOKUP(B107,'Base stats'!B:B,'Base stats'!U:U)))^0.4*_xlfn.XLOOKUP(B107,'Base stats'!B:B,'Base stats'!BF:BF)^0.73)^0.6 * _xlfn.XLOOKUP(B107,'Base stats'!B:B,'Base stats'!BV:BV),0.1),0.05)
))</f>
        <v>No</v>
      </c>
      <c r="H107" s="11" t="str">
        <f>IF(G107="No","No",
MAX(0.01,MROUND(_xlfn.XLOOKUP(B107,'Base stats'!B:B,'Base stats'!BF:BF) * 0.01 * 2, 0.01))
)</f>
        <v>No</v>
      </c>
      <c r="I107" s="11" t="str">
        <f>IF(G107="No","No",IF(_xlfn.XLOOKUP(B107,'Base stats'!B:B,'Base stats'!U:U)="No","No",
MAX(0.01,MROUND(_xlfn.XLOOKUP(B107,'Base stats'!B:B,'Base stats'!BR:BR)/10000,0.01))
))</f>
        <v>No</v>
      </c>
      <c r="J107" s="4" t="str">
        <f>IF(G107="No","No",
MROUND(_xlfn.XLOOKUP(B107,'Base stats'!B:B,'Base stats'!BC:BC)^0.25
/((_xlfn.XLOOKUP(B107,'Base stats'!B:B,'Base stats'!BJ:BJ))*10)*_xlfn.XLOOKUP(_xlfn.XLOOKUP(B107,'Base stats'!B:B,'Base stats'!E:E),Groups!A:A,Groups!Q:Q)*150 + 0.5 + _xlfn.XLOOKUP(B107,'Base stats'!B:B,'Base stats'!BU:BU),
0.05))</f>
        <v>No</v>
      </c>
      <c r="K107" s="3" t="str">
        <f>IF(Animals!X107="No","No",
IF(_xlfn.XLOOKUP(_xlfn.XLOOKUP(B107,'Base stats'!B:B,'Base stats'!E:E),Groups!A:A,Groups!BD:BD)=1,
MAX(MROUND(_xlfn.XLOOKUP(B107,'Base stats'!B:B,'Base stats'!BS:BS) * _xlfn.XLOOKUP(B107,'Base stats'!B:B,'Base stats'!BO:BO)^0.9 / 21 *_xlfn.XLOOKUP(B107,'Base stats'!B:B,'Base stats'!BV:BV),0.1),0.05),
MAX(MROUND(((MIN(10,_xlfn.XLOOKUP(B107,'Base stats'!B:B,'Base stats'!W:W)))^0.4*_xlfn.XLOOKUP(B107,'Base stats'!B:B,'Base stats'!BG:BG)^0.73)^0.6 *_xlfn.XLOOKUP(B107,'Base stats'!B:B,'Base stats'!BV:BV),0.1),0.05)
))</f>
        <v>No</v>
      </c>
      <c r="L107" s="11" t="str">
        <f>IF(K107="No","No",
MAX(0.01,MROUND(_xlfn.XLOOKUP(B107,'Base stats'!B:B,'Base stats'!BG:BG) * 0.01 *2, 0.01))
)</f>
        <v>No</v>
      </c>
      <c r="M107" s="5" t="str">
        <f>IF(K107="No","No",IF(_xlfn.XLOOKUP(_xlfn.XLOOKUP(B107,'Base stats'!B:B,'Base stats'!E:E),Groups!A:A,Groups!BD:BD)=1,"No",
MAX(0.01,MROUND(_xlfn.XLOOKUP(B107,'Base stats'!B:B,'Base stats'!BS:BS)/10000,0.01))
))</f>
        <v>No</v>
      </c>
      <c r="N107" s="4" t="str">
        <f>IF(K107="No","No",
MROUND(
  _xlfn.XLOOKUP(B107,'Base stats'!B:B,'Base stats'!BA:BA)^0.25
  / (_xlfn.XLOOKUP(B107,'Base stats'!B:B,'Base stats'!BK:BK)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stats'!BU:BU),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stats'!BH:BH)^0.73)^0.6 *_xlfn.XLOOKUP(B107,'Base stats'!B:B,'Base stats'!BV:BV),0.1),0.05)
)</f>
        <v>12</v>
      </c>
      <c r="P107" s="11">
        <f>IF(O107="No","No",
MAX(0.01,MROUND(_xlfn.XLOOKUP(B107,'Base stats'!B:B,'Base stats'!BH:BH) * 0.01 * 2, 0.01))
)</f>
        <v>2.2000000000000002</v>
      </c>
      <c r="Q107" s="5">
        <f>IF(O107="No","No",
MAX(0.01,MROUND(_xlfn.XLOOKUP(B107,'Base stats'!B:B,'Base stats'!BT:BT)/10000,0.01))
)</f>
        <v>0.25</v>
      </c>
      <c r="R107" s="4">
        <f>IF(O107="No","No",
MROUND(_xlfn.XLOOKUP(B107,'Base stats'!B:B,'Base stats'!AZ:AZ)^0.25
/((_xlfn.XLOOKUP(B107,'Base stats'!B:B,'Base stats'!BL:BL))*10)*_xlfn.XLOOKUP(_xlfn.XLOOKUP(B107,'Base stats'!B:B,'Base stats'!E:E),Groups!A:A,Groups!Z:Z)*150 + 0.5 + _xlfn.XLOOKUP(B107,'Base stats'!B:B,'Base stats'!BU:BU),
0.05))</f>
        <v>1.7000000000000002</v>
      </c>
      <c r="S107" s="3" t="str">
        <f>IF(Animals!AI107="No","No",
IF(_xlfn.XLOOKUP(B107,'Base stats'!B:B,'Base stats'!U:U)="No",
MAX(MROUND(_xlfn.XLOOKUP(B107,'Base stats'!B:B,'Base stats'!BR:BR) * _xlfn.XLOOKUP(B107,'Base stats'!B:B,'Base stats'!BN:BN)^0.9 / 21 * _xlfn.XLOOKUP(B107,'Base stats'!B:B,'Base stats'!BV:BV),0.1),0.05),
MAX(MROUND(((MIN(12,_xlfn.XLOOKUP(B107,'Base stats'!B:B,'Base stats'!U:U)))^0.4*_xlfn.XLOOKUP(B107,'Base stats'!B:B,'Base stats'!BF:BF)^0.73)^0.6 * _xlfn.XLOOKUP(B107,'Base stats'!B:B,'Base stats'!BV:BV),0.1),0.05)
))</f>
        <v>No</v>
      </c>
      <c r="T107" s="11" t="str">
        <f>IF(S107="No","No",
MAX(0.01,MROUND(_xlfn.XLOOKUP(B107,'Base stats'!B:B,'Base stats'!BF:BF) * 0.01 * 2, 0.01))
)</f>
        <v>No</v>
      </c>
      <c r="U107" s="5" t="str">
        <f>IF(S107="No","No",IF(_xlfn.XLOOKUP(B107,'Base stats'!B:B,'Base stats'!U:U)="No","No",
MAX(0.01,MROUND(_xlfn.XLOOKUP(B107,'Base stats'!B:B,'Base stats'!BR:BR)/10000,0.01))
))</f>
        <v>No</v>
      </c>
      <c r="V107" s="4" t="str">
        <f>IF(S107="No","No",
MROUND(_xlfn.XLOOKUP(B107,'Base stats'!B:B,'Base stats'!BD:BD)^0.25
/((_xlfn.XLOOKUP(B107,'Base stats'!B:B,'Base stats'!BM:BM))*10)*_xlfn.XLOOKUP(_xlfn.XLOOKUP(B107,'Base stats'!B:B,'Base stats'!E:E),Groups!A:A,Groups!AE:AE)*150 + 0.5 + _xlfn.XLOOKUP(B107,'Base stats'!B:B,'Base stats'!BU:BU),
0.05))</f>
        <v>No</v>
      </c>
      <c r="W107" s="8">
        <f>MROUND(_xlfn.XLOOKUP(_xlfn.XLOOKUP(B107,'Base stats'!B:B,'Base stats'!E:E),Groups!A:A,Groups!BG:BG)*_xlfn.XLOOKUP(B107,'Base stats'!B:B,'Base stats'!C:C)^-0.165,0.01)</f>
        <v>0.16</v>
      </c>
      <c r="X107" s="1">
        <f>MROUND(_xlfn.XLOOKUP(_xlfn.XLOOKUP(B107,'Base stats'!B:B,'Base stats'!E:E),Groups!A:A,Groups!BH:BH)*_xlfn.XLOOKUP(B107,'Base stats'!B:B,'Base stats'!C:C)^0.165,0.01)</f>
        <v>0.16</v>
      </c>
      <c r="Y107" s="8">
        <f>MROUND(_xlfn.XLOOKUP(_xlfn.XLOOKUP(B107,'Base stats'!B:B,'Base stats'!E:E),Groups!A:A,Groups!BI:BI)*_xlfn.XLOOKUP(B107,'Base stats'!B:B,'Base stats'!C:C)^0.165,0.01)</f>
        <v>0.04</v>
      </c>
      <c r="Z107" s="18">
        <f>ROUND(_xlfn.XLOOKUP(B107,'Base stats'!B:B,'Base stats'!AO:AO)*_xlfn.XLOOKUP(_xlfn.XLOOKUP(B107,'Base stats'!B:B,'Base stats'!E:E),Groups!A:A,Groups!H:H)/1000,2)</f>
        <v>0.59</v>
      </c>
      <c r="AA107" s="18">
        <f>ROUND((1/2)*(_xlfn.XLOOKUP(_xlfn.XLOOKUP(B107,'Base stats'!B:B,'Base stats'!E:E),Groups!A:A,Groups!H:H)*_xlfn.XLOOKUP(_xlfn.XLOOKUP(B107,'Base stats'!B:B,'Base stats'!E:E),Groups!A:A,Groups!I:I))*_xlfn.XLOOKUP(B107,'Base stats'!B:B,'Base stats'!AO:AO)*0.01,2)</f>
        <v>0.04</v>
      </c>
      <c r="AB107" s="18">
        <f>250*(Animals!AO107+Animals!AP107)</f>
        <v>250</v>
      </c>
      <c r="AC107" s="18" t="str">
        <f>_xlfn.XLOOKUP(_xlfn.XLOOKUP(B107,'Base stats'!B:B,'Base stats'!E:E),Groups!A:A,Groups!BJ:BJ)</f>
        <v>QuadrupedLow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stats'!BQ:BQ) * (_xlfn.XLOOKUP(B108,'Base stats'!B:B,'Base stats'!AM:AM)*5%)^0.9 / 21,0.1),0.05)</f>
        <v>0.60000000000000009</v>
      </c>
      <c r="E108" s="11">
        <f>MAX(0.01,MROUND(_xlfn.XLOOKUP(B108,'Base stats'!B:B,'Base stats'!BE:BE) * 0.01 * 2, 0.01))</f>
        <v>0.43</v>
      </c>
      <c r="F108" s="7">
        <f>MROUND(_xlfn.XLOOKUP(B108,'Base stats'!B:B,'Base stats'!BB:BB)^0.25 / (_xlfn.XLOOKUP(B108,'Base stats'!B:B,'Base stats'!BI:BI) * 10) * 150 + 0.5 + _xlfn.XLOOKUP(B108,'Base stats'!B:B,'Base stats'!BU:BU), 0.05)</f>
        <v>2.2000000000000002</v>
      </c>
      <c r="G108" s="3" t="str">
        <f>IF(Animals!S108="No","No",
IF(_xlfn.XLOOKUP(B108,'Base stats'!B:B,'Base stats'!U:U)="No",
MAX(MROUND(_xlfn.XLOOKUP(B108,'Base stats'!B:B,'Base stats'!BR:BR) * _xlfn.XLOOKUP(B108,'Base stats'!B:B,'Base stats'!BN:BN)^0.9 / 21 * _xlfn.XLOOKUP(B108,'Base stats'!B:B,'Base stats'!BV:BV),0.1),0.05),
MAX(MROUND(((MIN(10,_xlfn.XLOOKUP(B108,'Base stats'!B:B,'Base stats'!U:U)))^0.4*_xlfn.XLOOKUP(B108,'Base stats'!B:B,'Base stats'!BF:BF)^0.73)^0.6 * _xlfn.XLOOKUP(B108,'Base stats'!B:B,'Base stats'!BV:BV),0.1),0.05)
))</f>
        <v>No</v>
      </c>
      <c r="H108" s="11" t="str">
        <f>IF(G108="No","No",
MAX(0.01,MROUND(_xlfn.XLOOKUP(B108,'Base stats'!B:B,'Base stats'!BF:BF) * 0.01 * 2, 0.01))
)</f>
        <v>No</v>
      </c>
      <c r="I108" s="11" t="str">
        <f>IF(G108="No","No",IF(_xlfn.XLOOKUP(B108,'Base stats'!B:B,'Base stats'!U:U)="No","No",
MAX(0.01,MROUND(_xlfn.XLOOKUP(B108,'Base stats'!B:B,'Base stats'!BR:BR)/10000,0.01))
))</f>
        <v>No</v>
      </c>
      <c r="J108" s="4" t="str">
        <f>IF(G108="No","No",
MROUND(_xlfn.XLOOKUP(B108,'Base stats'!B:B,'Base stats'!BC:BC)^0.25
/((_xlfn.XLOOKUP(B108,'Base stats'!B:B,'Base stats'!BJ:BJ))*10)*_xlfn.XLOOKUP(_xlfn.XLOOKUP(B108,'Base stats'!B:B,'Base stats'!E:E),Groups!A:A,Groups!Q:Q)*150 + 0.5 + _xlfn.XLOOKUP(B108,'Base stats'!B:B,'Base stats'!BU:BU),
0.05))</f>
        <v>No</v>
      </c>
      <c r="K108" s="3" t="str">
        <f>IF(Animals!X108="No","No",
IF(_xlfn.XLOOKUP(_xlfn.XLOOKUP(B108,'Base stats'!B:B,'Base stats'!E:E),Groups!A:A,Groups!BD:BD)=1,
MAX(MROUND(_xlfn.XLOOKUP(B108,'Base stats'!B:B,'Base stats'!BS:BS) * _xlfn.XLOOKUP(B108,'Base stats'!B:B,'Base stats'!BO:BO)^0.9 / 21 *_xlfn.XLOOKUP(B108,'Base stats'!B:B,'Base stats'!BV:BV),0.1),0.05),
MAX(MROUND(((MIN(10,_xlfn.XLOOKUP(B108,'Base stats'!B:B,'Base stats'!W:W)))^0.4*_xlfn.XLOOKUP(B108,'Base stats'!B:B,'Base stats'!BG:BG)^0.73)^0.6 *_xlfn.XLOOKUP(B108,'Base stats'!B:B,'Base stats'!BV:BV),0.1),0.05)
))</f>
        <v>No</v>
      </c>
      <c r="L108" s="11" t="str">
        <f>IF(K108="No","No",
MAX(0.01,MROUND(_xlfn.XLOOKUP(B108,'Base stats'!B:B,'Base stats'!BG:BG) * 0.01 *2, 0.01))
)</f>
        <v>No</v>
      </c>
      <c r="M108" s="5" t="str">
        <f>IF(K108="No","No",IF(_xlfn.XLOOKUP(_xlfn.XLOOKUP(B108,'Base stats'!B:B,'Base stats'!E:E),Groups!A:A,Groups!BD:BD)=1,"No",
MAX(0.01,MROUND(_xlfn.XLOOKUP(B108,'Base stats'!B:B,'Base stats'!BS:BS)/10000,0.01))
))</f>
        <v>No</v>
      </c>
      <c r="N108" s="4" t="str">
        <f>IF(K108="No","No",
MROUND(
  _xlfn.XLOOKUP(B108,'Base stats'!B:B,'Base stats'!BA:BA)^0.25
  / (_xlfn.XLOOKUP(B108,'Base stats'!B:B,'Base stats'!BK:BK)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stats'!BU:BU),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stats'!BH:BH)^0.73)^0.6 *_xlfn.XLOOKUP(B108,'Base stats'!B:B,'Base stats'!BV:BV),0.1),0.05)
)</f>
        <v>16.900000000000002</v>
      </c>
      <c r="P108" s="11">
        <f>IF(O108="No","No",
MAX(0.01,MROUND(_xlfn.XLOOKUP(B108,'Base stats'!B:B,'Base stats'!BH:BH) * 0.01 * 2, 0.01))
)</f>
        <v>3.8200000000000003</v>
      </c>
      <c r="Q108" s="5">
        <f>IF(O108="No","No",
MAX(0.01,MROUND(_xlfn.XLOOKUP(B108,'Base stats'!B:B,'Base stats'!BT:BT)/10000,0.01))
)</f>
        <v>0.32</v>
      </c>
      <c r="R108" s="4">
        <f>IF(O108="No","No",
MROUND(_xlfn.XLOOKUP(B108,'Base stats'!B:B,'Base stats'!AZ:AZ)^0.25
/((_xlfn.XLOOKUP(B108,'Base stats'!B:B,'Base stats'!BL:BL))*10)*_xlfn.XLOOKUP(_xlfn.XLOOKUP(B108,'Base stats'!B:B,'Base stats'!E:E),Groups!A:A,Groups!Z:Z)*150 + 0.5 + _xlfn.XLOOKUP(B108,'Base stats'!B:B,'Base stats'!BU:BU),
0.05))</f>
        <v>1.85</v>
      </c>
      <c r="S108" s="3" t="str">
        <f>IF(Animals!AI108="No","No",
IF(_xlfn.XLOOKUP(B108,'Base stats'!B:B,'Base stats'!U:U)="No",
MAX(MROUND(_xlfn.XLOOKUP(B108,'Base stats'!B:B,'Base stats'!BR:BR) * _xlfn.XLOOKUP(B108,'Base stats'!B:B,'Base stats'!BN:BN)^0.9 / 21 * _xlfn.XLOOKUP(B108,'Base stats'!B:B,'Base stats'!BV:BV),0.1),0.05),
MAX(MROUND(((MIN(12,_xlfn.XLOOKUP(B108,'Base stats'!B:B,'Base stats'!U:U)))^0.4*_xlfn.XLOOKUP(B108,'Base stats'!B:B,'Base stats'!BF:BF)^0.73)^0.6 * _xlfn.XLOOKUP(B108,'Base stats'!B:B,'Base stats'!BV:BV),0.1),0.05)
))</f>
        <v>No</v>
      </c>
      <c r="T108" s="11" t="str">
        <f>IF(S108="No","No",
MAX(0.01,MROUND(_xlfn.XLOOKUP(B108,'Base stats'!B:B,'Base stats'!BF:BF) * 0.01 * 2, 0.01))
)</f>
        <v>No</v>
      </c>
      <c r="U108" s="5" t="str">
        <f>IF(S108="No","No",IF(_xlfn.XLOOKUP(B108,'Base stats'!B:B,'Base stats'!U:U)="No","No",
MAX(0.01,MROUND(_xlfn.XLOOKUP(B108,'Base stats'!B:B,'Base stats'!BR:BR)/10000,0.01))
))</f>
        <v>No</v>
      </c>
      <c r="V108" s="4" t="str">
        <f>IF(S108="No","No",
MROUND(_xlfn.XLOOKUP(B108,'Base stats'!B:B,'Base stats'!BD:BD)^0.25
/((_xlfn.XLOOKUP(B108,'Base stats'!B:B,'Base stats'!BM:BM))*10)*_xlfn.XLOOKUP(_xlfn.XLOOKUP(B108,'Base stats'!B:B,'Base stats'!E:E),Groups!A:A,Groups!AE:AE)*150 + 0.5 + _xlfn.XLOOKUP(B108,'Base stats'!B:B,'Base stats'!BU:BU),
0.05))</f>
        <v>No</v>
      </c>
      <c r="W108" s="8">
        <f>MROUND(_xlfn.XLOOKUP(_xlfn.XLOOKUP(B108,'Base stats'!B:B,'Base stats'!E:E),Groups!A:A,Groups!BG:BG)*_xlfn.XLOOKUP(B108,'Base stats'!B:B,'Base stats'!C:C)^-0.165,0.01)</f>
        <v>0.14000000000000001</v>
      </c>
      <c r="X108" s="1">
        <f>MROUND(_xlfn.XLOOKUP(_xlfn.XLOOKUP(B108,'Base stats'!B:B,'Base stats'!E:E),Groups!A:A,Groups!BH:BH)*_xlfn.XLOOKUP(B108,'Base stats'!B:B,'Base stats'!C:C)^0.165,0.01)</f>
        <v>0.18</v>
      </c>
      <c r="Y108" s="8">
        <f>MROUND(_xlfn.XLOOKUP(_xlfn.XLOOKUP(B108,'Base stats'!B:B,'Base stats'!E:E),Groups!A:A,Groups!BI:BI)*_xlfn.XLOOKUP(B108,'Base stats'!B:B,'Base stats'!C:C)^0.165,0.01)</f>
        <v>0.04</v>
      </c>
      <c r="Z108" s="18">
        <f>ROUND(_xlfn.XLOOKUP(B108,'Base stats'!B:B,'Base stats'!AO:AO)*_xlfn.XLOOKUP(_xlfn.XLOOKUP(B108,'Base stats'!B:B,'Base stats'!E:E),Groups!A:A,Groups!H:H)/1000,2)</f>
        <v>0.75</v>
      </c>
      <c r="AA108" s="18">
        <f>ROUND((1/2)*(_xlfn.XLOOKUP(_xlfn.XLOOKUP(B108,'Base stats'!B:B,'Base stats'!E:E),Groups!A:A,Groups!H:H)*_xlfn.XLOOKUP(_xlfn.XLOOKUP(B108,'Base stats'!B:B,'Base stats'!E:E),Groups!A:A,Groups!I:I))*_xlfn.XLOOKUP(B108,'Base stats'!B:B,'Base stats'!AO:AO)*0.01,2)</f>
        <v>0.05</v>
      </c>
      <c r="AB108" s="18">
        <f>250*(Animals!AO108+Animals!AP108)</f>
        <v>350.00000000000006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stats'!BQ:BQ) * (_xlfn.XLOOKUP(B109,'Base stats'!B:B,'Base stats'!AM:AM)*5%)^0.9 / 21,0.1),0.05)</f>
        <v>0.60000000000000009</v>
      </c>
      <c r="E109" s="11">
        <f>MAX(0.01,MROUND(_xlfn.XLOOKUP(B109,'Base stats'!B:B,'Base stats'!BE:BE) * 0.01 * 2, 0.01))</f>
        <v>0.41000000000000003</v>
      </c>
      <c r="F109" s="7">
        <f>MROUND(_xlfn.XLOOKUP(B109,'Base stats'!B:B,'Base stats'!BB:BB)^0.25 / (_xlfn.XLOOKUP(B109,'Base stats'!B:B,'Base stats'!BI:BI) * 10) * 150 + 0.5 + _xlfn.XLOOKUP(B109,'Base stats'!B:B,'Base stats'!BU:BU), 0.05)</f>
        <v>1.55</v>
      </c>
      <c r="G109" s="3" t="str">
        <f>IF(Animals!S109="No","No",
IF(_xlfn.XLOOKUP(B109,'Base stats'!B:B,'Base stats'!U:U)="No",
MAX(MROUND(_xlfn.XLOOKUP(B109,'Base stats'!B:B,'Base stats'!BR:BR) * _xlfn.XLOOKUP(B109,'Base stats'!B:B,'Base stats'!BN:BN)^0.9 / 21 * _xlfn.XLOOKUP(B109,'Base stats'!B:B,'Base stats'!BV:BV),0.1),0.05),
MAX(MROUND(((MIN(10,_xlfn.XLOOKUP(B109,'Base stats'!B:B,'Base stats'!U:U)))^0.4*_xlfn.XLOOKUP(B109,'Base stats'!B:B,'Base stats'!BF:BF)^0.73)^0.6 * _xlfn.XLOOKUP(B109,'Base stats'!B:B,'Base stats'!BV:BV),0.1),0.05)
))</f>
        <v>No</v>
      </c>
      <c r="H109" s="11" t="str">
        <f>IF(G109="No","No",
MAX(0.01,MROUND(_xlfn.XLOOKUP(B109,'Base stats'!B:B,'Base stats'!BF:BF) * 0.01 * 2, 0.01))
)</f>
        <v>No</v>
      </c>
      <c r="I109" s="11" t="str">
        <f>IF(G109="No","No",IF(_xlfn.XLOOKUP(B109,'Base stats'!B:B,'Base stats'!U:U)="No","No",
MAX(0.01,MROUND(_xlfn.XLOOKUP(B109,'Base stats'!B:B,'Base stats'!BR:BR)/10000,0.01))
))</f>
        <v>No</v>
      </c>
      <c r="J109" s="4" t="str">
        <f>IF(G109="No","No",
MROUND(_xlfn.XLOOKUP(B109,'Base stats'!B:B,'Base stats'!BC:BC)^0.25
/((_xlfn.XLOOKUP(B109,'Base stats'!B:B,'Base stats'!BJ:BJ))*10)*_xlfn.XLOOKUP(_xlfn.XLOOKUP(B109,'Base stats'!B:B,'Base stats'!E:E),Groups!A:A,Groups!Q:Q)*150 + 0.5 + _xlfn.XLOOKUP(B109,'Base stats'!B:B,'Base stats'!BU:BU),
0.05))</f>
        <v>No</v>
      </c>
      <c r="K109" s="3" t="str">
        <f>IF(Animals!X109="No","No",
IF(_xlfn.XLOOKUP(_xlfn.XLOOKUP(B109,'Base stats'!B:B,'Base stats'!E:E),Groups!A:A,Groups!BD:BD)=1,
MAX(MROUND(_xlfn.XLOOKUP(B109,'Base stats'!B:B,'Base stats'!BS:BS) * _xlfn.XLOOKUP(B109,'Base stats'!B:B,'Base stats'!BO:BO)^0.9 / 21 *_xlfn.XLOOKUP(B109,'Base stats'!B:B,'Base stats'!BV:BV),0.1),0.05),
MAX(MROUND(((MIN(10,_xlfn.XLOOKUP(B109,'Base stats'!B:B,'Base stats'!W:W)))^0.4*_xlfn.XLOOKUP(B109,'Base stats'!B:B,'Base stats'!BG:BG)^0.73)^0.6 *_xlfn.XLOOKUP(B109,'Base stats'!B:B,'Base stats'!BV:BV),0.1),0.05)
))</f>
        <v>No</v>
      </c>
      <c r="L109" s="11" t="str">
        <f>IF(K109="No","No",
MAX(0.01,MROUND(_xlfn.XLOOKUP(B109,'Base stats'!B:B,'Base stats'!BG:BG) * 0.01 *2, 0.01))
)</f>
        <v>No</v>
      </c>
      <c r="M109" s="5" t="str">
        <f>IF(K109="No","No",IF(_xlfn.XLOOKUP(_xlfn.XLOOKUP(B109,'Base stats'!B:B,'Base stats'!E:E),Groups!A:A,Groups!BD:BD)=1,"No",
MAX(0.01,MROUND(_xlfn.XLOOKUP(B109,'Base stats'!B:B,'Base stats'!BS:BS)/10000,0.01))
))</f>
        <v>No</v>
      </c>
      <c r="N109" s="4" t="str">
        <f>IF(K109="No","No",
MROUND(
  _xlfn.XLOOKUP(B109,'Base stats'!B:B,'Base stats'!BA:BA)^0.25
  / (_xlfn.XLOOKUP(B109,'Base stats'!B:B,'Base stats'!BK:BK)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stats'!BU:BU),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stats'!BH:BH)^0.73)^0.6 *_xlfn.XLOOKUP(B109,'Base stats'!B:B,'Base stats'!BV:BV),0.1),0.05)
)</f>
        <v>7</v>
      </c>
      <c r="P109" s="11">
        <f>IF(O109="No","No",
MAX(0.01,MROUND(_xlfn.XLOOKUP(B109,'Base stats'!B:B,'Base stats'!BH:BH) * 0.01 * 2, 0.01))
)</f>
        <v>1.08</v>
      </c>
      <c r="Q109" s="5">
        <f>IF(O109="No","No",
MAX(0.01,MROUND(_xlfn.XLOOKUP(B109,'Base stats'!B:B,'Base stats'!BT:BT)/10000,0.01))
)</f>
        <v>0.13</v>
      </c>
      <c r="R109" s="4">
        <f>IF(O109="No","No",
MROUND(_xlfn.XLOOKUP(B109,'Base stats'!B:B,'Base stats'!AZ:AZ)^0.25
/((_xlfn.XLOOKUP(B109,'Base stats'!B:B,'Base stats'!BL:BL))*10)*_xlfn.XLOOKUP(_xlfn.XLOOKUP(B109,'Base stats'!B:B,'Base stats'!E:E),Groups!A:A,Groups!Z:Z)*150 + 0.5 + _xlfn.XLOOKUP(B109,'Base stats'!B:B,'Base stats'!BU:BU),
0.05))</f>
        <v>1.9000000000000001</v>
      </c>
      <c r="S109" s="3" t="str">
        <f>IF(Animals!AI109="No","No",
IF(_xlfn.XLOOKUP(B109,'Base stats'!B:B,'Base stats'!U:U)="No",
MAX(MROUND(_xlfn.XLOOKUP(B109,'Base stats'!B:B,'Base stats'!BR:BR) * _xlfn.XLOOKUP(B109,'Base stats'!B:B,'Base stats'!BN:BN)^0.9 / 21 * _xlfn.XLOOKUP(B109,'Base stats'!B:B,'Base stats'!BV:BV),0.1),0.05),
MAX(MROUND(((MIN(12,_xlfn.XLOOKUP(B109,'Base stats'!B:B,'Base stats'!U:U)))^0.4*_xlfn.XLOOKUP(B109,'Base stats'!B:B,'Base stats'!BF:BF)^0.73)^0.6 * _xlfn.XLOOKUP(B109,'Base stats'!B:B,'Base stats'!BV:BV),0.1),0.05)
))</f>
        <v>No</v>
      </c>
      <c r="T109" s="11" t="str">
        <f>IF(S109="No","No",
MAX(0.01,MROUND(_xlfn.XLOOKUP(B109,'Base stats'!B:B,'Base stats'!BF:BF) * 0.01 * 2, 0.01))
)</f>
        <v>No</v>
      </c>
      <c r="U109" s="5" t="str">
        <f>IF(S109="No","No",IF(_xlfn.XLOOKUP(B109,'Base stats'!B:B,'Base stats'!U:U)="No","No",
MAX(0.01,MROUND(_xlfn.XLOOKUP(B109,'Base stats'!B:B,'Base stats'!BR:BR)/10000,0.01))
))</f>
        <v>No</v>
      </c>
      <c r="V109" s="4" t="str">
        <f>IF(S109="No","No",
MROUND(_xlfn.XLOOKUP(B109,'Base stats'!B:B,'Base stats'!BD:BD)^0.25
/((_xlfn.XLOOKUP(B109,'Base stats'!B:B,'Base stats'!BM:BM))*10)*_xlfn.XLOOKUP(_xlfn.XLOOKUP(B109,'Base stats'!B:B,'Base stats'!E:E),Groups!A:A,Groups!AE:AE)*150 + 0.5 + _xlfn.XLOOKUP(B109,'Base stats'!B:B,'Base stats'!BU:BU),
0.05))</f>
        <v>No</v>
      </c>
      <c r="W109" s="8">
        <f>MROUND(_xlfn.XLOOKUP(_xlfn.XLOOKUP(B109,'Base stats'!B:B,'Base stats'!E:E),Groups!A:A,Groups!BG:BG)*_xlfn.XLOOKUP(B109,'Base stats'!B:B,'Base stats'!C:C)^-0.165,0.01)</f>
        <v>0.65</v>
      </c>
      <c r="X109" s="1">
        <f>MROUND(_xlfn.XLOOKUP(_xlfn.XLOOKUP(B109,'Base stats'!B:B,'Base stats'!E:E),Groups!A:A,Groups!BH:BH)*_xlfn.XLOOKUP(B109,'Base stats'!B:B,'Base stats'!C:C)^0.165,0.01)</f>
        <v>0.31</v>
      </c>
      <c r="Y109" s="8">
        <f>MROUND(_xlfn.XLOOKUP(_xlfn.XLOOKUP(B109,'Base stats'!B:B,'Base stats'!E:E),Groups!A:A,Groups!BI:BI)*_xlfn.XLOOKUP(B109,'Base stats'!B:B,'Base stats'!C:C)^0.165,0.01)</f>
        <v>0.04</v>
      </c>
      <c r="Z109" s="18">
        <f>ROUND(_xlfn.XLOOKUP(B109,'Base stats'!B:B,'Base stats'!AO:AO)*_xlfn.XLOOKUP(_xlfn.XLOOKUP(B109,'Base stats'!B:B,'Base stats'!E:E),Groups!A:A,Groups!H:H)/1000,2)</f>
        <v>0.06</v>
      </c>
      <c r="AA109" s="18">
        <f>ROUND((1/2)*(_xlfn.XLOOKUP(_xlfn.XLOOKUP(B109,'Base stats'!B:B,'Base stats'!E:E),Groups!A:A,Groups!H:H)*_xlfn.XLOOKUP(_xlfn.XLOOKUP(B109,'Base stats'!B:B,'Base stats'!E:E),Groups!A:A,Groups!I:I))*_xlfn.XLOOKUP(B109,'Base stats'!B:B,'Base stats'!AO:AO)*0.01,2)</f>
        <v>0.41</v>
      </c>
      <c r="AB109" s="18">
        <f>250*(Animals!AO109+Animals!AP109)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stats'!BQ:BQ) * (_xlfn.XLOOKUP(B110,'Base stats'!B:B,'Base stats'!AM:AM)*5%)^0.9 / 21,0.1),0.05)</f>
        <v>21.5</v>
      </c>
      <c r="E110" s="11">
        <f>MAX(0.01,MROUND(_xlfn.XLOOKUP(B110,'Base stats'!B:B,'Base stats'!BE:BE) * 0.01 * 2, 0.01))</f>
        <v>21.150000000000002</v>
      </c>
      <c r="F110" s="7">
        <f>MROUND(_xlfn.XLOOKUP(B110,'Base stats'!B:B,'Base stats'!BB:BB)^0.25 / (_xlfn.XLOOKUP(B110,'Base stats'!B:B,'Base stats'!BI:BI) * 10) * 150 + 0.5 + _xlfn.XLOOKUP(B110,'Base stats'!B:B,'Base stats'!BU:BU), 0.05)</f>
        <v>2.2000000000000002</v>
      </c>
      <c r="G110" s="3">
        <f>IF(Animals!S110="No","No",
IF(_xlfn.XLOOKUP(B110,'Base stats'!B:B,'Base stats'!U:U)="No",
MAX(MROUND(_xlfn.XLOOKUP(B110,'Base stats'!B:B,'Base stats'!BR:BR) * _xlfn.XLOOKUP(B110,'Base stats'!B:B,'Base stats'!BN:BN)^0.9 / 21 * _xlfn.XLOOKUP(B110,'Base stats'!B:B,'Base stats'!BV:BV),0.1),0.05),
MAX(MROUND(((MIN(10,_xlfn.XLOOKUP(B110,'Base stats'!B:B,'Base stats'!U:U)))^0.4*_xlfn.XLOOKUP(B110,'Base stats'!B:B,'Base stats'!BF:BF)^0.73)^0.6 * _xlfn.XLOOKUP(B110,'Base stats'!B:B,'Base stats'!BV:BV),0.1),0.05)
))</f>
        <v>33.4</v>
      </c>
      <c r="H110" s="11">
        <f>IF(G110="No","No",
MAX(0.01,MROUND(_xlfn.XLOOKUP(B110,'Base stats'!B:B,'Base stats'!BF:BF) * 0.01 * 2, 0.01))
)</f>
        <v>23.400000000000002</v>
      </c>
      <c r="I110" s="11" t="str">
        <f>IF(G110="No","No",IF(_xlfn.XLOOKUP(B110,'Base stats'!B:B,'Base stats'!U:U)="No","No",
MAX(0.01,MROUND(_xlfn.XLOOKUP(B110,'Base stats'!B:B,'Base stats'!BR:BR)/10000,0.01))
))</f>
        <v>No</v>
      </c>
      <c r="J110" s="4">
        <f>IF(G110="No","No",
MROUND(_xlfn.XLOOKUP(B110,'Base stats'!B:B,'Base stats'!BC:BC)^0.25
/((_xlfn.XLOOKUP(B110,'Base stats'!B:B,'Base stats'!BJ:BJ))*10)*_xlfn.XLOOKUP(_xlfn.XLOOKUP(B110,'Base stats'!B:B,'Base stats'!E:E),Groups!A:A,Groups!Q:Q)*150 + 0.5 + _xlfn.XLOOKUP(B110,'Base stats'!B:B,'Base stats'!BU:BU),
0.05))</f>
        <v>3.25</v>
      </c>
      <c r="K110" s="3" t="str">
        <f>IF(Animals!X110="No","No",
IF(_xlfn.XLOOKUP(_xlfn.XLOOKUP(B110,'Base stats'!B:B,'Base stats'!E:E),Groups!A:A,Groups!BD:BD)=1,
MAX(MROUND(_xlfn.XLOOKUP(B110,'Base stats'!B:B,'Base stats'!BS:BS) * _xlfn.XLOOKUP(B110,'Base stats'!B:B,'Base stats'!BO:BO)^0.9 / 21 *_xlfn.XLOOKUP(B110,'Base stats'!B:B,'Base stats'!BV:BV),0.1),0.05),
MAX(MROUND(((MIN(10,_xlfn.XLOOKUP(B110,'Base stats'!B:B,'Base stats'!W:W)))^0.4*_xlfn.XLOOKUP(B110,'Base stats'!B:B,'Base stats'!BG:BG)^0.73)^0.6 *_xlfn.XLOOKUP(B110,'Base stats'!B:B,'Base stats'!BV:BV),0.1),0.05)
))</f>
        <v>No</v>
      </c>
      <c r="L110" s="11" t="str">
        <f>IF(K110="No","No",
MAX(0.01,MROUND(_xlfn.XLOOKUP(B110,'Base stats'!B:B,'Base stats'!BG:BG) * 0.01 *2, 0.01))
)</f>
        <v>No</v>
      </c>
      <c r="M110" s="5" t="str">
        <f>IF(K110="No","No",IF(_xlfn.XLOOKUP(_xlfn.XLOOKUP(B110,'Base stats'!B:B,'Base stats'!E:E),Groups!A:A,Groups!BD:BD)=1,"No",
MAX(0.01,MROUND(_xlfn.XLOOKUP(B110,'Base stats'!B:B,'Base stats'!BS:BS)/10000,0.01))
))</f>
        <v>No</v>
      </c>
      <c r="N110" s="4" t="str">
        <f>IF(K110="No","No",
MROUND(
  _xlfn.XLOOKUP(B110,'Base stats'!B:B,'Base stats'!BA:BA)^0.25
  / (_xlfn.XLOOKUP(B110,'Base stats'!B:B,'Base stats'!BK:BK)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stats'!BU:BU),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stats'!BH:BH)^0.73)^0.6 *_xlfn.XLOOKUP(B110,'Base stats'!B:B,'Base stats'!BV:BV),0.1),0.05)
)</f>
        <v>No</v>
      </c>
      <c r="P110" s="11" t="str">
        <f>IF(O110="No","No",
MAX(0.01,MROUND(_xlfn.XLOOKUP(B110,'Base stats'!B:B,'Base stats'!BH:BH) * 0.01 * 2, 0.01))
)</f>
        <v>No</v>
      </c>
      <c r="Q110" s="5" t="str">
        <f>IF(O110="No","No",
MAX(0.01,MROUND(_xlfn.XLOOKUP(B110,'Base stats'!B:B,'Base stats'!BT:BT)/10000,0.01))
)</f>
        <v>No</v>
      </c>
      <c r="R110" s="4" t="str">
        <f>IF(O110="No","No",
MROUND(_xlfn.XLOOKUP(B110,'Base stats'!B:B,'Base stats'!AZ:AZ)^0.25
/((_xlfn.XLOOKUP(B110,'Base stats'!B:B,'Base stats'!BL:BL))*10)*_xlfn.XLOOKUP(_xlfn.XLOOKUP(B110,'Base stats'!B:B,'Base stats'!E:E),Groups!A:A,Groups!Z:Z)*150 + 0.5 + _xlfn.XLOOKUP(B110,'Base stats'!B:B,'Base stats'!BU:BU),
0.05))</f>
        <v>No</v>
      </c>
      <c r="S110" s="3" t="str">
        <f>IF(Animals!AI110="No","No",
IF(_xlfn.XLOOKUP(B110,'Base stats'!B:B,'Base stats'!U:U)="No",
MAX(MROUND(_xlfn.XLOOKUP(B110,'Base stats'!B:B,'Base stats'!BR:BR) * _xlfn.XLOOKUP(B110,'Base stats'!B:B,'Base stats'!BN:BN)^0.9 / 21 * _xlfn.XLOOKUP(B110,'Base stats'!B:B,'Base stats'!BV:BV),0.1),0.05),
MAX(MROUND(((MIN(12,_xlfn.XLOOKUP(B110,'Base stats'!B:B,'Base stats'!U:U)))^0.4*_xlfn.XLOOKUP(B110,'Base stats'!B:B,'Base stats'!BF:BF)^0.73)^0.6 * _xlfn.XLOOKUP(B110,'Base stats'!B:B,'Base stats'!BV:BV),0.1),0.05)
))</f>
        <v>No</v>
      </c>
      <c r="T110" s="11" t="str">
        <f>IF(S110="No","No",
MAX(0.01,MROUND(_xlfn.XLOOKUP(B110,'Base stats'!B:B,'Base stats'!BF:BF) * 0.01 * 2, 0.01))
)</f>
        <v>No</v>
      </c>
      <c r="U110" s="5" t="str">
        <f>IF(S110="No","No",IF(_xlfn.XLOOKUP(B110,'Base stats'!B:B,'Base stats'!U:U)="No","No",
MAX(0.01,MROUND(_xlfn.XLOOKUP(B110,'Base stats'!B:B,'Base stats'!BR:BR)/10000,0.01))
))</f>
        <v>No</v>
      </c>
      <c r="V110" s="4" t="str">
        <f>IF(S110="No","No",
MROUND(_xlfn.XLOOKUP(B110,'Base stats'!B:B,'Base stats'!BD:BD)^0.25
/((_xlfn.XLOOKUP(B110,'Base stats'!B:B,'Base stats'!BM:BM))*10)*_xlfn.XLOOKUP(_xlfn.XLOOKUP(B110,'Base stats'!B:B,'Base stats'!E:E),Groups!A:A,Groups!AE:AE)*150 + 0.5 + _xlfn.XLOOKUP(B110,'Base stats'!B:B,'Base stats'!BU:BU),
0.05))</f>
        <v>No</v>
      </c>
      <c r="W110" s="8">
        <f>MROUND(_xlfn.XLOOKUP(_xlfn.XLOOKUP(B110,'Base stats'!B:B,'Base stats'!E:E),Groups!A:A,Groups!BG:BG)*_xlfn.XLOOKUP(B110,'Base stats'!B:B,'Base stats'!C:C)^-0.165,0.01)</f>
        <v>0.16</v>
      </c>
      <c r="X110" s="1">
        <f>MROUND(_xlfn.XLOOKUP(_xlfn.XLOOKUP(B110,'Base stats'!B:B,'Base stats'!E:E),Groups!A:A,Groups!BH:BH)*_xlfn.XLOOKUP(B110,'Base stats'!B:B,'Base stats'!C:C)^0.165,0.01)</f>
        <v>0</v>
      </c>
      <c r="Y110" s="8">
        <f>MROUND(_xlfn.XLOOKUP(_xlfn.XLOOKUP(B110,'Base stats'!B:B,'Base stats'!E:E),Groups!A:A,Groups!BI:BI)*_xlfn.XLOOKUP(B110,'Base stats'!B:B,'Base stats'!C:C)^0.165,0.01)</f>
        <v>0</v>
      </c>
      <c r="Z110" s="18">
        <f>ROUND(_xlfn.XLOOKUP(B110,'Base stats'!B:B,'Base stats'!AO:AO)*_xlfn.XLOOKUP(_xlfn.XLOOKUP(B110,'Base stats'!B:B,'Base stats'!E:E),Groups!A:A,Groups!H:H)/1000,2)</f>
        <v>0.09</v>
      </c>
      <c r="AA110" s="18">
        <f>ROUND((1/2)*(_xlfn.XLOOKUP(_xlfn.XLOOKUP(B110,'Base stats'!B:B,'Base stats'!E:E),Groups!A:A,Groups!H:H)*_xlfn.XLOOKUP(_xlfn.XLOOKUP(B110,'Base stats'!B:B,'Base stats'!E:E),Groups!A:A,Groups!I:I))*_xlfn.XLOOKUP(B110,'Base stats'!B:B,'Base stats'!AO:AO)*0.01,2)</f>
        <v>0.51</v>
      </c>
      <c r="AB110" s="18">
        <f>250*(Animals!AO110+Animals!AP110)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stats'!BQ:BQ) * (_xlfn.XLOOKUP(B111,'Base stats'!B:B,'Base stats'!AM:AM)*5%)^0.9 / 21,0.1),0.05)</f>
        <v>7.9</v>
      </c>
      <c r="E111" s="11">
        <f>MAX(0.01,MROUND(_xlfn.XLOOKUP(B111,'Base stats'!B:B,'Base stats'!BE:BE) * 0.01 * 2, 0.01))</f>
        <v>7.18</v>
      </c>
      <c r="F111" s="7">
        <f>MROUND(_xlfn.XLOOKUP(B111,'Base stats'!B:B,'Base stats'!BB:BB)^0.25 / (_xlfn.XLOOKUP(B111,'Base stats'!B:B,'Base stats'!BI:BI) * 10) * 150 + 0.5 + _xlfn.XLOOKUP(B111,'Base stats'!B:B,'Base stats'!BU:BU), 0.05)</f>
        <v>1.8</v>
      </c>
      <c r="G111" s="3">
        <f>IF(Animals!S111="No","No",
IF(_xlfn.XLOOKUP(B111,'Base stats'!B:B,'Base stats'!U:U)="No",
MAX(MROUND(_xlfn.XLOOKUP(B111,'Base stats'!B:B,'Base stats'!BR:BR) * _xlfn.XLOOKUP(B111,'Base stats'!B:B,'Base stats'!BN:BN)^0.9 / 21 * _xlfn.XLOOKUP(B111,'Base stats'!B:B,'Base stats'!BV:BV),0.1),0.05),
MAX(MROUND(((MIN(10,_xlfn.XLOOKUP(B111,'Base stats'!B:B,'Base stats'!U:U)))^0.4*_xlfn.XLOOKUP(B111,'Base stats'!B:B,'Base stats'!BF:BF)^0.73)^0.6 * _xlfn.XLOOKUP(B111,'Base stats'!B:B,'Base stats'!BV:BV),0.1),0.05)
))</f>
        <v>13.5</v>
      </c>
      <c r="H111" s="11">
        <f>IF(G111="No","No",
MAX(0.01,MROUND(_xlfn.XLOOKUP(B111,'Base stats'!B:B,'Base stats'!BF:BF) * 0.01 * 2, 0.01))
)</f>
        <v>8.48</v>
      </c>
      <c r="I111" s="11" t="str">
        <f>IF(G111="No","No",IF(_xlfn.XLOOKUP(B111,'Base stats'!B:B,'Base stats'!U:U)="No","No",
MAX(0.01,MROUND(_xlfn.XLOOKUP(B111,'Base stats'!B:B,'Base stats'!BR:BR)/10000,0.01))
))</f>
        <v>No</v>
      </c>
      <c r="J111" s="4">
        <f>IF(G111="No","No",
MROUND(_xlfn.XLOOKUP(B111,'Base stats'!B:B,'Base stats'!BC:BC)^0.25
/((_xlfn.XLOOKUP(B111,'Base stats'!B:B,'Base stats'!BJ:BJ))*10)*_xlfn.XLOOKUP(_xlfn.XLOOKUP(B111,'Base stats'!B:B,'Base stats'!E:E),Groups!A:A,Groups!Q:Q)*150 + 0.5 + _xlfn.XLOOKUP(B111,'Base stats'!B:B,'Base stats'!BU:BU),
0.05))</f>
        <v>2.35</v>
      </c>
      <c r="K111" s="3" t="str">
        <f>IF(Animals!X111="No","No",
IF(_xlfn.XLOOKUP(_xlfn.XLOOKUP(B111,'Base stats'!B:B,'Base stats'!E:E),Groups!A:A,Groups!BD:BD)=1,
MAX(MROUND(_xlfn.XLOOKUP(B111,'Base stats'!B:B,'Base stats'!BS:BS) * _xlfn.XLOOKUP(B111,'Base stats'!B:B,'Base stats'!BO:BO)^0.9 / 21 *_xlfn.XLOOKUP(B111,'Base stats'!B:B,'Base stats'!BV:BV),0.1),0.05),
MAX(MROUND(((MIN(10,_xlfn.XLOOKUP(B111,'Base stats'!B:B,'Base stats'!W:W)))^0.4*_xlfn.XLOOKUP(B111,'Base stats'!B:B,'Base stats'!BG:BG)^0.73)^0.6 *_xlfn.XLOOKUP(B111,'Base stats'!B:B,'Base stats'!BV:BV),0.1),0.05)
))</f>
        <v>No</v>
      </c>
      <c r="L111" s="11" t="str">
        <f>IF(K111="No","No",
MAX(0.01,MROUND(_xlfn.XLOOKUP(B111,'Base stats'!B:B,'Base stats'!BG:BG) * 0.01 *2, 0.01))
)</f>
        <v>No</v>
      </c>
      <c r="M111" s="5" t="str">
        <f>IF(K111="No","No",IF(_xlfn.XLOOKUP(_xlfn.XLOOKUP(B111,'Base stats'!B:B,'Base stats'!E:E),Groups!A:A,Groups!BD:BD)=1,"No",
MAX(0.01,MROUND(_xlfn.XLOOKUP(B111,'Base stats'!B:B,'Base stats'!BS:BS)/10000,0.01))
))</f>
        <v>No</v>
      </c>
      <c r="N111" s="4" t="str">
        <f>IF(K111="No","No",
MROUND(
  _xlfn.XLOOKUP(B111,'Base stats'!B:B,'Base stats'!BA:BA)^0.25
  / (_xlfn.XLOOKUP(B111,'Base stats'!B:B,'Base stats'!BK:BK)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stats'!BU:BU),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stats'!BH:BH)^0.73)^0.6 *_xlfn.XLOOKUP(B111,'Base stats'!B:B,'Base stats'!BV:BV),0.1),0.05)
)</f>
        <v>13</v>
      </c>
      <c r="P111" s="11">
        <f>IF(O111="No","No",
MAX(0.01,MROUND(_xlfn.XLOOKUP(B111,'Base stats'!B:B,'Base stats'!BH:BH) * 0.01 * 2, 0.01))
)</f>
        <v>5.57</v>
      </c>
      <c r="Q111" s="5">
        <f>IF(O111="No","No",
MAX(0.01,MROUND(_xlfn.XLOOKUP(B111,'Base stats'!B:B,'Base stats'!BT:BT)/10000,0.01))
)</f>
        <v>0.12</v>
      </c>
      <c r="R111" s="4">
        <f>IF(O111="No","No",
MROUND(_xlfn.XLOOKUP(B111,'Base stats'!B:B,'Base stats'!AZ:AZ)^0.25
/((_xlfn.XLOOKUP(B111,'Base stats'!B:B,'Base stats'!BL:BL))*10)*_xlfn.XLOOKUP(_xlfn.XLOOKUP(B111,'Base stats'!B:B,'Base stats'!E:E),Groups!A:A,Groups!Z:Z)*150 + 0.5 + _xlfn.XLOOKUP(B111,'Base stats'!B:B,'Base stats'!BU:BU),
0.05))</f>
        <v>2.8000000000000003</v>
      </c>
      <c r="S111" s="3" t="str">
        <f>IF(Animals!AI111="No","No",
IF(_xlfn.XLOOKUP(B111,'Base stats'!B:B,'Base stats'!U:U)="No",
MAX(MROUND(_xlfn.XLOOKUP(B111,'Base stats'!B:B,'Base stats'!BR:BR) * _xlfn.XLOOKUP(B111,'Base stats'!B:B,'Base stats'!BN:BN)^0.9 / 21 * _xlfn.XLOOKUP(B111,'Base stats'!B:B,'Base stats'!BV:BV),0.1),0.05),
MAX(MROUND(((MIN(12,_xlfn.XLOOKUP(B111,'Base stats'!B:B,'Base stats'!U:U)))^0.4*_xlfn.XLOOKUP(B111,'Base stats'!B:B,'Base stats'!BF:BF)^0.73)^0.6 * _xlfn.XLOOKUP(B111,'Base stats'!B:B,'Base stats'!BV:BV),0.1),0.05)
))</f>
        <v>No</v>
      </c>
      <c r="T111" s="11" t="str">
        <f>IF(S111="No","No",
MAX(0.01,MROUND(_xlfn.XLOOKUP(B111,'Base stats'!B:B,'Base stats'!BF:BF) * 0.01 * 2, 0.01))
)</f>
        <v>No</v>
      </c>
      <c r="U111" s="5" t="str">
        <f>IF(S111="No","No",IF(_xlfn.XLOOKUP(B111,'Base stats'!B:B,'Base stats'!U:U)="No","No",
MAX(0.01,MROUND(_xlfn.XLOOKUP(B111,'Base stats'!B:B,'Base stats'!BR:BR)/10000,0.01))
))</f>
        <v>No</v>
      </c>
      <c r="V111" s="4" t="str">
        <f>IF(S111="No","No",
MROUND(_xlfn.XLOOKUP(B111,'Base stats'!B:B,'Base stats'!BD:BD)^0.25
/((_xlfn.XLOOKUP(B111,'Base stats'!B:B,'Base stats'!BM:BM))*10)*_xlfn.XLOOKUP(_xlfn.XLOOKUP(B111,'Base stats'!B:B,'Base stats'!E:E),Groups!A:A,Groups!AE:AE)*150 + 0.5 + _xlfn.XLOOKUP(B111,'Base stats'!B:B,'Base stats'!BU:BU),
0.05))</f>
        <v>No</v>
      </c>
      <c r="W111" s="8">
        <f>MROUND(_xlfn.XLOOKUP(_xlfn.XLOOKUP(B111,'Base stats'!B:B,'Base stats'!E:E),Groups!A:A,Groups!BG:BG)*_xlfn.XLOOKUP(B111,'Base stats'!B:B,'Base stats'!C:C)^-0.165,0.01)</f>
        <v>0.27</v>
      </c>
      <c r="X111" s="1">
        <f>MROUND(_xlfn.XLOOKUP(_xlfn.XLOOKUP(B111,'Base stats'!B:B,'Base stats'!E:E),Groups!A:A,Groups!BH:BH)*_xlfn.XLOOKUP(B111,'Base stats'!B:B,'Base stats'!C:C)^0.165,0.01)</f>
        <v>0</v>
      </c>
      <c r="Y111" s="8">
        <f>MROUND(_xlfn.XLOOKUP(_xlfn.XLOOKUP(B111,'Base stats'!B:B,'Base stats'!E:E),Groups!A:A,Groups!BI:BI)*_xlfn.XLOOKUP(B111,'Base stats'!B:B,'Base stats'!C:C)^0.165,0.01)</f>
        <v>0</v>
      </c>
      <c r="Z111" s="18">
        <f>ROUND(_xlfn.XLOOKUP(B111,'Base stats'!B:B,'Base stats'!AO:AO)*_xlfn.XLOOKUP(_xlfn.XLOOKUP(B111,'Base stats'!B:B,'Base stats'!E:E),Groups!A:A,Groups!H:H)/1000,2)</f>
        <v>7.0000000000000007E-2</v>
      </c>
      <c r="AA111" s="18">
        <f>ROUND((1/2)*(_xlfn.XLOOKUP(_xlfn.XLOOKUP(B111,'Base stats'!B:B,'Base stats'!E:E),Groups!A:A,Groups!H:H)*_xlfn.XLOOKUP(_xlfn.XLOOKUP(B111,'Base stats'!B:B,'Base stats'!E:E),Groups!A:A,Groups!I:I))*_xlfn.XLOOKUP(B111,'Base stats'!B:B,'Base stats'!AO:AO)*0.01,2)</f>
        <v>0.36</v>
      </c>
      <c r="AB111" s="18">
        <f>250*(Animals!AO111+Animals!AP111)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stats'!BQ:BQ) * (_xlfn.XLOOKUP(B112,'Base stats'!B:B,'Base stats'!AM:AM)*5%)^0.9 / 21,0.1),0.05)</f>
        <v>6.1000000000000005</v>
      </c>
      <c r="E112" s="11">
        <f>MAX(0.01,MROUND(_xlfn.XLOOKUP(B112,'Base stats'!B:B,'Base stats'!BE:BE) * 0.01 * 2, 0.01))</f>
        <v>5.4</v>
      </c>
      <c r="F112" s="7">
        <f>MROUND(_xlfn.XLOOKUP(B112,'Base stats'!B:B,'Base stats'!BB:BB)^0.25 / (_xlfn.XLOOKUP(B112,'Base stats'!B:B,'Base stats'!BI:BI) * 10) * 150 + 0.5 + _xlfn.XLOOKUP(B112,'Base stats'!B:B,'Base stats'!BU:BU), 0.05)</f>
        <v>1.75</v>
      </c>
      <c r="G112" s="3">
        <f>IF(Animals!S112="No","No",
IF(_xlfn.XLOOKUP(B112,'Base stats'!B:B,'Base stats'!U:U)="No",
MAX(MROUND(_xlfn.XLOOKUP(B112,'Base stats'!B:B,'Base stats'!BR:BR) * _xlfn.XLOOKUP(B112,'Base stats'!B:B,'Base stats'!BN:BN)^0.9 / 21 * _xlfn.XLOOKUP(B112,'Base stats'!B:B,'Base stats'!BV:BV),0.1),0.05),
MAX(MROUND(((MIN(10,_xlfn.XLOOKUP(B112,'Base stats'!B:B,'Base stats'!U:U)))^0.4*_xlfn.XLOOKUP(B112,'Base stats'!B:B,'Base stats'!BF:BF)^0.73)^0.6 * _xlfn.XLOOKUP(B112,'Base stats'!B:B,'Base stats'!BV:BV),0.1),0.05)
))</f>
        <v>10.600000000000001</v>
      </c>
      <c r="H112" s="11">
        <f>IF(G112="No","No",
MAX(0.01,MROUND(_xlfn.XLOOKUP(B112,'Base stats'!B:B,'Base stats'!BF:BF) * 0.01 * 2, 0.01))
)</f>
        <v>6.5</v>
      </c>
      <c r="I112" s="11" t="str">
        <f>IF(G112="No","No",IF(_xlfn.XLOOKUP(B112,'Base stats'!B:B,'Base stats'!U:U)="No","No",
MAX(0.01,MROUND(_xlfn.XLOOKUP(B112,'Base stats'!B:B,'Base stats'!BR:BR)/10000,0.01))
))</f>
        <v>No</v>
      </c>
      <c r="J112" s="4">
        <f>IF(G112="No","No",
MROUND(_xlfn.XLOOKUP(B112,'Base stats'!B:B,'Base stats'!BC:BC)^0.25
/((_xlfn.XLOOKUP(B112,'Base stats'!B:B,'Base stats'!BJ:BJ))*10)*_xlfn.XLOOKUP(_xlfn.XLOOKUP(B112,'Base stats'!B:B,'Base stats'!E:E),Groups!A:A,Groups!Q:Q)*150 + 0.5 + _xlfn.XLOOKUP(B112,'Base stats'!B:B,'Base stats'!BU:BU),
0.05))</f>
        <v>2.5</v>
      </c>
      <c r="K112" s="3">
        <f>IF(Animals!X112="No","No",
IF(_xlfn.XLOOKUP(_xlfn.XLOOKUP(B112,'Base stats'!B:B,'Base stats'!E:E),Groups!A:A,Groups!BD:BD)=1,
MAX(MROUND(_xlfn.XLOOKUP(B112,'Base stats'!B:B,'Base stats'!BS:BS) * _xlfn.XLOOKUP(B112,'Base stats'!B:B,'Base stats'!BO:BO)^0.9 / 21 *_xlfn.XLOOKUP(B112,'Base stats'!B:B,'Base stats'!BV:BV),0.1),0.05),
MAX(MROUND(((MIN(10,_xlfn.XLOOKUP(B112,'Base stats'!B:B,'Base stats'!W:W)))^0.4*_xlfn.XLOOKUP(B112,'Base stats'!B:B,'Base stats'!BG:BG)^0.73)^0.6 *_xlfn.XLOOKUP(B112,'Base stats'!B:B,'Base stats'!BV:BV),0.1),0.05)
))</f>
        <v>23.700000000000003</v>
      </c>
      <c r="L112" s="11">
        <f>IF(K112="No","No",
MAX(0.01,MROUND(_xlfn.XLOOKUP(B112,'Base stats'!B:B,'Base stats'!BG:BG) * 0.01 *2, 0.01))
)</f>
        <v>7.8</v>
      </c>
      <c r="M112" s="5">
        <f>IF(K112="No","No",IF(_xlfn.XLOOKUP(_xlfn.XLOOKUP(B112,'Base stats'!B:B,'Base stats'!E:E),Groups!A:A,Groups!BD:BD)=1,"No",
MAX(0.01,MROUND(_xlfn.XLOOKUP(B112,'Base stats'!B:B,'Base stats'!BS:BS)/10000,0.01))
))</f>
        <v>0.45</v>
      </c>
      <c r="N112" s="4">
        <f>IF(K112="No","No",
MROUND(
  _xlfn.XLOOKUP(B112,'Base stats'!B:B,'Base stats'!BA:BA)^0.25
  / (_xlfn.XLOOKUP(B112,'Base stats'!B:B,'Base stats'!BK:BK)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stats'!BU:BU),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stats'!BH:BH)^0.73)^0.6 *_xlfn.XLOOKUP(B112,'Base stats'!B:B,'Base stats'!BV:BV),0.1),0.05)
)</f>
        <v>No</v>
      </c>
      <c r="P112" s="11" t="str">
        <f>IF(O112="No","No",
MAX(0.01,MROUND(_xlfn.XLOOKUP(B112,'Base stats'!B:B,'Base stats'!BH:BH) * 0.01 * 2, 0.01))
)</f>
        <v>No</v>
      </c>
      <c r="Q112" s="5" t="str">
        <f>IF(O112="No","No",
MAX(0.01,MROUND(_xlfn.XLOOKUP(B112,'Base stats'!B:B,'Base stats'!BT:BT)/10000,0.01))
)</f>
        <v>No</v>
      </c>
      <c r="R112" s="4" t="str">
        <f>IF(O112="No","No",
MROUND(_xlfn.XLOOKUP(B112,'Base stats'!B:B,'Base stats'!AZ:AZ)^0.25
/((_xlfn.XLOOKUP(B112,'Base stats'!B:B,'Base stats'!BL:BL))*10)*_xlfn.XLOOKUP(_xlfn.XLOOKUP(B112,'Base stats'!B:B,'Base stats'!E:E),Groups!A:A,Groups!Z:Z)*150 + 0.5 + _xlfn.XLOOKUP(B112,'Base stats'!B:B,'Base stats'!BU:BU),
0.05))</f>
        <v>No</v>
      </c>
      <c r="S112" s="3" t="str">
        <f>IF(Animals!AI112="No","No",
IF(_xlfn.XLOOKUP(B112,'Base stats'!B:B,'Base stats'!U:U)="No",
MAX(MROUND(_xlfn.XLOOKUP(B112,'Base stats'!B:B,'Base stats'!BR:BR) * _xlfn.XLOOKUP(B112,'Base stats'!B:B,'Base stats'!BN:BN)^0.9 / 21 * _xlfn.XLOOKUP(B112,'Base stats'!B:B,'Base stats'!BV:BV),0.1),0.05),
MAX(MROUND(((MIN(12,_xlfn.XLOOKUP(B112,'Base stats'!B:B,'Base stats'!U:U)))^0.4*_xlfn.XLOOKUP(B112,'Base stats'!B:B,'Base stats'!BF:BF)^0.73)^0.6 * _xlfn.XLOOKUP(B112,'Base stats'!B:B,'Base stats'!BV:BV),0.1),0.05)
))</f>
        <v>No</v>
      </c>
      <c r="T112" s="11" t="str">
        <f>IF(S112="No","No",
MAX(0.01,MROUND(_xlfn.XLOOKUP(B112,'Base stats'!B:B,'Base stats'!BF:BF) * 0.01 * 2, 0.01))
)</f>
        <v>No</v>
      </c>
      <c r="U112" s="5" t="str">
        <f>IF(S112="No","No",IF(_xlfn.XLOOKUP(B112,'Base stats'!B:B,'Base stats'!U:U)="No","No",
MAX(0.01,MROUND(_xlfn.XLOOKUP(B112,'Base stats'!B:B,'Base stats'!BR:BR)/10000,0.01))
))</f>
        <v>No</v>
      </c>
      <c r="V112" s="4" t="str">
        <f>IF(S112="No","No",
MROUND(_xlfn.XLOOKUP(B112,'Base stats'!B:B,'Base stats'!BD:BD)^0.25
/((_xlfn.XLOOKUP(B112,'Base stats'!B:B,'Base stats'!BM:BM))*10)*_xlfn.XLOOKUP(_xlfn.XLOOKUP(B112,'Base stats'!B:B,'Base stats'!E:E),Groups!A:A,Groups!AE:AE)*150 + 0.5 + _xlfn.XLOOKUP(B112,'Base stats'!B:B,'Base stats'!BU:BU),
0.05))</f>
        <v>No</v>
      </c>
      <c r="W112" s="8">
        <f>MROUND(_xlfn.XLOOKUP(_xlfn.XLOOKUP(B112,'Base stats'!B:B,'Base stats'!E:E),Groups!A:A,Groups!BG:BG)*_xlfn.XLOOKUP(B112,'Base stats'!B:B,'Base stats'!C:C)^-0.165,0.01)</f>
        <v>0.2</v>
      </c>
      <c r="X112" s="1">
        <f>MROUND(_xlfn.XLOOKUP(_xlfn.XLOOKUP(B112,'Base stats'!B:B,'Base stats'!E:E),Groups!A:A,Groups!BH:BH)*_xlfn.XLOOKUP(B112,'Base stats'!B:B,'Base stats'!C:C)^0.165,0.01)</f>
        <v>0</v>
      </c>
      <c r="Y112" s="8">
        <f>MROUND(_xlfn.XLOOKUP(_xlfn.XLOOKUP(B112,'Base stats'!B:B,'Base stats'!E:E),Groups!A:A,Groups!BI:BI)*_xlfn.XLOOKUP(B112,'Base stats'!B:B,'Base stats'!C:C)^0.165,0.01)</f>
        <v>0</v>
      </c>
      <c r="Z112" s="18">
        <f>ROUND(_xlfn.XLOOKUP(B112,'Base stats'!B:B,'Base stats'!AO:AO)*_xlfn.XLOOKUP(_xlfn.XLOOKUP(B112,'Base stats'!B:B,'Base stats'!E:E),Groups!A:A,Groups!H:H)/1000,2)</f>
        <v>0.06</v>
      </c>
      <c r="AA112" s="18">
        <f>ROUND((1/2)*(_xlfn.XLOOKUP(_xlfn.XLOOKUP(B112,'Base stats'!B:B,'Base stats'!E:E),Groups!A:A,Groups!H:H)*_xlfn.XLOOKUP(_xlfn.XLOOKUP(B112,'Base stats'!B:B,'Base stats'!E:E),Groups!A:A,Groups!I:I))*_xlfn.XLOOKUP(B112,'Base stats'!B:B,'Base stats'!AO:AO)*0.01,2)</f>
        <v>0.33</v>
      </c>
      <c r="AB112" s="18">
        <f>250*(Animals!AO112+Animals!AP112)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stats'!BQ:BQ) * (_xlfn.XLOOKUP(B113,'Base stats'!B:B,'Base stats'!AM:AM)*5%)^0.9 / 21,0.1),0.05)</f>
        <v>10.700000000000001</v>
      </c>
      <c r="E113" s="11">
        <f>MAX(0.01,MROUND(_xlfn.XLOOKUP(B113,'Base stats'!B:B,'Base stats'!BE:BE) * 0.01 * 2, 0.01))</f>
        <v>9.98</v>
      </c>
      <c r="F113" s="7">
        <f>MROUND(_xlfn.XLOOKUP(B113,'Base stats'!B:B,'Base stats'!BB:BB)^0.25 / (_xlfn.XLOOKUP(B113,'Base stats'!B:B,'Base stats'!BI:BI) * 10) * 150 + 0.5 + _xlfn.XLOOKUP(B113,'Base stats'!B:B,'Base stats'!BU:BU), 0.05)</f>
        <v>2.4500000000000002</v>
      </c>
      <c r="G113" s="3" t="str">
        <f>IF(Animals!S113="No","No",
IF(_xlfn.XLOOKUP(B113,'Base stats'!B:B,'Base stats'!U:U)="No",
MAX(MROUND(_xlfn.XLOOKUP(B113,'Base stats'!B:B,'Base stats'!BR:BR) * _xlfn.XLOOKUP(B113,'Base stats'!B:B,'Base stats'!BN:BN)^0.9 / 21 * _xlfn.XLOOKUP(B113,'Base stats'!B:B,'Base stats'!BV:BV),0.1),0.05),
MAX(MROUND(((MIN(10,_xlfn.XLOOKUP(B113,'Base stats'!B:B,'Base stats'!U:U)))^0.4*_xlfn.XLOOKUP(B113,'Base stats'!B:B,'Base stats'!BF:BF)^0.73)^0.6 * _xlfn.XLOOKUP(B113,'Base stats'!B:B,'Base stats'!BV:BV),0.1),0.05)
))</f>
        <v>No</v>
      </c>
      <c r="H113" s="11" t="str">
        <f>IF(G113="No","No",
MAX(0.01,MROUND(_xlfn.XLOOKUP(B113,'Base stats'!B:B,'Base stats'!BF:BF) * 0.01 * 2, 0.01))
)</f>
        <v>No</v>
      </c>
      <c r="I113" s="11" t="str">
        <f>IF(G113="No","No",IF(_xlfn.XLOOKUP(B113,'Base stats'!B:B,'Base stats'!U:U)="No","No",
MAX(0.01,MROUND(_xlfn.XLOOKUP(B113,'Base stats'!B:B,'Base stats'!BR:BR)/10000,0.01))
))</f>
        <v>No</v>
      </c>
      <c r="J113" s="4" t="str">
        <f>IF(G113="No","No",
MROUND(_xlfn.XLOOKUP(B113,'Base stats'!B:B,'Base stats'!BC:BC)^0.25
/((_xlfn.XLOOKUP(B113,'Base stats'!B:B,'Base stats'!BJ:BJ))*10)*_xlfn.XLOOKUP(_xlfn.XLOOKUP(B113,'Base stats'!B:B,'Base stats'!E:E),Groups!A:A,Groups!Q:Q)*150 + 0.5 + _xlfn.XLOOKUP(B113,'Base stats'!B:B,'Base stats'!BU:BU),
0.05))</f>
        <v>No</v>
      </c>
      <c r="K113" s="3" t="str">
        <f>IF(Animals!X113="No","No",
IF(_xlfn.XLOOKUP(_xlfn.XLOOKUP(B113,'Base stats'!B:B,'Base stats'!E:E),Groups!A:A,Groups!BD:BD)=1,
MAX(MROUND(_xlfn.XLOOKUP(B113,'Base stats'!B:B,'Base stats'!BS:BS) * _xlfn.XLOOKUP(B113,'Base stats'!B:B,'Base stats'!BO:BO)^0.9 / 21 *_xlfn.XLOOKUP(B113,'Base stats'!B:B,'Base stats'!BV:BV),0.1),0.05),
MAX(MROUND(((MIN(10,_xlfn.XLOOKUP(B113,'Base stats'!B:B,'Base stats'!W:W)))^0.4*_xlfn.XLOOKUP(B113,'Base stats'!B:B,'Base stats'!BG:BG)^0.73)^0.6 *_xlfn.XLOOKUP(B113,'Base stats'!B:B,'Base stats'!BV:BV),0.1),0.05)
))</f>
        <v>No</v>
      </c>
      <c r="L113" s="11" t="str">
        <f>IF(K113="No","No",
MAX(0.01,MROUND(_xlfn.XLOOKUP(B113,'Base stats'!B:B,'Base stats'!BG:BG) * 0.01 *2, 0.01))
)</f>
        <v>No</v>
      </c>
      <c r="M113" s="5" t="str">
        <f>IF(K113="No","No",IF(_xlfn.XLOOKUP(_xlfn.XLOOKUP(B113,'Base stats'!B:B,'Base stats'!E:E),Groups!A:A,Groups!BD:BD)=1,"No",
MAX(0.01,MROUND(_xlfn.XLOOKUP(B113,'Base stats'!B:B,'Base stats'!BS:BS)/10000,0.01))
))</f>
        <v>No</v>
      </c>
      <c r="N113" s="4" t="str">
        <f>IF(K113="No","No",
MROUND(
  _xlfn.XLOOKUP(B113,'Base stats'!B:B,'Base stats'!BA:BA)^0.25
  / (_xlfn.XLOOKUP(B113,'Base stats'!B:B,'Base stats'!BK:BK)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stats'!BU:BU),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stats'!BH:BH)^0.73)^0.6 *_xlfn.XLOOKUP(B113,'Base stats'!B:B,'Base stats'!BV:BV),0.1),0.05)
)</f>
        <v>33.9</v>
      </c>
      <c r="P113" s="11">
        <f>IF(O113="No","No",
MAX(0.01,MROUND(_xlfn.XLOOKUP(B113,'Base stats'!B:B,'Base stats'!BH:BH) * 0.01 * 2, 0.01))
)</f>
        <v>23.400000000000002</v>
      </c>
      <c r="Q113" s="5">
        <f>IF(O113="No","No",
MAX(0.01,MROUND(_xlfn.XLOOKUP(B113,'Base stats'!B:B,'Base stats'!BT:BT)/10000,0.01))
)</f>
        <v>0.36</v>
      </c>
      <c r="R113" s="4">
        <f>IF(O113="No","No",
MROUND(_xlfn.XLOOKUP(B113,'Base stats'!B:B,'Base stats'!AZ:AZ)^0.25
/((_xlfn.XLOOKUP(B113,'Base stats'!B:B,'Base stats'!BL:BL))*10)*_xlfn.XLOOKUP(_xlfn.XLOOKUP(B113,'Base stats'!B:B,'Base stats'!E:E),Groups!A:A,Groups!Z:Z)*150 + 0.5 + _xlfn.XLOOKUP(B113,'Base stats'!B:B,'Base stats'!BU:BU),
0.05))</f>
        <v>2.8000000000000003</v>
      </c>
      <c r="S113" s="3" t="str">
        <f>IF(Animals!AI113="No","No",
IF(_xlfn.XLOOKUP(B113,'Base stats'!B:B,'Base stats'!U:U)="No",
MAX(MROUND(_xlfn.XLOOKUP(B113,'Base stats'!B:B,'Base stats'!BR:BR) * _xlfn.XLOOKUP(B113,'Base stats'!B:B,'Base stats'!BN:BN)^0.9 / 21 * _xlfn.XLOOKUP(B113,'Base stats'!B:B,'Base stats'!BV:BV),0.1),0.05),
MAX(MROUND(((MIN(12,_xlfn.XLOOKUP(B113,'Base stats'!B:B,'Base stats'!U:U)))^0.4*_xlfn.XLOOKUP(B113,'Base stats'!B:B,'Base stats'!BF:BF)^0.73)^0.6 * _xlfn.XLOOKUP(B113,'Base stats'!B:B,'Base stats'!BV:BV),0.1),0.05)
))</f>
        <v>No</v>
      </c>
      <c r="T113" s="11" t="str">
        <f>IF(S113="No","No",
MAX(0.01,MROUND(_xlfn.XLOOKUP(B113,'Base stats'!B:B,'Base stats'!BF:BF) * 0.01 * 2, 0.01))
)</f>
        <v>No</v>
      </c>
      <c r="U113" s="5" t="str">
        <f>IF(S113="No","No",IF(_xlfn.XLOOKUP(B113,'Base stats'!B:B,'Base stats'!U:U)="No","No",
MAX(0.01,MROUND(_xlfn.XLOOKUP(B113,'Base stats'!B:B,'Base stats'!BR:BR)/10000,0.01))
))</f>
        <v>No</v>
      </c>
      <c r="V113" s="4" t="str">
        <f>IF(S113="No","No",
MROUND(_xlfn.XLOOKUP(B113,'Base stats'!B:B,'Base stats'!BD:BD)^0.25
/((_xlfn.XLOOKUP(B113,'Base stats'!B:B,'Base stats'!BM:BM))*10)*_xlfn.XLOOKUP(_xlfn.XLOOKUP(B113,'Base stats'!B:B,'Base stats'!E:E),Groups!A:A,Groups!AE:AE)*150 + 0.5 + _xlfn.XLOOKUP(B113,'Base stats'!B:B,'Base stats'!BU:BU),
0.05))</f>
        <v>No</v>
      </c>
      <c r="W113" s="8">
        <f>MROUND(_xlfn.XLOOKUP(_xlfn.XLOOKUP(B113,'Base stats'!B:B,'Base stats'!E:E),Groups!A:A,Groups!BG:BG)*_xlfn.XLOOKUP(B113,'Base stats'!B:B,'Base stats'!C:C)^-0.165,0.01)</f>
        <v>0.09</v>
      </c>
      <c r="X113" s="1">
        <f>MROUND(_xlfn.XLOOKUP(_xlfn.XLOOKUP(B113,'Base stats'!B:B,'Base stats'!E:E),Groups!A:A,Groups!BH:BH)*_xlfn.XLOOKUP(B113,'Base stats'!B:B,'Base stats'!C:C)^0.165,0.01)</f>
        <v>0.27</v>
      </c>
      <c r="Y113" s="8">
        <f>MROUND(_xlfn.XLOOKUP(_xlfn.XLOOKUP(B113,'Base stats'!B:B,'Base stats'!E:E),Groups!A:A,Groups!BI:BI)*_xlfn.XLOOKUP(B113,'Base stats'!B:B,'Base stats'!C:C)^0.165,0.01)</f>
        <v>7.0000000000000007E-2</v>
      </c>
      <c r="Z113" s="18">
        <f>ROUND(_xlfn.XLOOKUP(B113,'Base stats'!B:B,'Base stats'!AO:AO)*_xlfn.XLOOKUP(_xlfn.XLOOKUP(B113,'Base stats'!B:B,'Base stats'!E:E),Groups!A:A,Groups!H:H)/1000,2)</f>
        <v>0.45</v>
      </c>
      <c r="AA113" s="18">
        <f>ROUND((1/2)*(_xlfn.XLOOKUP(_xlfn.XLOOKUP(B113,'Base stats'!B:B,'Base stats'!E:E),Groups!A:A,Groups!H:H)*_xlfn.XLOOKUP(_xlfn.XLOOKUP(B113,'Base stats'!B:B,'Base stats'!E:E),Groups!A:A,Groups!I:I))*_xlfn.XLOOKUP(B113,'Base stats'!B:B,'Base stats'!AO:AO)*0.01,2)</f>
        <v>0.51</v>
      </c>
      <c r="AB113" s="18">
        <f>250*(Animals!AO113+Animals!AP113)</f>
        <v>1512.5000000000002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stats'!BQ:BQ) * (_xlfn.XLOOKUP(B114,'Base stats'!B:B,'Base stats'!AM:AM)*5%)^0.9 / 21,0.1),0.05)</f>
        <v>1.8</v>
      </c>
      <c r="E114" s="11">
        <f>MAX(0.01,MROUND(_xlfn.XLOOKUP(B114,'Base stats'!B:B,'Base stats'!BE:BE) * 0.01 * 2, 0.01))</f>
        <v>1.46</v>
      </c>
      <c r="F114" s="7">
        <f>MROUND(_xlfn.XLOOKUP(B114,'Base stats'!B:B,'Base stats'!BB:BB)^0.25 / (_xlfn.XLOOKUP(B114,'Base stats'!B:B,'Base stats'!BI:BI) * 10) * 150 + 0.5 + _xlfn.XLOOKUP(B114,'Base stats'!B:B,'Base stats'!BU:BU), 0.05)</f>
        <v>1.9000000000000001</v>
      </c>
      <c r="G114" s="3" t="str">
        <f>IF(Animals!S114="No","No",
IF(_xlfn.XLOOKUP(B114,'Base stats'!B:B,'Base stats'!U:U)="No",
MAX(MROUND(_xlfn.XLOOKUP(B114,'Base stats'!B:B,'Base stats'!BR:BR) * _xlfn.XLOOKUP(B114,'Base stats'!B:B,'Base stats'!BN:BN)^0.9 / 21 * _xlfn.XLOOKUP(B114,'Base stats'!B:B,'Base stats'!BV:BV),0.1),0.05),
MAX(MROUND(((MIN(10,_xlfn.XLOOKUP(B114,'Base stats'!B:B,'Base stats'!U:U)))^0.4*_xlfn.XLOOKUP(B114,'Base stats'!B:B,'Base stats'!BF:BF)^0.73)^0.6 * _xlfn.XLOOKUP(B114,'Base stats'!B:B,'Base stats'!BV:BV),0.1),0.05)
))</f>
        <v>No</v>
      </c>
      <c r="H114" s="11" t="str">
        <f>IF(G114="No","No",
MAX(0.01,MROUND(_xlfn.XLOOKUP(B114,'Base stats'!B:B,'Base stats'!BF:BF) * 0.01 * 2, 0.01))
)</f>
        <v>No</v>
      </c>
      <c r="I114" s="11" t="str">
        <f>IF(G114="No","No",IF(_xlfn.XLOOKUP(B114,'Base stats'!B:B,'Base stats'!U:U)="No","No",
MAX(0.01,MROUND(_xlfn.XLOOKUP(B114,'Base stats'!B:B,'Base stats'!BR:BR)/10000,0.01))
))</f>
        <v>No</v>
      </c>
      <c r="J114" s="4" t="str">
        <f>IF(G114="No","No",
MROUND(_xlfn.XLOOKUP(B114,'Base stats'!B:B,'Base stats'!BC:BC)^0.25
/((_xlfn.XLOOKUP(B114,'Base stats'!B:B,'Base stats'!BJ:BJ))*10)*_xlfn.XLOOKUP(_xlfn.XLOOKUP(B114,'Base stats'!B:B,'Base stats'!E:E),Groups!A:A,Groups!Q:Q)*150 + 0.5 + _xlfn.XLOOKUP(B114,'Base stats'!B:B,'Base stats'!BU:BU),
0.05))</f>
        <v>No</v>
      </c>
      <c r="K114" s="3" t="str">
        <f>IF(Animals!X114="No","No",
IF(_xlfn.XLOOKUP(_xlfn.XLOOKUP(B114,'Base stats'!B:B,'Base stats'!E:E),Groups!A:A,Groups!BD:BD)=1,
MAX(MROUND(_xlfn.XLOOKUP(B114,'Base stats'!B:B,'Base stats'!BS:BS) * _xlfn.XLOOKUP(B114,'Base stats'!B:B,'Base stats'!BO:BO)^0.9 / 21 *_xlfn.XLOOKUP(B114,'Base stats'!B:B,'Base stats'!BV:BV),0.1),0.05),
MAX(MROUND(((MIN(10,_xlfn.XLOOKUP(B114,'Base stats'!B:B,'Base stats'!W:W)))^0.4*_xlfn.XLOOKUP(B114,'Base stats'!B:B,'Base stats'!BG:BG)^0.73)^0.6 *_xlfn.XLOOKUP(B114,'Base stats'!B:B,'Base stats'!BV:BV),0.1),0.05)
))</f>
        <v>No</v>
      </c>
      <c r="L114" s="11" t="str">
        <f>IF(K114="No","No",
MAX(0.01,MROUND(_xlfn.XLOOKUP(B114,'Base stats'!B:B,'Base stats'!BG:BG) * 0.01 *2, 0.01))
)</f>
        <v>No</v>
      </c>
      <c r="M114" s="5" t="str">
        <f>IF(K114="No","No",IF(_xlfn.XLOOKUP(_xlfn.XLOOKUP(B114,'Base stats'!B:B,'Base stats'!E:E),Groups!A:A,Groups!BD:BD)=1,"No",
MAX(0.01,MROUND(_xlfn.XLOOKUP(B114,'Base stats'!B:B,'Base stats'!BS:BS)/10000,0.01))
))</f>
        <v>No</v>
      </c>
      <c r="N114" s="4" t="str">
        <f>IF(K114="No","No",
MROUND(
  _xlfn.XLOOKUP(B114,'Base stats'!B:B,'Base stats'!BA:BA)^0.25
  / (_xlfn.XLOOKUP(B114,'Base stats'!B:B,'Base stats'!BK:BK)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stats'!BU:BU),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stats'!BH:BH)^0.73)^0.6 *_xlfn.XLOOKUP(B114,'Base stats'!B:B,'Base stats'!BV:BV),0.1),0.05)
)</f>
        <v>11.5</v>
      </c>
      <c r="P114" s="11">
        <f>IF(O114="No","No",
MAX(0.01,MROUND(_xlfn.XLOOKUP(B114,'Base stats'!B:B,'Base stats'!BH:BH) * 0.01 * 2, 0.01))
)</f>
        <v>2.4700000000000002</v>
      </c>
      <c r="Q114" s="5">
        <f>IF(O114="No","No",
MAX(0.01,MROUND(_xlfn.XLOOKUP(B114,'Base stats'!B:B,'Base stats'!BT:BT)/10000,0.01))
)</f>
        <v>0.17</v>
      </c>
      <c r="R114" s="4">
        <f>IF(O114="No","No",
MROUND(_xlfn.XLOOKUP(B114,'Base stats'!B:B,'Base stats'!AZ:AZ)^0.25
/((_xlfn.XLOOKUP(B114,'Base stats'!B:B,'Base stats'!BL:BL))*10)*_xlfn.XLOOKUP(_xlfn.XLOOKUP(B114,'Base stats'!B:B,'Base stats'!E:E),Groups!A:A,Groups!Z:Z)*150 + 0.5 + _xlfn.XLOOKUP(B114,'Base stats'!B:B,'Base stats'!BU:BU),
0.05))</f>
        <v>1.8</v>
      </c>
      <c r="S114" s="3">
        <f>IF(Animals!AI114="No","No",
IF(_xlfn.XLOOKUP(B114,'Base stats'!B:B,'Base stats'!U:U)="No",
MAX(MROUND(_xlfn.XLOOKUP(B114,'Base stats'!B:B,'Base stats'!BR:BR) * _xlfn.XLOOKUP(B114,'Base stats'!B:B,'Base stats'!BN:BN)^0.9 / 21 * _xlfn.XLOOKUP(B114,'Base stats'!B:B,'Base stats'!BV:BV),0.1),0.05),
MAX(MROUND(((MIN(12,_xlfn.XLOOKUP(B114,'Base stats'!B:B,'Base stats'!U:U)))^0.4*_xlfn.XLOOKUP(B114,'Base stats'!B:B,'Base stats'!BF:BF)^0.73)^0.6 * _xlfn.XLOOKUP(B114,'Base stats'!B:B,'Base stats'!BV:BV),0.1),0.05)
))</f>
        <v>9.2000000000000011</v>
      </c>
      <c r="T114" s="11">
        <f>IF(S114="No","No",
MAX(0.01,MROUND(_xlfn.XLOOKUP(B114,'Base stats'!B:B,'Base stats'!BF:BF) * 0.01 * 2, 0.01))
)</f>
        <v>1.9100000000000001</v>
      </c>
      <c r="U114" s="5">
        <f>IF(S114="No","No",IF(_xlfn.XLOOKUP(B114,'Base stats'!B:B,'Base stats'!U:U)="No","No",
MAX(0.01,MROUND(_xlfn.XLOOKUP(B114,'Base stats'!B:B,'Base stats'!BR:BR)/10000,0.01))
))</f>
        <v>0.13</v>
      </c>
      <c r="V114" s="4">
        <f>IF(S114="No","No",
MROUND(_xlfn.XLOOKUP(B114,'Base stats'!B:B,'Base stats'!BD:BD)^0.25
/((_xlfn.XLOOKUP(B114,'Base stats'!B:B,'Base stats'!BM:BM))*10)*_xlfn.XLOOKUP(_xlfn.XLOOKUP(B114,'Base stats'!B:B,'Base stats'!E:E),Groups!A:A,Groups!AE:AE)*150 + 0.5 + _xlfn.XLOOKUP(B114,'Base stats'!B:B,'Base stats'!BU:BU),
0.05))</f>
        <v>1.35</v>
      </c>
      <c r="W114" s="8">
        <f>MROUND(_xlfn.XLOOKUP(_xlfn.XLOOKUP(B114,'Base stats'!B:B,'Base stats'!E:E),Groups!A:A,Groups!BG:BG)*_xlfn.XLOOKUP(B114,'Base stats'!B:B,'Base stats'!C:C)^-0.165,0.01)</f>
        <v>0.65</v>
      </c>
      <c r="X114" s="1">
        <f>MROUND(_xlfn.XLOOKUP(_xlfn.XLOOKUP(B114,'Base stats'!B:B,'Base stats'!E:E),Groups!A:A,Groups!BH:BH)*_xlfn.XLOOKUP(B114,'Base stats'!B:B,'Base stats'!C:C)^0.165,0.01)</f>
        <v>0.48</v>
      </c>
      <c r="Y114" s="8">
        <f>MROUND(_xlfn.XLOOKUP(_xlfn.XLOOKUP(B114,'Base stats'!B:B,'Base stats'!E:E),Groups!A:A,Groups!BI:BI)*_xlfn.XLOOKUP(B114,'Base stats'!B:B,'Base stats'!C:C)^0.165,0.01)</f>
        <v>0.05</v>
      </c>
      <c r="Z114" s="18">
        <f>ROUND(_xlfn.XLOOKUP(B114,'Base stats'!B:B,'Base stats'!AO:AO)*_xlfn.XLOOKUP(_xlfn.XLOOKUP(B114,'Base stats'!B:B,'Base stats'!E:E),Groups!A:A,Groups!H:H)/1000,2)</f>
        <v>0.09</v>
      </c>
      <c r="AA114" s="18">
        <f>ROUND((1/2)*(_xlfn.XLOOKUP(_xlfn.XLOOKUP(B114,'Base stats'!B:B,'Base stats'!E:E),Groups!A:A,Groups!H:H)*_xlfn.XLOOKUP(_xlfn.XLOOKUP(B114,'Base stats'!B:B,'Base stats'!E:E),Groups!A:A,Groups!I:I))*_xlfn.XLOOKUP(B114,'Base stats'!B:B,'Base stats'!AO:AO)*0.01,2)</f>
        <v>0.67</v>
      </c>
      <c r="AB114" s="18">
        <f>250*(Animals!AO114+Animals!AP114)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stats'!BQ:BQ) * (_xlfn.XLOOKUP(B115,'Base stats'!B:B,'Base stats'!AM:AM)*5%)^0.9 / 21,0.1),0.05)</f>
        <v>1</v>
      </c>
      <c r="E115" s="11">
        <f>MAX(0.01,MROUND(_xlfn.XLOOKUP(B115,'Base stats'!B:B,'Base stats'!BE:BE) * 0.01 * 2, 0.01))</f>
        <v>0.75</v>
      </c>
      <c r="F115" s="7">
        <f>MROUND(_xlfn.XLOOKUP(B115,'Base stats'!B:B,'Base stats'!BB:BB)^0.25 / (_xlfn.XLOOKUP(B115,'Base stats'!B:B,'Base stats'!BI:BI) * 10) * 150 + 0.5 + _xlfn.XLOOKUP(B115,'Base stats'!B:B,'Base stats'!BU:BU), 0.05)</f>
        <v>1.5</v>
      </c>
      <c r="G115" s="3" t="str">
        <f>IF(Animals!S115="No","No",
IF(_xlfn.XLOOKUP(B115,'Base stats'!B:B,'Base stats'!U:U)="No",
MAX(MROUND(_xlfn.XLOOKUP(B115,'Base stats'!B:B,'Base stats'!BR:BR) * _xlfn.XLOOKUP(B115,'Base stats'!B:B,'Base stats'!BN:BN)^0.9 / 21 * _xlfn.XLOOKUP(B115,'Base stats'!B:B,'Base stats'!BV:BV),0.1),0.05),
MAX(MROUND(((MIN(10,_xlfn.XLOOKUP(B115,'Base stats'!B:B,'Base stats'!U:U)))^0.4*_xlfn.XLOOKUP(B115,'Base stats'!B:B,'Base stats'!BF:BF)^0.73)^0.6 * _xlfn.XLOOKUP(B115,'Base stats'!B:B,'Base stats'!BV:BV),0.1),0.05)
))</f>
        <v>No</v>
      </c>
      <c r="H115" s="11" t="str">
        <f>IF(G115="No","No",
MAX(0.01,MROUND(_xlfn.XLOOKUP(B115,'Base stats'!B:B,'Base stats'!BF:BF) * 0.01 * 2, 0.01))
)</f>
        <v>No</v>
      </c>
      <c r="I115" s="11" t="str">
        <f>IF(G115="No","No",IF(_xlfn.XLOOKUP(B115,'Base stats'!B:B,'Base stats'!U:U)="No","No",
MAX(0.01,MROUND(_xlfn.XLOOKUP(B115,'Base stats'!B:B,'Base stats'!BR:BR)/10000,0.01))
))</f>
        <v>No</v>
      </c>
      <c r="J115" s="4" t="str">
        <f>IF(G115="No","No",
MROUND(_xlfn.XLOOKUP(B115,'Base stats'!B:B,'Base stats'!BC:BC)^0.25
/((_xlfn.XLOOKUP(B115,'Base stats'!B:B,'Base stats'!BJ:BJ))*10)*_xlfn.XLOOKUP(_xlfn.XLOOKUP(B115,'Base stats'!B:B,'Base stats'!E:E),Groups!A:A,Groups!Q:Q)*150 + 0.5 + _xlfn.XLOOKUP(B115,'Base stats'!B:B,'Base stats'!BU:BU),
0.05))</f>
        <v>No</v>
      </c>
      <c r="K115" s="3" t="str">
        <f>IF(Animals!X115="No","No",
IF(_xlfn.XLOOKUP(_xlfn.XLOOKUP(B115,'Base stats'!B:B,'Base stats'!E:E),Groups!A:A,Groups!BD:BD)=1,
MAX(MROUND(_xlfn.XLOOKUP(B115,'Base stats'!B:B,'Base stats'!BS:BS) * _xlfn.XLOOKUP(B115,'Base stats'!B:B,'Base stats'!BO:BO)^0.9 / 21 *_xlfn.XLOOKUP(B115,'Base stats'!B:B,'Base stats'!BV:BV),0.1),0.05),
MAX(MROUND(((MIN(10,_xlfn.XLOOKUP(B115,'Base stats'!B:B,'Base stats'!W:W)))^0.4*_xlfn.XLOOKUP(B115,'Base stats'!B:B,'Base stats'!BG:BG)^0.73)^0.6 *_xlfn.XLOOKUP(B115,'Base stats'!B:B,'Base stats'!BV:BV),0.1),0.05)
))</f>
        <v>No</v>
      </c>
      <c r="L115" s="11" t="str">
        <f>IF(K115="No","No",
MAX(0.01,MROUND(_xlfn.XLOOKUP(B115,'Base stats'!B:B,'Base stats'!BG:BG) * 0.01 *2, 0.01))
)</f>
        <v>No</v>
      </c>
      <c r="M115" s="5" t="str">
        <f>IF(K115="No","No",IF(_xlfn.XLOOKUP(_xlfn.XLOOKUP(B115,'Base stats'!B:B,'Base stats'!E:E),Groups!A:A,Groups!BD:BD)=1,"No",
MAX(0.01,MROUND(_xlfn.XLOOKUP(B115,'Base stats'!B:B,'Base stats'!BS:BS)/10000,0.01))
))</f>
        <v>No</v>
      </c>
      <c r="N115" s="4" t="str">
        <f>IF(K115="No","No",
MROUND(
  _xlfn.XLOOKUP(B115,'Base stats'!B:B,'Base stats'!BA:BA)^0.25
  / (_xlfn.XLOOKUP(B115,'Base stats'!B:B,'Base stats'!BK:BK)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stats'!BU:BU),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stats'!BH:BH)^0.73)^0.6 *_xlfn.XLOOKUP(B115,'Base stats'!B:B,'Base stats'!BV:BV),0.1),0.05)
)</f>
        <v>5.2</v>
      </c>
      <c r="P115" s="11">
        <f>IF(O115="No","No",
MAX(0.01,MROUND(_xlfn.XLOOKUP(B115,'Base stats'!B:B,'Base stats'!BH:BH) * 0.01 * 2, 0.01))
)</f>
        <v>0.57999999999999996</v>
      </c>
      <c r="Q115" s="5">
        <f>IF(O115="No","No",
MAX(0.01,MROUND(_xlfn.XLOOKUP(B115,'Base stats'!B:B,'Base stats'!BT:BT)/10000,0.01))
)</f>
        <v>0.05</v>
      </c>
      <c r="R115" s="4">
        <f>IF(O115="No","No",
MROUND(_xlfn.XLOOKUP(B115,'Base stats'!B:B,'Base stats'!AZ:AZ)^0.25
/((_xlfn.XLOOKUP(B115,'Base stats'!B:B,'Base stats'!BL:BL))*10)*_xlfn.XLOOKUP(_xlfn.XLOOKUP(B115,'Base stats'!B:B,'Base stats'!E:E),Groups!A:A,Groups!Z:Z)*150 + 0.5 + _xlfn.XLOOKUP(B115,'Base stats'!B:B,'Base stats'!BU:BU),
0.05))</f>
        <v>2.15</v>
      </c>
      <c r="S115" s="3">
        <f>IF(Animals!AI115="No","No",
IF(_xlfn.XLOOKUP(B115,'Base stats'!B:B,'Base stats'!U:U)="No",
MAX(MROUND(_xlfn.XLOOKUP(B115,'Base stats'!B:B,'Base stats'!BR:BR) * _xlfn.XLOOKUP(B115,'Base stats'!B:B,'Base stats'!BN:BN)^0.9 / 21 * _xlfn.XLOOKUP(B115,'Base stats'!B:B,'Base stats'!BV:BV),0.1),0.05),
MAX(MROUND(((MIN(12,_xlfn.XLOOKUP(B115,'Base stats'!B:B,'Base stats'!U:U)))^0.4*_xlfn.XLOOKUP(B115,'Base stats'!B:B,'Base stats'!BF:BF)^0.73)^0.6 * _xlfn.XLOOKUP(B115,'Base stats'!B:B,'Base stats'!BV:BV),0.1),0.05)
))</f>
        <v>7.3000000000000007</v>
      </c>
      <c r="T115" s="11">
        <f>IF(S115="No","No",
MAX(0.01,MROUND(_xlfn.XLOOKUP(B115,'Base stats'!B:B,'Base stats'!BF:BF) * 0.01 * 2, 0.01))
)</f>
        <v>1.01</v>
      </c>
      <c r="U115" s="5">
        <f>IF(S115="No","No",IF(_xlfn.XLOOKUP(B115,'Base stats'!B:B,'Base stats'!U:U)="No","No",
MAX(0.01,MROUND(_xlfn.XLOOKUP(B115,'Base stats'!B:B,'Base stats'!BR:BR)/10000,0.01))
))</f>
        <v>0.09</v>
      </c>
      <c r="V115" s="4">
        <f>IF(S115="No","No",
MROUND(_xlfn.XLOOKUP(B115,'Base stats'!B:B,'Base stats'!BD:BD)^0.25
/((_xlfn.XLOOKUP(B115,'Base stats'!B:B,'Base stats'!BM:BM))*10)*_xlfn.XLOOKUP(_xlfn.XLOOKUP(B115,'Base stats'!B:B,'Base stats'!E:E),Groups!A:A,Groups!AE:AE)*150 + 0.5 + _xlfn.XLOOKUP(B115,'Base stats'!B:B,'Base stats'!BU:BU),
0.05))</f>
        <v>1.3</v>
      </c>
      <c r="W115" s="8">
        <f>MROUND(_xlfn.XLOOKUP(_xlfn.XLOOKUP(B115,'Base stats'!B:B,'Base stats'!E:E),Groups!A:A,Groups!BG:BG)*_xlfn.XLOOKUP(B115,'Base stats'!B:B,'Base stats'!C:C)^-0.165,0.01)</f>
        <v>0.28999999999999998</v>
      </c>
      <c r="X115" s="1">
        <f>MROUND(_xlfn.XLOOKUP(_xlfn.XLOOKUP(B115,'Base stats'!B:B,'Base stats'!E:E),Groups!A:A,Groups!BH:BH)*_xlfn.XLOOKUP(B115,'Base stats'!B:B,'Base stats'!C:C)^0.165,0.01)</f>
        <v>0</v>
      </c>
      <c r="Y115" s="8">
        <f>MROUND(_xlfn.XLOOKUP(_xlfn.XLOOKUP(B115,'Base stats'!B:B,'Base stats'!E:E),Groups!A:A,Groups!BI:BI)*_xlfn.XLOOKUP(B115,'Base stats'!B:B,'Base stats'!C:C)^0.165,0.01)</f>
        <v>0</v>
      </c>
      <c r="Z115" s="18">
        <f>ROUND(_xlfn.XLOOKUP(B115,'Base stats'!B:B,'Base stats'!AO:AO)*_xlfn.XLOOKUP(_xlfn.XLOOKUP(B115,'Base stats'!B:B,'Base stats'!E:E),Groups!A:A,Groups!H:H)/1000,2)</f>
        <v>0.03</v>
      </c>
      <c r="AA115" s="18">
        <f>ROUND((1/2)*(_xlfn.XLOOKUP(_xlfn.XLOOKUP(B115,'Base stats'!B:B,'Base stats'!E:E),Groups!A:A,Groups!H:H)*_xlfn.XLOOKUP(_xlfn.XLOOKUP(B115,'Base stats'!B:B,'Base stats'!E:E),Groups!A:A,Groups!I:I))*_xlfn.XLOOKUP(B115,'Base stats'!B:B,'Base stats'!AO:AO)*0.01,2)</f>
        <v>0.17</v>
      </c>
      <c r="AB115" s="18">
        <f>250*(Animals!AO115+Animals!AP115)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stats'!BQ:BQ) * (_xlfn.XLOOKUP(B116,'Base stats'!B:B,'Base stats'!AM:AM)*5%)^0.9 / 21,0.1),0.05)</f>
        <v>1.8</v>
      </c>
      <c r="E116" s="11">
        <f>MAX(0.01,MROUND(_xlfn.XLOOKUP(B116,'Base stats'!B:B,'Base stats'!BE:BE) * 0.01 * 2, 0.01))</f>
        <v>1.5</v>
      </c>
      <c r="F116" s="7">
        <f>MROUND(_xlfn.XLOOKUP(B116,'Base stats'!B:B,'Base stats'!BB:BB)^0.25 / (_xlfn.XLOOKUP(B116,'Base stats'!B:B,'Base stats'!BI:BI) * 10) * 150 + 0.5 + _xlfn.XLOOKUP(B116,'Base stats'!B:B,'Base stats'!BU:BU), 0.05)</f>
        <v>1.6</v>
      </c>
      <c r="G116" s="3">
        <f>IF(Animals!S116="No","No",
IF(_xlfn.XLOOKUP(B116,'Base stats'!B:B,'Base stats'!U:U)="No",
MAX(MROUND(_xlfn.XLOOKUP(B116,'Base stats'!B:B,'Base stats'!BR:BR) * _xlfn.XLOOKUP(B116,'Base stats'!B:B,'Base stats'!BN:BN)^0.9 / 21 * _xlfn.XLOOKUP(B116,'Base stats'!B:B,'Base stats'!BV:BV),0.1),0.05),
MAX(MROUND(((MIN(10,_xlfn.XLOOKUP(B116,'Base stats'!B:B,'Base stats'!U:U)))^0.4*_xlfn.XLOOKUP(B116,'Base stats'!B:B,'Base stats'!BF:BF)^0.73)^0.6 * _xlfn.XLOOKUP(B116,'Base stats'!B:B,'Base stats'!BV:BV),0.1),0.05)
))</f>
        <v>10.9</v>
      </c>
      <c r="H116" s="11">
        <f>IF(G116="No","No",
MAX(0.01,MROUND(_xlfn.XLOOKUP(B116,'Base stats'!B:B,'Base stats'!BF:BF) * 0.01 * 2, 0.01))
)</f>
        <v>1.95</v>
      </c>
      <c r="I116" s="11">
        <f>IF(G116="No","No",IF(_xlfn.XLOOKUP(B116,'Base stats'!B:B,'Base stats'!U:U)="No","No",
MAX(0.01,MROUND(_xlfn.XLOOKUP(B116,'Base stats'!B:B,'Base stats'!BR:BR)/10000,0.01))
))</f>
        <v>0.13</v>
      </c>
      <c r="J116" s="4">
        <f>IF(G116="No","No",
MROUND(_xlfn.XLOOKUP(B116,'Base stats'!B:B,'Base stats'!BC:BC)^0.25
/((_xlfn.XLOOKUP(B116,'Base stats'!B:B,'Base stats'!BJ:BJ))*10)*_xlfn.XLOOKUP(_xlfn.XLOOKUP(B116,'Base stats'!B:B,'Base stats'!E:E),Groups!A:A,Groups!Q:Q)*150 + 0.5 + _xlfn.XLOOKUP(B116,'Base stats'!B:B,'Base stats'!BU:BU),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stats'!BS:BS) * _xlfn.XLOOKUP(B116,'Base stats'!B:B,'Base stats'!BO:BO)^0.9 / 21 *_xlfn.XLOOKUP(B116,'Base stats'!B:B,'Base stats'!BV:BV),0.1),0.05),
MAX(MROUND(((MIN(10,_xlfn.XLOOKUP(B116,'Base stats'!B:B,'Base stats'!W:W)))^0.4*_xlfn.XLOOKUP(B116,'Base stats'!B:B,'Base stats'!BG:BG)^0.73)^0.6 *_xlfn.XLOOKUP(B116,'Base stats'!B:B,'Base stats'!BV:BV),0.1),0.05)
))</f>
        <v>No</v>
      </c>
      <c r="L116" s="11" t="str">
        <f>IF(K116="No","No",
MAX(0.01,MROUND(_xlfn.XLOOKUP(B116,'Base stats'!B:B,'Base stats'!BG:BG) * 0.01 *2, 0.01))
)</f>
        <v>No</v>
      </c>
      <c r="M116" s="5" t="str">
        <f>IF(K116="No","No",IF(_xlfn.XLOOKUP(_xlfn.XLOOKUP(B116,'Base stats'!B:B,'Base stats'!E:E),Groups!A:A,Groups!BD:BD)=1,"No",
MAX(0.01,MROUND(_xlfn.XLOOKUP(B116,'Base stats'!B:B,'Base stats'!BS:BS)/10000,0.01))
))</f>
        <v>No</v>
      </c>
      <c r="N116" s="4" t="str">
        <f>IF(K116="No","No",
MROUND(
  _xlfn.XLOOKUP(B116,'Base stats'!B:B,'Base stats'!BA:BA)^0.25
  / (_xlfn.XLOOKUP(B116,'Base stats'!B:B,'Base stats'!BK:BK)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stats'!BU:BU),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stats'!BH:BH)^0.73)^0.6 *_xlfn.XLOOKUP(B116,'Base stats'!B:B,'Base stats'!BV:BV),0.1),0.05)
)</f>
        <v>No</v>
      </c>
      <c r="P116" s="11" t="str">
        <f>IF(O116="No","No",
MAX(0.01,MROUND(_xlfn.XLOOKUP(B116,'Base stats'!B:B,'Base stats'!BH:BH) * 0.01 * 2, 0.01))
)</f>
        <v>No</v>
      </c>
      <c r="Q116" s="5" t="str">
        <f>IF(O116="No","No",
MAX(0.01,MROUND(_xlfn.XLOOKUP(B116,'Base stats'!B:B,'Base stats'!BT:BT)/10000,0.01))
)</f>
        <v>No</v>
      </c>
      <c r="R116" s="4" t="str">
        <f>IF(O116="No","No",
MROUND(_xlfn.XLOOKUP(B116,'Base stats'!B:B,'Base stats'!AZ:AZ)^0.25
/((_xlfn.XLOOKUP(B116,'Base stats'!B:B,'Base stats'!BL:BL))*10)*_xlfn.XLOOKUP(_xlfn.XLOOKUP(B116,'Base stats'!B:B,'Base stats'!E:E),Groups!A:A,Groups!Z:Z)*150 + 0.5 + _xlfn.XLOOKUP(B116,'Base stats'!B:B,'Base stats'!BU:BU),
0.05))</f>
        <v>No</v>
      </c>
      <c r="S116" s="3">
        <f>IF(Animals!AI116="No","No",
IF(_xlfn.XLOOKUP(B116,'Base stats'!B:B,'Base stats'!U:U)="No",
MAX(MROUND(_xlfn.XLOOKUP(B116,'Base stats'!B:B,'Base stats'!BR:BR) * _xlfn.XLOOKUP(B116,'Base stats'!B:B,'Base stats'!BN:BN)^0.9 / 21 * _xlfn.XLOOKUP(B116,'Base stats'!B:B,'Base stats'!BV:BV),0.1),0.05),
MAX(MROUND(((MIN(12,_xlfn.XLOOKUP(B116,'Base stats'!B:B,'Base stats'!U:U)))^0.4*_xlfn.XLOOKUP(B116,'Base stats'!B:B,'Base stats'!BF:BF)^0.73)^0.6 * _xlfn.XLOOKUP(B116,'Base stats'!B:B,'Base stats'!BV:BV),0.1),0.05)
))</f>
        <v>10.9</v>
      </c>
      <c r="T116" s="11">
        <f>IF(S116="No","No",
MAX(0.01,MROUND(_xlfn.XLOOKUP(B116,'Base stats'!B:B,'Base stats'!BF:BF) * 0.01 * 2, 0.01))
)</f>
        <v>1.95</v>
      </c>
      <c r="U116" s="5">
        <f>IF(S116="No","No",IF(_xlfn.XLOOKUP(B116,'Base stats'!B:B,'Base stats'!U:U)="No","No",
MAX(0.01,MROUND(_xlfn.XLOOKUP(B116,'Base stats'!B:B,'Base stats'!BR:BR)/10000,0.01))
))</f>
        <v>0.13</v>
      </c>
      <c r="V116" s="4">
        <f>IF(S116="No","No",
MROUND(_xlfn.XLOOKUP(B116,'Base stats'!B:B,'Base stats'!BD:BD)^0.25
/((_xlfn.XLOOKUP(B116,'Base stats'!B:B,'Base stats'!BM:BM))*10)*_xlfn.XLOOKUP(_xlfn.XLOOKUP(B116,'Base stats'!B:B,'Base stats'!E:E),Groups!A:A,Groups!AE:AE)*150 + 0.5 + _xlfn.XLOOKUP(B116,'Base stats'!B:B,'Base stats'!BU:BU),
0.05))</f>
        <v>1.4500000000000002</v>
      </c>
      <c r="W116" s="8">
        <f>MROUND(_xlfn.XLOOKUP(_xlfn.XLOOKUP(B116,'Base stats'!B:B,'Base stats'!E:E),Groups!A:A,Groups!BG:BG)*_xlfn.XLOOKUP(B116,'Base stats'!B:B,'Base stats'!C:C)^-0.165,0.01)</f>
        <v>0.36</v>
      </c>
      <c r="X116" s="1">
        <f>MROUND(_xlfn.XLOOKUP(_xlfn.XLOOKUP(B116,'Base stats'!B:B,'Base stats'!E:E),Groups!A:A,Groups!BH:BH)*_xlfn.XLOOKUP(B116,'Base stats'!B:B,'Base stats'!C:C)^0.165,0.01)</f>
        <v>0</v>
      </c>
      <c r="Y116" s="8">
        <f>MROUND(_xlfn.XLOOKUP(_xlfn.XLOOKUP(B116,'Base stats'!B:B,'Base stats'!E:E),Groups!A:A,Groups!BI:BI)*_xlfn.XLOOKUP(B116,'Base stats'!B:B,'Base stats'!C:C)^0.165,0.01)</f>
        <v>0</v>
      </c>
      <c r="Z116" s="18">
        <f>ROUND(_xlfn.XLOOKUP(B116,'Base stats'!B:B,'Base stats'!AO:AO)*_xlfn.XLOOKUP(_xlfn.XLOOKUP(B116,'Base stats'!B:B,'Base stats'!E:E),Groups!A:A,Groups!H:H)/1000,2)</f>
        <v>0.04</v>
      </c>
      <c r="AA116" s="18">
        <f>ROUND((1/2)*(_xlfn.XLOOKUP(_xlfn.XLOOKUP(B116,'Base stats'!B:B,'Base stats'!E:E),Groups!A:A,Groups!H:H)*_xlfn.XLOOKUP(_xlfn.XLOOKUP(B116,'Base stats'!B:B,'Base stats'!E:E),Groups!A:A,Groups!I:I))*_xlfn.XLOOKUP(B116,'Base stats'!B:B,'Base stats'!AO:AO)*0.01,2)</f>
        <v>0.22</v>
      </c>
      <c r="AB116" s="18">
        <f>250*(Animals!AO116+Animals!AP116)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stats'!BQ:BQ) * (_xlfn.XLOOKUP(B117,'Base stats'!B:B,'Base stats'!AM:AM)*5%)^0.9 / 21,0.1),0.05)</f>
        <v>0.4</v>
      </c>
      <c r="E117" s="11">
        <f>MAX(0.01,MROUND(_xlfn.XLOOKUP(B117,'Base stats'!B:B,'Base stats'!BE:BE) * 0.01 * 2, 0.01))</f>
        <v>0.3</v>
      </c>
      <c r="F117" s="7">
        <f>MROUND(_xlfn.XLOOKUP(B117,'Base stats'!B:B,'Base stats'!BB:BB)^0.25 / (_xlfn.XLOOKUP(B117,'Base stats'!B:B,'Base stats'!BI:BI) * 10) * 150 + 0.5 + _xlfn.XLOOKUP(B117,'Base stats'!B:B,'Base stats'!BU:BU), 0.05)</f>
        <v>1.4000000000000001</v>
      </c>
      <c r="G117" s="3" t="str">
        <f>IF(Animals!S117="No","No",
IF(_xlfn.XLOOKUP(B117,'Base stats'!B:B,'Base stats'!U:U)="No",
MAX(MROUND(_xlfn.XLOOKUP(B117,'Base stats'!B:B,'Base stats'!BR:BR) * _xlfn.XLOOKUP(B117,'Base stats'!B:B,'Base stats'!BN:BN)^0.9 / 21 * _xlfn.XLOOKUP(B117,'Base stats'!B:B,'Base stats'!BV:BV),0.1),0.05),
MAX(MROUND(((MIN(10,_xlfn.XLOOKUP(B117,'Base stats'!B:B,'Base stats'!U:U)))^0.4*_xlfn.XLOOKUP(B117,'Base stats'!B:B,'Base stats'!BF:BF)^0.73)^0.6 * _xlfn.XLOOKUP(B117,'Base stats'!B:B,'Base stats'!BV:BV),0.1),0.05)
))</f>
        <v>No</v>
      </c>
      <c r="H117" s="11" t="str">
        <f>IF(G117="No","No",
MAX(0.01,MROUND(_xlfn.XLOOKUP(B117,'Base stats'!B:B,'Base stats'!BF:BF) * 0.01 * 2, 0.01))
)</f>
        <v>No</v>
      </c>
      <c r="I117" s="11" t="str">
        <f>IF(G117="No","No",IF(_xlfn.XLOOKUP(B117,'Base stats'!B:B,'Base stats'!U:U)="No","No",
MAX(0.01,MROUND(_xlfn.XLOOKUP(B117,'Base stats'!B:B,'Base stats'!BR:BR)/10000,0.01))
))</f>
        <v>No</v>
      </c>
      <c r="J117" s="4" t="str">
        <f>IF(G117="No","No",
MROUND(_xlfn.XLOOKUP(B117,'Base stats'!B:B,'Base stats'!BC:BC)^0.25
/((_xlfn.XLOOKUP(B117,'Base stats'!B:B,'Base stats'!BJ:BJ))*10)*_xlfn.XLOOKUP(_xlfn.XLOOKUP(B117,'Base stats'!B:B,'Base stats'!E:E),Groups!A:A,Groups!Q:Q)*150 + 0.5 + _xlfn.XLOOKUP(B117,'Base stats'!B:B,'Base stats'!BU:BU),
0.05))</f>
        <v>No</v>
      </c>
      <c r="K117" s="3" t="str">
        <f>IF(Animals!X117="No","No",
IF(_xlfn.XLOOKUP(_xlfn.XLOOKUP(B117,'Base stats'!B:B,'Base stats'!E:E),Groups!A:A,Groups!BD:BD)=1,
MAX(MROUND(_xlfn.XLOOKUP(B117,'Base stats'!B:B,'Base stats'!BS:BS) * _xlfn.XLOOKUP(B117,'Base stats'!B:B,'Base stats'!BO:BO)^0.9 / 21 *_xlfn.XLOOKUP(B117,'Base stats'!B:B,'Base stats'!BV:BV),0.1),0.05),
MAX(MROUND(((MIN(10,_xlfn.XLOOKUP(B117,'Base stats'!B:B,'Base stats'!W:W)))^0.4*_xlfn.XLOOKUP(B117,'Base stats'!B:B,'Base stats'!BG:BG)^0.73)^0.6 *_xlfn.XLOOKUP(B117,'Base stats'!B:B,'Base stats'!BV:BV),0.1),0.05)
))</f>
        <v>No</v>
      </c>
      <c r="L117" s="11" t="str">
        <f>IF(K117="No","No",
MAX(0.01,MROUND(_xlfn.XLOOKUP(B117,'Base stats'!B:B,'Base stats'!BG:BG) * 0.01 *2, 0.01))
)</f>
        <v>No</v>
      </c>
      <c r="M117" s="5" t="str">
        <f>IF(K117="No","No",IF(_xlfn.XLOOKUP(_xlfn.XLOOKUP(B117,'Base stats'!B:B,'Base stats'!E:E),Groups!A:A,Groups!BD:BD)=1,"No",
MAX(0.01,MROUND(_xlfn.XLOOKUP(B117,'Base stats'!B:B,'Base stats'!BS:BS)/10000,0.01))
))</f>
        <v>No</v>
      </c>
      <c r="N117" s="4" t="str">
        <f>IF(K117="No","No",
MROUND(
  _xlfn.XLOOKUP(B117,'Base stats'!B:B,'Base stats'!BA:BA)^0.25
  / (_xlfn.XLOOKUP(B117,'Base stats'!B:B,'Base stats'!BK:BK)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stats'!BU:BU),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stats'!BH:BH)^0.73)^0.6 *_xlfn.XLOOKUP(B117,'Base stats'!B:B,'Base stats'!BV:BV),0.1),0.05)
)</f>
        <v>2.8000000000000003</v>
      </c>
      <c r="P117" s="11">
        <f>IF(O117="No","No",
MAX(0.01,MROUND(_xlfn.XLOOKUP(B117,'Base stats'!B:B,'Base stats'!BH:BH) * 0.01 * 2, 0.01))
)</f>
        <v>0.32</v>
      </c>
      <c r="Q117" s="5">
        <f>IF(O117="No","No",
MAX(0.01,MROUND(_xlfn.XLOOKUP(B117,'Base stats'!B:B,'Base stats'!BT:BT)/10000,0.01))
)</f>
        <v>0.04</v>
      </c>
      <c r="R117" s="4">
        <f>IF(O117="No","No",
MROUND(_xlfn.XLOOKUP(B117,'Base stats'!B:B,'Base stats'!AZ:AZ)^0.25
/((_xlfn.XLOOKUP(B117,'Base stats'!B:B,'Base stats'!BL:BL))*10)*_xlfn.XLOOKUP(_xlfn.XLOOKUP(B117,'Base stats'!B:B,'Base stats'!E:E),Groups!A:A,Groups!Z:Z)*150 + 0.5 + _xlfn.XLOOKUP(B117,'Base stats'!B:B,'Base stats'!BU:BU),
0.05))</f>
        <v>1.9500000000000002</v>
      </c>
      <c r="S117" s="3">
        <f>IF(Animals!AI117="No","No",
IF(_xlfn.XLOOKUP(B117,'Base stats'!B:B,'Base stats'!U:U)="No",
MAX(MROUND(_xlfn.XLOOKUP(B117,'Base stats'!B:B,'Base stats'!BR:BR) * _xlfn.XLOOKUP(B117,'Base stats'!B:B,'Base stats'!BN:BN)^0.9 / 21 * _xlfn.XLOOKUP(B117,'Base stats'!B:B,'Base stats'!BV:BV),0.1),0.05),
MAX(MROUND(((MIN(12,_xlfn.XLOOKUP(B117,'Base stats'!B:B,'Base stats'!U:U)))^0.4*_xlfn.XLOOKUP(B117,'Base stats'!B:B,'Base stats'!BF:BF)^0.73)^0.6 * _xlfn.XLOOKUP(B117,'Base stats'!B:B,'Base stats'!BV:BV),0.1),0.05)
))</f>
        <v>4.8000000000000007</v>
      </c>
      <c r="T117" s="11">
        <f>IF(S117="No","No",
MAX(0.01,MROUND(_xlfn.XLOOKUP(B117,'Base stats'!B:B,'Base stats'!BF:BF) * 0.01 * 2, 0.01))
)</f>
        <v>0.43</v>
      </c>
      <c r="U117" s="5">
        <f>IF(S117="No","No",IF(_xlfn.XLOOKUP(B117,'Base stats'!B:B,'Base stats'!U:U)="No","No",
MAX(0.01,MROUND(_xlfn.XLOOKUP(B117,'Base stats'!B:B,'Base stats'!BR:BR)/10000,0.01))
))</f>
        <v>0.06</v>
      </c>
      <c r="V117" s="4">
        <f>IF(S117="No","No",
MROUND(_xlfn.XLOOKUP(B117,'Base stats'!B:B,'Base stats'!BD:BD)^0.25
/((_xlfn.XLOOKUP(B117,'Base stats'!B:B,'Base stats'!BM:BM))*10)*_xlfn.XLOOKUP(_xlfn.XLOOKUP(B117,'Base stats'!B:B,'Base stats'!E:E),Groups!A:A,Groups!AE:AE)*150 + 0.5 + _xlfn.XLOOKUP(B117,'Base stats'!B:B,'Base stats'!BU:BU),
0.05))</f>
        <v>1.2000000000000002</v>
      </c>
      <c r="W117" s="8">
        <f>MROUND(_xlfn.XLOOKUP(_xlfn.XLOOKUP(B117,'Base stats'!B:B,'Base stats'!E:E),Groups!A:A,Groups!BG:BG)*_xlfn.XLOOKUP(B117,'Base stats'!B:B,'Base stats'!C:C)^-0.165,0.01)</f>
        <v>0.35000000000000003</v>
      </c>
      <c r="X117" s="1">
        <f>MROUND(_xlfn.XLOOKUP(_xlfn.XLOOKUP(B117,'Base stats'!B:B,'Base stats'!E:E),Groups!A:A,Groups!BH:BH)*_xlfn.XLOOKUP(B117,'Base stats'!B:B,'Base stats'!C:C)^0.165,0.01)</f>
        <v>0</v>
      </c>
      <c r="Y117" s="8">
        <f>MROUND(_xlfn.XLOOKUP(_xlfn.XLOOKUP(B117,'Base stats'!B:B,'Base stats'!E:E),Groups!A:A,Groups!BI:BI)*_xlfn.XLOOKUP(B117,'Base stats'!B:B,'Base stats'!C:C)^0.165,0.01)</f>
        <v>0</v>
      </c>
      <c r="Z117" s="18">
        <f>ROUND(_xlfn.XLOOKUP(B117,'Base stats'!B:B,'Base stats'!AO:AO)*_xlfn.XLOOKUP(_xlfn.XLOOKUP(B117,'Base stats'!B:B,'Base stats'!E:E),Groups!A:A,Groups!H:H)/1000,2)</f>
        <v>0.02</v>
      </c>
      <c r="AA117" s="18">
        <f>ROUND((1/2)*(_xlfn.XLOOKUP(_xlfn.XLOOKUP(B117,'Base stats'!B:B,'Base stats'!E:E),Groups!A:A,Groups!H:H)*_xlfn.XLOOKUP(_xlfn.XLOOKUP(B117,'Base stats'!B:B,'Base stats'!E:E),Groups!A:A,Groups!I:I))*_xlfn.XLOOKUP(B117,'Base stats'!B:B,'Base stats'!AO:AO)*0.01,2)</f>
        <v>0.13</v>
      </c>
      <c r="AB117" s="18">
        <f>250*(Animals!AO117+Animals!AP117)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stats'!BQ:BQ) * (_xlfn.XLOOKUP(B118,'Base stats'!B:B,'Base stats'!AM:AM)*5%)^0.9 / 21,0.1),0.05)</f>
        <v>0.1</v>
      </c>
      <c r="E118" s="11">
        <f>MAX(0.01,MROUND(_xlfn.XLOOKUP(B118,'Base stats'!B:B,'Base stats'!BE:BE) * 0.01 * 2, 0.01))</f>
        <v>0.05</v>
      </c>
      <c r="F118" s="7">
        <f>MROUND(_xlfn.XLOOKUP(B118,'Base stats'!B:B,'Base stats'!BB:BB)^0.25 / (_xlfn.XLOOKUP(B118,'Base stats'!B:B,'Base stats'!BI:BI) * 10) * 150 + 0.5 + _xlfn.XLOOKUP(B118,'Base stats'!B:B,'Base stats'!BU:BU), 0.05)</f>
        <v>1.2000000000000002</v>
      </c>
      <c r="G118" s="3">
        <f>IF(Animals!S118="No","No",
IF(_xlfn.XLOOKUP(B118,'Base stats'!B:B,'Base stats'!U:U)="No",
MAX(MROUND(_xlfn.XLOOKUP(B118,'Base stats'!B:B,'Base stats'!BR:BR) * _xlfn.XLOOKUP(B118,'Base stats'!B:B,'Base stats'!BN:BN)^0.9 / 21 * _xlfn.XLOOKUP(B118,'Base stats'!B:B,'Base stats'!BV:BV),0.1),0.05),
MAX(MROUND(((MIN(10,_xlfn.XLOOKUP(B118,'Base stats'!B:B,'Base stats'!U:U)))^0.4*_xlfn.XLOOKUP(B118,'Base stats'!B:B,'Base stats'!BF:BF)^0.73)^0.6 * _xlfn.XLOOKUP(B118,'Base stats'!B:B,'Base stats'!BV:BV),0.1),0.05)
))</f>
        <v>2.1</v>
      </c>
      <c r="H118" s="11">
        <f>IF(G118="No","No",
MAX(0.01,MROUND(_xlfn.XLOOKUP(B118,'Base stats'!B:B,'Base stats'!BF:BF) * 0.01 * 2, 0.01))
)</f>
        <v>0.08</v>
      </c>
      <c r="I118" s="11">
        <f>IF(G118="No","No",IF(_xlfn.XLOOKUP(B118,'Base stats'!B:B,'Base stats'!U:U)="No","No",
MAX(0.01,MROUND(_xlfn.XLOOKUP(B118,'Base stats'!B:B,'Base stats'!BR:BR)/10000,0.01))
))</f>
        <v>0.02</v>
      </c>
      <c r="J118" s="4">
        <f>IF(G118="No","No",
MROUND(_xlfn.XLOOKUP(B118,'Base stats'!B:B,'Base stats'!BC:BC)^0.25
/((_xlfn.XLOOKUP(B118,'Base stats'!B:B,'Base stats'!BJ:BJ))*10)*_xlfn.XLOOKUP(_xlfn.XLOOKUP(B118,'Base stats'!B:B,'Base stats'!E:E),Groups!A:A,Groups!Q:Q)*150 + 0.5 + _xlfn.XLOOKUP(B118,'Base stats'!B:B,'Base stats'!BU:BU),
0.05))</f>
        <v>1.3</v>
      </c>
      <c r="K118" s="3" t="str">
        <f>IF(Animals!X118="No","No",
IF(_xlfn.XLOOKUP(_xlfn.XLOOKUP(B118,'Base stats'!B:B,'Base stats'!E:E),Groups!A:A,Groups!BD:BD)=1,
MAX(MROUND(_xlfn.XLOOKUP(B118,'Base stats'!B:B,'Base stats'!BS:BS) * _xlfn.XLOOKUP(B118,'Base stats'!B:B,'Base stats'!BO:BO)^0.9 / 21 *_xlfn.XLOOKUP(B118,'Base stats'!B:B,'Base stats'!BV:BV),0.1),0.05),
MAX(MROUND(((MIN(10,_xlfn.XLOOKUP(B118,'Base stats'!B:B,'Base stats'!W:W)))^0.4*_xlfn.XLOOKUP(B118,'Base stats'!B:B,'Base stats'!BG:BG)^0.73)^0.6 *_xlfn.XLOOKUP(B118,'Base stats'!B:B,'Base stats'!BV:BV),0.1),0.05)
))</f>
        <v>No</v>
      </c>
      <c r="L118" s="11" t="str">
        <f>IF(K118="No","No",
MAX(0.01,MROUND(_xlfn.XLOOKUP(B118,'Base stats'!B:B,'Base stats'!BG:BG) * 0.01 *2, 0.01))
)</f>
        <v>No</v>
      </c>
      <c r="M118" s="5" t="str">
        <f>IF(K118="No","No",IF(_xlfn.XLOOKUP(_xlfn.XLOOKUP(B118,'Base stats'!B:B,'Base stats'!E:E),Groups!A:A,Groups!BD:BD)=1,"No",
MAX(0.01,MROUND(_xlfn.XLOOKUP(B118,'Base stats'!B:B,'Base stats'!BS:BS)/10000,0.01))
))</f>
        <v>No</v>
      </c>
      <c r="N118" s="4" t="str">
        <f>IF(K118="No","No",
MROUND(
  _xlfn.XLOOKUP(B118,'Base stats'!B:B,'Base stats'!BA:BA)^0.25
  / (_xlfn.XLOOKUP(B118,'Base stats'!B:B,'Base stats'!BK:BK)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stats'!BU:BU),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stats'!BH:BH)^0.73)^0.6 *_xlfn.XLOOKUP(B118,'Base stats'!B:B,'Base stats'!BV:BV),0.1),0.05)
)</f>
        <v>1</v>
      </c>
      <c r="P118" s="11">
        <f>IF(O118="No","No",
MAX(0.01,MROUND(_xlfn.XLOOKUP(B118,'Base stats'!B:B,'Base stats'!BH:BH) * 0.01 * 2, 0.01))
)</f>
        <v>0.02</v>
      </c>
      <c r="Q118" s="5">
        <f>IF(O118="No","No",
MAX(0.01,MROUND(_xlfn.XLOOKUP(B118,'Base stats'!B:B,'Base stats'!BT:BT)/10000,0.01))
)</f>
        <v>0.01</v>
      </c>
      <c r="R118" s="4">
        <f>IF(O118="No","No",
MROUND(_xlfn.XLOOKUP(B118,'Base stats'!B:B,'Base stats'!AZ:AZ)^0.25
/((_xlfn.XLOOKUP(B118,'Base stats'!B:B,'Base stats'!BL:BL))*10)*_xlfn.XLOOKUP(_xlfn.XLOOKUP(B118,'Base stats'!B:B,'Base stats'!E:E),Groups!A:A,Groups!Z:Z)*150 + 0.5 + _xlfn.XLOOKUP(B118,'Base stats'!B:B,'Base stats'!BU:BU),
0.05))</f>
        <v>1.8</v>
      </c>
      <c r="S118" s="3" t="str">
        <f>IF(Animals!AI118="No","No",
IF(_xlfn.XLOOKUP(B118,'Base stats'!B:B,'Base stats'!U:U)="No",
MAX(MROUND(_xlfn.XLOOKUP(B118,'Base stats'!B:B,'Base stats'!BR:BR) * _xlfn.XLOOKUP(B118,'Base stats'!B:B,'Base stats'!BN:BN)^0.9 / 21 * _xlfn.XLOOKUP(B118,'Base stats'!B:B,'Base stats'!BV:BV),0.1),0.05),
MAX(MROUND(((MIN(12,_xlfn.XLOOKUP(B118,'Base stats'!B:B,'Base stats'!U:U)))^0.4*_xlfn.XLOOKUP(B118,'Base stats'!B:B,'Base stats'!BF:BF)^0.73)^0.6 * _xlfn.XLOOKUP(B118,'Base stats'!B:B,'Base stats'!BV:BV),0.1),0.05)
))</f>
        <v>No</v>
      </c>
      <c r="T118" s="11" t="str">
        <f>IF(S118="No","No",
MAX(0.01,MROUND(_xlfn.XLOOKUP(B118,'Base stats'!B:B,'Base stats'!BF:BF) * 0.01 * 2, 0.01))
)</f>
        <v>No</v>
      </c>
      <c r="U118" s="5" t="str">
        <f>IF(S118="No","No",IF(_xlfn.XLOOKUP(B118,'Base stats'!B:B,'Base stats'!U:U)="No","No",
MAX(0.01,MROUND(_xlfn.XLOOKUP(B118,'Base stats'!B:B,'Base stats'!BR:BR)/10000,0.01))
))</f>
        <v>No</v>
      </c>
      <c r="V118" s="4" t="str">
        <f>IF(S118="No","No",
MROUND(_xlfn.XLOOKUP(B118,'Base stats'!B:B,'Base stats'!BD:BD)^0.25
/((_xlfn.XLOOKUP(B118,'Base stats'!B:B,'Base stats'!BM:BM))*10)*_xlfn.XLOOKUP(_xlfn.XLOOKUP(B118,'Base stats'!B:B,'Base stats'!E:E),Groups!A:A,Groups!AE:AE)*150 + 0.5 + _xlfn.XLOOKUP(B118,'Base stats'!B:B,'Base stats'!BU:BU),
0.05))</f>
        <v>No</v>
      </c>
      <c r="W118" s="8">
        <f>MROUND(_xlfn.XLOOKUP(_xlfn.XLOOKUP(B118,'Base stats'!B:B,'Base stats'!E:E),Groups!A:A,Groups!BG:BG)*_xlfn.XLOOKUP(B118,'Base stats'!B:B,'Base stats'!C:C)^-0.165,0.01)</f>
        <v>0.48</v>
      </c>
      <c r="X118" s="1">
        <f>MROUND(_xlfn.XLOOKUP(_xlfn.XLOOKUP(B118,'Base stats'!B:B,'Base stats'!E:E),Groups!A:A,Groups!BH:BH)*_xlfn.XLOOKUP(B118,'Base stats'!B:B,'Base stats'!C:C)^0.165,0.01)</f>
        <v>0</v>
      </c>
      <c r="Y118" s="8">
        <f>MROUND(_xlfn.XLOOKUP(_xlfn.XLOOKUP(B118,'Base stats'!B:B,'Base stats'!E:E),Groups!A:A,Groups!BI:BI)*_xlfn.XLOOKUP(B118,'Base stats'!B:B,'Base stats'!C:C)^0.165,0.01)</f>
        <v>0</v>
      </c>
      <c r="Z118" s="18">
        <f>ROUND(_xlfn.XLOOKUP(B118,'Base stats'!B:B,'Base stats'!AO:AO)*_xlfn.XLOOKUP(_xlfn.XLOOKUP(B118,'Base stats'!B:B,'Base stats'!E:E),Groups!A:A,Groups!H:H)/1000,2)</f>
        <v>0.01</v>
      </c>
      <c r="AA118" s="18">
        <f>ROUND((1/2)*(_xlfn.XLOOKUP(_xlfn.XLOOKUP(B118,'Base stats'!B:B,'Base stats'!E:E),Groups!A:A,Groups!H:H)*_xlfn.XLOOKUP(_xlfn.XLOOKUP(B118,'Base stats'!B:B,'Base stats'!E:E),Groups!A:A,Groups!I:I))*_xlfn.XLOOKUP(B118,'Base stats'!B:B,'Base stats'!AO:AO)*0.01,2)</f>
        <v>7.0000000000000007E-2</v>
      </c>
      <c r="AB118" s="18">
        <f>250*(Animals!AO118+Animals!AP118)</f>
        <v>75.000000000000014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stats'!BQ:BQ) * (_xlfn.XLOOKUP(B119,'Base stats'!B:B,'Base stats'!AM:AM)*5%)^0.9 / 21,0.1),0.05)</f>
        <v>0.60000000000000009</v>
      </c>
      <c r="E119" s="11">
        <f>MAX(0.01,MROUND(_xlfn.XLOOKUP(B119,'Base stats'!B:B,'Base stats'!BE:BE) * 0.01 * 2, 0.01))</f>
        <v>0.41000000000000003</v>
      </c>
      <c r="F119" s="7">
        <f>MROUND(_xlfn.XLOOKUP(B119,'Base stats'!B:B,'Base stats'!BB:BB)^0.25 / (_xlfn.XLOOKUP(B119,'Base stats'!B:B,'Base stats'!BI:BI) * 10) * 150 + 0.5 + _xlfn.XLOOKUP(B119,'Base stats'!B:B,'Base stats'!BU:BU), 0.05)</f>
        <v>1.55</v>
      </c>
      <c r="G119" s="3" t="str">
        <f>IF(Animals!S119="No","No",
IF(_xlfn.XLOOKUP(B119,'Base stats'!B:B,'Base stats'!U:U)="No",
MAX(MROUND(_xlfn.XLOOKUP(B119,'Base stats'!B:B,'Base stats'!BR:BR) * _xlfn.XLOOKUP(B119,'Base stats'!B:B,'Base stats'!BN:BN)^0.9 / 21 * _xlfn.XLOOKUP(B119,'Base stats'!B:B,'Base stats'!BV:BV),0.1),0.05),
MAX(MROUND(((MIN(10,_xlfn.XLOOKUP(B119,'Base stats'!B:B,'Base stats'!U:U)))^0.4*_xlfn.XLOOKUP(B119,'Base stats'!B:B,'Base stats'!BF:BF)^0.73)^0.6 * _xlfn.XLOOKUP(B119,'Base stats'!B:B,'Base stats'!BV:BV),0.1),0.05)
))</f>
        <v>No</v>
      </c>
      <c r="H119" s="11" t="str">
        <f>IF(G119="No","No",
MAX(0.01,MROUND(_xlfn.XLOOKUP(B119,'Base stats'!B:B,'Base stats'!BF:BF) * 0.01 * 2, 0.01))
)</f>
        <v>No</v>
      </c>
      <c r="I119" s="11" t="str">
        <f>IF(G119="No","No",IF(_xlfn.XLOOKUP(B119,'Base stats'!B:B,'Base stats'!U:U)="No","No",
MAX(0.01,MROUND(_xlfn.XLOOKUP(B119,'Base stats'!B:B,'Base stats'!BR:BR)/10000,0.01))
))</f>
        <v>No</v>
      </c>
      <c r="J119" s="4" t="str">
        <f>IF(G119="No","No",
MROUND(_xlfn.XLOOKUP(B119,'Base stats'!B:B,'Base stats'!BC:BC)^0.25
/((_xlfn.XLOOKUP(B119,'Base stats'!B:B,'Base stats'!BJ:BJ))*10)*_xlfn.XLOOKUP(_xlfn.XLOOKUP(B119,'Base stats'!B:B,'Base stats'!E:E),Groups!A:A,Groups!Q:Q)*150 + 0.5 + _xlfn.XLOOKUP(B119,'Base stats'!B:B,'Base stats'!BU:BU),
0.05))</f>
        <v>No</v>
      </c>
      <c r="K119" s="3" t="str">
        <f>IF(Animals!X119="No","No",
IF(_xlfn.XLOOKUP(_xlfn.XLOOKUP(B119,'Base stats'!B:B,'Base stats'!E:E),Groups!A:A,Groups!BD:BD)=1,
MAX(MROUND(_xlfn.XLOOKUP(B119,'Base stats'!B:B,'Base stats'!BS:BS) * _xlfn.XLOOKUP(B119,'Base stats'!B:B,'Base stats'!BO:BO)^0.9 / 21 *_xlfn.XLOOKUP(B119,'Base stats'!B:B,'Base stats'!BV:BV),0.1),0.05),
MAX(MROUND(((MIN(10,_xlfn.XLOOKUP(B119,'Base stats'!B:B,'Base stats'!W:W)))^0.4*_xlfn.XLOOKUP(B119,'Base stats'!B:B,'Base stats'!BG:BG)^0.73)^0.6 *_xlfn.XLOOKUP(B119,'Base stats'!B:B,'Base stats'!BV:BV),0.1),0.05)
))</f>
        <v>No</v>
      </c>
      <c r="L119" s="11" t="str">
        <f>IF(K119="No","No",
MAX(0.01,MROUND(_xlfn.XLOOKUP(B119,'Base stats'!B:B,'Base stats'!BG:BG) * 0.01 *2, 0.01))
)</f>
        <v>No</v>
      </c>
      <c r="M119" s="5" t="str">
        <f>IF(K119="No","No",IF(_xlfn.XLOOKUP(_xlfn.XLOOKUP(B119,'Base stats'!B:B,'Base stats'!E:E),Groups!A:A,Groups!BD:BD)=1,"No",
MAX(0.01,MROUND(_xlfn.XLOOKUP(B119,'Base stats'!B:B,'Base stats'!BS:BS)/10000,0.01))
))</f>
        <v>No</v>
      </c>
      <c r="N119" s="4" t="str">
        <f>IF(K119="No","No",
MROUND(
  _xlfn.XLOOKUP(B119,'Base stats'!B:B,'Base stats'!BA:BA)^0.25
  / (_xlfn.XLOOKUP(B119,'Base stats'!B:B,'Base stats'!BK:BK)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stats'!BU:BU),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stats'!BH:BH)^0.73)^0.6 *_xlfn.XLOOKUP(B119,'Base stats'!B:B,'Base stats'!BV:BV),0.1),0.05)
)</f>
        <v>7</v>
      </c>
      <c r="P119" s="11">
        <f>IF(O119="No","No",
MAX(0.01,MROUND(_xlfn.XLOOKUP(B119,'Base stats'!B:B,'Base stats'!BH:BH) * 0.01 * 2, 0.01))
)</f>
        <v>1.08</v>
      </c>
      <c r="Q119" s="5">
        <f>IF(O119="No","No",
MAX(0.01,MROUND(_xlfn.XLOOKUP(B119,'Base stats'!B:B,'Base stats'!BT:BT)/10000,0.01))
)</f>
        <v>0.13</v>
      </c>
      <c r="R119" s="4">
        <f>IF(O119="No","No",
MROUND(_xlfn.XLOOKUP(B119,'Base stats'!B:B,'Base stats'!AZ:AZ)^0.25
/((_xlfn.XLOOKUP(B119,'Base stats'!B:B,'Base stats'!BL:BL))*10)*_xlfn.XLOOKUP(_xlfn.XLOOKUP(B119,'Base stats'!B:B,'Base stats'!E:E),Groups!A:A,Groups!Z:Z)*150 + 0.5 + _xlfn.XLOOKUP(B119,'Base stats'!B:B,'Base stats'!BU:BU),
0.05))</f>
        <v>1.9000000000000001</v>
      </c>
      <c r="S119" s="3" t="str">
        <f>IF(Animals!AI119="No","No",
IF(_xlfn.XLOOKUP(B119,'Base stats'!B:B,'Base stats'!U:U)="No",
MAX(MROUND(_xlfn.XLOOKUP(B119,'Base stats'!B:B,'Base stats'!BR:BR) * _xlfn.XLOOKUP(B119,'Base stats'!B:B,'Base stats'!BN:BN)^0.9 / 21 * _xlfn.XLOOKUP(B119,'Base stats'!B:B,'Base stats'!BV:BV),0.1),0.05),
MAX(MROUND(((MIN(12,_xlfn.XLOOKUP(B119,'Base stats'!B:B,'Base stats'!U:U)))^0.4*_xlfn.XLOOKUP(B119,'Base stats'!B:B,'Base stats'!BF:BF)^0.73)^0.6 * _xlfn.XLOOKUP(B119,'Base stats'!B:B,'Base stats'!BV:BV),0.1),0.05)
))</f>
        <v>No</v>
      </c>
      <c r="T119" s="11" t="str">
        <f>IF(S119="No","No",
MAX(0.01,MROUND(_xlfn.XLOOKUP(B119,'Base stats'!B:B,'Base stats'!BF:BF) * 0.01 * 2, 0.01))
)</f>
        <v>No</v>
      </c>
      <c r="U119" s="5" t="str">
        <f>IF(S119="No","No",IF(_xlfn.XLOOKUP(B119,'Base stats'!B:B,'Base stats'!U:U)="No","No",
MAX(0.01,MROUND(_xlfn.XLOOKUP(B119,'Base stats'!B:B,'Base stats'!BR:BR)/10000,0.01))
))</f>
        <v>No</v>
      </c>
      <c r="V119" s="4" t="str">
        <f>IF(S119="No","No",
MROUND(_xlfn.XLOOKUP(B119,'Base stats'!B:B,'Base stats'!BD:BD)^0.25
/((_xlfn.XLOOKUP(B119,'Base stats'!B:B,'Base stats'!BM:BM))*10)*_xlfn.XLOOKUP(_xlfn.XLOOKUP(B119,'Base stats'!B:B,'Base stats'!E:E),Groups!A:A,Groups!AE:AE)*150 + 0.5 + _xlfn.XLOOKUP(B119,'Base stats'!B:B,'Base stats'!BU:BU),
0.05))</f>
        <v>No</v>
      </c>
      <c r="W119" s="8">
        <f>MROUND(_xlfn.XLOOKUP(_xlfn.XLOOKUP(B119,'Base stats'!B:B,'Base stats'!E:E),Groups!A:A,Groups!BG:BG)*_xlfn.XLOOKUP(B119,'Base stats'!B:B,'Base stats'!C:C)^-0.165,0.01)</f>
        <v>0.65</v>
      </c>
      <c r="X119" s="1">
        <f>MROUND(_xlfn.XLOOKUP(_xlfn.XLOOKUP(B119,'Base stats'!B:B,'Base stats'!E:E),Groups!A:A,Groups!BH:BH)*_xlfn.XLOOKUP(B119,'Base stats'!B:B,'Base stats'!C:C)^0.165,0.01)</f>
        <v>0.31</v>
      </c>
      <c r="Y119" s="8">
        <f>MROUND(_xlfn.XLOOKUP(_xlfn.XLOOKUP(B119,'Base stats'!B:B,'Base stats'!E:E),Groups!A:A,Groups!BI:BI)*_xlfn.XLOOKUP(B119,'Base stats'!B:B,'Base stats'!C:C)^0.165,0.01)</f>
        <v>0.04</v>
      </c>
      <c r="Z119" s="18">
        <f>ROUND(_xlfn.XLOOKUP(B119,'Base stats'!B:B,'Base stats'!AO:AO)*_xlfn.XLOOKUP(_xlfn.XLOOKUP(B119,'Base stats'!B:B,'Base stats'!E:E),Groups!A:A,Groups!H:H)/1000,2)</f>
        <v>0.06</v>
      </c>
      <c r="AA119" s="18">
        <f>ROUND((1/2)*(_xlfn.XLOOKUP(_xlfn.XLOOKUP(B119,'Base stats'!B:B,'Base stats'!E:E),Groups!A:A,Groups!H:H)*_xlfn.XLOOKUP(_xlfn.XLOOKUP(B119,'Base stats'!B:B,'Base stats'!E:E),Groups!A:A,Groups!I:I))*_xlfn.XLOOKUP(B119,'Base stats'!B:B,'Base stats'!AO:AO)*0.01,2)</f>
        <v>0.41</v>
      </c>
      <c r="AB119" s="18">
        <f>250*(Animals!AO119+Animals!AP119)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stats'!BQ:BQ) * (_xlfn.XLOOKUP(B120,'Base stats'!B:B,'Base stats'!AM:AM)*5%)^0.9 / 21,0.1),0.05)</f>
        <v>4.4000000000000004</v>
      </c>
      <c r="E120" s="11">
        <f>MAX(0.01,MROUND(_xlfn.XLOOKUP(B120,'Base stats'!B:B,'Base stats'!BE:BE) * 0.01 * 2, 0.01))</f>
        <v>3.83</v>
      </c>
      <c r="F120" s="7">
        <f>MROUND(_xlfn.XLOOKUP(B120,'Base stats'!B:B,'Base stats'!BB:BB)^0.25 / (_xlfn.XLOOKUP(B120,'Base stats'!B:B,'Base stats'!BI:BI) * 10) * 150 + 0.5 + _xlfn.XLOOKUP(B120,'Base stats'!B:B,'Base stats'!BU:BU), 0.05)</f>
        <v>2.1</v>
      </c>
      <c r="G120" s="3" t="str">
        <f>IF(Animals!S120="No","No",
IF(_xlfn.XLOOKUP(B120,'Base stats'!B:B,'Base stats'!U:U)="No",
MAX(MROUND(_xlfn.XLOOKUP(B120,'Base stats'!B:B,'Base stats'!BR:BR) * _xlfn.XLOOKUP(B120,'Base stats'!B:B,'Base stats'!BN:BN)^0.9 / 21 * _xlfn.XLOOKUP(B120,'Base stats'!B:B,'Base stats'!BV:BV),0.1),0.05),
MAX(MROUND(((MIN(10,_xlfn.XLOOKUP(B120,'Base stats'!B:B,'Base stats'!U:U)))^0.4*_xlfn.XLOOKUP(B120,'Base stats'!B:B,'Base stats'!BF:BF)^0.73)^0.6 * _xlfn.XLOOKUP(B120,'Base stats'!B:B,'Base stats'!BV:BV),0.1),0.05)
))</f>
        <v>No</v>
      </c>
      <c r="H120" s="11" t="str">
        <f>IF(G120="No","No",
MAX(0.01,MROUND(_xlfn.XLOOKUP(B120,'Base stats'!B:B,'Base stats'!BF:BF) * 0.01 * 2, 0.01))
)</f>
        <v>No</v>
      </c>
      <c r="I120" s="11" t="str">
        <f>IF(G120="No","No",IF(_xlfn.XLOOKUP(B120,'Base stats'!B:B,'Base stats'!U:U)="No","No",
MAX(0.01,MROUND(_xlfn.XLOOKUP(B120,'Base stats'!B:B,'Base stats'!BR:BR)/10000,0.01))
))</f>
        <v>No</v>
      </c>
      <c r="J120" s="4" t="str">
        <f>IF(G120="No","No",
MROUND(_xlfn.XLOOKUP(B120,'Base stats'!B:B,'Base stats'!BC:BC)^0.25
/((_xlfn.XLOOKUP(B120,'Base stats'!B:B,'Base stats'!BJ:BJ))*10)*_xlfn.XLOOKUP(_xlfn.XLOOKUP(B120,'Base stats'!B:B,'Base stats'!E:E),Groups!A:A,Groups!Q:Q)*150 + 0.5 + _xlfn.XLOOKUP(B120,'Base stats'!B:B,'Base stats'!BU:BU),
0.05))</f>
        <v>No</v>
      </c>
      <c r="K120" s="3" t="str">
        <f>IF(Animals!X120="No","No",
IF(_xlfn.XLOOKUP(_xlfn.XLOOKUP(B120,'Base stats'!B:B,'Base stats'!E:E),Groups!A:A,Groups!BD:BD)=1,
MAX(MROUND(_xlfn.XLOOKUP(B120,'Base stats'!B:B,'Base stats'!BS:BS) * _xlfn.XLOOKUP(B120,'Base stats'!B:B,'Base stats'!BO:BO)^0.9 / 21 *_xlfn.XLOOKUP(B120,'Base stats'!B:B,'Base stats'!BV:BV),0.1),0.05),
MAX(MROUND(((MIN(10,_xlfn.XLOOKUP(B120,'Base stats'!B:B,'Base stats'!W:W)))^0.4*_xlfn.XLOOKUP(B120,'Base stats'!B:B,'Base stats'!BG:BG)^0.73)^0.6 *_xlfn.XLOOKUP(B120,'Base stats'!B:B,'Base stats'!BV:BV),0.1),0.05)
))</f>
        <v>No</v>
      </c>
      <c r="L120" s="11" t="str">
        <f>IF(K120="No","No",
MAX(0.01,MROUND(_xlfn.XLOOKUP(B120,'Base stats'!B:B,'Base stats'!BG:BG) * 0.01 *2, 0.01))
)</f>
        <v>No</v>
      </c>
      <c r="M120" s="5" t="str">
        <f>IF(K120="No","No",IF(_xlfn.XLOOKUP(_xlfn.XLOOKUP(B120,'Base stats'!B:B,'Base stats'!E:E),Groups!A:A,Groups!BD:BD)=1,"No",
MAX(0.01,MROUND(_xlfn.XLOOKUP(B120,'Base stats'!B:B,'Base stats'!BS:BS)/10000,0.01))
))</f>
        <v>No</v>
      </c>
      <c r="N120" s="4" t="str">
        <f>IF(K120="No","No",
MROUND(
  _xlfn.XLOOKUP(B120,'Base stats'!B:B,'Base stats'!BA:BA)^0.25
  / (_xlfn.XLOOKUP(B120,'Base stats'!B:B,'Base stats'!BK:BK)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stats'!BU:BU),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stats'!BH:BH)^0.73)^0.6 *_xlfn.XLOOKUP(B120,'Base stats'!B:B,'Base stats'!BV:BV),0.1),0.05)
)</f>
        <v>14.4</v>
      </c>
      <c r="P120" s="11">
        <f>IF(O120="No","No",
MAX(0.01,MROUND(_xlfn.XLOOKUP(B120,'Base stats'!B:B,'Base stats'!BH:BH) * 0.01 * 2, 0.01))
)</f>
        <v>4.72</v>
      </c>
      <c r="Q120" s="5">
        <f>IF(O120="No","No",
MAX(0.01,MROUND(_xlfn.XLOOKUP(B120,'Base stats'!B:B,'Base stats'!BT:BT)/10000,0.01))
)</f>
        <v>0.21</v>
      </c>
      <c r="R120" s="4">
        <f>IF(O120="No","No",
MROUND(_xlfn.XLOOKUP(B120,'Base stats'!B:B,'Base stats'!AZ:AZ)^0.25
/((_xlfn.XLOOKUP(B120,'Base stats'!B:B,'Base stats'!BL:BL))*10)*_xlfn.XLOOKUP(_xlfn.XLOOKUP(B120,'Base stats'!B:B,'Base stats'!E:E),Groups!A:A,Groups!Z:Z)*150 + 0.5 + _xlfn.XLOOKUP(B120,'Base stats'!B:B,'Base stats'!BU:BU),
0.05))</f>
        <v>2.3000000000000003</v>
      </c>
      <c r="S120" s="3">
        <f>IF(Animals!AI120="No","No",
IF(_xlfn.XLOOKUP(B120,'Base stats'!B:B,'Base stats'!U:U)="No",
MAX(MROUND(_xlfn.XLOOKUP(B120,'Base stats'!B:B,'Base stats'!BR:BR) * _xlfn.XLOOKUP(B120,'Base stats'!B:B,'Base stats'!BN:BN)^0.9 / 21 * _xlfn.XLOOKUP(B120,'Base stats'!B:B,'Base stats'!BV:BV),0.1),0.05),
MAX(MROUND(((MIN(12,_xlfn.XLOOKUP(B120,'Base stats'!B:B,'Base stats'!U:U)))^0.4*_xlfn.XLOOKUP(B120,'Base stats'!B:B,'Base stats'!BF:BF)^0.73)^0.6 * _xlfn.XLOOKUP(B120,'Base stats'!B:B,'Base stats'!BV:BV),0.1),0.05)
))</f>
        <v>15.700000000000001</v>
      </c>
      <c r="T120" s="11">
        <f>IF(S120="No","No",
MAX(0.01,MROUND(_xlfn.XLOOKUP(B120,'Base stats'!B:B,'Base stats'!BF:BF) * 0.01 * 2, 0.01))
)</f>
        <v>4.71</v>
      </c>
      <c r="U120" s="5">
        <f>IF(S120="No","No",IF(_xlfn.XLOOKUP(B120,'Base stats'!B:B,'Base stats'!U:U)="No","No",
MAX(0.01,MROUND(_xlfn.XLOOKUP(B120,'Base stats'!B:B,'Base stats'!BR:BR)/10000,0.01))
))</f>
        <v>0.21</v>
      </c>
      <c r="V120" s="4">
        <f>IF(S120="No","No",
MROUND(_xlfn.XLOOKUP(B120,'Base stats'!B:B,'Base stats'!BD:BD)^0.25
/((_xlfn.XLOOKUP(B120,'Base stats'!B:B,'Base stats'!BM:BM))*10)*_xlfn.XLOOKUP(_xlfn.XLOOKUP(B120,'Base stats'!B:B,'Base stats'!E:E),Groups!A:A,Groups!AE:AE)*150 + 0.5 + _xlfn.XLOOKUP(B120,'Base stats'!B:B,'Base stats'!BU:BU),
0.05))</f>
        <v>1.4500000000000002</v>
      </c>
      <c r="W120" s="8">
        <f>MROUND(_xlfn.XLOOKUP(_xlfn.XLOOKUP(B120,'Base stats'!B:B,'Base stats'!E:E),Groups!A:A,Groups!BG:BG)*_xlfn.XLOOKUP(B120,'Base stats'!B:B,'Base stats'!C:C)^-0.165,0.01)</f>
        <v>0.3</v>
      </c>
      <c r="X120" s="1">
        <f>MROUND(_xlfn.XLOOKUP(_xlfn.XLOOKUP(B120,'Base stats'!B:B,'Base stats'!E:E),Groups!A:A,Groups!BH:BH)*_xlfn.XLOOKUP(B120,'Base stats'!B:B,'Base stats'!C:C)^0.165,0.01)</f>
        <v>0.34</v>
      </c>
      <c r="Y120" s="8">
        <f>MROUND(_xlfn.XLOOKUP(_xlfn.XLOOKUP(B120,'Base stats'!B:B,'Base stats'!E:E),Groups!A:A,Groups!BI:BI)*_xlfn.XLOOKUP(B120,'Base stats'!B:B,'Base stats'!C:C)^0.165,0.01)</f>
        <v>0.06</v>
      </c>
      <c r="Z120" s="18">
        <f>ROUND(_xlfn.XLOOKUP(B120,'Base stats'!B:B,'Base stats'!AO:AO)*_xlfn.XLOOKUP(_xlfn.XLOOKUP(B120,'Base stats'!B:B,'Base stats'!E:E),Groups!A:A,Groups!H:H)/1000,2)</f>
        <v>0.13</v>
      </c>
      <c r="AA120" s="18">
        <f>ROUND((1/2)*(_xlfn.XLOOKUP(_xlfn.XLOOKUP(B120,'Base stats'!B:B,'Base stats'!E:E),Groups!A:A,Groups!H:H)*_xlfn.XLOOKUP(_xlfn.XLOOKUP(B120,'Base stats'!B:B,'Base stats'!E:E),Groups!A:A,Groups!I:I))*_xlfn.XLOOKUP(B120,'Base stats'!B:B,'Base stats'!AO:AO)*0.01,2)</f>
        <v>0.97</v>
      </c>
      <c r="AB120" s="18">
        <f>250*(Animals!AO120+Animals!AP120)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stats'!BQ:BQ) * (_xlfn.XLOOKUP(B121,'Base stats'!B:B,'Base stats'!AM:AM)*5%)^0.9 / 21,0.1),0.05)</f>
        <v>2.1</v>
      </c>
      <c r="E121" s="11">
        <f>MAX(0.01,MROUND(_xlfn.XLOOKUP(B121,'Base stats'!B:B,'Base stats'!BE:BE) * 0.01 * 2, 0.01))</f>
        <v>1.7</v>
      </c>
      <c r="F121" s="7">
        <f>MROUND(_xlfn.XLOOKUP(B121,'Base stats'!B:B,'Base stats'!BB:BB)^0.25 / (_xlfn.XLOOKUP(B121,'Base stats'!B:B,'Base stats'!BI:BI) * 10) * 150 + 0.5 + _xlfn.XLOOKUP(B121,'Base stats'!B:B,'Base stats'!BU:BU), 0.05)</f>
        <v>1.9500000000000002</v>
      </c>
      <c r="G121" s="3" t="str">
        <f>IF(Animals!S121="No","No",
IF(_xlfn.XLOOKUP(B121,'Base stats'!B:B,'Base stats'!U:U)="No",
MAX(MROUND(_xlfn.XLOOKUP(B121,'Base stats'!B:B,'Base stats'!BR:BR) * _xlfn.XLOOKUP(B121,'Base stats'!B:B,'Base stats'!BN:BN)^0.9 / 21 * _xlfn.XLOOKUP(B121,'Base stats'!B:B,'Base stats'!BV:BV),0.1),0.05),
MAX(MROUND(((MIN(10,_xlfn.XLOOKUP(B121,'Base stats'!B:B,'Base stats'!U:U)))^0.4*_xlfn.XLOOKUP(B121,'Base stats'!B:B,'Base stats'!BF:BF)^0.73)^0.6 * _xlfn.XLOOKUP(B121,'Base stats'!B:B,'Base stats'!BV:BV),0.1),0.05)
))</f>
        <v>No</v>
      </c>
      <c r="H121" s="11" t="str">
        <f>IF(G121="No","No",
MAX(0.01,MROUND(_xlfn.XLOOKUP(B121,'Base stats'!B:B,'Base stats'!BF:BF) * 0.01 * 2, 0.01))
)</f>
        <v>No</v>
      </c>
      <c r="I121" s="11" t="str">
        <f>IF(G121="No","No",IF(_xlfn.XLOOKUP(B121,'Base stats'!B:B,'Base stats'!U:U)="No","No",
MAX(0.01,MROUND(_xlfn.XLOOKUP(B121,'Base stats'!B:B,'Base stats'!BR:BR)/10000,0.01))
))</f>
        <v>No</v>
      </c>
      <c r="J121" s="4" t="str">
        <f>IF(G121="No","No",
MROUND(_xlfn.XLOOKUP(B121,'Base stats'!B:B,'Base stats'!BC:BC)^0.25
/((_xlfn.XLOOKUP(B121,'Base stats'!B:B,'Base stats'!BJ:BJ))*10)*_xlfn.XLOOKUP(_xlfn.XLOOKUP(B121,'Base stats'!B:B,'Base stats'!E:E),Groups!A:A,Groups!Q:Q)*150 + 0.5 + _xlfn.XLOOKUP(B121,'Base stats'!B:B,'Base stats'!BU:BU),
0.05))</f>
        <v>No</v>
      </c>
      <c r="K121" s="3" t="str">
        <f>IF(Animals!X121="No","No",
IF(_xlfn.XLOOKUP(_xlfn.XLOOKUP(B121,'Base stats'!B:B,'Base stats'!E:E),Groups!A:A,Groups!BD:BD)=1,
MAX(MROUND(_xlfn.XLOOKUP(B121,'Base stats'!B:B,'Base stats'!BS:BS) * _xlfn.XLOOKUP(B121,'Base stats'!B:B,'Base stats'!BO:BO)^0.9 / 21 *_xlfn.XLOOKUP(B121,'Base stats'!B:B,'Base stats'!BV:BV),0.1),0.05),
MAX(MROUND(((MIN(10,_xlfn.XLOOKUP(B121,'Base stats'!B:B,'Base stats'!W:W)))^0.4*_xlfn.XLOOKUP(B121,'Base stats'!B:B,'Base stats'!BG:BG)^0.73)^0.6 *_xlfn.XLOOKUP(B121,'Base stats'!B:B,'Base stats'!BV:BV),0.1),0.05)
))</f>
        <v>No</v>
      </c>
      <c r="L121" s="11" t="str">
        <f>IF(K121="No","No",
MAX(0.01,MROUND(_xlfn.XLOOKUP(B121,'Base stats'!B:B,'Base stats'!BG:BG) * 0.01 *2, 0.01))
)</f>
        <v>No</v>
      </c>
      <c r="M121" s="5" t="str">
        <f>IF(K121="No","No",IF(_xlfn.XLOOKUP(_xlfn.XLOOKUP(B121,'Base stats'!B:B,'Base stats'!E:E),Groups!A:A,Groups!BD:BD)=1,"No",
MAX(0.01,MROUND(_xlfn.XLOOKUP(B121,'Base stats'!B:B,'Base stats'!BS:BS)/10000,0.01))
))</f>
        <v>No</v>
      </c>
      <c r="N121" s="4" t="str">
        <f>IF(K121="No","No",
MROUND(
  _xlfn.XLOOKUP(B121,'Base stats'!B:B,'Base stats'!BA:BA)^0.25
  / (_xlfn.XLOOKUP(B121,'Base stats'!B:B,'Base stats'!BK:BK)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stats'!BU:BU),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stats'!BH:BH)^0.73)^0.6 *_xlfn.XLOOKUP(B121,'Base stats'!B:B,'Base stats'!BV:BV),0.1),0.05)
)</f>
        <v>18.3</v>
      </c>
      <c r="P121" s="11">
        <f>IF(O121="No","No",
MAX(0.01,MROUND(_xlfn.XLOOKUP(B121,'Base stats'!B:B,'Base stats'!BH:BH) * 0.01 * 2, 0.01))
)</f>
        <v>8.4700000000000006</v>
      </c>
      <c r="Q121" s="5">
        <f>IF(O121="No","No",
MAX(0.01,MROUND(_xlfn.XLOOKUP(B121,'Base stats'!B:B,'Base stats'!BT:BT)/10000,0.01))
)</f>
        <v>0.53</v>
      </c>
      <c r="R121" s="4">
        <f>IF(O121="No","No",
MROUND(_xlfn.XLOOKUP(B121,'Base stats'!B:B,'Base stats'!AZ:AZ)^0.25
/((_xlfn.XLOOKUP(B121,'Base stats'!B:B,'Base stats'!BL:BL))*10)*_xlfn.XLOOKUP(_xlfn.XLOOKUP(B121,'Base stats'!B:B,'Base stats'!E:E),Groups!A:A,Groups!Z:Z)*150 + 0.5 + _xlfn.XLOOKUP(B121,'Base stats'!B:B,'Base stats'!BU:BU),
0.05))</f>
        <v>2.25</v>
      </c>
      <c r="S121" s="3" t="str">
        <f>IF(Animals!AI121="No","No",
IF(_xlfn.XLOOKUP(B121,'Base stats'!B:B,'Base stats'!U:U)="No",
MAX(MROUND(_xlfn.XLOOKUP(B121,'Base stats'!B:B,'Base stats'!BR:BR) * _xlfn.XLOOKUP(B121,'Base stats'!B:B,'Base stats'!BN:BN)^0.9 / 21 * _xlfn.XLOOKUP(B121,'Base stats'!B:B,'Base stats'!BV:BV),0.1),0.05),
MAX(MROUND(((MIN(12,_xlfn.XLOOKUP(B121,'Base stats'!B:B,'Base stats'!U:U)))^0.4*_xlfn.XLOOKUP(B121,'Base stats'!B:B,'Base stats'!BF:BF)^0.73)^0.6 * _xlfn.XLOOKUP(B121,'Base stats'!B:B,'Base stats'!BV:BV),0.1),0.05)
))</f>
        <v>No</v>
      </c>
      <c r="T121" s="11" t="str">
        <f>IF(S121="No","No",
MAX(0.01,MROUND(_xlfn.XLOOKUP(B121,'Base stats'!B:B,'Base stats'!BF:BF) * 0.01 * 2, 0.01))
)</f>
        <v>No</v>
      </c>
      <c r="U121" s="5" t="str">
        <f>IF(S121="No","No",IF(_xlfn.XLOOKUP(B121,'Base stats'!B:B,'Base stats'!U:U)="No","No",
MAX(0.01,MROUND(_xlfn.XLOOKUP(B121,'Base stats'!B:B,'Base stats'!BR:BR)/10000,0.01))
))</f>
        <v>No</v>
      </c>
      <c r="V121" s="4" t="str">
        <f>IF(S121="No","No",
MROUND(_xlfn.XLOOKUP(B121,'Base stats'!B:B,'Base stats'!BD:BD)^0.25
/((_xlfn.XLOOKUP(B121,'Base stats'!B:B,'Base stats'!BM:BM))*10)*_xlfn.XLOOKUP(_xlfn.XLOOKUP(B121,'Base stats'!B:B,'Base stats'!E:E),Groups!A:A,Groups!AE:AE)*150 + 0.5 + _xlfn.XLOOKUP(B121,'Base stats'!B:B,'Base stats'!BU:BU),
0.05))</f>
        <v>No</v>
      </c>
      <c r="W121" s="8">
        <f>MROUND(_xlfn.XLOOKUP(_xlfn.XLOOKUP(B121,'Base stats'!B:B,'Base stats'!E:E),Groups!A:A,Groups!BG:BG)*_xlfn.XLOOKUP(B121,'Base stats'!B:B,'Base stats'!C:C)^-0.165,0.01)</f>
        <v>0.5</v>
      </c>
      <c r="X121" s="1">
        <f>MROUND(_xlfn.XLOOKUP(_xlfn.XLOOKUP(B121,'Base stats'!B:B,'Base stats'!E:E),Groups!A:A,Groups!BH:BH)*_xlfn.XLOOKUP(B121,'Base stats'!B:B,'Base stats'!C:C)^0.165,0.01)</f>
        <v>0.4</v>
      </c>
      <c r="Y121" s="8">
        <f>MROUND(_xlfn.XLOOKUP(_xlfn.XLOOKUP(B121,'Base stats'!B:B,'Base stats'!E:E),Groups!A:A,Groups!BI:BI)*_xlfn.XLOOKUP(B121,'Base stats'!B:B,'Base stats'!C:C)^0.165,0.01)</f>
        <v>0.05</v>
      </c>
      <c r="Z121" s="18">
        <f>ROUND(_xlfn.XLOOKUP(B121,'Base stats'!B:B,'Base stats'!AO:AO)*_xlfn.XLOOKUP(_xlfn.XLOOKUP(B121,'Base stats'!B:B,'Base stats'!E:E),Groups!A:A,Groups!H:H)/1000,2)</f>
        <v>0.09</v>
      </c>
      <c r="AA121" s="18">
        <f>ROUND((1/2)*(_xlfn.XLOOKUP(_xlfn.XLOOKUP(B121,'Base stats'!B:B,'Base stats'!E:E),Groups!A:A,Groups!H:H)*_xlfn.XLOOKUP(_xlfn.XLOOKUP(B121,'Base stats'!B:B,'Base stats'!E:E),Groups!A:A,Groups!I:I))*_xlfn.XLOOKUP(B121,'Base stats'!B:B,'Base stats'!AO:AO)*0.01,2)</f>
        <v>0.71</v>
      </c>
      <c r="AB121" s="18">
        <f>250*(Animals!AO121+Animals!AP121)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stats'!BQ:BQ) * (_xlfn.XLOOKUP(B122,'Base stats'!B:B,'Base stats'!AM:AM)*5%)^0.9 / 21,0.1),0.05)</f>
        <v>0.70000000000000007</v>
      </c>
      <c r="E122" s="11">
        <f>MAX(0.01,MROUND(_xlfn.XLOOKUP(B122,'Base stats'!B:B,'Base stats'!BE:BE) * 0.01 * 2, 0.01))</f>
        <v>0.6</v>
      </c>
      <c r="F122" s="7">
        <f>MROUND(_xlfn.XLOOKUP(B122,'Base stats'!B:B,'Base stats'!BB:BB)^0.25 / (_xlfn.XLOOKUP(B122,'Base stats'!B:B,'Base stats'!BI:BI) * 10) * 150 + 0.5 + _xlfn.XLOOKUP(B122,'Base stats'!B:B,'Base stats'!BU:BU), 0.05)</f>
        <v>2</v>
      </c>
      <c r="G122" s="3" t="str">
        <f>IF(Animals!S122="No","No",
IF(_xlfn.XLOOKUP(B122,'Base stats'!B:B,'Base stats'!U:U)="No",
MAX(MROUND(_xlfn.XLOOKUP(B122,'Base stats'!B:B,'Base stats'!BR:BR) * _xlfn.XLOOKUP(B122,'Base stats'!B:B,'Base stats'!BN:BN)^0.9 / 21 * _xlfn.XLOOKUP(B122,'Base stats'!B:B,'Base stats'!BV:BV),0.1),0.05),
MAX(MROUND(((MIN(10,_xlfn.XLOOKUP(B122,'Base stats'!B:B,'Base stats'!U:U)))^0.4*_xlfn.XLOOKUP(B122,'Base stats'!B:B,'Base stats'!BF:BF)^0.73)^0.6 * _xlfn.XLOOKUP(B122,'Base stats'!B:B,'Base stats'!BV:BV),0.1),0.05)
))</f>
        <v>No</v>
      </c>
      <c r="H122" s="11" t="str">
        <f>IF(G122="No","No",
MAX(0.01,MROUND(_xlfn.XLOOKUP(B122,'Base stats'!B:B,'Base stats'!BF:BF) * 0.01 * 2, 0.01))
)</f>
        <v>No</v>
      </c>
      <c r="I122" s="11" t="str">
        <f>IF(G122="No","No",IF(_xlfn.XLOOKUP(B122,'Base stats'!B:B,'Base stats'!U:U)="No","No",
MAX(0.01,MROUND(_xlfn.XLOOKUP(B122,'Base stats'!B:B,'Base stats'!BR:BR)/10000,0.01))
))</f>
        <v>No</v>
      </c>
      <c r="J122" s="4" t="str">
        <f>IF(G122="No","No",
MROUND(_xlfn.XLOOKUP(B122,'Base stats'!B:B,'Base stats'!BC:BC)^0.25
/((_xlfn.XLOOKUP(B122,'Base stats'!B:B,'Base stats'!BJ:BJ))*10)*_xlfn.XLOOKUP(_xlfn.XLOOKUP(B122,'Base stats'!B:B,'Base stats'!E:E),Groups!A:A,Groups!Q:Q)*150 + 0.5 + _xlfn.XLOOKUP(B122,'Base stats'!B:B,'Base stats'!BU:BU),
0.05))</f>
        <v>No</v>
      </c>
      <c r="K122" s="3" t="str">
        <f>IF(Animals!X122="No","No",
IF(_xlfn.XLOOKUP(_xlfn.XLOOKUP(B122,'Base stats'!B:B,'Base stats'!E:E),Groups!A:A,Groups!BD:BD)=1,
MAX(MROUND(_xlfn.XLOOKUP(B122,'Base stats'!B:B,'Base stats'!BS:BS) * _xlfn.XLOOKUP(B122,'Base stats'!B:B,'Base stats'!BO:BO)^0.9 / 21 *_xlfn.XLOOKUP(B122,'Base stats'!B:B,'Base stats'!BV:BV),0.1),0.05),
MAX(MROUND(((MIN(10,_xlfn.XLOOKUP(B122,'Base stats'!B:B,'Base stats'!W:W)))^0.4*_xlfn.XLOOKUP(B122,'Base stats'!B:B,'Base stats'!BG:BG)^0.73)^0.6 *_xlfn.XLOOKUP(B122,'Base stats'!B:B,'Base stats'!BV:BV),0.1),0.05)
))</f>
        <v>No</v>
      </c>
      <c r="L122" s="11" t="str">
        <f>IF(K122="No","No",
MAX(0.01,MROUND(_xlfn.XLOOKUP(B122,'Base stats'!B:B,'Base stats'!BG:BG) * 0.01 *2, 0.01))
)</f>
        <v>No</v>
      </c>
      <c r="M122" s="5" t="str">
        <f>IF(K122="No","No",IF(_xlfn.XLOOKUP(_xlfn.XLOOKUP(B122,'Base stats'!B:B,'Base stats'!E:E),Groups!A:A,Groups!BD:BD)=1,"No",
MAX(0.01,MROUND(_xlfn.XLOOKUP(B122,'Base stats'!B:B,'Base stats'!BS:BS)/10000,0.01))
))</f>
        <v>No</v>
      </c>
      <c r="N122" s="4" t="str">
        <f>IF(K122="No","No",
MROUND(
  _xlfn.XLOOKUP(B122,'Base stats'!B:B,'Base stats'!BA:BA)^0.25
  / (_xlfn.XLOOKUP(B122,'Base stats'!B:B,'Base stats'!BK:BK)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stats'!BU:BU),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stats'!BH:BH)^0.73)^0.6 *_xlfn.XLOOKUP(B122,'Base stats'!B:B,'Base stats'!BV:BV),0.1),0.05)
)</f>
        <v>6.2</v>
      </c>
      <c r="P122" s="11">
        <f>IF(O122="No","No",
MAX(0.01,MROUND(_xlfn.XLOOKUP(B122,'Base stats'!B:B,'Base stats'!BH:BH) * 0.01 * 2, 0.01))
)</f>
        <v>0.96</v>
      </c>
      <c r="Q122" s="5">
        <f>IF(O122="No","No",
MAX(0.01,MROUND(_xlfn.XLOOKUP(B122,'Base stats'!B:B,'Base stats'!BT:BT)/10000,0.01))
)</f>
        <v>7.0000000000000007E-2</v>
      </c>
      <c r="R122" s="4">
        <f>IF(O122="No","No",
MROUND(_xlfn.XLOOKUP(B122,'Base stats'!B:B,'Base stats'!AZ:AZ)^0.25
/((_xlfn.XLOOKUP(B122,'Base stats'!B:B,'Base stats'!BL:BL))*10)*_xlfn.XLOOKUP(_xlfn.XLOOKUP(B122,'Base stats'!B:B,'Base stats'!E:E),Groups!A:A,Groups!Z:Z)*150 + 0.5 + _xlfn.XLOOKUP(B122,'Base stats'!B:B,'Base stats'!BU:BU),
0.05))</f>
        <v>2.2000000000000002</v>
      </c>
      <c r="S122" s="3" t="str">
        <f>IF(Animals!AI122="No","No",
IF(_xlfn.XLOOKUP(B122,'Base stats'!B:B,'Base stats'!U:U)="No",
MAX(MROUND(_xlfn.XLOOKUP(B122,'Base stats'!B:B,'Base stats'!BR:BR) * _xlfn.XLOOKUP(B122,'Base stats'!B:B,'Base stats'!BN:BN)^0.9 / 21 * _xlfn.XLOOKUP(B122,'Base stats'!B:B,'Base stats'!BV:BV),0.1),0.05),
MAX(MROUND(((MIN(12,_xlfn.XLOOKUP(B122,'Base stats'!B:B,'Base stats'!U:U)))^0.4*_xlfn.XLOOKUP(B122,'Base stats'!B:B,'Base stats'!BF:BF)^0.73)^0.6 * _xlfn.XLOOKUP(B122,'Base stats'!B:B,'Base stats'!BV:BV),0.1),0.05)
))</f>
        <v>No</v>
      </c>
      <c r="T122" s="11" t="str">
        <f>IF(S122="No","No",
MAX(0.01,MROUND(_xlfn.XLOOKUP(B122,'Base stats'!B:B,'Base stats'!BF:BF) * 0.01 * 2, 0.01))
)</f>
        <v>No</v>
      </c>
      <c r="U122" s="5" t="str">
        <f>IF(S122="No","No",IF(_xlfn.XLOOKUP(B122,'Base stats'!B:B,'Base stats'!U:U)="No","No",
MAX(0.01,MROUND(_xlfn.XLOOKUP(B122,'Base stats'!B:B,'Base stats'!BR:BR)/10000,0.01))
))</f>
        <v>No</v>
      </c>
      <c r="V122" s="4" t="str">
        <f>IF(S122="No","No",
MROUND(_xlfn.XLOOKUP(B122,'Base stats'!B:B,'Base stats'!BD:BD)^0.25
/((_xlfn.XLOOKUP(B122,'Base stats'!B:B,'Base stats'!BM:BM))*10)*_xlfn.XLOOKUP(_xlfn.XLOOKUP(B122,'Base stats'!B:B,'Base stats'!E:E),Groups!A:A,Groups!AE:AE)*150 + 0.5 + _xlfn.XLOOKUP(B122,'Base stats'!B:B,'Base stats'!BU:BU),
0.05))</f>
        <v>No</v>
      </c>
      <c r="W122" s="8">
        <f>MROUND(_xlfn.XLOOKUP(_xlfn.XLOOKUP(B122,'Base stats'!B:B,'Base stats'!E:E),Groups!A:A,Groups!BG:BG)*_xlfn.XLOOKUP(B122,'Base stats'!B:B,'Base stats'!C:C)^-0.165,0.01)</f>
        <v>0.13</v>
      </c>
      <c r="X122" s="1">
        <f>MROUND(_xlfn.XLOOKUP(_xlfn.XLOOKUP(B122,'Base stats'!B:B,'Base stats'!E:E),Groups!A:A,Groups!BH:BH)*_xlfn.XLOOKUP(B122,'Base stats'!B:B,'Base stats'!C:C)^0.165,0.01)</f>
        <v>0</v>
      </c>
      <c r="Y122" s="8">
        <f>MROUND(_xlfn.XLOOKUP(_xlfn.XLOOKUP(B122,'Base stats'!B:B,'Base stats'!E:E),Groups!A:A,Groups!BI:BI)*_xlfn.XLOOKUP(B122,'Base stats'!B:B,'Base stats'!C:C)^0.165,0.01)</f>
        <v>0</v>
      </c>
      <c r="Z122" s="18">
        <f>ROUND(_xlfn.XLOOKUP(B122,'Base stats'!B:B,'Base stats'!AO:AO)*_xlfn.XLOOKUP(_xlfn.XLOOKUP(B122,'Base stats'!B:B,'Base stats'!E:E),Groups!A:A,Groups!H:H)/1000,2)</f>
        <v>1.33</v>
      </c>
      <c r="AA122" s="18">
        <f>ROUND((1/2)*(_xlfn.XLOOKUP(_xlfn.XLOOKUP(B122,'Base stats'!B:B,'Base stats'!E:E),Groups!A:A,Groups!H:H)*_xlfn.XLOOKUP(_xlfn.XLOOKUP(B122,'Base stats'!B:B,'Base stats'!E:E),Groups!A:A,Groups!I:I))*_xlfn.XLOOKUP(B122,'Base stats'!B:B,'Base stats'!AO:AO)*0.01,2)</f>
        <v>2.35</v>
      </c>
      <c r="AB122" s="18">
        <f>250*(Animals!AO122+Animals!AP122)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stats'!BQ:BQ) * (_xlfn.XLOOKUP(B123,'Base stats'!B:B,'Base stats'!AM:AM)*5%)^0.9 / 21,0.1),0.05)</f>
        <v>4.8000000000000007</v>
      </c>
      <c r="E123" s="11">
        <f>MAX(0.01,MROUND(_xlfn.XLOOKUP(B123,'Base stats'!B:B,'Base stats'!BE:BE) * 0.01 * 2, 0.01))</f>
        <v>4.21</v>
      </c>
      <c r="F123" s="7">
        <f>MROUND(_xlfn.XLOOKUP(B123,'Base stats'!B:B,'Base stats'!BB:BB)^0.25 / (_xlfn.XLOOKUP(B123,'Base stats'!B:B,'Base stats'!BI:BI) * 10) * 150 + 0.5 + _xlfn.XLOOKUP(B123,'Base stats'!B:B,'Base stats'!BU:BU), 0.05)</f>
        <v>2.1</v>
      </c>
      <c r="G123" s="3" t="str">
        <f>IF(Animals!S123="No","No",
IF(_xlfn.XLOOKUP(B123,'Base stats'!B:B,'Base stats'!U:U)="No",
MAX(MROUND(_xlfn.XLOOKUP(B123,'Base stats'!B:B,'Base stats'!BR:BR) * _xlfn.XLOOKUP(B123,'Base stats'!B:B,'Base stats'!BN:BN)^0.9 / 21 * _xlfn.XLOOKUP(B123,'Base stats'!B:B,'Base stats'!BV:BV),0.1),0.05),
MAX(MROUND(((MIN(10,_xlfn.XLOOKUP(B123,'Base stats'!B:B,'Base stats'!U:U)))^0.4*_xlfn.XLOOKUP(B123,'Base stats'!B:B,'Base stats'!BF:BF)^0.73)^0.6 * _xlfn.XLOOKUP(B123,'Base stats'!B:B,'Base stats'!BV:BV),0.1),0.05)
))</f>
        <v>No</v>
      </c>
      <c r="H123" s="11" t="str">
        <f>IF(G123="No","No",
MAX(0.01,MROUND(_xlfn.XLOOKUP(B123,'Base stats'!B:B,'Base stats'!BF:BF) * 0.01 * 2, 0.01))
)</f>
        <v>No</v>
      </c>
      <c r="I123" s="11" t="str">
        <f>IF(G123="No","No",IF(_xlfn.XLOOKUP(B123,'Base stats'!B:B,'Base stats'!U:U)="No","No",
MAX(0.01,MROUND(_xlfn.XLOOKUP(B123,'Base stats'!B:B,'Base stats'!BR:BR)/10000,0.01))
))</f>
        <v>No</v>
      </c>
      <c r="J123" s="4" t="str">
        <f>IF(G123="No","No",
MROUND(_xlfn.XLOOKUP(B123,'Base stats'!B:B,'Base stats'!BC:BC)^0.25
/((_xlfn.XLOOKUP(B123,'Base stats'!B:B,'Base stats'!BJ:BJ))*10)*_xlfn.XLOOKUP(_xlfn.XLOOKUP(B123,'Base stats'!B:B,'Base stats'!E:E),Groups!A:A,Groups!Q:Q)*150 + 0.5 + _xlfn.XLOOKUP(B123,'Base stats'!B:B,'Base stats'!BU:BU),
0.05))</f>
        <v>No</v>
      </c>
      <c r="K123" s="3" t="str">
        <f>IF(Animals!X123="No","No",
IF(_xlfn.XLOOKUP(_xlfn.XLOOKUP(B123,'Base stats'!B:B,'Base stats'!E:E),Groups!A:A,Groups!BD:BD)=1,
MAX(MROUND(_xlfn.XLOOKUP(B123,'Base stats'!B:B,'Base stats'!BS:BS) * _xlfn.XLOOKUP(B123,'Base stats'!B:B,'Base stats'!BO:BO)^0.9 / 21 *_xlfn.XLOOKUP(B123,'Base stats'!B:B,'Base stats'!BV:BV),0.1),0.05),
MAX(MROUND(((MIN(10,_xlfn.XLOOKUP(B123,'Base stats'!B:B,'Base stats'!W:W)))^0.4*_xlfn.XLOOKUP(B123,'Base stats'!B:B,'Base stats'!BG:BG)^0.73)^0.6 *_xlfn.XLOOKUP(B123,'Base stats'!B:B,'Base stats'!BV:BV),0.1),0.05)
))</f>
        <v>No</v>
      </c>
      <c r="L123" s="11" t="str">
        <f>IF(K123="No","No",
MAX(0.01,MROUND(_xlfn.XLOOKUP(B123,'Base stats'!B:B,'Base stats'!BG:BG) * 0.01 *2, 0.01))
)</f>
        <v>No</v>
      </c>
      <c r="M123" s="5" t="str">
        <f>IF(K123="No","No",IF(_xlfn.XLOOKUP(_xlfn.XLOOKUP(B123,'Base stats'!B:B,'Base stats'!E:E),Groups!A:A,Groups!BD:BD)=1,"No",
MAX(0.01,MROUND(_xlfn.XLOOKUP(B123,'Base stats'!B:B,'Base stats'!BS:BS)/10000,0.01))
))</f>
        <v>No</v>
      </c>
      <c r="N123" s="4" t="str">
        <f>IF(K123="No","No",
MROUND(
  _xlfn.XLOOKUP(B123,'Base stats'!B:B,'Base stats'!BA:BA)^0.25
  / (_xlfn.XLOOKUP(B123,'Base stats'!B:B,'Base stats'!BK:BK)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stats'!BU:BU),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stats'!BH:BH)^0.73)^0.6 *_xlfn.XLOOKUP(B123,'Base stats'!B:B,'Base stats'!BV:BV),0.1),0.05)
)</f>
        <v>23.3</v>
      </c>
      <c r="P123" s="11">
        <f>IF(O123="No","No",
MAX(0.01,MROUND(_xlfn.XLOOKUP(B123,'Base stats'!B:B,'Base stats'!BH:BH) * 0.01 * 2, 0.01))
)</f>
        <v>10.24</v>
      </c>
      <c r="Q123" s="5">
        <f>IF(O123="No","No",
MAX(0.01,MROUND(_xlfn.XLOOKUP(B123,'Base stats'!B:B,'Base stats'!BT:BT)/10000,0.01))
)</f>
        <v>0.43</v>
      </c>
      <c r="R123" s="4">
        <f>IF(O123="No","No",
MROUND(_xlfn.XLOOKUP(B123,'Base stats'!B:B,'Base stats'!AZ:AZ)^0.25
/((_xlfn.XLOOKUP(B123,'Base stats'!B:B,'Base stats'!BL:BL))*10)*_xlfn.XLOOKUP(_xlfn.XLOOKUP(B123,'Base stats'!B:B,'Base stats'!E:E),Groups!A:A,Groups!Z:Z)*150 + 0.5 + _xlfn.XLOOKUP(B123,'Base stats'!B:B,'Base stats'!BU:BU),
0.05))</f>
        <v>2.0500000000000003</v>
      </c>
      <c r="S123" s="3">
        <f>IF(Animals!AI123="No","No",
IF(_xlfn.XLOOKUP(B123,'Base stats'!B:B,'Base stats'!U:U)="No",
MAX(MROUND(_xlfn.XLOOKUP(B123,'Base stats'!B:B,'Base stats'!BR:BR) * _xlfn.XLOOKUP(B123,'Base stats'!B:B,'Base stats'!BN:BN)^0.9 / 21 * _xlfn.XLOOKUP(B123,'Base stats'!B:B,'Base stats'!BV:BV),0.1),0.05),
MAX(MROUND(((MIN(12,_xlfn.XLOOKUP(B123,'Base stats'!B:B,'Base stats'!U:U)))^0.4*_xlfn.XLOOKUP(B123,'Base stats'!B:B,'Base stats'!BF:BF)^0.73)^0.6 * _xlfn.XLOOKUP(B123,'Base stats'!B:B,'Base stats'!BV:BV),0.1),0.05)
))</f>
        <v>18.100000000000001</v>
      </c>
      <c r="T123" s="11">
        <f>IF(S123="No","No",
MAX(0.01,MROUND(_xlfn.XLOOKUP(B123,'Base stats'!B:B,'Base stats'!BF:BF) * 0.01 * 2, 0.01))
)</f>
        <v>5.14</v>
      </c>
      <c r="U123" s="5">
        <f>IF(S123="No","No",IF(_xlfn.XLOOKUP(B123,'Base stats'!B:B,'Base stats'!U:U)="No","No",
MAX(0.01,MROUND(_xlfn.XLOOKUP(B123,'Base stats'!B:B,'Base stats'!BR:BR)/10000,0.01))
))</f>
        <v>0.21</v>
      </c>
      <c r="V123" s="4">
        <f>IF(S123="No","No",
MROUND(_xlfn.XLOOKUP(B123,'Base stats'!B:B,'Base stats'!BD:BD)^0.25
/((_xlfn.XLOOKUP(B123,'Base stats'!B:B,'Base stats'!BM:BM))*10)*_xlfn.XLOOKUP(_xlfn.XLOOKUP(B123,'Base stats'!B:B,'Base stats'!E:E),Groups!A:A,Groups!AE:AE)*150 + 0.5 + _xlfn.XLOOKUP(B123,'Base stats'!B:B,'Base stats'!BU:BU),
0.05))</f>
        <v>1.5</v>
      </c>
      <c r="W123" s="8">
        <f>MROUND(_xlfn.XLOOKUP(_xlfn.XLOOKUP(B123,'Base stats'!B:B,'Base stats'!E:E),Groups!A:A,Groups!BG:BG)*_xlfn.XLOOKUP(B123,'Base stats'!B:B,'Base stats'!C:C)^-0.165,0.01)</f>
        <v>0.54</v>
      </c>
      <c r="X123" s="1">
        <f>MROUND(_xlfn.XLOOKUP(_xlfn.XLOOKUP(B123,'Base stats'!B:B,'Base stats'!E:E),Groups!A:A,Groups!BH:BH)*_xlfn.XLOOKUP(B123,'Base stats'!B:B,'Base stats'!C:C)^0.165,0.01)</f>
        <v>0.57999999999999996</v>
      </c>
      <c r="Y123" s="8">
        <f>MROUND(_xlfn.XLOOKUP(_xlfn.XLOOKUP(B123,'Base stats'!B:B,'Base stats'!E:E),Groups!A:A,Groups!BI:BI)*_xlfn.XLOOKUP(B123,'Base stats'!B:B,'Base stats'!C:C)^0.165,0.01)</f>
        <v>0.06</v>
      </c>
      <c r="Z123" s="18">
        <f>ROUND(_xlfn.XLOOKUP(B123,'Base stats'!B:B,'Base stats'!AO:AO)*_xlfn.XLOOKUP(_xlfn.XLOOKUP(B123,'Base stats'!B:B,'Base stats'!E:E),Groups!A:A,Groups!H:H)/1000,2)</f>
        <v>0.13</v>
      </c>
      <c r="AA123" s="18">
        <f>ROUND((1/2)*(_xlfn.XLOOKUP(_xlfn.XLOOKUP(B123,'Base stats'!B:B,'Base stats'!E:E),Groups!A:A,Groups!H:H)*_xlfn.XLOOKUP(_xlfn.XLOOKUP(B123,'Base stats'!B:B,'Base stats'!E:E),Groups!A:A,Groups!I:I))*_xlfn.XLOOKUP(B123,'Base stats'!B:B,'Base stats'!AO:AO)*0.01,2)</f>
        <v>1.01</v>
      </c>
      <c r="AB123" s="18">
        <f>250*(Animals!AO123+Animals!AP123)</f>
        <v>937.50000000000011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stats'!BQ:BQ) * (_xlfn.XLOOKUP(B124,'Base stats'!B:B,'Base stats'!AM:AM)*5%)^0.9 / 21,0.1),0.05)</f>
        <v>0.1</v>
      </c>
      <c r="E124" s="11">
        <f>MAX(0.01,MROUND(_xlfn.XLOOKUP(B124,'Base stats'!B:B,'Base stats'!BE:BE) * 0.01 * 2, 0.01))</f>
        <v>0.05</v>
      </c>
      <c r="F124" s="7">
        <f>MROUND(_xlfn.XLOOKUP(B124,'Base stats'!B:B,'Base stats'!BB:BB)^0.25 / (_xlfn.XLOOKUP(B124,'Base stats'!B:B,'Base stats'!BI:BI) * 10) * 150 + 0.5 + _xlfn.XLOOKUP(B124,'Base stats'!B:B,'Base stats'!BU:BU), 0.05)</f>
        <v>1.2000000000000002</v>
      </c>
      <c r="G124" s="3" t="str">
        <f>IF(Animals!S124="No","No",
IF(_xlfn.XLOOKUP(B124,'Base stats'!B:B,'Base stats'!U:U)="No",
MAX(MROUND(_xlfn.XLOOKUP(B124,'Base stats'!B:B,'Base stats'!BR:BR) * _xlfn.XLOOKUP(B124,'Base stats'!B:B,'Base stats'!BN:BN)^0.9 / 21 * _xlfn.XLOOKUP(B124,'Base stats'!B:B,'Base stats'!BV:BV),0.1),0.05),
MAX(MROUND(((MIN(10,_xlfn.XLOOKUP(B124,'Base stats'!B:B,'Base stats'!U:U)))^0.4*_xlfn.XLOOKUP(B124,'Base stats'!B:B,'Base stats'!BF:BF)^0.73)^0.6 * _xlfn.XLOOKUP(B124,'Base stats'!B:B,'Base stats'!BV:BV),0.1),0.05)
))</f>
        <v>No</v>
      </c>
      <c r="H124" s="11" t="str">
        <f>IF(G124="No","No",
MAX(0.01,MROUND(_xlfn.XLOOKUP(B124,'Base stats'!B:B,'Base stats'!BF:BF) * 0.01 * 2, 0.01))
)</f>
        <v>No</v>
      </c>
      <c r="I124" s="11" t="str">
        <f>IF(G124="No","No",IF(_xlfn.XLOOKUP(B124,'Base stats'!B:B,'Base stats'!U:U)="No","No",
MAX(0.01,MROUND(_xlfn.XLOOKUP(B124,'Base stats'!B:B,'Base stats'!BR:BR)/10000,0.01))
))</f>
        <v>No</v>
      </c>
      <c r="J124" s="4" t="str">
        <f>IF(G124="No","No",
MROUND(_xlfn.XLOOKUP(B124,'Base stats'!B:B,'Base stats'!BC:BC)^0.25
/((_xlfn.XLOOKUP(B124,'Base stats'!B:B,'Base stats'!BJ:BJ))*10)*_xlfn.XLOOKUP(_xlfn.XLOOKUP(B124,'Base stats'!B:B,'Base stats'!E:E),Groups!A:A,Groups!Q:Q)*150 + 0.5 + _xlfn.XLOOKUP(B124,'Base stats'!B:B,'Base stats'!BU:BU),
0.05))</f>
        <v>No</v>
      </c>
      <c r="K124" s="3" t="str">
        <f>IF(Animals!X124="No","No",
IF(_xlfn.XLOOKUP(_xlfn.XLOOKUP(B124,'Base stats'!B:B,'Base stats'!E:E),Groups!A:A,Groups!BD:BD)=1,
MAX(MROUND(_xlfn.XLOOKUP(B124,'Base stats'!B:B,'Base stats'!BS:BS) * _xlfn.XLOOKUP(B124,'Base stats'!B:B,'Base stats'!BO:BO)^0.9 / 21 *_xlfn.XLOOKUP(B124,'Base stats'!B:B,'Base stats'!BV:BV),0.1),0.05),
MAX(MROUND(((MIN(10,_xlfn.XLOOKUP(B124,'Base stats'!B:B,'Base stats'!W:W)))^0.4*_xlfn.XLOOKUP(B124,'Base stats'!B:B,'Base stats'!BG:BG)^0.73)^0.6 *_xlfn.XLOOKUP(B124,'Base stats'!B:B,'Base stats'!BV:BV),0.1),0.05)
))</f>
        <v>No</v>
      </c>
      <c r="L124" s="11" t="str">
        <f>IF(K124="No","No",
MAX(0.01,MROUND(_xlfn.XLOOKUP(B124,'Base stats'!B:B,'Base stats'!BG:BG) * 0.01 *2, 0.01))
)</f>
        <v>No</v>
      </c>
      <c r="M124" s="5" t="str">
        <f>IF(K124="No","No",IF(_xlfn.XLOOKUP(_xlfn.XLOOKUP(B124,'Base stats'!B:B,'Base stats'!E:E),Groups!A:A,Groups!BD:BD)=1,"No",
MAX(0.01,MROUND(_xlfn.XLOOKUP(B124,'Base stats'!B:B,'Base stats'!BS:BS)/10000,0.01))
))</f>
        <v>No</v>
      </c>
      <c r="N124" s="4" t="str">
        <f>IF(K124="No","No",
MROUND(
  _xlfn.XLOOKUP(B124,'Base stats'!B:B,'Base stats'!BA:BA)^0.25
  / (_xlfn.XLOOKUP(B124,'Base stats'!B:B,'Base stats'!BK:BK)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stats'!BU:BU),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stats'!BH:BH)^0.73)^0.6 *_xlfn.XLOOKUP(B124,'Base stats'!B:B,'Base stats'!BV:BV),0.1),0.05)
)</f>
        <v>3</v>
      </c>
      <c r="P124" s="11">
        <f>IF(O124="No","No",
MAX(0.01,MROUND(_xlfn.XLOOKUP(B124,'Base stats'!B:B,'Base stats'!BH:BH) * 0.01 * 2, 0.01))
)</f>
        <v>0.37</v>
      </c>
      <c r="Q124" s="5">
        <f>IF(O124="No","No",
MAX(0.01,MROUND(_xlfn.XLOOKUP(B124,'Base stats'!B:B,'Base stats'!BT:BT)/10000,0.01))
)</f>
        <v>0.11</v>
      </c>
      <c r="R124" s="4">
        <f>IF(O124="No","No",
MROUND(_xlfn.XLOOKUP(B124,'Base stats'!B:B,'Base stats'!AZ:AZ)^0.25
/((_xlfn.XLOOKUP(B124,'Base stats'!B:B,'Base stats'!BL:BL))*10)*_xlfn.XLOOKUP(_xlfn.XLOOKUP(B124,'Base stats'!B:B,'Base stats'!E:E),Groups!A:A,Groups!Z:Z)*150 + 0.5 + _xlfn.XLOOKUP(B124,'Base stats'!B:B,'Base stats'!BU:BU),
0.05))</f>
        <v>2.1</v>
      </c>
      <c r="S124" s="3">
        <f>IF(Animals!AI124="No","No",
IF(_xlfn.XLOOKUP(B124,'Base stats'!B:B,'Base stats'!U:U)="No",
MAX(MROUND(_xlfn.XLOOKUP(B124,'Base stats'!B:B,'Base stats'!BR:BR) * _xlfn.XLOOKUP(B124,'Base stats'!B:B,'Base stats'!BN:BN)^0.9 / 21 * _xlfn.XLOOKUP(B124,'Base stats'!B:B,'Base stats'!BV:BV),0.1),0.05),
MAX(MROUND(((MIN(12,_xlfn.XLOOKUP(B124,'Base stats'!B:B,'Base stats'!U:U)))^0.4*_xlfn.XLOOKUP(B124,'Base stats'!B:B,'Base stats'!BF:BF)^0.73)^0.6 * _xlfn.XLOOKUP(B124,'Base stats'!B:B,'Base stats'!BV:BV),0.1),0.05)
))</f>
        <v>1.5</v>
      </c>
      <c r="T124" s="11">
        <f>IF(S124="No","No",
MAX(0.01,MROUND(_xlfn.XLOOKUP(B124,'Base stats'!B:B,'Base stats'!BF:BF) * 0.01 * 2, 0.01))
)</f>
        <v>0.08</v>
      </c>
      <c r="U124" s="5">
        <f>IF(S124="No","No",IF(_xlfn.XLOOKUP(B124,'Base stats'!B:B,'Base stats'!U:U)="No","No",
MAX(0.01,MROUND(_xlfn.XLOOKUP(B124,'Base stats'!B:B,'Base stats'!BR:BR)/10000,0.01))
))</f>
        <v>0.02</v>
      </c>
      <c r="V124" s="4">
        <f>IF(S124="No","No",
MROUND(_xlfn.XLOOKUP(B124,'Base stats'!B:B,'Base stats'!BD:BD)^0.25
/((_xlfn.XLOOKUP(B124,'Base stats'!B:B,'Base stats'!BM:BM))*10)*_xlfn.XLOOKUP(_xlfn.XLOOKUP(B124,'Base stats'!B:B,'Base stats'!E:E),Groups!A:A,Groups!AE:AE)*150 + 0.5 + _xlfn.XLOOKUP(B124,'Base stats'!B:B,'Base stats'!BU:BU),
0.05))</f>
        <v>1.05</v>
      </c>
      <c r="W124" s="8">
        <f>MROUND(_xlfn.XLOOKUP(_xlfn.XLOOKUP(B124,'Base stats'!B:B,'Base stats'!E:E),Groups!A:A,Groups!BG:BG)*_xlfn.XLOOKUP(B124,'Base stats'!B:B,'Base stats'!C:C)^-0.165,0.01)</f>
        <v>0.48</v>
      </c>
      <c r="X124" s="1">
        <f>MROUND(_xlfn.XLOOKUP(_xlfn.XLOOKUP(B124,'Base stats'!B:B,'Base stats'!E:E),Groups!A:A,Groups!BH:BH)*_xlfn.XLOOKUP(B124,'Base stats'!B:B,'Base stats'!C:C)^0.165,0.01)</f>
        <v>0.21</v>
      </c>
      <c r="Y124" s="8">
        <f>MROUND(_xlfn.XLOOKUP(_xlfn.XLOOKUP(B124,'Base stats'!B:B,'Base stats'!E:E),Groups!A:A,Groups!BI:BI)*_xlfn.XLOOKUP(B124,'Base stats'!B:B,'Base stats'!C:C)^0.165,0.01)</f>
        <v>0.03</v>
      </c>
      <c r="Z124" s="18">
        <f>ROUND(_xlfn.XLOOKUP(B124,'Base stats'!B:B,'Base stats'!AO:AO)*_xlfn.XLOOKUP(_xlfn.XLOOKUP(B124,'Base stats'!B:B,'Base stats'!E:E),Groups!A:A,Groups!H:H)/1000,2)</f>
        <v>0.02</v>
      </c>
      <c r="AA124" s="18">
        <f>ROUND((1/2)*(_xlfn.XLOOKUP(_xlfn.XLOOKUP(B124,'Base stats'!B:B,'Base stats'!E:E),Groups!A:A,Groups!H:H)*_xlfn.XLOOKUP(_xlfn.XLOOKUP(B124,'Base stats'!B:B,'Base stats'!E:E),Groups!A:A,Groups!I:I))*_xlfn.XLOOKUP(B124,'Base stats'!B:B,'Base stats'!AO:AO)*0.01,2)</f>
        <v>0.08</v>
      </c>
      <c r="AB124" s="18">
        <f>250*(Animals!AO124+Animals!AP124)</f>
        <v>87.500000000000014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stats'!BQ:BQ) * (_xlfn.XLOOKUP(B125,'Base stats'!B:B,'Base stats'!AM:AM)*5%)^0.9 / 21,0.1),0.05)</f>
        <v>15.600000000000001</v>
      </c>
      <c r="E125" s="11">
        <f>MAX(0.01,MROUND(_xlfn.XLOOKUP(B125,'Base stats'!B:B,'Base stats'!BE:BE) * 0.01 * 2, 0.01))</f>
        <v>14.96</v>
      </c>
      <c r="F125" s="7">
        <f>MROUND(_xlfn.XLOOKUP(B125,'Base stats'!B:B,'Base stats'!BB:BB)^0.25 / (_xlfn.XLOOKUP(B125,'Base stats'!B:B,'Base stats'!BI:BI) * 10) * 150 + 0.5 + _xlfn.XLOOKUP(B125,'Base stats'!B:B,'Base stats'!BU:BU), 0.05)</f>
        <v>1.9500000000000002</v>
      </c>
      <c r="G125" s="3">
        <f>IF(Animals!S125="No","No",
IF(_xlfn.XLOOKUP(B125,'Base stats'!B:B,'Base stats'!U:U)="No",
MAX(MROUND(_xlfn.XLOOKUP(B125,'Base stats'!B:B,'Base stats'!BR:BR) * _xlfn.XLOOKUP(B125,'Base stats'!B:B,'Base stats'!BN:BN)^0.9 / 21 * _xlfn.XLOOKUP(B125,'Base stats'!B:B,'Base stats'!BV:BV),0.1),0.05),
MAX(MROUND(((MIN(10,_xlfn.XLOOKUP(B125,'Base stats'!B:B,'Base stats'!U:U)))^0.4*_xlfn.XLOOKUP(B125,'Base stats'!B:B,'Base stats'!BF:BF)^0.73)^0.6 * _xlfn.XLOOKUP(B125,'Base stats'!B:B,'Base stats'!BV:BV),0.1),0.05)
))</f>
        <v>25</v>
      </c>
      <c r="H125" s="11">
        <f>IF(G125="No","No",
MAX(0.01,MROUND(_xlfn.XLOOKUP(B125,'Base stats'!B:B,'Base stats'!BF:BF) * 0.01 * 2, 0.01))
)</f>
        <v>16.899999999999999</v>
      </c>
      <c r="I125" s="11" t="str">
        <f>IF(G125="No","No",IF(_xlfn.XLOOKUP(B125,'Base stats'!B:B,'Base stats'!U:U)="No","No",
MAX(0.01,MROUND(_xlfn.XLOOKUP(B125,'Base stats'!B:B,'Base stats'!BR:BR)/10000,0.01))
))</f>
        <v>No</v>
      </c>
      <c r="J125" s="4">
        <f>IF(G125="No","No",
MROUND(_xlfn.XLOOKUP(B125,'Base stats'!B:B,'Base stats'!BC:BC)^0.25
/((_xlfn.XLOOKUP(B125,'Base stats'!B:B,'Base stats'!BJ:BJ))*10)*_xlfn.XLOOKUP(_xlfn.XLOOKUP(B125,'Base stats'!B:B,'Base stats'!E:E),Groups!A:A,Groups!Q:Q)*150 + 0.5 + _xlfn.XLOOKUP(B125,'Base stats'!B:B,'Base stats'!BU:BU),
0.05))</f>
        <v>2.7</v>
      </c>
      <c r="K125" s="3" t="str">
        <f>IF(Animals!X125="No","No",
IF(_xlfn.XLOOKUP(_xlfn.XLOOKUP(B125,'Base stats'!B:B,'Base stats'!E:E),Groups!A:A,Groups!BD:BD)=1,
MAX(MROUND(_xlfn.XLOOKUP(B125,'Base stats'!B:B,'Base stats'!BS:BS) * _xlfn.XLOOKUP(B125,'Base stats'!B:B,'Base stats'!BO:BO)^0.9 / 21 *_xlfn.XLOOKUP(B125,'Base stats'!B:B,'Base stats'!BV:BV),0.1),0.05),
MAX(MROUND(((MIN(10,_xlfn.XLOOKUP(B125,'Base stats'!B:B,'Base stats'!W:W)))^0.4*_xlfn.XLOOKUP(B125,'Base stats'!B:B,'Base stats'!BG:BG)^0.73)^0.6 *_xlfn.XLOOKUP(B125,'Base stats'!B:B,'Base stats'!BV:BV),0.1),0.05)
))</f>
        <v>No</v>
      </c>
      <c r="L125" s="11" t="str">
        <f>IF(K125="No","No",
MAX(0.01,MROUND(_xlfn.XLOOKUP(B125,'Base stats'!B:B,'Base stats'!BG:BG) * 0.01 *2, 0.01))
)</f>
        <v>No</v>
      </c>
      <c r="M125" s="5" t="str">
        <f>IF(K125="No","No",IF(_xlfn.XLOOKUP(_xlfn.XLOOKUP(B125,'Base stats'!B:B,'Base stats'!E:E),Groups!A:A,Groups!BD:BD)=1,"No",
MAX(0.01,MROUND(_xlfn.XLOOKUP(B125,'Base stats'!B:B,'Base stats'!BS:BS)/10000,0.01))
))</f>
        <v>No</v>
      </c>
      <c r="N125" s="4" t="str">
        <f>IF(K125="No","No",
MROUND(
  _xlfn.XLOOKUP(B125,'Base stats'!B:B,'Base stats'!BA:BA)^0.25
  / (_xlfn.XLOOKUP(B125,'Base stats'!B:B,'Base stats'!BK:BK)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stats'!BU:BU),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stats'!BH:BH)^0.73)^0.6 *_xlfn.XLOOKUP(B125,'Base stats'!B:B,'Base stats'!BV:BV),0.1),0.05)
)</f>
        <v>21.8</v>
      </c>
      <c r="P125" s="11">
        <f>IF(O125="No","No",
MAX(0.01,MROUND(_xlfn.XLOOKUP(B125,'Base stats'!B:B,'Base stats'!BH:BH) * 0.01 * 2, 0.01))
)</f>
        <v>9.94</v>
      </c>
      <c r="Q125" s="5">
        <f>IF(O125="No","No",
MAX(0.01,MROUND(_xlfn.XLOOKUP(B125,'Base stats'!B:B,'Base stats'!BT:BT)/10000,0.01))
)</f>
        <v>0.1</v>
      </c>
      <c r="R125" s="4">
        <f>IF(O125="No","No",
MROUND(_xlfn.XLOOKUP(B125,'Base stats'!B:B,'Base stats'!AZ:AZ)^0.25
/((_xlfn.XLOOKUP(B125,'Base stats'!B:B,'Base stats'!BL:BL))*10)*_xlfn.XLOOKUP(_xlfn.XLOOKUP(B125,'Base stats'!B:B,'Base stats'!E:E),Groups!A:A,Groups!Z:Z)*150 + 0.5 + _xlfn.XLOOKUP(B125,'Base stats'!B:B,'Base stats'!BU:BU),
0.05))</f>
        <v>3.0500000000000003</v>
      </c>
      <c r="S125" s="3" t="str">
        <f>IF(Animals!AI125="No","No",
IF(_xlfn.XLOOKUP(B125,'Base stats'!B:B,'Base stats'!U:U)="No",
MAX(MROUND(_xlfn.XLOOKUP(B125,'Base stats'!B:B,'Base stats'!BR:BR) * _xlfn.XLOOKUP(B125,'Base stats'!B:B,'Base stats'!BN:BN)^0.9 / 21 * _xlfn.XLOOKUP(B125,'Base stats'!B:B,'Base stats'!BV:BV),0.1),0.05),
MAX(MROUND(((MIN(12,_xlfn.XLOOKUP(B125,'Base stats'!B:B,'Base stats'!U:U)))^0.4*_xlfn.XLOOKUP(B125,'Base stats'!B:B,'Base stats'!BF:BF)^0.73)^0.6 * _xlfn.XLOOKUP(B125,'Base stats'!B:B,'Base stats'!BV:BV),0.1),0.05)
))</f>
        <v>No</v>
      </c>
      <c r="T125" s="11" t="str">
        <f>IF(S125="No","No",
MAX(0.01,MROUND(_xlfn.XLOOKUP(B125,'Base stats'!B:B,'Base stats'!BF:BF) * 0.01 * 2, 0.01))
)</f>
        <v>No</v>
      </c>
      <c r="U125" s="5" t="str">
        <f>IF(S125="No","No",IF(_xlfn.XLOOKUP(B125,'Base stats'!B:B,'Base stats'!U:U)="No","No",
MAX(0.01,MROUND(_xlfn.XLOOKUP(B125,'Base stats'!B:B,'Base stats'!BR:BR)/10000,0.01))
))</f>
        <v>No</v>
      </c>
      <c r="V125" s="4" t="str">
        <f>IF(S125="No","No",
MROUND(_xlfn.XLOOKUP(B125,'Base stats'!B:B,'Base stats'!BD:BD)^0.25
/((_xlfn.XLOOKUP(B125,'Base stats'!B:B,'Base stats'!BM:BM))*10)*_xlfn.XLOOKUP(_xlfn.XLOOKUP(B125,'Base stats'!B:B,'Base stats'!E:E),Groups!A:A,Groups!AE:AE)*150 + 0.5 + _xlfn.XLOOKUP(B125,'Base stats'!B:B,'Base stats'!BU:BU),
0.05))</f>
        <v>No</v>
      </c>
      <c r="W125" s="8">
        <f>MROUND(_xlfn.XLOOKUP(_xlfn.XLOOKUP(B125,'Base stats'!B:B,'Base stats'!E:E),Groups!A:A,Groups!BG:BG)*_xlfn.XLOOKUP(B125,'Base stats'!B:B,'Base stats'!C:C)^-0.165,0.01)</f>
        <v>0.17</v>
      </c>
      <c r="X125" s="1">
        <f>MROUND(_xlfn.XLOOKUP(_xlfn.XLOOKUP(B125,'Base stats'!B:B,'Base stats'!E:E),Groups!A:A,Groups!BH:BH)*_xlfn.XLOOKUP(B125,'Base stats'!B:B,'Base stats'!C:C)^0.165,0.01)</f>
        <v>0</v>
      </c>
      <c r="Y125" s="8">
        <f>MROUND(_xlfn.XLOOKUP(_xlfn.XLOOKUP(B125,'Base stats'!B:B,'Base stats'!E:E),Groups!A:A,Groups!BI:BI)*_xlfn.XLOOKUP(B125,'Base stats'!B:B,'Base stats'!C:C)^0.165,0.01)</f>
        <v>0</v>
      </c>
      <c r="Z125" s="18">
        <f>ROUND(_xlfn.XLOOKUP(B125,'Base stats'!B:B,'Base stats'!AO:AO)*_xlfn.XLOOKUP(_xlfn.XLOOKUP(B125,'Base stats'!B:B,'Base stats'!E:E),Groups!A:A,Groups!H:H)/1000,2)</f>
        <v>0.08</v>
      </c>
      <c r="AA125" s="18">
        <f>ROUND((1/2)*(_xlfn.XLOOKUP(_xlfn.XLOOKUP(B125,'Base stats'!B:B,'Base stats'!E:E),Groups!A:A,Groups!H:H)*_xlfn.XLOOKUP(_xlfn.XLOOKUP(B125,'Base stats'!B:B,'Base stats'!E:E),Groups!A:A,Groups!I:I))*_xlfn.XLOOKUP(B125,'Base stats'!B:B,'Base stats'!AO:AO)*0.01,2)</f>
        <v>0.45</v>
      </c>
      <c r="AB125" s="18">
        <f>250*(Animals!AO125+Animals!AP125)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stats'!BQ:BQ) * (_xlfn.XLOOKUP(B126,'Base stats'!B:B,'Base stats'!AM:AM)*5%)^0.9 / 21,0.1),0.05)</f>
        <v>0.30000000000000004</v>
      </c>
      <c r="E126" s="11">
        <f>MAX(0.01,MROUND(_xlfn.XLOOKUP(B126,'Base stats'!B:B,'Base stats'!BE:BE) * 0.01 * 2, 0.01))</f>
        <v>0.19</v>
      </c>
      <c r="F126" s="7">
        <f>MROUND(_xlfn.XLOOKUP(B126,'Base stats'!B:B,'Base stats'!BB:BB)^0.25 / (_xlfn.XLOOKUP(B126,'Base stats'!B:B,'Base stats'!BI:BI) * 10) * 150 + 0.5 + _xlfn.XLOOKUP(B126,'Base stats'!B:B,'Base stats'!BU:BU), 0.05)</f>
        <v>1.4500000000000002</v>
      </c>
      <c r="G126" s="3" t="str">
        <f>IF(Animals!S126="No","No",
IF(_xlfn.XLOOKUP(B126,'Base stats'!B:B,'Base stats'!U:U)="No",
MAX(MROUND(_xlfn.XLOOKUP(B126,'Base stats'!B:B,'Base stats'!BR:BR) * _xlfn.XLOOKUP(B126,'Base stats'!B:B,'Base stats'!BN:BN)^0.9 / 21 * _xlfn.XLOOKUP(B126,'Base stats'!B:B,'Base stats'!BV:BV),0.1),0.05),
MAX(MROUND(((MIN(10,_xlfn.XLOOKUP(B126,'Base stats'!B:B,'Base stats'!U:U)))^0.4*_xlfn.XLOOKUP(B126,'Base stats'!B:B,'Base stats'!BF:BF)^0.73)^0.6 * _xlfn.XLOOKUP(B126,'Base stats'!B:B,'Base stats'!BV:BV),0.1),0.05)
))</f>
        <v>No</v>
      </c>
      <c r="H126" s="11" t="str">
        <f>IF(G126="No","No",
MAX(0.01,MROUND(_xlfn.XLOOKUP(B126,'Base stats'!B:B,'Base stats'!BF:BF) * 0.01 * 2, 0.01))
)</f>
        <v>No</v>
      </c>
      <c r="I126" s="11" t="str">
        <f>IF(G126="No","No",IF(_xlfn.XLOOKUP(B126,'Base stats'!B:B,'Base stats'!U:U)="No","No",
MAX(0.01,MROUND(_xlfn.XLOOKUP(B126,'Base stats'!B:B,'Base stats'!BR:BR)/10000,0.01))
))</f>
        <v>No</v>
      </c>
      <c r="J126" s="4" t="str">
        <f>IF(G126="No","No",
MROUND(_xlfn.XLOOKUP(B126,'Base stats'!B:B,'Base stats'!BC:BC)^0.25
/((_xlfn.XLOOKUP(B126,'Base stats'!B:B,'Base stats'!BJ:BJ))*10)*_xlfn.XLOOKUP(_xlfn.XLOOKUP(B126,'Base stats'!B:B,'Base stats'!E:E),Groups!A:A,Groups!Q:Q)*150 + 0.5 + _xlfn.XLOOKUP(B126,'Base stats'!B:B,'Base stats'!BU:BU),
0.05))</f>
        <v>No</v>
      </c>
      <c r="K126" s="3" t="str">
        <f>IF(Animals!X126="No","No",
IF(_xlfn.XLOOKUP(_xlfn.XLOOKUP(B126,'Base stats'!B:B,'Base stats'!E:E),Groups!A:A,Groups!BD:BD)=1,
MAX(MROUND(_xlfn.XLOOKUP(B126,'Base stats'!B:B,'Base stats'!BS:BS) * _xlfn.XLOOKUP(B126,'Base stats'!B:B,'Base stats'!BO:BO)^0.9 / 21 *_xlfn.XLOOKUP(B126,'Base stats'!B:B,'Base stats'!BV:BV),0.1),0.05),
MAX(MROUND(((MIN(10,_xlfn.XLOOKUP(B126,'Base stats'!B:B,'Base stats'!W:W)))^0.4*_xlfn.XLOOKUP(B126,'Base stats'!B:B,'Base stats'!BG:BG)^0.73)^0.6 *_xlfn.XLOOKUP(B126,'Base stats'!B:B,'Base stats'!BV:BV),0.1),0.05)
))</f>
        <v>No</v>
      </c>
      <c r="L126" s="11" t="str">
        <f>IF(K126="No","No",
MAX(0.01,MROUND(_xlfn.XLOOKUP(B126,'Base stats'!B:B,'Base stats'!BG:BG) * 0.01 *2, 0.01))
)</f>
        <v>No</v>
      </c>
      <c r="M126" s="5" t="str">
        <f>IF(K126="No","No",IF(_xlfn.XLOOKUP(_xlfn.XLOOKUP(B126,'Base stats'!B:B,'Base stats'!E:E),Groups!A:A,Groups!BD:BD)=1,"No",
MAX(0.01,MROUND(_xlfn.XLOOKUP(B126,'Base stats'!B:B,'Base stats'!BS:BS)/10000,0.01))
))</f>
        <v>No</v>
      </c>
      <c r="N126" s="4" t="str">
        <f>IF(K126="No","No",
MROUND(
  _xlfn.XLOOKUP(B126,'Base stats'!B:B,'Base stats'!BA:BA)^0.25
  / (_xlfn.XLOOKUP(B126,'Base stats'!B:B,'Base stats'!BK:BK)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stats'!BU:BU),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stats'!BH:BH)^0.73)^0.6 *_xlfn.XLOOKUP(B126,'Base stats'!B:B,'Base stats'!BV:BV),0.1),0.05)
)</f>
        <v>3.3000000000000003</v>
      </c>
      <c r="P126" s="11">
        <f>IF(O126="No","No",
MAX(0.01,MROUND(_xlfn.XLOOKUP(B126,'Base stats'!B:B,'Base stats'!BH:BH) * 0.01 * 2, 0.01))
)</f>
        <v>0.19</v>
      </c>
      <c r="Q126" s="5">
        <f>IF(O126="No","No",
MAX(0.01,MROUND(_xlfn.XLOOKUP(B126,'Base stats'!B:B,'Base stats'!BT:BT)/10000,0.01))
)</f>
        <v>0.03</v>
      </c>
      <c r="R126" s="4">
        <f>IF(O126="No","No",
MROUND(_xlfn.XLOOKUP(B126,'Base stats'!B:B,'Base stats'!AZ:AZ)^0.25
/((_xlfn.XLOOKUP(B126,'Base stats'!B:B,'Base stats'!BL:BL))*10)*_xlfn.XLOOKUP(_xlfn.XLOOKUP(B126,'Base stats'!B:B,'Base stats'!E:E),Groups!A:A,Groups!Z:Z)*150 + 0.5 + _xlfn.XLOOKUP(B126,'Base stats'!B:B,'Base stats'!BU:BU),
0.05))</f>
        <v>1.8</v>
      </c>
      <c r="S126" s="3" t="str">
        <f>IF(Animals!AI126="No","No",
IF(_xlfn.XLOOKUP(B126,'Base stats'!B:B,'Base stats'!U:U)="No",
MAX(MROUND(_xlfn.XLOOKUP(B126,'Base stats'!B:B,'Base stats'!BR:BR) * _xlfn.XLOOKUP(B126,'Base stats'!B:B,'Base stats'!BN:BN)^0.9 / 21 * _xlfn.XLOOKUP(B126,'Base stats'!B:B,'Base stats'!BV:BV),0.1),0.05),
MAX(MROUND(((MIN(12,_xlfn.XLOOKUP(B126,'Base stats'!B:B,'Base stats'!U:U)))^0.4*_xlfn.XLOOKUP(B126,'Base stats'!B:B,'Base stats'!BF:BF)^0.73)^0.6 * _xlfn.XLOOKUP(B126,'Base stats'!B:B,'Base stats'!BV:BV),0.1),0.05)
))</f>
        <v>No</v>
      </c>
      <c r="T126" s="11" t="str">
        <f>IF(S126="No","No",
MAX(0.01,MROUND(_xlfn.XLOOKUP(B126,'Base stats'!B:B,'Base stats'!BF:BF) * 0.01 * 2, 0.01))
)</f>
        <v>No</v>
      </c>
      <c r="U126" s="5" t="str">
        <f>IF(S126="No","No",IF(_xlfn.XLOOKUP(B126,'Base stats'!B:B,'Base stats'!U:U)="No","No",
MAX(0.01,MROUND(_xlfn.XLOOKUP(B126,'Base stats'!B:B,'Base stats'!BR:BR)/10000,0.01))
))</f>
        <v>No</v>
      </c>
      <c r="V126" s="4" t="str">
        <f>IF(S126="No","No",
MROUND(_xlfn.XLOOKUP(B126,'Base stats'!B:B,'Base stats'!BD:BD)^0.25
/((_xlfn.XLOOKUP(B126,'Base stats'!B:B,'Base stats'!BM:BM))*10)*_xlfn.XLOOKUP(_xlfn.XLOOKUP(B126,'Base stats'!B:B,'Base stats'!E:E),Groups!A:A,Groups!AE:AE)*150 + 0.5 + _xlfn.XLOOKUP(B126,'Base stats'!B:B,'Base stats'!BU:BU),
0.05))</f>
        <v>No</v>
      </c>
      <c r="W126" s="8">
        <f>MROUND(_xlfn.XLOOKUP(_xlfn.XLOOKUP(B126,'Base stats'!B:B,'Base stats'!E:E),Groups!A:A,Groups!BG:BG)*_xlfn.XLOOKUP(B126,'Base stats'!B:B,'Base stats'!C:C)^-0.165,0.01)</f>
        <v>0.38</v>
      </c>
      <c r="X126" s="1">
        <f>MROUND(_xlfn.XLOOKUP(_xlfn.XLOOKUP(B126,'Base stats'!B:B,'Base stats'!E:E),Groups!A:A,Groups!BH:BH)*_xlfn.XLOOKUP(B126,'Base stats'!B:B,'Base stats'!C:C)^0.165,0.01)</f>
        <v>0.13</v>
      </c>
      <c r="Y126" s="8">
        <f>MROUND(_xlfn.XLOOKUP(_xlfn.XLOOKUP(B126,'Base stats'!B:B,'Base stats'!E:E),Groups!A:A,Groups!BI:BI)*_xlfn.XLOOKUP(B126,'Base stats'!B:B,'Base stats'!C:C)^0.165,0.01)</f>
        <v>0.03</v>
      </c>
      <c r="Z126" s="18">
        <f>ROUND(_xlfn.XLOOKUP(B126,'Base stats'!B:B,'Base stats'!AO:AO)*_xlfn.XLOOKUP(_xlfn.XLOOKUP(B126,'Base stats'!B:B,'Base stats'!E:E),Groups!A:A,Groups!H:H)/1000,2)</f>
        <v>0.03</v>
      </c>
      <c r="AA126" s="18">
        <f>ROUND((1/2)*(_xlfn.XLOOKUP(_xlfn.XLOOKUP(B126,'Base stats'!B:B,'Base stats'!E:E),Groups!A:A,Groups!H:H)*_xlfn.XLOOKUP(_xlfn.XLOOKUP(B126,'Base stats'!B:B,'Base stats'!E:E),Groups!A:A,Groups!I:I))*_xlfn.XLOOKUP(B126,'Base stats'!B:B,'Base stats'!AO:AO)*0.01,2)</f>
        <v>0.13</v>
      </c>
      <c r="AB126" s="18">
        <f>250*(Animals!AO126+Animals!AP126)</f>
        <v>175.00000000000003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stats'!BQ:BQ) * (_xlfn.XLOOKUP(B127,'Base stats'!B:B,'Base stats'!AM:AM)*5%)^0.9 / 21,0.1),0.05)</f>
        <v>0.5</v>
      </c>
      <c r="E127" s="11">
        <f>MAX(0.01,MROUND(_xlfn.XLOOKUP(B127,'Base stats'!B:B,'Base stats'!BE:BE) * 0.01 * 2, 0.01))</f>
        <v>0.4</v>
      </c>
      <c r="F127" s="7">
        <f>MROUND(_xlfn.XLOOKUP(B127,'Base stats'!B:B,'Base stats'!BB:BB)^0.25 / (_xlfn.XLOOKUP(B127,'Base stats'!B:B,'Base stats'!BI:BI) * 10) * 150 + 0.5 + _xlfn.XLOOKUP(B127,'Base stats'!B:B,'Base stats'!BU:BU), 0.05)</f>
        <v>2.15</v>
      </c>
      <c r="G127" s="3" t="str">
        <f>IF(Animals!S127="No","No",
IF(_xlfn.XLOOKUP(B127,'Base stats'!B:B,'Base stats'!U:U)="No",
MAX(MROUND(_xlfn.XLOOKUP(B127,'Base stats'!B:B,'Base stats'!BR:BR) * _xlfn.XLOOKUP(B127,'Base stats'!B:B,'Base stats'!BN:BN)^0.9 / 21 * _xlfn.XLOOKUP(B127,'Base stats'!B:B,'Base stats'!BV:BV),0.1),0.05),
MAX(MROUND(((MIN(10,_xlfn.XLOOKUP(B127,'Base stats'!B:B,'Base stats'!U:U)))^0.4*_xlfn.XLOOKUP(B127,'Base stats'!B:B,'Base stats'!BF:BF)^0.73)^0.6 * _xlfn.XLOOKUP(B127,'Base stats'!B:B,'Base stats'!BV:BV),0.1),0.05)
))</f>
        <v>No</v>
      </c>
      <c r="H127" s="11" t="str">
        <f>IF(G127="No","No",
MAX(0.01,MROUND(_xlfn.XLOOKUP(B127,'Base stats'!B:B,'Base stats'!BF:BF) * 0.01 * 2, 0.01))
)</f>
        <v>No</v>
      </c>
      <c r="I127" s="11" t="str">
        <f>IF(G127="No","No",IF(_xlfn.XLOOKUP(B127,'Base stats'!B:B,'Base stats'!U:U)="No","No",
MAX(0.01,MROUND(_xlfn.XLOOKUP(B127,'Base stats'!B:B,'Base stats'!BR:BR)/10000,0.01))
))</f>
        <v>No</v>
      </c>
      <c r="J127" s="4" t="str">
        <f>IF(G127="No","No",
MROUND(_xlfn.XLOOKUP(B127,'Base stats'!B:B,'Base stats'!BC:BC)^0.25
/((_xlfn.XLOOKUP(B127,'Base stats'!B:B,'Base stats'!BJ:BJ))*10)*_xlfn.XLOOKUP(_xlfn.XLOOKUP(B127,'Base stats'!B:B,'Base stats'!E:E),Groups!A:A,Groups!Q:Q)*150 + 0.5 + _xlfn.XLOOKUP(B127,'Base stats'!B:B,'Base stats'!BU:BU),
0.05))</f>
        <v>No</v>
      </c>
      <c r="K127" s="3">
        <f>IF(Animals!X127="No","No",
IF(_xlfn.XLOOKUP(_xlfn.XLOOKUP(B127,'Base stats'!B:B,'Base stats'!E:E),Groups!A:A,Groups!BD:BD)=1,
MAX(MROUND(_xlfn.XLOOKUP(B127,'Base stats'!B:B,'Base stats'!BS:BS) * _xlfn.XLOOKUP(B127,'Base stats'!B:B,'Base stats'!BO:BO)^0.9 / 21 *_xlfn.XLOOKUP(B127,'Base stats'!B:B,'Base stats'!BV:BV),0.1),0.05),
MAX(MROUND(((MIN(10,_xlfn.XLOOKUP(B127,'Base stats'!B:B,'Base stats'!W:W)))^0.4*_xlfn.XLOOKUP(B127,'Base stats'!B:B,'Base stats'!BG:BG)^0.73)^0.6 *_xlfn.XLOOKUP(B127,'Base stats'!B:B,'Base stats'!BV:BV),0.1),0.05)
))</f>
        <v>12.4</v>
      </c>
      <c r="L127" s="11">
        <f>IF(K127="No","No",
MAX(0.01,MROUND(_xlfn.XLOOKUP(B127,'Base stats'!B:B,'Base stats'!BG:BG) * 0.01 *2, 0.01))
)</f>
        <v>3.42</v>
      </c>
      <c r="M127" s="5">
        <f>IF(K127="No","No",IF(_xlfn.XLOOKUP(_xlfn.XLOOKUP(B127,'Base stats'!B:B,'Base stats'!E:E),Groups!A:A,Groups!BD:BD)=1,"No",
MAX(0.01,MROUND(_xlfn.XLOOKUP(B127,'Base stats'!B:B,'Base stats'!BS:BS)/10000,0.01))
))</f>
        <v>0.26</v>
      </c>
      <c r="N127" s="4">
        <f>IF(K127="No","No",
MROUND(
  _xlfn.XLOOKUP(B127,'Base stats'!B:B,'Base stats'!BA:BA)^0.25
  / (_xlfn.XLOOKUP(B127,'Base stats'!B:B,'Base stats'!BK:BK)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stats'!BU:BU),
0.05))</f>
        <v>3.8000000000000003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stats'!BH:BH)^0.73)^0.6 *_xlfn.XLOOKUP(B127,'Base stats'!B:B,'Base stats'!BV:BV),0.1),0.05)
)</f>
        <v>11.4</v>
      </c>
      <c r="P127" s="11">
        <f>IF(O127="No","No",
MAX(0.01,MROUND(_xlfn.XLOOKUP(B127,'Base stats'!B:B,'Base stats'!BH:BH) * 0.01 * 2, 0.01))
)</f>
        <v>3.5700000000000003</v>
      </c>
      <c r="Q127" s="5">
        <f>IF(O127="No","No",
MAX(0.01,MROUND(_xlfn.XLOOKUP(B127,'Base stats'!B:B,'Base stats'!BT:BT)/10000,0.01))
)</f>
        <v>0.31</v>
      </c>
      <c r="R127" s="4">
        <f>IF(O127="No","No",
MROUND(_xlfn.XLOOKUP(B127,'Base stats'!B:B,'Base stats'!AZ:AZ)^0.25
/((_xlfn.XLOOKUP(B127,'Base stats'!B:B,'Base stats'!BL:BL))*10)*_xlfn.XLOOKUP(_xlfn.XLOOKUP(B127,'Base stats'!B:B,'Base stats'!E:E),Groups!A:A,Groups!Z:Z)*150 + 0.5 + _xlfn.XLOOKUP(B127,'Base stats'!B:B,'Base stats'!BU:BU),
0.05))</f>
        <v>1.85</v>
      </c>
      <c r="S127" s="3">
        <f>IF(Animals!AI127="No","No",
IF(_xlfn.XLOOKUP(B127,'Base stats'!B:B,'Base stats'!U:U)="No",
MAX(MROUND(_xlfn.XLOOKUP(B127,'Base stats'!B:B,'Base stats'!BR:BR) * _xlfn.XLOOKUP(B127,'Base stats'!B:B,'Base stats'!BN:BN)^0.9 / 21 * _xlfn.XLOOKUP(B127,'Base stats'!B:B,'Base stats'!BV:BV),0.1),0.05),
MAX(MROUND(((MIN(12,_xlfn.XLOOKUP(B127,'Base stats'!B:B,'Base stats'!U:U)))^0.4*_xlfn.XLOOKUP(B127,'Base stats'!B:B,'Base stats'!BF:BF)^0.73)^0.6 * _xlfn.XLOOKUP(B127,'Base stats'!B:B,'Base stats'!BV:BV),0.1),0.05)
))</f>
        <v>13.5</v>
      </c>
      <c r="T127" s="11">
        <f>IF(S127="No","No",
MAX(0.01,MROUND(_xlfn.XLOOKUP(B127,'Base stats'!B:B,'Base stats'!BF:BF) * 0.01 * 2, 0.01))
)</f>
        <v>2.85</v>
      </c>
      <c r="U127" s="5">
        <f>IF(S127="No","No",IF(_xlfn.XLOOKUP(B127,'Base stats'!B:B,'Base stats'!U:U)="No","No",
MAX(0.01,MROUND(_xlfn.XLOOKUP(B127,'Base stats'!B:B,'Base stats'!BR:BR)/10000,0.01))
))</f>
        <v>2.5100000000000002</v>
      </c>
      <c r="V127" s="4">
        <f>IF(S127="No","No",
MROUND(_xlfn.XLOOKUP(B127,'Base stats'!B:B,'Base stats'!BD:BD)^0.25
/((_xlfn.XLOOKUP(B127,'Base stats'!B:B,'Base stats'!BM:BM))*10)*_xlfn.XLOOKUP(_xlfn.XLOOKUP(B127,'Base stats'!B:B,'Base stats'!E:E),Groups!A:A,Groups!AE:AE)*150 + 0.5 + _xlfn.XLOOKUP(B127,'Base stats'!B:B,'Base stats'!BU:BU),
0.05))</f>
        <v>2.5500000000000003</v>
      </c>
      <c r="W127" s="8">
        <f>MROUND(_xlfn.XLOOKUP(_xlfn.XLOOKUP(B127,'Base stats'!B:B,'Base stats'!E:E),Groups!A:A,Groups!BG:BG)*_xlfn.XLOOKUP(B127,'Base stats'!B:B,'Base stats'!C:C)^-0.165,0.01)</f>
        <v>0.14000000000000001</v>
      </c>
      <c r="X127" s="1">
        <f>MROUND(_xlfn.XLOOKUP(_xlfn.XLOOKUP(B127,'Base stats'!B:B,'Base stats'!E:E),Groups!A:A,Groups!BH:BH)*_xlfn.XLOOKUP(B127,'Base stats'!B:B,'Base stats'!C:C)^0.165,0.01)</f>
        <v>0.17</v>
      </c>
      <c r="Y127" s="8">
        <f>MROUND(_xlfn.XLOOKUP(_xlfn.XLOOKUP(B127,'Base stats'!B:B,'Base stats'!E:E),Groups!A:A,Groups!BI:BI)*_xlfn.XLOOKUP(B127,'Base stats'!B:B,'Base stats'!C:C)^0.165,0.01)</f>
        <v>0.04</v>
      </c>
      <c r="Z127" s="18">
        <f>ROUND(_xlfn.XLOOKUP(B127,'Base stats'!B:B,'Base stats'!AO:AO)*_xlfn.XLOOKUP(_xlfn.XLOOKUP(B127,'Base stats'!B:B,'Base stats'!E:E),Groups!A:A,Groups!H:H)/1000,2)</f>
        <v>0.73</v>
      </c>
      <c r="AA127" s="18">
        <f>ROUND((1/2)*(_xlfn.XLOOKUP(_xlfn.XLOOKUP(B127,'Base stats'!B:B,'Base stats'!E:E),Groups!A:A,Groups!H:H)*_xlfn.XLOOKUP(_xlfn.XLOOKUP(B127,'Base stats'!B:B,'Base stats'!E:E),Groups!A:A,Groups!I:I))*_xlfn.XLOOKUP(B127,'Base stats'!B:B,'Base stats'!AO:AO)*0.01,2)</f>
        <v>0.05</v>
      </c>
      <c r="AB127" s="18">
        <f>250*(Animals!AO127+Animals!AP127)</f>
        <v>325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stats'!BQ:BQ) * (_xlfn.XLOOKUP(B128,'Base stats'!B:B,'Base stats'!AM:AM)*5%)^0.9 / 21,0.1),0.05)</f>
        <v>0.2</v>
      </c>
      <c r="E128" s="11">
        <f>MAX(0.01,MROUND(_xlfn.XLOOKUP(B128,'Base stats'!B:B,'Base stats'!BE:BE) * 0.01 * 2, 0.01))</f>
        <v>0.15</v>
      </c>
      <c r="F128" s="7">
        <f>MROUND(_xlfn.XLOOKUP(B128,'Base stats'!B:B,'Base stats'!BB:BB)^0.25 / (_xlfn.XLOOKUP(B128,'Base stats'!B:B,'Base stats'!BI:BI) * 10) * 150 + 0.5 + _xlfn.XLOOKUP(B128,'Base stats'!B:B,'Base stats'!BU:BU), 0.05)</f>
        <v>1.3</v>
      </c>
      <c r="G128" s="3" t="str">
        <f>IF(Animals!S128="No","No",
IF(_xlfn.XLOOKUP(B128,'Base stats'!B:B,'Base stats'!U:U)="No",
MAX(MROUND(_xlfn.XLOOKUP(B128,'Base stats'!B:B,'Base stats'!BR:BR) * _xlfn.XLOOKUP(B128,'Base stats'!B:B,'Base stats'!BN:BN)^0.9 / 21 * _xlfn.XLOOKUP(B128,'Base stats'!B:B,'Base stats'!BV:BV),0.1),0.05),
MAX(MROUND(((MIN(10,_xlfn.XLOOKUP(B128,'Base stats'!B:B,'Base stats'!U:U)))^0.4*_xlfn.XLOOKUP(B128,'Base stats'!B:B,'Base stats'!BF:BF)^0.73)^0.6 * _xlfn.XLOOKUP(B128,'Base stats'!B:B,'Base stats'!BV:BV),0.1),0.05)
))</f>
        <v>No</v>
      </c>
      <c r="H128" s="11" t="str">
        <f>IF(G128="No","No",
MAX(0.01,MROUND(_xlfn.XLOOKUP(B128,'Base stats'!B:B,'Base stats'!BF:BF) * 0.01 * 2, 0.01))
)</f>
        <v>No</v>
      </c>
      <c r="I128" s="11" t="str">
        <f>IF(G128="No","No",IF(_xlfn.XLOOKUP(B128,'Base stats'!B:B,'Base stats'!U:U)="No","No",
MAX(0.01,MROUND(_xlfn.XLOOKUP(B128,'Base stats'!B:B,'Base stats'!BR:BR)/10000,0.01))
))</f>
        <v>No</v>
      </c>
      <c r="J128" s="4" t="str">
        <f>IF(G128="No","No",
MROUND(_xlfn.XLOOKUP(B128,'Base stats'!B:B,'Base stats'!BC:BC)^0.25
/((_xlfn.XLOOKUP(B128,'Base stats'!B:B,'Base stats'!BJ:BJ))*10)*_xlfn.XLOOKUP(_xlfn.XLOOKUP(B128,'Base stats'!B:B,'Base stats'!E:E),Groups!A:A,Groups!Q:Q)*150 + 0.5 + _xlfn.XLOOKUP(B128,'Base stats'!B:B,'Base stats'!BU:BU),
0.05))</f>
        <v>No</v>
      </c>
      <c r="K128" s="3" t="str">
        <f>IF(Animals!X128="No","No",
IF(_xlfn.XLOOKUP(_xlfn.XLOOKUP(B128,'Base stats'!B:B,'Base stats'!E:E),Groups!A:A,Groups!BD:BD)=1,
MAX(MROUND(_xlfn.XLOOKUP(B128,'Base stats'!B:B,'Base stats'!BS:BS) * _xlfn.XLOOKUP(B128,'Base stats'!B:B,'Base stats'!BO:BO)^0.9 / 21 *_xlfn.XLOOKUP(B128,'Base stats'!B:B,'Base stats'!BV:BV),0.1),0.05),
MAX(MROUND(((MIN(10,_xlfn.XLOOKUP(B128,'Base stats'!B:B,'Base stats'!W:W)))^0.4*_xlfn.XLOOKUP(B128,'Base stats'!B:B,'Base stats'!BG:BG)^0.73)^0.6 *_xlfn.XLOOKUP(B128,'Base stats'!B:B,'Base stats'!BV:BV),0.1),0.05)
))</f>
        <v>No</v>
      </c>
      <c r="L128" s="11" t="str">
        <f>IF(K128="No","No",
MAX(0.01,MROUND(_xlfn.XLOOKUP(B128,'Base stats'!B:B,'Base stats'!BG:BG) * 0.01 *2, 0.01))
)</f>
        <v>No</v>
      </c>
      <c r="M128" s="5" t="str">
        <f>IF(K128="No","No",IF(_xlfn.XLOOKUP(_xlfn.XLOOKUP(B128,'Base stats'!B:B,'Base stats'!E:E),Groups!A:A,Groups!BD:BD)=1,"No",
MAX(0.01,MROUND(_xlfn.XLOOKUP(B128,'Base stats'!B:B,'Base stats'!BS:BS)/10000,0.01))
))</f>
        <v>No</v>
      </c>
      <c r="N128" s="4" t="str">
        <f>IF(K128="No","No",
MROUND(
  _xlfn.XLOOKUP(B128,'Base stats'!B:B,'Base stats'!BA:BA)^0.25
  / (_xlfn.XLOOKUP(B128,'Base stats'!B:B,'Base stats'!BK:BK)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stats'!BU:BU),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stats'!BH:BH)^0.73)^0.6 *_xlfn.XLOOKUP(B128,'Base stats'!B:B,'Base stats'!BV:BV),0.1),0.05)
)</f>
        <v>3.7</v>
      </c>
      <c r="P128" s="11">
        <f>IF(O128="No","No",
MAX(0.01,MROUND(_xlfn.XLOOKUP(B128,'Base stats'!B:B,'Base stats'!BH:BH) * 0.01 * 2, 0.01))
)</f>
        <v>0.37</v>
      </c>
      <c r="Q128" s="5">
        <f>IF(O128="No","No",
MAX(0.01,MROUND(_xlfn.XLOOKUP(B128,'Base stats'!B:B,'Base stats'!BT:BT)/10000,0.01))
)</f>
        <v>7.0000000000000007E-2</v>
      </c>
      <c r="R128" s="4">
        <f>IF(O128="No","No",
MROUND(_xlfn.XLOOKUP(B128,'Base stats'!B:B,'Base stats'!AZ:AZ)^0.25
/((_xlfn.XLOOKUP(B128,'Base stats'!B:B,'Base stats'!BL:BL))*10)*_xlfn.XLOOKUP(_xlfn.XLOOKUP(B128,'Base stats'!B:B,'Base stats'!E:E),Groups!A:A,Groups!Z:Z)*150 + 0.5 + _xlfn.XLOOKUP(B128,'Base stats'!B:B,'Base stats'!BU:BU),
0.05))</f>
        <v>1.8</v>
      </c>
      <c r="S128" s="3">
        <f>IF(Animals!AI128="No","No",
IF(_xlfn.XLOOKUP(B128,'Base stats'!B:B,'Base stats'!U:U)="No",
MAX(MROUND(_xlfn.XLOOKUP(B128,'Base stats'!B:B,'Base stats'!BR:BR) * _xlfn.XLOOKUP(B128,'Base stats'!B:B,'Base stats'!BN:BN)^0.9 / 21 * _xlfn.XLOOKUP(B128,'Base stats'!B:B,'Base stats'!BV:BV),0.1),0.05),
MAX(MROUND(((MIN(12,_xlfn.XLOOKUP(B128,'Base stats'!B:B,'Base stats'!U:U)))^0.4*_xlfn.XLOOKUP(B128,'Base stats'!B:B,'Base stats'!BF:BF)^0.73)^0.6 * _xlfn.XLOOKUP(B128,'Base stats'!B:B,'Base stats'!BV:BV),0.1),0.05)
))</f>
        <v>2.9000000000000004</v>
      </c>
      <c r="T128" s="11">
        <f>IF(S128="No","No",
MAX(0.01,MROUND(_xlfn.XLOOKUP(B128,'Base stats'!B:B,'Base stats'!BF:BF) * 0.01 * 2, 0.01))
)</f>
        <v>0.22</v>
      </c>
      <c r="U128" s="5">
        <f>IF(S128="No","No",IF(_xlfn.XLOOKUP(B128,'Base stats'!B:B,'Base stats'!U:U)="No","No",
MAX(0.01,MROUND(_xlfn.XLOOKUP(B128,'Base stats'!B:B,'Base stats'!BR:BR)/10000,0.01))
))</f>
        <v>0.04</v>
      </c>
      <c r="V128" s="4">
        <f>IF(S128="No","No",
MROUND(_xlfn.XLOOKUP(B128,'Base stats'!B:B,'Base stats'!BD:BD)^0.25
/((_xlfn.XLOOKUP(B128,'Base stats'!B:B,'Base stats'!BM:BM))*10)*_xlfn.XLOOKUP(_xlfn.XLOOKUP(B128,'Base stats'!B:B,'Base stats'!E:E),Groups!A:A,Groups!AE:AE)*150 + 0.5 + _xlfn.XLOOKUP(B128,'Base stats'!B:B,'Base stats'!BU:BU),
0.05))</f>
        <v>1.1000000000000001</v>
      </c>
      <c r="W128" s="8">
        <f>MROUND(_xlfn.XLOOKUP(_xlfn.XLOOKUP(B128,'Base stats'!B:B,'Base stats'!E:E),Groups!A:A,Groups!BG:BG)*_xlfn.XLOOKUP(B128,'Base stats'!B:B,'Base stats'!C:C)^-0.165,0.01)</f>
        <v>0.86</v>
      </c>
      <c r="X128" s="1">
        <f>MROUND(_xlfn.XLOOKUP(_xlfn.XLOOKUP(B128,'Base stats'!B:B,'Base stats'!E:E),Groups!A:A,Groups!BH:BH)*_xlfn.XLOOKUP(B128,'Base stats'!B:B,'Base stats'!C:C)^0.165,0.01)</f>
        <v>0.25</v>
      </c>
      <c r="Y128" s="8">
        <f>MROUND(_xlfn.XLOOKUP(_xlfn.XLOOKUP(B128,'Base stats'!B:B,'Base stats'!E:E),Groups!A:A,Groups!BI:BI)*_xlfn.XLOOKUP(B128,'Base stats'!B:B,'Base stats'!C:C)^0.165,0.01)</f>
        <v>0.03</v>
      </c>
      <c r="Z128" s="18">
        <f>ROUND(_xlfn.XLOOKUP(B128,'Base stats'!B:B,'Base stats'!AO:AO)*_xlfn.XLOOKUP(_xlfn.XLOOKUP(B128,'Base stats'!B:B,'Base stats'!E:E),Groups!A:A,Groups!H:H)/1000,2)</f>
        <v>0.04</v>
      </c>
      <c r="AA128" s="18">
        <f>ROUND((1/2)*(_xlfn.XLOOKUP(_xlfn.XLOOKUP(B128,'Base stats'!B:B,'Base stats'!E:E),Groups!A:A,Groups!H:H)*_xlfn.XLOOKUP(_xlfn.XLOOKUP(B128,'Base stats'!B:B,'Base stats'!E:E),Groups!A:A,Groups!I:I))*_xlfn.XLOOKUP(B128,'Base stats'!B:B,'Base stats'!AO:AO)*0.01,2)</f>
        <v>0.28000000000000003</v>
      </c>
      <c r="AB128" s="18">
        <f>250*(Animals!AO128+Animals!AP128)</f>
        <v>162.50000000000003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stats'!BQ:BQ) * (_xlfn.XLOOKUP(B129,'Base stats'!B:B,'Base stats'!AM:AM)*5%)^0.9 / 21,0.1),0.05)</f>
        <v>0.2</v>
      </c>
      <c r="E129" s="11">
        <f>MAX(0.01,MROUND(_xlfn.XLOOKUP(B129,'Base stats'!B:B,'Base stats'!BE:BE) * 0.01 * 2, 0.01))</f>
        <v>0.11</v>
      </c>
      <c r="F129" s="7">
        <f>MROUND(_xlfn.XLOOKUP(B129,'Base stats'!B:B,'Base stats'!BB:BB)^0.25 / (_xlfn.XLOOKUP(B129,'Base stats'!B:B,'Base stats'!BI:BI) * 10) * 150 + 0.5 + _xlfn.XLOOKUP(B129,'Base stats'!B:B,'Base stats'!BU:BU), 0.05)</f>
        <v>1.35</v>
      </c>
      <c r="G129" s="3" t="str">
        <f>IF(Animals!S129="No","No",
IF(_xlfn.XLOOKUP(B129,'Base stats'!B:B,'Base stats'!U:U)="No",
MAX(MROUND(_xlfn.XLOOKUP(B129,'Base stats'!B:B,'Base stats'!BR:BR) * _xlfn.XLOOKUP(B129,'Base stats'!B:B,'Base stats'!BN:BN)^0.9 / 21 * _xlfn.XLOOKUP(B129,'Base stats'!B:B,'Base stats'!BV:BV),0.1),0.05),
MAX(MROUND(((MIN(10,_xlfn.XLOOKUP(B129,'Base stats'!B:B,'Base stats'!U:U)))^0.4*_xlfn.XLOOKUP(B129,'Base stats'!B:B,'Base stats'!BF:BF)^0.73)^0.6 * _xlfn.XLOOKUP(B129,'Base stats'!B:B,'Base stats'!BV:BV),0.1),0.05)
))</f>
        <v>No</v>
      </c>
      <c r="H129" s="11" t="str">
        <f>IF(G129="No","No",
MAX(0.01,MROUND(_xlfn.XLOOKUP(B129,'Base stats'!B:B,'Base stats'!BF:BF) * 0.01 * 2, 0.01))
)</f>
        <v>No</v>
      </c>
      <c r="I129" s="11" t="str">
        <f>IF(G129="No","No",IF(_xlfn.XLOOKUP(B129,'Base stats'!B:B,'Base stats'!U:U)="No","No",
MAX(0.01,MROUND(_xlfn.XLOOKUP(B129,'Base stats'!B:B,'Base stats'!BR:BR)/10000,0.01))
))</f>
        <v>No</v>
      </c>
      <c r="J129" s="4" t="str">
        <f>IF(G129="No","No",
MROUND(_xlfn.XLOOKUP(B129,'Base stats'!B:B,'Base stats'!BC:BC)^0.25
/((_xlfn.XLOOKUP(B129,'Base stats'!B:B,'Base stats'!BJ:BJ))*10)*_xlfn.XLOOKUP(_xlfn.XLOOKUP(B129,'Base stats'!B:B,'Base stats'!E:E),Groups!A:A,Groups!Q:Q)*150 + 0.5 + _xlfn.XLOOKUP(B129,'Base stats'!B:B,'Base stats'!BU:BU),
0.05))</f>
        <v>No</v>
      </c>
      <c r="K129" s="3" t="str">
        <f>IF(Animals!X129="No","No",
IF(_xlfn.XLOOKUP(_xlfn.XLOOKUP(B129,'Base stats'!B:B,'Base stats'!E:E),Groups!A:A,Groups!BD:BD)=1,
MAX(MROUND(_xlfn.XLOOKUP(B129,'Base stats'!B:B,'Base stats'!BS:BS) * _xlfn.XLOOKUP(B129,'Base stats'!B:B,'Base stats'!BO:BO)^0.9 / 21 *_xlfn.XLOOKUP(B129,'Base stats'!B:B,'Base stats'!BV:BV),0.1),0.05),
MAX(MROUND(((MIN(10,_xlfn.XLOOKUP(B129,'Base stats'!B:B,'Base stats'!W:W)))^0.4*_xlfn.XLOOKUP(B129,'Base stats'!B:B,'Base stats'!BG:BG)^0.73)^0.6 *_xlfn.XLOOKUP(B129,'Base stats'!B:B,'Base stats'!BV:BV),0.1),0.05)
))</f>
        <v>No</v>
      </c>
      <c r="L129" s="11" t="str">
        <f>IF(K129="No","No",
MAX(0.01,MROUND(_xlfn.XLOOKUP(B129,'Base stats'!B:B,'Base stats'!BG:BG) * 0.01 *2, 0.01))
)</f>
        <v>No</v>
      </c>
      <c r="M129" s="5" t="str">
        <f>IF(K129="No","No",IF(_xlfn.XLOOKUP(_xlfn.XLOOKUP(B129,'Base stats'!B:B,'Base stats'!E:E),Groups!A:A,Groups!BD:BD)=1,"No",
MAX(0.01,MROUND(_xlfn.XLOOKUP(B129,'Base stats'!B:B,'Base stats'!BS:BS)/10000,0.01))
))</f>
        <v>No</v>
      </c>
      <c r="N129" s="4" t="str">
        <f>IF(K129="No","No",
MROUND(
  _xlfn.XLOOKUP(B129,'Base stats'!B:B,'Base stats'!BA:BA)^0.25
  / (_xlfn.XLOOKUP(B129,'Base stats'!B:B,'Base stats'!BK:BK)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stats'!BU:BU),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stats'!BH:BH)^0.73)^0.6 *_xlfn.XLOOKUP(B129,'Base stats'!B:B,'Base stats'!BV:BV),0.1),0.05)
)</f>
        <v>1.5</v>
      </c>
      <c r="P129" s="11">
        <f>IF(O129="No","No",
MAX(0.01,MROUND(_xlfn.XLOOKUP(B129,'Base stats'!B:B,'Base stats'!BH:BH) * 0.01 * 2, 0.01))
)</f>
        <v>0.03</v>
      </c>
      <c r="Q129" s="5">
        <f>IF(O129="No","No",
MAX(0.01,MROUND(_xlfn.XLOOKUP(B129,'Base stats'!B:B,'Base stats'!BT:BT)/10000,0.01))
)</f>
        <v>0.01</v>
      </c>
      <c r="R129" s="4">
        <f>IF(O129="No","No",
MROUND(_xlfn.XLOOKUP(B129,'Base stats'!B:B,'Base stats'!AZ:AZ)^0.25
/((_xlfn.XLOOKUP(B129,'Base stats'!B:B,'Base stats'!BL:BL))*10)*_xlfn.XLOOKUP(_xlfn.XLOOKUP(B129,'Base stats'!B:B,'Base stats'!E:E),Groups!A:A,Groups!Z:Z)*150 + 0.5 + _xlfn.XLOOKUP(B129,'Base stats'!B:B,'Base stats'!BU:BU),
0.05))</f>
        <v>1.85</v>
      </c>
      <c r="S129" s="3" t="str">
        <f>IF(Animals!AI129="No","No",
IF(_xlfn.XLOOKUP(B129,'Base stats'!B:B,'Base stats'!U:U)="No",
MAX(MROUND(_xlfn.XLOOKUP(B129,'Base stats'!B:B,'Base stats'!BR:BR) * _xlfn.XLOOKUP(B129,'Base stats'!B:B,'Base stats'!BN:BN)^0.9 / 21 * _xlfn.XLOOKUP(B129,'Base stats'!B:B,'Base stats'!BV:BV),0.1),0.05),
MAX(MROUND(((MIN(12,_xlfn.XLOOKUP(B129,'Base stats'!B:B,'Base stats'!U:U)))^0.4*_xlfn.XLOOKUP(B129,'Base stats'!B:B,'Base stats'!BF:BF)^0.73)^0.6 * _xlfn.XLOOKUP(B129,'Base stats'!B:B,'Base stats'!BV:BV),0.1),0.05)
))</f>
        <v>No</v>
      </c>
      <c r="T129" s="11" t="str">
        <f>IF(S129="No","No",
MAX(0.01,MROUND(_xlfn.XLOOKUP(B129,'Base stats'!B:B,'Base stats'!BF:BF) * 0.01 * 2, 0.01))
)</f>
        <v>No</v>
      </c>
      <c r="U129" s="5" t="str">
        <f>IF(S129="No","No",IF(_xlfn.XLOOKUP(B129,'Base stats'!B:B,'Base stats'!U:U)="No","No",
MAX(0.01,MROUND(_xlfn.XLOOKUP(B129,'Base stats'!B:B,'Base stats'!BR:BR)/10000,0.01))
))</f>
        <v>No</v>
      </c>
      <c r="V129" s="4" t="str">
        <f>IF(S129="No","No",
MROUND(_xlfn.XLOOKUP(B129,'Base stats'!B:B,'Base stats'!BD:BD)^0.25
/((_xlfn.XLOOKUP(B129,'Base stats'!B:B,'Base stats'!BM:BM))*10)*_xlfn.XLOOKUP(_xlfn.XLOOKUP(B129,'Base stats'!B:B,'Base stats'!E:E),Groups!A:A,Groups!AE:AE)*150 + 0.5 + _xlfn.XLOOKUP(B129,'Base stats'!B:B,'Base stats'!BU:BU),
0.05))</f>
        <v>No</v>
      </c>
      <c r="W129" s="8">
        <f>MROUND(_xlfn.XLOOKUP(_xlfn.XLOOKUP(B129,'Base stats'!B:B,'Base stats'!E:E),Groups!A:A,Groups!BG:BG)*_xlfn.XLOOKUP(B129,'Base stats'!B:B,'Base stats'!C:C)^-0.165,0.01)</f>
        <v>0.83000000000000007</v>
      </c>
      <c r="X129" s="1">
        <f>MROUND(_xlfn.XLOOKUP(_xlfn.XLOOKUP(B129,'Base stats'!B:B,'Base stats'!E:E),Groups!A:A,Groups!BH:BH)*_xlfn.XLOOKUP(B129,'Base stats'!B:B,'Base stats'!C:C)^0.165,0.01)</f>
        <v>0</v>
      </c>
      <c r="Y129" s="8">
        <f>MROUND(_xlfn.XLOOKUP(_xlfn.XLOOKUP(B129,'Base stats'!B:B,'Base stats'!E:E),Groups!A:A,Groups!BI:BI)*_xlfn.XLOOKUP(B129,'Base stats'!B:B,'Base stats'!C:C)^0.165,0.01)</f>
        <v>0</v>
      </c>
      <c r="Z129" s="18">
        <f>ROUND(_xlfn.XLOOKUP(B129,'Base stats'!B:B,'Base stats'!AO:AO)*_xlfn.XLOOKUP(_xlfn.XLOOKUP(B129,'Base stats'!B:B,'Base stats'!E:E),Groups!A:A,Groups!H:H)/1000,2)</f>
        <v>0</v>
      </c>
      <c r="AA129" s="18">
        <f>ROUND((1/2)*(_xlfn.XLOOKUP(_xlfn.XLOOKUP(B129,'Base stats'!B:B,'Base stats'!E:E),Groups!A:A,Groups!H:H)*_xlfn.XLOOKUP(_xlfn.XLOOKUP(B129,'Base stats'!B:B,'Base stats'!E:E),Groups!A:A,Groups!I:I))*_xlfn.XLOOKUP(B129,'Base stats'!B:B,'Base stats'!AO:AO)*0.01,2)</f>
        <v>0.01</v>
      </c>
      <c r="AB129" s="18">
        <f>250*(Animals!AO129+Animals!AP129)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stats'!BQ:BQ) * (_xlfn.XLOOKUP(B130,'Base stats'!B:B,'Base stats'!AM:AM)*5%)^0.9 / 21,0.1),0.05)</f>
        <v>0.9</v>
      </c>
      <c r="E130" s="11">
        <f>MAX(0.01,MROUND(_xlfn.XLOOKUP(B130,'Base stats'!B:B,'Base stats'!BE:BE) * 0.01 * 2, 0.01))</f>
        <v>0.73</v>
      </c>
      <c r="F130" s="7">
        <f>MROUND(_xlfn.XLOOKUP(B130,'Base stats'!B:B,'Base stats'!BB:BB)^0.25 / (_xlfn.XLOOKUP(B130,'Base stats'!B:B,'Base stats'!BI:BI) * 10) * 150 + 0.5 + _xlfn.XLOOKUP(B130,'Base stats'!B:B,'Base stats'!BU:BU), 0.05)</f>
        <v>1.5</v>
      </c>
      <c r="G130" s="3" t="str">
        <f>IF(Animals!S130="No","No",
IF(_xlfn.XLOOKUP(B130,'Base stats'!B:B,'Base stats'!U:U)="No",
MAX(MROUND(_xlfn.XLOOKUP(B130,'Base stats'!B:B,'Base stats'!BR:BR) * _xlfn.XLOOKUP(B130,'Base stats'!B:B,'Base stats'!BN:BN)^0.9 / 21 * _xlfn.XLOOKUP(B130,'Base stats'!B:B,'Base stats'!BV:BV),0.1),0.05),
MAX(MROUND(((MIN(10,_xlfn.XLOOKUP(B130,'Base stats'!B:B,'Base stats'!U:U)))^0.4*_xlfn.XLOOKUP(B130,'Base stats'!B:B,'Base stats'!BF:BF)^0.73)^0.6 * _xlfn.XLOOKUP(B130,'Base stats'!B:B,'Base stats'!BV:BV),0.1),0.05)
))</f>
        <v>No</v>
      </c>
      <c r="H130" s="11" t="str">
        <f>IF(G130="No","No",
MAX(0.01,MROUND(_xlfn.XLOOKUP(B130,'Base stats'!B:B,'Base stats'!BF:BF) * 0.01 * 2, 0.01))
)</f>
        <v>No</v>
      </c>
      <c r="I130" s="11" t="str">
        <f>IF(G130="No","No",IF(_xlfn.XLOOKUP(B130,'Base stats'!B:B,'Base stats'!U:U)="No","No",
MAX(0.01,MROUND(_xlfn.XLOOKUP(B130,'Base stats'!B:B,'Base stats'!BR:BR)/10000,0.01))
))</f>
        <v>No</v>
      </c>
      <c r="J130" s="4" t="str">
        <f>IF(G130="No","No",
MROUND(_xlfn.XLOOKUP(B130,'Base stats'!B:B,'Base stats'!BC:BC)^0.25
/((_xlfn.XLOOKUP(B130,'Base stats'!B:B,'Base stats'!BJ:BJ))*10)*_xlfn.XLOOKUP(_xlfn.XLOOKUP(B130,'Base stats'!B:B,'Base stats'!E:E),Groups!A:A,Groups!Q:Q)*150 + 0.5 + _xlfn.XLOOKUP(B130,'Base stats'!B:B,'Base stats'!BU:BU),
0.05))</f>
        <v>No</v>
      </c>
      <c r="K130" s="3" t="str">
        <f>IF(Animals!X130="No","No",
IF(_xlfn.XLOOKUP(_xlfn.XLOOKUP(B130,'Base stats'!B:B,'Base stats'!E:E),Groups!A:A,Groups!BD:BD)=1,
MAX(MROUND(_xlfn.XLOOKUP(B130,'Base stats'!B:B,'Base stats'!BS:BS) * _xlfn.XLOOKUP(B130,'Base stats'!B:B,'Base stats'!BO:BO)^0.9 / 21 *_xlfn.XLOOKUP(B130,'Base stats'!B:B,'Base stats'!BV:BV),0.1),0.05),
MAX(MROUND(((MIN(10,_xlfn.XLOOKUP(B130,'Base stats'!B:B,'Base stats'!W:W)))^0.4*_xlfn.XLOOKUP(B130,'Base stats'!B:B,'Base stats'!BG:BG)^0.73)^0.6 *_xlfn.XLOOKUP(B130,'Base stats'!B:B,'Base stats'!BV:BV),0.1),0.05)
))</f>
        <v>No</v>
      </c>
      <c r="L130" s="11" t="str">
        <f>IF(K130="No","No",
MAX(0.01,MROUND(_xlfn.XLOOKUP(B130,'Base stats'!B:B,'Base stats'!BG:BG) * 0.01 *2, 0.01))
)</f>
        <v>No</v>
      </c>
      <c r="M130" s="5" t="str">
        <f>IF(K130="No","No",IF(_xlfn.XLOOKUP(_xlfn.XLOOKUP(B130,'Base stats'!B:B,'Base stats'!E:E),Groups!A:A,Groups!BD:BD)=1,"No",
MAX(0.01,MROUND(_xlfn.XLOOKUP(B130,'Base stats'!B:B,'Base stats'!BS:BS)/10000,0.01))
))</f>
        <v>No</v>
      </c>
      <c r="N130" s="4" t="str">
        <f>IF(K130="No","No",
MROUND(
  _xlfn.XLOOKUP(B130,'Base stats'!B:B,'Base stats'!BA:BA)^0.25
  / (_xlfn.XLOOKUP(B130,'Base stats'!B:B,'Base stats'!BK:BK)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stats'!BU:BU),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stats'!BH:BH)^0.73)^0.6 *_xlfn.XLOOKUP(B130,'Base stats'!B:B,'Base stats'!BV:BV),0.1),0.05)
)</f>
        <v>6.6000000000000005</v>
      </c>
      <c r="P130" s="11">
        <f>IF(O130="No","No",
MAX(0.01,MROUND(_xlfn.XLOOKUP(B130,'Base stats'!B:B,'Base stats'!BH:BH) * 0.01 * 2, 0.01))
)</f>
        <v>0.94000000000000006</v>
      </c>
      <c r="Q130" s="5">
        <f>IF(O130="No","No",
MAX(0.01,MROUND(_xlfn.XLOOKUP(B130,'Base stats'!B:B,'Base stats'!BT:BT)/10000,0.01))
)</f>
        <v>0.09</v>
      </c>
      <c r="R130" s="4">
        <f>IF(O130="No","No",
MROUND(_xlfn.XLOOKUP(B130,'Base stats'!B:B,'Base stats'!AZ:AZ)^0.25
/((_xlfn.XLOOKUP(B130,'Base stats'!B:B,'Base stats'!BL:BL))*10)*_xlfn.XLOOKUP(_xlfn.XLOOKUP(B130,'Base stats'!B:B,'Base stats'!E:E),Groups!A:A,Groups!Z:Z)*150 + 0.5 + _xlfn.XLOOKUP(B130,'Base stats'!B:B,'Base stats'!BU:BU),
0.05))</f>
        <v>2.1</v>
      </c>
      <c r="S130" s="3" t="str">
        <f>IF(Animals!AI130="No","No",
IF(_xlfn.XLOOKUP(B130,'Base stats'!B:B,'Base stats'!U:U)="No",
MAX(MROUND(_xlfn.XLOOKUP(B130,'Base stats'!B:B,'Base stats'!BR:BR) * _xlfn.XLOOKUP(B130,'Base stats'!B:B,'Base stats'!BN:BN)^0.9 / 21 * _xlfn.XLOOKUP(B130,'Base stats'!B:B,'Base stats'!BV:BV),0.1),0.05),
MAX(MROUND(((MIN(12,_xlfn.XLOOKUP(B130,'Base stats'!B:B,'Base stats'!U:U)))^0.4*_xlfn.XLOOKUP(B130,'Base stats'!B:B,'Base stats'!BF:BF)^0.73)^0.6 * _xlfn.XLOOKUP(B130,'Base stats'!B:B,'Base stats'!BV:BV),0.1),0.05)
))</f>
        <v>No</v>
      </c>
      <c r="T130" s="11" t="str">
        <f>IF(S130="No","No",
MAX(0.01,MROUND(_xlfn.XLOOKUP(B130,'Base stats'!B:B,'Base stats'!BF:BF) * 0.01 * 2, 0.01))
)</f>
        <v>No</v>
      </c>
      <c r="U130" s="5" t="str">
        <f>IF(S130="No","No",IF(_xlfn.XLOOKUP(B130,'Base stats'!B:B,'Base stats'!U:U)="No","No",
MAX(0.01,MROUND(_xlfn.XLOOKUP(B130,'Base stats'!B:B,'Base stats'!BR:BR)/10000,0.01))
))</f>
        <v>No</v>
      </c>
      <c r="V130" s="4" t="str">
        <f>IF(S130="No","No",
MROUND(_xlfn.XLOOKUP(B130,'Base stats'!B:B,'Base stats'!BD:BD)^0.25
/((_xlfn.XLOOKUP(B130,'Base stats'!B:B,'Base stats'!BM:BM))*10)*_xlfn.XLOOKUP(_xlfn.XLOOKUP(B130,'Base stats'!B:B,'Base stats'!E:E),Groups!A:A,Groups!AE:AE)*150 + 0.5 + _xlfn.XLOOKUP(B130,'Base stats'!B:B,'Base stats'!BU:BU),
0.05))</f>
        <v>No</v>
      </c>
      <c r="W130" s="8">
        <f>MROUND(_xlfn.XLOOKUP(_xlfn.XLOOKUP(B130,'Base stats'!B:B,'Base stats'!E:E),Groups!A:A,Groups!BG:BG)*_xlfn.XLOOKUP(B130,'Base stats'!B:B,'Base stats'!C:C)^-0.165,0.01)</f>
        <v>0.41000000000000003</v>
      </c>
      <c r="X130" s="1">
        <f>MROUND(_xlfn.XLOOKUP(_xlfn.XLOOKUP(B130,'Base stats'!B:B,'Base stats'!E:E),Groups!A:A,Groups!BH:BH)*_xlfn.XLOOKUP(B130,'Base stats'!B:B,'Base stats'!C:C)^0.165,0.01)</f>
        <v>0</v>
      </c>
      <c r="Y130" s="8">
        <f>MROUND(_xlfn.XLOOKUP(_xlfn.XLOOKUP(B130,'Base stats'!B:B,'Base stats'!E:E),Groups!A:A,Groups!BI:BI)*_xlfn.XLOOKUP(B130,'Base stats'!B:B,'Base stats'!C:C)^0.165,0.01)</f>
        <v>0</v>
      </c>
      <c r="Z130" s="18">
        <f>ROUND(_xlfn.XLOOKUP(B130,'Base stats'!B:B,'Base stats'!AO:AO)*_xlfn.XLOOKUP(_xlfn.XLOOKUP(B130,'Base stats'!B:B,'Base stats'!E:E),Groups!A:A,Groups!H:H)/1000,2)</f>
        <v>0.03</v>
      </c>
      <c r="AA130" s="18">
        <f>ROUND((1/2)*(_xlfn.XLOOKUP(_xlfn.XLOOKUP(B130,'Base stats'!B:B,'Base stats'!E:E),Groups!A:A,Groups!H:H)*_xlfn.XLOOKUP(_xlfn.XLOOKUP(B130,'Base stats'!B:B,'Base stats'!E:E),Groups!A:A,Groups!I:I))*_xlfn.XLOOKUP(B130,'Base stats'!B:B,'Base stats'!AO:AO)*0.01,2)</f>
        <v>0.17</v>
      </c>
      <c r="AB130" s="18">
        <f>250*(Animals!AO130+Animals!AP130)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stats'!BQ:BQ) * (_xlfn.XLOOKUP(B131,'Base stats'!B:B,'Base stats'!AM:AM)*5%)^0.9 / 21,0.1),0.05)</f>
        <v>0.1</v>
      </c>
      <c r="E131" s="11">
        <f>MAX(0.01,MROUND(_xlfn.XLOOKUP(B131,'Base stats'!B:B,'Base stats'!BE:BE) * 0.01 * 2, 0.01))</f>
        <v>0.05</v>
      </c>
      <c r="F131" s="7">
        <f>MROUND(_xlfn.XLOOKUP(B131,'Base stats'!B:B,'Base stats'!BB:BB)^0.25 / (_xlfn.XLOOKUP(B131,'Base stats'!B:B,'Base stats'!BI:BI) * 10) * 150 + 0.5 + _xlfn.XLOOKUP(B131,'Base stats'!B:B,'Base stats'!BU:BU), 0.05)</f>
        <v>1.2000000000000002</v>
      </c>
      <c r="G131" s="3" t="str">
        <f>IF(Animals!S131="No","No",
IF(_xlfn.XLOOKUP(B131,'Base stats'!B:B,'Base stats'!U:U)="No",
MAX(MROUND(_xlfn.XLOOKUP(B131,'Base stats'!B:B,'Base stats'!BR:BR) * _xlfn.XLOOKUP(B131,'Base stats'!B:B,'Base stats'!BN:BN)^0.9 / 21 * _xlfn.XLOOKUP(B131,'Base stats'!B:B,'Base stats'!BV:BV),0.1),0.05),
MAX(MROUND(((MIN(10,_xlfn.XLOOKUP(B131,'Base stats'!B:B,'Base stats'!U:U)))^0.4*_xlfn.XLOOKUP(B131,'Base stats'!B:B,'Base stats'!BF:BF)^0.73)^0.6 * _xlfn.XLOOKUP(B131,'Base stats'!B:B,'Base stats'!BV:BV),0.1),0.05)
))</f>
        <v>No</v>
      </c>
      <c r="H131" s="11" t="str">
        <f>IF(G131="No","No",
MAX(0.01,MROUND(_xlfn.XLOOKUP(B131,'Base stats'!B:B,'Base stats'!BF:BF) * 0.01 * 2, 0.01))
)</f>
        <v>No</v>
      </c>
      <c r="I131" s="11" t="str">
        <f>IF(G131="No","No",IF(_xlfn.XLOOKUP(B131,'Base stats'!B:B,'Base stats'!U:U)="No","No",
MAX(0.01,MROUND(_xlfn.XLOOKUP(B131,'Base stats'!B:B,'Base stats'!BR:BR)/10000,0.01))
))</f>
        <v>No</v>
      </c>
      <c r="J131" s="4" t="str">
        <f>IF(G131="No","No",
MROUND(_xlfn.XLOOKUP(B131,'Base stats'!B:B,'Base stats'!BC:BC)^0.25
/((_xlfn.XLOOKUP(B131,'Base stats'!B:B,'Base stats'!BJ:BJ))*10)*_xlfn.XLOOKUP(_xlfn.XLOOKUP(B131,'Base stats'!B:B,'Base stats'!E:E),Groups!A:A,Groups!Q:Q)*150 + 0.5 + _xlfn.XLOOKUP(B131,'Base stats'!B:B,'Base stats'!BU:BU),
0.05))</f>
        <v>No</v>
      </c>
      <c r="K131" s="3" t="str">
        <f>IF(Animals!X131="No","No",
IF(_xlfn.XLOOKUP(_xlfn.XLOOKUP(B131,'Base stats'!B:B,'Base stats'!E:E),Groups!A:A,Groups!BD:BD)=1,
MAX(MROUND(_xlfn.XLOOKUP(B131,'Base stats'!B:B,'Base stats'!BS:BS) * _xlfn.XLOOKUP(B131,'Base stats'!B:B,'Base stats'!BO:BO)^0.9 / 21 *_xlfn.XLOOKUP(B131,'Base stats'!B:B,'Base stats'!BV:BV),0.1),0.05),
MAX(MROUND(((MIN(10,_xlfn.XLOOKUP(B131,'Base stats'!B:B,'Base stats'!W:W)))^0.4*_xlfn.XLOOKUP(B131,'Base stats'!B:B,'Base stats'!BG:BG)^0.73)^0.6 *_xlfn.XLOOKUP(B131,'Base stats'!B:B,'Base stats'!BV:BV),0.1),0.05)
))</f>
        <v>No</v>
      </c>
      <c r="L131" s="11" t="str">
        <f>IF(K131="No","No",
MAX(0.01,MROUND(_xlfn.XLOOKUP(B131,'Base stats'!B:B,'Base stats'!BG:BG) * 0.01 *2, 0.01))
)</f>
        <v>No</v>
      </c>
      <c r="M131" s="5" t="str">
        <f>IF(K131="No","No",IF(_xlfn.XLOOKUP(_xlfn.XLOOKUP(B131,'Base stats'!B:B,'Base stats'!E:E),Groups!A:A,Groups!BD:BD)=1,"No",
MAX(0.01,MROUND(_xlfn.XLOOKUP(B131,'Base stats'!B:B,'Base stats'!BS:BS)/10000,0.01))
))</f>
        <v>No</v>
      </c>
      <c r="N131" s="4" t="str">
        <f>IF(K131="No","No",
MROUND(
  _xlfn.XLOOKUP(B131,'Base stats'!B:B,'Base stats'!BA:BA)^0.25
  / (_xlfn.XLOOKUP(B131,'Base stats'!B:B,'Base stats'!BK:BK)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stats'!BU:BU),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stats'!BH:BH)^0.73)^0.6 *_xlfn.XLOOKUP(B131,'Base stats'!B:B,'Base stats'!BV:BV),0.1),0.05)
)</f>
        <v>1.6</v>
      </c>
      <c r="P131" s="11">
        <f>IF(O131="No","No",
MAX(0.01,MROUND(_xlfn.XLOOKUP(B131,'Base stats'!B:B,'Base stats'!BH:BH) * 0.01 * 2, 0.01))
)</f>
        <v>0.09</v>
      </c>
      <c r="Q131" s="5">
        <f>IF(O131="No","No",
MAX(0.01,MROUND(_xlfn.XLOOKUP(B131,'Base stats'!B:B,'Base stats'!BT:BT)/10000,0.01))
)</f>
        <v>0.03</v>
      </c>
      <c r="R131" s="4">
        <f>IF(O131="No","No",
MROUND(_xlfn.XLOOKUP(B131,'Base stats'!B:B,'Base stats'!AZ:AZ)^0.25
/((_xlfn.XLOOKUP(B131,'Base stats'!B:B,'Base stats'!BL:BL))*10)*_xlfn.XLOOKUP(_xlfn.XLOOKUP(B131,'Base stats'!B:B,'Base stats'!E:E),Groups!A:A,Groups!Z:Z)*150 + 0.5 + _xlfn.XLOOKUP(B131,'Base stats'!B:B,'Base stats'!BU:BU),
0.05))</f>
        <v>1.7000000000000002</v>
      </c>
      <c r="S131" s="3" t="str">
        <f>IF(Animals!AI131="No","No",
IF(_xlfn.XLOOKUP(B131,'Base stats'!B:B,'Base stats'!U:U)="No",
MAX(MROUND(_xlfn.XLOOKUP(B131,'Base stats'!B:B,'Base stats'!BR:BR) * _xlfn.XLOOKUP(B131,'Base stats'!B:B,'Base stats'!BN:BN)^0.9 / 21 * _xlfn.XLOOKUP(B131,'Base stats'!B:B,'Base stats'!BV:BV),0.1),0.05),
MAX(MROUND(((MIN(12,_xlfn.XLOOKUP(B131,'Base stats'!B:B,'Base stats'!U:U)))^0.4*_xlfn.XLOOKUP(B131,'Base stats'!B:B,'Base stats'!BF:BF)^0.73)^0.6 * _xlfn.XLOOKUP(B131,'Base stats'!B:B,'Base stats'!BV:BV),0.1),0.05)
))</f>
        <v>No</v>
      </c>
      <c r="T131" s="11" t="str">
        <f>IF(S131="No","No",
MAX(0.01,MROUND(_xlfn.XLOOKUP(B131,'Base stats'!B:B,'Base stats'!BF:BF) * 0.01 * 2, 0.01))
)</f>
        <v>No</v>
      </c>
      <c r="U131" s="5" t="str">
        <f>IF(S131="No","No",IF(_xlfn.XLOOKUP(B131,'Base stats'!B:B,'Base stats'!U:U)="No","No",
MAX(0.01,MROUND(_xlfn.XLOOKUP(B131,'Base stats'!B:B,'Base stats'!BR:BR)/10000,0.01))
))</f>
        <v>No</v>
      </c>
      <c r="V131" s="4" t="str">
        <f>IF(S131="No","No",
MROUND(_xlfn.XLOOKUP(B131,'Base stats'!B:B,'Base stats'!BD:BD)^0.25
/((_xlfn.XLOOKUP(B131,'Base stats'!B:B,'Base stats'!BM:BM))*10)*_xlfn.XLOOKUP(_xlfn.XLOOKUP(B131,'Base stats'!B:B,'Base stats'!E:E),Groups!A:A,Groups!AE:AE)*150 + 0.5 + _xlfn.XLOOKUP(B131,'Base stats'!B:B,'Base stats'!BU:BU),
0.05))</f>
        <v>No</v>
      </c>
      <c r="W131" s="8">
        <f>MROUND(_xlfn.XLOOKUP(_xlfn.XLOOKUP(B131,'Base stats'!B:B,'Base stats'!E:E),Groups!A:A,Groups!BG:BG)*_xlfn.XLOOKUP(B131,'Base stats'!B:B,'Base stats'!C:C)^-0.165,0.01)</f>
        <v>0.68</v>
      </c>
      <c r="X131" s="1">
        <f>MROUND(_xlfn.XLOOKUP(_xlfn.XLOOKUP(B131,'Base stats'!B:B,'Base stats'!E:E),Groups!A:A,Groups!BH:BH)*_xlfn.XLOOKUP(B131,'Base stats'!B:B,'Base stats'!C:C)^0.165,0.01)</f>
        <v>0</v>
      </c>
      <c r="Y131" s="8">
        <f>MROUND(_xlfn.XLOOKUP(_xlfn.XLOOKUP(B131,'Base stats'!B:B,'Base stats'!E:E),Groups!A:A,Groups!BI:BI)*_xlfn.XLOOKUP(B131,'Base stats'!B:B,'Base stats'!C:C)^0.165,0.01)</f>
        <v>0</v>
      </c>
      <c r="Z131" s="18">
        <f>ROUND(_xlfn.XLOOKUP(B131,'Base stats'!B:B,'Base stats'!AO:AO)*_xlfn.XLOOKUP(_xlfn.XLOOKUP(B131,'Base stats'!B:B,'Base stats'!E:E),Groups!A:A,Groups!H:H)/1000,2)</f>
        <v>0.01</v>
      </c>
      <c r="AA131" s="18">
        <f>ROUND((1/2)*(_xlfn.XLOOKUP(_xlfn.XLOOKUP(B131,'Base stats'!B:B,'Base stats'!E:E),Groups!A:A,Groups!H:H)*_xlfn.XLOOKUP(_xlfn.XLOOKUP(B131,'Base stats'!B:B,'Base stats'!E:E),Groups!A:A,Groups!I:I))*_xlfn.XLOOKUP(B131,'Base stats'!B:B,'Base stats'!AO:AO)*0.01,2)</f>
        <v>7.0000000000000007E-2</v>
      </c>
      <c r="AB131" s="18">
        <f>250*(Animals!AO131+Animals!AP131)</f>
        <v>75.000000000000014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stats'!BQ:BQ) * (_xlfn.XLOOKUP(B132,'Base stats'!B:B,'Base stats'!AM:AM)*5%)^0.9 / 21,0.1),0.05)</f>
        <v>2.8000000000000003</v>
      </c>
      <c r="E132" s="11">
        <f>MAX(0.01,MROUND(_xlfn.XLOOKUP(B132,'Base stats'!B:B,'Base stats'!BE:BE) * 0.01 * 2, 0.01))</f>
        <v>2.36</v>
      </c>
      <c r="F132" s="7">
        <f>MROUND(_xlfn.XLOOKUP(B132,'Base stats'!B:B,'Base stats'!BB:BB)^0.25 / (_xlfn.XLOOKUP(B132,'Base stats'!B:B,'Base stats'!BI:BI) * 10) * 150 + 0.5 + _xlfn.XLOOKUP(B132,'Base stats'!B:B,'Base stats'!BU:BU), 0.05)</f>
        <v>2.0500000000000003</v>
      </c>
      <c r="G132" s="3" t="str">
        <f>IF(Animals!S132="No","No",
IF(_xlfn.XLOOKUP(B132,'Base stats'!B:B,'Base stats'!U:U)="No",
MAX(MROUND(_xlfn.XLOOKUP(B132,'Base stats'!B:B,'Base stats'!BR:BR) * _xlfn.XLOOKUP(B132,'Base stats'!B:B,'Base stats'!BN:BN)^0.9 / 21 * _xlfn.XLOOKUP(B132,'Base stats'!B:B,'Base stats'!BV:BV),0.1),0.05),
MAX(MROUND(((MIN(10,_xlfn.XLOOKUP(B132,'Base stats'!B:B,'Base stats'!U:U)))^0.4*_xlfn.XLOOKUP(B132,'Base stats'!B:B,'Base stats'!BF:BF)^0.73)^0.6 * _xlfn.XLOOKUP(B132,'Base stats'!B:B,'Base stats'!BV:BV),0.1),0.05)
))</f>
        <v>No</v>
      </c>
      <c r="H132" s="11" t="str">
        <f>IF(G132="No","No",
MAX(0.01,MROUND(_xlfn.XLOOKUP(B132,'Base stats'!B:B,'Base stats'!BF:BF) * 0.01 * 2, 0.01))
)</f>
        <v>No</v>
      </c>
      <c r="I132" s="11" t="str">
        <f>IF(G132="No","No",IF(_xlfn.XLOOKUP(B132,'Base stats'!B:B,'Base stats'!U:U)="No","No",
MAX(0.01,MROUND(_xlfn.XLOOKUP(B132,'Base stats'!B:B,'Base stats'!BR:BR)/10000,0.01))
))</f>
        <v>No</v>
      </c>
      <c r="J132" s="4" t="str">
        <f>IF(G132="No","No",
MROUND(_xlfn.XLOOKUP(B132,'Base stats'!B:B,'Base stats'!BC:BC)^0.25
/((_xlfn.XLOOKUP(B132,'Base stats'!B:B,'Base stats'!BJ:BJ))*10)*_xlfn.XLOOKUP(_xlfn.XLOOKUP(B132,'Base stats'!B:B,'Base stats'!E:E),Groups!A:A,Groups!Q:Q)*150 + 0.5 + _xlfn.XLOOKUP(B132,'Base stats'!B:B,'Base stats'!BU:BU),
0.05))</f>
        <v>No</v>
      </c>
      <c r="K132" s="3" t="str">
        <f>IF(Animals!X132="No","No",
IF(_xlfn.XLOOKUP(_xlfn.XLOOKUP(B132,'Base stats'!B:B,'Base stats'!E:E),Groups!A:A,Groups!BD:BD)=1,
MAX(MROUND(_xlfn.XLOOKUP(B132,'Base stats'!B:B,'Base stats'!BS:BS) * _xlfn.XLOOKUP(B132,'Base stats'!B:B,'Base stats'!BO:BO)^0.9 / 21 *_xlfn.XLOOKUP(B132,'Base stats'!B:B,'Base stats'!BV:BV),0.1),0.05),
MAX(MROUND(((MIN(10,_xlfn.XLOOKUP(B132,'Base stats'!B:B,'Base stats'!W:W)))^0.4*_xlfn.XLOOKUP(B132,'Base stats'!B:B,'Base stats'!BG:BG)^0.73)^0.6 *_xlfn.XLOOKUP(B132,'Base stats'!B:B,'Base stats'!BV:BV),0.1),0.05)
))</f>
        <v>No</v>
      </c>
      <c r="L132" s="11" t="str">
        <f>IF(K132="No","No",
MAX(0.01,MROUND(_xlfn.XLOOKUP(B132,'Base stats'!B:B,'Base stats'!BG:BG) * 0.01 *2, 0.01))
)</f>
        <v>No</v>
      </c>
      <c r="M132" s="5" t="str">
        <f>IF(K132="No","No",IF(_xlfn.XLOOKUP(_xlfn.XLOOKUP(B132,'Base stats'!B:B,'Base stats'!E:E),Groups!A:A,Groups!BD:BD)=1,"No",
MAX(0.01,MROUND(_xlfn.XLOOKUP(B132,'Base stats'!B:B,'Base stats'!BS:BS)/10000,0.01))
))</f>
        <v>No</v>
      </c>
      <c r="N132" s="4" t="str">
        <f>IF(K132="No","No",
MROUND(
  _xlfn.XLOOKUP(B132,'Base stats'!B:B,'Base stats'!BA:BA)^0.25
  / (_xlfn.XLOOKUP(B132,'Base stats'!B:B,'Base stats'!BK:BK)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stats'!BU:BU),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stats'!BH:BH)^0.73)^0.6 *_xlfn.XLOOKUP(B132,'Base stats'!B:B,'Base stats'!BV:BV),0.1),0.05)
)</f>
        <v>22.200000000000003</v>
      </c>
      <c r="P132" s="11">
        <f>IF(O132="No","No",
MAX(0.01,MROUND(_xlfn.XLOOKUP(B132,'Base stats'!B:B,'Base stats'!BH:BH) * 0.01 * 2, 0.01))
)</f>
        <v>10.200000000000001</v>
      </c>
      <c r="Q132" s="5">
        <f>IF(O132="No","No",
MAX(0.01,MROUND(_xlfn.XLOOKUP(B132,'Base stats'!B:B,'Base stats'!BT:BT)/10000,0.01))
)</f>
        <v>0.55000000000000004</v>
      </c>
      <c r="R132" s="4">
        <f>IF(O132="No","No",
MROUND(_xlfn.XLOOKUP(B132,'Base stats'!B:B,'Base stats'!AZ:AZ)^0.25
/((_xlfn.XLOOKUP(B132,'Base stats'!B:B,'Base stats'!BL:BL))*10)*_xlfn.XLOOKUP(_xlfn.XLOOKUP(B132,'Base stats'!B:B,'Base stats'!E:E),Groups!A:A,Groups!Z:Z)*150 + 0.5 + _xlfn.XLOOKUP(B132,'Base stats'!B:B,'Base stats'!BU:BU),
0.05))</f>
        <v>2.1</v>
      </c>
      <c r="S132" s="3">
        <f>IF(Animals!AI132="No","No",
IF(_xlfn.XLOOKUP(B132,'Base stats'!B:B,'Base stats'!U:U)="No",
MAX(MROUND(_xlfn.XLOOKUP(B132,'Base stats'!B:B,'Base stats'!BR:BR) * _xlfn.XLOOKUP(B132,'Base stats'!B:B,'Base stats'!BN:BN)^0.9 / 21 * _xlfn.XLOOKUP(B132,'Base stats'!B:B,'Base stats'!BV:BV),0.1),0.05),
MAX(MROUND(((MIN(12,_xlfn.XLOOKUP(B132,'Base stats'!B:B,'Base stats'!U:U)))^0.4*_xlfn.XLOOKUP(B132,'Base stats'!B:B,'Base stats'!BF:BF)^0.73)^0.6 * _xlfn.XLOOKUP(B132,'Base stats'!B:B,'Base stats'!BV:BV),0.1),0.05)
))</f>
        <v>13.5</v>
      </c>
      <c r="T132" s="11">
        <f>IF(S132="No","No",
MAX(0.01,MROUND(_xlfn.XLOOKUP(B132,'Base stats'!B:B,'Base stats'!BF:BF) * 0.01 * 2, 0.01))
)</f>
        <v>2.99</v>
      </c>
      <c r="U132" s="5">
        <f>IF(S132="No","No",IF(_xlfn.XLOOKUP(B132,'Base stats'!B:B,'Base stats'!U:U)="No","No",
MAX(0.01,MROUND(_xlfn.XLOOKUP(B132,'Base stats'!B:B,'Base stats'!BR:BR)/10000,0.01))
))</f>
        <v>0.16</v>
      </c>
      <c r="V132" s="4">
        <f>IF(S132="No","No",
MROUND(_xlfn.XLOOKUP(B132,'Base stats'!B:B,'Base stats'!BD:BD)^0.25
/((_xlfn.XLOOKUP(B132,'Base stats'!B:B,'Base stats'!BM:BM))*10)*_xlfn.XLOOKUP(_xlfn.XLOOKUP(B132,'Base stats'!B:B,'Base stats'!E:E),Groups!A:A,Groups!AE:AE)*150 + 0.5 + _xlfn.XLOOKUP(B132,'Base stats'!B:B,'Base stats'!BU:BU),
0.05))</f>
        <v>1.4500000000000002</v>
      </c>
      <c r="W132" s="8">
        <f>MROUND(_xlfn.XLOOKUP(_xlfn.XLOOKUP(B132,'Base stats'!B:B,'Base stats'!E:E),Groups!A:A,Groups!BG:BG)*_xlfn.XLOOKUP(B132,'Base stats'!B:B,'Base stats'!C:C)^-0.165,0.01)</f>
        <v>0.59</v>
      </c>
      <c r="X132" s="1">
        <f>MROUND(_xlfn.XLOOKUP(_xlfn.XLOOKUP(B132,'Base stats'!B:B,'Base stats'!E:E),Groups!A:A,Groups!BH:BH)*_xlfn.XLOOKUP(B132,'Base stats'!B:B,'Base stats'!C:C)^0.165,0.01)</f>
        <v>0.53</v>
      </c>
      <c r="Y132" s="8">
        <f>MROUND(_xlfn.XLOOKUP(_xlfn.XLOOKUP(B132,'Base stats'!B:B,'Base stats'!E:E),Groups!A:A,Groups!BI:BI)*_xlfn.XLOOKUP(B132,'Base stats'!B:B,'Base stats'!C:C)^0.165,0.01)</f>
        <v>0.05</v>
      </c>
      <c r="Z132" s="18">
        <f>ROUND(_xlfn.XLOOKUP(B132,'Base stats'!B:B,'Base stats'!AO:AO)*_xlfn.XLOOKUP(_xlfn.XLOOKUP(B132,'Base stats'!B:B,'Base stats'!E:E),Groups!A:A,Groups!H:H)/1000,2)</f>
        <v>0.11</v>
      </c>
      <c r="AA132" s="18">
        <f>ROUND((1/2)*(_xlfn.XLOOKUP(_xlfn.XLOOKUP(B132,'Base stats'!B:B,'Base stats'!E:E),Groups!A:A,Groups!H:H)*_xlfn.XLOOKUP(_xlfn.XLOOKUP(B132,'Base stats'!B:B,'Base stats'!E:E),Groups!A:A,Groups!I:I))*_xlfn.XLOOKUP(B132,'Base stats'!B:B,'Base stats'!AO:AO)*0.01,2)</f>
        <v>0.81</v>
      </c>
      <c r="AB132" s="18">
        <f>250*(Animals!AO132+Animals!AP132)</f>
        <v>637.50000000000011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stats'!BQ:BQ) * (_xlfn.XLOOKUP(B133,'Base stats'!B:B,'Base stats'!AM:AM)*5%)^0.9 / 21,0.1),0.05)</f>
        <v>0.1</v>
      </c>
      <c r="E133" s="11">
        <f>MAX(0.01,MROUND(_xlfn.XLOOKUP(B133,'Base stats'!B:B,'Base stats'!BE:BE) * 0.01 * 2, 0.01))</f>
        <v>0.09</v>
      </c>
      <c r="F133" s="7">
        <f>MROUND(_xlfn.XLOOKUP(B133,'Base stats'!B:B,'Base stats'!BB:BB)^0.25 / (_xlfn.XLOOKUP(B133,'Base stats'!B:B,'Base stats'!BI:BI) * 10) * 150 + 0.5 + _xlfn.XLOOKUP(B133,'Base stats'!B:B,'Base stats'!BU:BU), 0.05)</f>
        <v>1.3</v>
      </c>
      <c r="G133" s="3" t="str">
        <f>IF(Animals!S133="No","No",
IF(_xlfn.XLOOKUP(B133,'Base stats'!B:B,'Base stats'!U:U)="No",
MAX(MROUND(_xlfn.XLOOKUP(B133,'Base stats'!B:B,'Base stats'!BR:BR) * _xlfn.XLOOKUP(B133,'Base stats'!B:B,'Base stats'!BN:BN)^0.9 / 21 * _xlfn.XLOOKUP(B133,'Base stats'!B:B,'Base stats'!BV:BV),0.1),0.05),
MAX(MROUND(((MIN(10,_xlfn.XLOOKUP(B133,'Base stats'!B:B,'Base stats'!U:U)))^0.4*_xlfn.XLOOKUP(B133,'Base stats'!B:B,'Base stats'!BF:BF)^0.73)^0.6 * _xlfn.XLOOKUP(B133,'Base stats'!B:B,'Base stats'!BV:BV),0.1),0.05)
))</f>
        <v>No</v>
      </c>
      <c r="H133" s="11" t="str">
        <f>IF(G133="No","No",
MAX(0.01,MROUND(_xlfn.XLOOKUP(B133,'Base stats'!B:B,'Base stats'!BF:BF) * 0.01 * 2, 0.01))
)</f>
        <v>No</v>
      </c>
      <c r="I133" s="11" t="str">
        <f>IF(G133="No","No",IF(_xlfn.XLOOKUP(B133,'Base stats'!B:B,'Base stats'!U:U)="No","No",
MAX(0.01,MROUND(_xlfn.XLOOKUP(B133,'Base stats'!B:B,'Base stats'!BR:BR)/10000,0.01))
))</f>
        <v>No</v>
      </c>
      <c r="J133" s="4" t="str">
        <f>IF(G133="No","No",
MROUND(_xlfn.XLOOKUP(B133,'Base stats'!B:B,'Base stats'!BC:BC)^0.25
/((_xlfn.XLOOKUP(B133,'Base stats'!B:B,'Base stats'!BJ:BJ))*10)*_xlfn.XLOOKUP(_xlfn.XLOOKUP(B133,'Base stats'!B:B,'Base stats'!E:E),Groups!A:A,Groups!Q:Q)*150 + 0.5 + _xlfn.XLOOKUP(B133,'Base stats'!B:B,'Base stats'!BU:BU),
0.05))</f>
        <v>No</v>
      </c>
      <c r="K133" s="3" t="str">
        <f>IF(Animals!X133="No","No",
IF(_xlfn.XLOOKUP(_xlfn.XLOOKUP(B133,'Base stats'!B:B,'Base stats'!E:E),Groups!A:A,Groups!BD:BD)=1,
MAX(MROUND(_xlfn.XLOOKUP(B133,'Base stats'!B:B,'Base stats'!BS:BS) * _xlfn.XLOOKUP(B133,'Base stats'!B:B,'Base stats'!BO:BO)^0.9 / 21 *_xlfn.XLOOKUP(B133,'Base stats'!B:B,'Base stats'!BV:BV),0.1),0.05),
MAX(MROUND(((MIN(10,_xlfn.XLOOKUP(B133,'Base stats'!B:B,'Base stats'!W:W)))^0.4*_xlfn.XLOOKUP(B133,'Base stats'!B:B,'Base stats'!BG:BG)^0.73)^0.6 *_xlfn.XLOOKUP(B133,'Base stats'!B:B,'Base stats'!BV:BV),0.1),0.05)
))</f>
        <v>No</v>
      </c>
      <c r="L133" s="11" t="str">
        <f>IF(K133="No","No",
MAX(0.01,MROUND(_xlfn.XLOOKUP(B133,'Base stats'!B:B,'Base stats'!BG:BG) * 0.01 *2, 0.01))
)</f>
        <v>No</v>
      </c>
      <c r="M133" s="5" t="str">
        <f>IF(K133="No","No",IF(_xlfn.XLOOKUP(_xlfn.XLOOKUP(B133,'Base stats'!B:B,'Base stats'!E:E),Groups!A:A,Groups!BD:BD)=1,"No",
MAX(0.01,MROUND(_xlfn.XLOOKUP(B133,'Base stats'!B:B,'Base stats'!BS:BS)/10000,0.01))
))</f>
        <v>No</v>
      </c>
      <c r="N133" s="4" t="str">
        <f>IF(K133="No","No",
MROUND(
  _xlfn.XLOOKUP(B133,'Base stats'!B:B,'Base stats'!BA:BA)^0.25
  / (_xlfn.XLOOKUP(B133,'Base stats'!B:B,'Base stats'!BK:BK)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stats'!BU:BU),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stats'!BH:BH)^0.73)^0.6 *_xlfn.XLOOKUP(B133,'Base stats'!B:B,'Base stats'!BV:BV),0.1),0.05)
)</f>
        <v>1.7000000000000002</v>
      </c>
      <c r="P133" s="11">
        <f>IF(O133="No","No",
MAX(0.01,MROUND(_xlfn.XLOOKUP(B133,'Base stats'!B:B,'Base stats'!BH:BH) * 0.01 * 2, 0.01))
)</f>
        <v>7.0000000000000007E-2</v>
      </c>
      <c r="Q133" s="5">
        <f>IF(O133="No","No",
MAX(0.01,MROUND(_xlfn.XLOOKUP(B133,'Base stats'!B:B,'Base stats'!BT:BT)/10000,0.01))
)</f>
        <v>0.02</v>
      </c>
      <c r="R133" s="4">
        <f>IF(O133="No","No",
MROUND(_xlfn.XLOOKUP(B133,'Base stats'!B:B,'Base stats'!AZ:AZ)^0.25
/((_xlfn.XLOOKUP(B133,'Base stats'!B:B,'Base stats'!BL:BL))*10)*_xlfn.XLOOKUP(_xlfn.XLOOKUP(B133,'Base stats'!B:B,'Base stats'!E:E),Groups!A:A,Groups!Z:Z)*150 + 0.5 + _xlfn.XLOOKUP(B133,'Base stats'!B:B,'Base stats'!BU:BU),
0.05))</f>
        <v>1.8</v>
      </c>
      <c r="S133" s="3">
        <f>IF(Animals!AI133="No","No",
IF(_xlfn.XLOOKUP(B133,'Base stats'!B:B,'Base stats'!U:U)="No",
MAX(MROUND(_xlfn.XLOOKUP(B133,'Base stats'!B:B,'Base stats'!BR:BR) * _xlfn.XLOOKUP(B133,'Base stats'!B:B,'Base stats'!BN:BN)^0.9 / 21 * _xlfn.XLOOKUP(B133,'Base stats'!B:B,'Base stats'!BV:BV),0.1),0.05),
MAX(MROUND(((MIN(12,_xlfn.XLOOKUP(B133,'Base stats'!B:B,'Base stats'!U:U)))^0.4*_xlfn.XLOOKUP(B133,'Base stats'!B:B,'Base stats'!BF:BF)^0.73)^0.6 * _xlfn.XLOOKUP(B133,'Base stats'!B:B,'Base stats'!BV:BV),0.1),0.05)
))</f>
        <v>0.4</v>
      </c>
      <c r="T133" s="11">
        <f>IF(S133="No","No",
MAX(0.01,MROUND(_xlfn.XLOOKUP(B133,'Base stats'!B:B,'Base stats'!BF:BF) * 0.01 * 2, 0.01))
)</f>
        <v>0.14000000000000001</v>
      </c>
      <c r="U133" s="5" t="str">
        <f>IF(S133="No","No",IF(_xlfn.XLOOKUP(B133,'Base stats'!B:B,'Base stats'!U:U)="No","No",
MAX(0.01,MROUND(_xlfn.XLOOKUP(B133,'Base stats'!B:B,'Base stats'!BR:BR)/10000,0.01))
))</f>
        <v>No</v>
      </c>
      <c r="V133" s="4">
        <f>IF(S133="No","No",
MROUND(_xlfn.XLOOKUP(B133,'Base stats'!B:B,'Base stats'!BD:BD)^0.25
/((_xlfn.XLOOKUP(B133,'Base stats'!B:B,'Base stats'!BM:BM))*10)*_xlfn.XLOOKUP(_xlfn.XLOOKUP(B133,'Base stats'!B:B,'Base stats'!E:E),Groups!A:A,Groups!AE:AE)*150 + 0.5 + _xlfn.XLOOKUP(B133,'Base stats'!B:B,'Base stats'!BU:BU),
0.05))</f>
        <v>1.1000000000000001</v>
      </c>
      <c r="W133" s="8">
        <f>MROUND(_xlfn.XLOOKUP(_xlfn.XLOOKUP(B133,'Base stats'!B:B,'Base stats'!E:E),Groups!A:A,Groups!BG:BG)*_xlfn.XLOOKUP(B133,'Base stats'!B:B,'Base stats'!C:C)^-0.165,0.01)</f>
        <v>0.86</v>
      </c>
      <c r="X133" s="1">
        <f>MROUND(_xlfn.XLOOKUP(_xlfn.XLOOKUP(B133,'Base stats'!B:B,'Base stats'!E:E),Groups!A:A,Groups!BH:BH)*_xlfn.XLOOKUP(B133,'Base stats'!B:B,'Base stats'!C:C)^0.165,0.01)</f>
        <v>0.12</v>
      </c>
      <c r="Y133" s="8">
        <f>MROUND(_xlfn.XLOOKUP(_xlfn.XLOOKUP(B133,'Base stats'!B:B,'Base stats'!E:E),Groups!A:A,Groups!BI:BI)*_xlfn.XLOOKUP(B133,'Base stats'!B:B,'Base stats'!C:C)^0.165,0.01)</f>
        <v>0.06</v>
      </c>
      <c r="Z133" s="18">
        <f>ROUND(_xlfn.XLOOKUP(B133,'Base stats'!B:B,'Base stats'!AO:AO)*_xlfn.XLOOKUP(_xlfn.XLOOKUP(B133,'Base stats'!B:B,'Base stats'!E:E),Groups!A:A,Groups!H:H)/1000,2)</f>
        <v>0.02</v>
      </c>
      <c r="AA133" s="18">
        <f>ROUND((1/2)*(_xlfn.XLOOKUP(_xlfn.XLOOKUP(B133,'Base stats'!B:B,'Base stats'!E:E),Groups!A:A,Groups!H:H)*_xlfn.XLOOKUP(_xlfn.XLOOKUP(B133,'Base stats'!B:B,'Base stats'!E:E),Groups!A:A,Groups!I:I))*_xlfn.XLOOKUP(B133,'Base stats'!B:B,'Base stats'!AO:AO)*0.01,2)</f>
        <v>0.09</v>
      </c>
      <c r="AB133" s="18">
        <f>250*(Animals!AO133+Animals!AP133)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stats'!BQ:BQ) * (_xlfn.XLOOKUP(B134,'Base stats'!B:B,'Base stats'!AM:AM)*5%)^0.9 / 21,0.1),0.05)</f>
        <v>0.70000000000000007</v>
      </c>
      <c r="E134" s="11">
        <f>MAX(0.01,MROUND(_xlfn.XLOOKUP(B134,'Base stats'!B:B,'Base stats'!BE:BE) * 0.01 * 2, 0.01))</f>
        <v>0.55000000000000004</v>
      </c>
      <c r="F134" s="7">
        <f>MROUND(_xlfn.XLOOKUP(B134,'Base stats'!B:B,'Base stats'!BB:BB)^0.25 / (_xlfn.XLOOKUP(B134,'Base stats'!B:B,'Base stats'!BI:BI) * 10) * 150 + 0.5 + _xlfn.XLOOKUP(B134,'Base stats'!B:B,'Base stats'!BU:BU), 0.05)</f>
        <v>1.4500000000000002</v>
      </c>
      <c r="G134" s="3" t="str">
        <f>IF(Animals!S134="No","No",
IF(_xlfn.XLOOKUP(B134,'Base stats'!B:B,'Base stats'!U:U)="No",
MAX(MROUND(_xlfn.XLOOKUP(B134,'Base stats'!B:B,'Base stats'!BR:BR) * _xlfn.XLOOKUP(B134,'Base stats'!B:B,'Base stats'!BN:BN)^0.9 / 21 * _xlfn.XLOOKUP(B134,'Base stats'!B:B,'Base stats'!BV:BV),0.1),0.05),
MAX(MROUND(((MIN(10,_xlfn.XLOOKUP(B134,'Base stats'!B:B,'Base stats'!U:U)))^0.4*_xlfn.XLOOKUP(B134,'Base stats'!B:B,'Base stats'!BF:BF)^0.73)^0.6 * _xlfn.XLOOKUP(B134,'Base stats'!B:B,'Base stats'!BV:BV),0.1),0.05)
))</f>
        <v>No</v>
      </c>
      <c r="H134" s="11" t="str">
        <f>IF(G134="No","No",
MAX(0.01,MROUND(_xlfn.XLOOKUP(B134,'Base stats'!B:B,'Base stats'!BF:BF) * 0.01 * 2, 0.01))
)</f>
        <v>No</v>
      </c>
      <c r="I134" s="11" t="str">
        <f>IF(G134="No","No",IF(_xlfn.XLOOKUP(B134,'Base stats'!B:B,'Base stats'!U:U)="No","No",
MAX(0.01,MROUND(_xlfn.XLOOKUP(B134,'Base stats'!B:B,'Base stats'!BR:BR)/10000,0.01))
))</f>
        <v>No</v>
      </c>
      <c r="J134" s="4" t="str">
        <f>IF(G134="No","No",
MROUND(_xlfn.XLOOKUP(B134,'Base stats'!B:B,'Base stats'!BC:BC)^0.25
/((_xlfn.XLOOKUP(B134,'Base stats'!B:B,'Base stats'!BJ:BJ))*10)*_xlfn.XLOOKUP(_xlfn.XLOOKUP(B134,'Base stats'!B:B,'Base stats'!E:E),Groups!A:A,Groups!Q:Q)*150 + 0.5 + _xlfn.XLOOKUP(B134,'Base stats'!B:B,'Base stats'!BU:BU),
0.05))</f>
        <v>No</v>
      </c>
      <c r="K134" s="3" t="str">
        <f>IF(Animals!X134="No","No",
IF(_xlfn.XLOOKUP(_xlfn.XLOOKUP(B134,'Base stats'!B:B,'Base stats'!E:E),Groups!A:A,Groups!BD:BD)=1,
MAX(MROUND(_xlfn.XLOOKUP(B134,'Base stats'!B:B,'Base stats'!BS:BS) * _xlfn.XLOOKUP(B134,'Base stats'!B:B,'Base stats'!BO:BO)^0.9 / 21 *_xlfn.XLOOKUP(B134,'Base stats'!B:B,'Base stats'!BV:BV),0.1),0.05),
MAX(MROUND(((MIN(10,_xlfn.XLOOKUP(B134,'Base stats'!B:B,'Base stats'!W:W)))^0.4*_xlfn.XLOOKUP(B134,'Base stats'!B:B,'Base stats'!BG:BG)^0.73)^0.6 *_xlfn.XLOOKUP(B134,'Base stats'!B:B,'Base stats'!BV:BV),0.1),0.05)
))</f>
        <v>No</v>
      </c>
      <c r="L134" s="11" t="str">
        <f>IF(K134="No","No",
MAX(0.01,MROUND(_xlfn.XLOOKUP(B134,'Base stats'!B:B,'Base stats'!BG:BG) * 0.01 *2, 0.01))
)</f>
        <v>No</v>
      </c>
      <c r="M134" s="5" t="str">
        <f>IF(K134="No","No",IF(_xlfn.XLOOKUP(_xlfn.XLOOKUP(B134,'Base stats'!B:B,'Base stats'!E:E),Groups!A:A,Groups!BD:BD)=1,"No",
MAX(0.01,MROUND(_xlfn.XLOOKUP(B134,'Base stats'!B:B,'Base stats'!BS:BS)/10000,0.01))
))</f>
        <v>No</v>
      </c>
      <c r="N134" s="4" t="str">
        <f>IF(K134="No","No",
MROUND(
  _xlfn.XLOOKUP(B134,'Base stats'!B:B,'Base stats'!BA:BA)^0.25
  / (_xlfn.XLOOKUP(B134,'Base stats'!B:B,'Base stats'!BK:BK)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stats'!BU:BU),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stats'!BH:BH)^0.73)^0.6 *_xlfn.XLOOKUP(B134,'Base stats'!B:B,'Base stats'!BV:BV),0.1),0.05)
)</f>
        <v>5.3000000000000007</v>
      </c>
      <c r="P134" s="11">
        <f>IF(O134="No","No",
MAX(0.01,MROUND(_xlfn.XLOOKUP(B134,'Base stats'!B:B,'Base stats'!BH:BH) * 0.01 * 2, 0.01))
)</f>
        <v>0.4</v>
      </c>
      <c r="Q134" s="5">
        <f>IF(O134="No","No",
MAX(0.01,MROUND(_xlfn.XLOOKUP(B134,'Base stats'!B:B,'Base stats'!BT:BT)/10000,0.01))
)</f>
        <v>0.04</v>
      </c>
      <c r="R134" s="4">
        <f>IF(O134="No","No",
MROUND(_xlfn.XLOOKUP(B134,'Base stats'!B:B,'Base stats'!AZ:AZ)^0.25
/((_xlfn.XLOOKUP(B134,'Base stats'!B:B,'Base stats'!BL:BL))*10)*_xlfn.XLOOKUP(_xlfn.XLOOKUP(B134,'Base stats'!B:B,'Base stats'!E:E),Groups!A:A,Groups!Z:Z)*150 + 0.5 + _xlfn.XLOOKUP(B134,'Base stats'!B:B,'Base stats'!BU:BU),
0.05))</f>
        <v>1.9000000000000001</v>
      </c>
      <c r="S134" s="3">
        <f>IF(Animals!AI134="No","No",
IF(_xlfn.XLOOKUP(B134,'Base stats'!B:B,'Base stats'!U:U)="No",
MAX(MROUND(_xlfn.XLOOKUP(B134,'Base stats'!B:B,'Base stats'!BR:BR) * _xlfn.XLOOKUP(B134,'Base stats'!B:B,'Base stats'!BN:BN)^0.9 / 21 * _xlfn.XLOOKUP(B134,'Base stats'!B:B,'Base stats'!BV:BV),0.1),0.05),
MAX(MROUND(((MIN(12,_xlfn.XLOOKUP(B134,'Base stats'!B:B,'Base stats'!U:U)))^0.4*_xlfn.XLOOKUP(B134,'Base stats'!B:B,'Base stats'!BF:BF)^0.73)^0.6 * _xlfn.XLOOKUP(B134,'Base stats'!B:B,'Base stats'!BV:BV),0.1),0.05)
))</f>
        <v>1.8</v>
      </c>
      <c r="T134" s="11">
        <f>IF(S134="No","No",
MAX(0.01,MROUND(_xlfn.XLOOKUP(B134,'Base stats'!B:B,'Base stats'!BF:BF) * 0.01 * 2, 0.01))
)</f>
        <v>0.76</v>
      </c>
      <c r="U134" s="5" t="str">
        <f>IF(S134="No","No",IF(_xlfn.XLOOKUP(B134,'Base stats'!B:B,'Base stats'!U:U)="No","No",
MAX(0.01,MROUND(_xlfn.XLOOKUP(B134,'Base stats'!B:B,'Base stats'!BR:BR)/10000,0.01))
))</f>
        <v>No</v>
      </c>
      <c r="V134" s="4">
        <f>IF(S134="No","No",
MROUND(_xlfn.XLOOKUP(B134,'Base stats'!B:B,'Base stats'!BD:BD)^0.25
/((_xlfn.XLOOKUP(B134,'Base stats'!B:B,'Base stats'!BM:BM))*10)*_xlfn.XLOOKUP(_xlfn.XLOOKUP(B134,'Base stats'!B:B,'Base stats'!E:E),Groups!A:A,Groups!AE:AE)*150 + 0.5 + _xlfn.XLOOKUP(B134,'Base stats'!B:B,'Base stats'!BU:BU),
0.05))</f>
        <v>1.25</v>
      </c>
      <c r="W134" s="8">
        <f>MROUND(_xlfn.XLOOKUP(_xlfn.XLOOKUP(B134,'Base stats'!B:B,'Base stats'!E:E),Groups!A:A,Groups!BG:BG)*_xlfn.XLOOKUP(B134,'Base stats'!B:B,'Base stats'!C:C)^-0.165,0.01)</f>
        <v>0.62</v>
      </c>
      <c r="X134" s="1">
        <f>MROUND(_xlfn.XLOOKUP(_xlfn.XLOOKUP(B134,'Base stats'!B:B,'Base stats'!E:E),Groups!A:A,Groups!BH:BH)*_xlfn.XLOOKUP(B134,'Base stats'!B:B,'Base stats'!C:C)^0.165,0.01)</f>
        <v>0.16</v>
      </c>
      <c r="Y134" s="8">
        <f>MROUND(_xlfn.XLOOKUP(_xlfn.XLOOKUP(B134,'Base stats'!B:B,'Base stats'!E:E),Groups!A:A,Groups!BI:BI)*_xlfn.XLOOKUP(B134,'Base stats'!B:B,'Base stats'!C:C)^0.165,0.01)</f>
        <v>0.08</v>
      </c>
      <c r="Z134" s="18">
        <f>ROUND(_xlfn.XLOOKUP(B134,'Base stats'!B:B,'Base stats'!AO:AO)*_xlfn.XLOOKUP(_xlfn.XLOOKUP(B134,'Base stats'!B:B,'Base stats'!E:E),Groups!A:A,Groups!H:H)/1000,2)</f>
        <v>0.03</v>
      </c>
      <c r="AA134" s="18">
        <f>ROUND((1/2)*(_xlfn.XLOOKUP(_xlfn.XLOOKUP(B134,'Base stats'!B:B,'Base stats'!E:E),Groups!A:A,Groups!H:H)*_xlfn.XLOOKUP(_xlfn.XLOOKUP(B134,'Base stats'!B:B,'Base stats'!E:E),Groups!A:A,Groups!I:I))*_xlfn.XLOOKUP(B134,'Base stats'!B:B,'Base stats'!AO:AO)*0.01,2)</f>
        <v>0.16</v>
      </c>
      <c r="AB134" s="18">
        <f>250*(Animals!AO134+Animals!AP134)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stats'!BQ:BQ) * (_xlfn.XLOOKUP(B135,'Base stats'!B:B,'Base stats'!AM:AM)*5%)^0.9 / 21,0.1),0.05)</f>
        <v>7.7</v>
      </c>
      <c r="E135" s="11">
        <f>MAX(0.01,MROUND(_xlfn.XLOOKUP(B135,'Base stats'!B:B,'Base stats'!BE:BE) * 0.01 * 2, 0.01))</f>
        <v>7.0200000000000005</v>
      </c>
      <c r="F135" s="7">
        <f>MROUND(_xlfn.XLOOKUP(B135,'Base stats'!B:B,'Base stats'!BB:BB)^0.25 / (_xlfn.XLOOKUP(B135,'Base stats'!B:B,'Base stats'!BI:BI) * 10) * 150 + 0.5 + _xlfn.XLOOKUP(B135,'Base stats'!B:B,'Base stats'!BU:BU), 0.05)</f>
        <v>1.8</v>
      </c>
      <c r="G135" s="3">
        <f>IF(Animals!S135="No","No",
IF(_xlfn.XLOOKUP(B135,'Base stats'!B:B,'Base stats'!U:U)="No",
MAX(MROUND(_xlfn.XLOOKUP(B135,'Base stats'!B:B,'Base stats'!BR:BR) * _xlfn.XLOOKUP(B135,'Base stats'!B:B,'Base stats'!BN:BN)^0.9 / 21 * _xlfn.XLOOKUP(B135,'Base stats'!B:B,'Base stats'!BV:BV),0.1),0.05),
MAX(MROUND(((MIN(10,_xlfn.XLOOKUP(B135,'Base stats'!B:B,'Base stats'!U:U)))^0.4*_xlfn.XLOOKUP(B135,'Base stats'!B:B,'Base stats'!BF:BF)^0.73)^0.6 * _xlfn.XLOOKUP(B135,'Base stats'!B:B,'Base stats'!BV:BV),0.1),0.05)
))</f>
        <v>13.200000000000001</v>
      </c>
      <c r="H135" s="11">
        <f>IF(G135="No","No",
MAX(0.01,MROUND(_xlfn.XLOOKUP(B135,'Base stats'!B:B,'Base stats'!BF:BF) * 0.01 * 2, 0.01))
)</f>
        <v>8.31</v>
      </c>
      <c r="I135" s="11" t="str">
        <f>IF(G135="No","No",IF(_xlfn.XLOOKUP(B135,'Base stats'!B:B,'Base stats'!U:U)="No","No",
MAX(0.01,MROUND(_xlfn.XLOOKUP(B135,'Base stats'!B:B,'Base stats'!BR:BR)/10000,0.01))
))</f>
        <v>No</v>
      </c>
      <c r="J135" s="4">
        <f>IF(G135="No","No",
MROUND(_xlfn.XLOOKUP(B135,'Base stats'!B:B,'Base stats'!BC:BC)^0.25
/((_xlfn.XLOOKUP(B135,'Base stats'!B:B,'Base stats'!BJ:BJ))*10)*_xlfn.XLOOKUP(_xlfn.XLOOKUP(B135,'Base stats'!B:B,'Base stats'!E:E),Groups!A:A,Groups!Q:Q)*150 + 0.5 + _xlfn.XLOOKUP(B135,'Base stats'!B:B,'Base stats'!BU:BU),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stats'!BS:BS) * _xlfn.XLOOKUP(B135,'Base stats'!B:B,'Base stats'!BO:BO)^0.9 / 21 *_xlfn.XLOOKUP(B135,'Base stats'!B:B,'Base stats'!BV:BV),0.1),0.05),
MAX(MROUND(((MIN(10,_xlfn.XLOOKUP(B135,'Base stats'!B:B,'Base stats'!W:W)))^0.4*_xlfn.XLOOKUP(B135,'Base stats'!B:B,'Base stats'!BG:BG)^0.73)^0.6 *_xlfn.XLOOKUP(B135,'Base stats'!B:B,'Base stats'!BV:BV),0.1),0.05)
))</f>
        <v>No</v>
      </c>
      <c r="L135" s="11" t="str">
        <f>IF(K135="No","No",
MAX(0.01,MROUND(_xlfn.XLOOKUP(B135,'Base stats'!B:B,'Base stats'!BG:BG) * 0.01 *2, 0.01))
)</f>
        <v>No</v>
      </c>
      <c r="M135" s="5" t="str">
        <f>IF(K135="No","No",IF(_xlfn.XLOOKUP(_xlfn.XLOOKUP(B135,'Base stats'!B:B,'Base stats'!E:E),Groups!A:A,Groups!BD:BD)=1,"No",
MAX(0.01,MROUND(_xlfn.XLOOKUP(B135,'Base stats'!B:B,'Base stats'!BS:BS)/10000,0.01))
))</f>
        <v>No</v>
      </c>
      <c r="N135" s="4" t="str">
        <f>IF(K135="No","No",
MROUND(
  _xlfn.XLOOKUP(B135,'Base stats'!B:B,'Base stats'!BA:BA)^0.25
  / (_xlfn.XLOOKUP(B135,'Base stats'!B:B,'Base stats'!BK:BK)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stats'!BU:BU),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stats'!BH:BH)^0.73)^0.6 *_xlfn.XLOOKUP(B135,'Base stats'!B:B,'Base stats'!BV:BV),0.1),0.05)
)</f>
        <v>12.9</v>
      </c>
      <c r="P135" s="11">
        <f>IF(O135="No","No",
MAX(0.01,MROUND(_xlfn.XLOOKUP(B135,'Base stats'!B:B,'Base stats'!BH:BH) * 0.01 * 2, 0.01))
)</f>
        <v>5.47</v>
      </c>
      <c r="Q135" s="5">
        <f>IF(O135="No","No",
MAX(0.01,MROUND(_xlfn.XLOOKUP(B135,'Base stats'!B:B,'Base stats'!BT:BT)/10000,0.01))
)</f>
        <v>0.12</v>
      </c>
      <c r="R135" s="4">
        <f>IF(O135="No","No",
MROUND(_xlfn.XLOOKUP(B135,'Base stats'!B:B,'Base stats'!AZ:AZ)^0.25
/((_xlfn.XLOOKUP(B135,'Base stats'!B:B,'Base stats'!BL:BL))*10)*_xlfn.XLOOKUP(_xlfn.XLOOKUP(B135,'Base stats'!B:B,'Base stats'!E:E),Groups!A:A,Groups!Z:Z)*150 + 0.5 + _xlfn.XLOOKUP(B135,'Base stats'!B:B,'Base stats'!BU:BU),
0.05))</f>
        <v>2.75</v>
      </c>
      <c r="S135" s="3" t="str">
        <f>IF(Animals!AI135="No","No",
IF(_xlfn.XLOOKUP(B135,'Base stats'!B:B,'Base stats'!U:U)="No",
MAX(MROUND(_xlfn.XLOOKUP(B135,'Base stats'!B:B,'Base stats'!BR:BR) * _xlfn.XLOOKUP(B135,'Base stats'!B:B,'Base stats'!BN:BN)^0.9 / 21 * _xlfn.XLOOKUP(B135,'Base stats'!B:B,'Base stats'!BV:BV),0.1),0.05),
MAX(MROUND(((MIN(12,_xlfn.XLOOKUP(B135,'Base stats'!B:B,'Base stats'!U:U)))^0.4*_xlfn.XLOOKUP(B135,'Base stats'!B:B,'Base stats'!BF:BF)^0.73)^0.6 * _xlfn.XLOOKUP(B135,'Base stats'!B:B,'Base stats'!BV:BV),0.1),0.05)
))</f>
        <v>No</v>
      </c>
      <c r="T135" s="11" t="str">
        <f>IF(S135="No","No",
MAX(0.01,MROUND(_xlfn.XLOOKUP(B135,'Base stats'!B:B,'Base stats'!BF:BF) * 0.01 * 2, 0.01))
)</f>
        <v>No</v>
      </c>
      <c r="U135" s="5" t="str">
        <f>IF(S135="No","No",IF(_xlfn.XLOOKUP(B135,'Base stats'!B:B,'Base stats'!U:U)="No","No",
MAX(0.01,MROUND(_xlfn.XLOOKUP(B135,'Base stats'!B:B,'Base stats'!BR:BR)/10000,0.01))
))</f>
        <v>No</v>
      </c>
      <c r="V135" s="4" t="str">
        <f>IF(S135="No","No",
MROUND(_xlfn.XLOOKUP(B135,'Base stats'!B:B,'Base stats'!BD:BD)^0.25
/((_xlfn.XLOOKUP(B135,'Base stats'!B:B,'Base stats'!BM:BM))*10)*_xlfn.XLOOKUP(_xlfn.XLOOKUP(B135,'Base stats'!B:B,'Base stats'!E:E),Groups!A:A,Groups!AE:AE)*150 + 0.5 + _xlfn.XLOOKUP(B135,'Base stats'!B:B,'Base stats'!BU:BU),
0.05))</f>
        <v>No</v>
      </c>
      <c r="W135" s="8">
        <f>MROUND(_xlfn.XLOOKUP(_xlfn.XLOOKUP(B135,'Base stats'!B:B,'Base stats'!E:E),Groups!A:A,Groups!BG:BG)*_xlfn.XLOOKUP(B135,'Base stats'!B:B,'Base stats'!C:C)^-0.165,0.01)</f>
        <v>0.27</v>
      </c>
      <c r="X135" s="1">
        <f>MROUND(_xlfn.XLOOKUP(_xlfn.XLOOKUP(B135,'Base stats'!B:B,'Base stats'!E:E),Groups!A:A,Groups!BH:BH)*_xlfn.XLOOKUP(B135,'Base stats'!B:B,'Base stats'!C:C)^0.165,0.01)</f>
        <v>0</v>
      </c>
      <c r="Y135" s="8">
        <f>MROUND(_xlfn.XLOOKUP(_xlfn.XLOOKUP(B135,'Base stats'!B:B,'Base stats'!E:E),Groups!A:A,Groups!BI:BI)*_xlfn.XLOOKUP(B135,'Base stats'!B:B,'Base stats'!C:C)^0.165,0.01)</f>
        <v>0</v>
      </c>
      <c r="Z135" s="18">
        <f>ROUND(_xlfn.XLOOKUP(B135,'Base stats'!B:B,'Base stats'!AO:AO)*_xlfn.XLOOKUP(_xlfn.XLOOKUP(B135,'Base stats'!B:B,'Base stats'!E:E),Groups!A:A,Groups!H:H)/1000,2)</f>
        <v>0.06</v>
      </c>
      <c r="AA135" s="18">
        <f>ROUND((1/2)*(_xlfn.XLOOKUP(_xlfn.XLOOKUP(B135,'Base stats'!B:B,'Base stats'!E:E),Groups!A:A,Groups!H:H)*_xlfn.XLOOKUP(_xlfn.XLOOKUP(B135,'Base stats'!B:B,'Base stats'!E:E),Groups!A:A,Groups!I:I))*_xlfn.XLOOKUP(B135,'Base stats'!B:B,'Base stats'!AO:AO)*0.01,2)</f>
        <v>0.36</v>
      </c>
      <c r="AB135" s="18">
        <f>250*(Animals!AO135+Animals!AP135)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stats'!BQ:BQ) * (_xlfn.XLOOKUP(B136,'Base stats'!B:B,'Base stats'!AM:AM)*5%)^0.9 / 21,0.1),0.05)</f>
        <v>3</v>
      </c>
      <c r="E136" s="11">
        <f>MAX(0.01,MROUND(_xlfn.XLOOKUP(B136,'Base stats'!B:B,'Base stats'!BE:BE) * 0.01 * 2, 0.01))</f>
        <v>2.5300000000000002</v>
      </c>
      <c r="F136" s="7">
        <f>MROUND(_xlfn.XLOOKUP(B136,'Base stats'!B:B,'Base stats'!BB:BB)^0.25 / (_xlfn.XLOOKUP(B136,'Base stats'!B:B,'Base stats'!BI:BI) * 10) * 150 + 0.5 + _xlfn.XLOOKUP(B136,'Base stats'!B:B,'Base stats'!BU:BU), 0.05)</f>
        <v>2.0500000000000003</v>
      </c>
      <c r="G136" s="3" t="str">
        <f>IF(Animals!S136="No","No",
IF(_xlfn.XLOOKUP(B136,'Base stats'!B:B,'Base stats'!U:U)="No",
MAX(MROUND(_xlfn.XLOOKUP(B136,'Base stats'!B:B,'Base stats'!BR:BR) * _xlfn.XLOOKUP(B136,'Base stats'!B:B,'Base stats'!BN:BN)^0.9 / 21 * _xlfn.XLOOKUP(B136,'Base stats'!B:B,'Base stats'!BV:BV),0.1),0.05),
MAX(MROUND(((MIN(10,_xlfn.XLOOKUP(B136,'Base stats'!B:B,'Base stats'!U:U)))^0.4*_xlfn.XLOOKUP(B136,'Base stats'!B:B,'Base stats'!BF:BF)^0.73)^0.6 * _xlfn.XLOOKUP(B136,'Base stats'!B:B,'Base stats'!BV:BV),0.1),0.05)
))</f>
        <v>No</v>
      </c>
      <c r="H136" s="11" t="str">
        <f>IF(G136="No","No",
MAX(0.01,MROUND(_xlfn.XLOOKUP(B136,'Base stats'!B:B,'Base stats'!BF:BF) * 0.01 * 2, 0.01))
)</f>
        <v>No</v>
      </c>
      <c r="I136" s="11" t="str">
        <f>IF(G136="No","No",IF(_xlfn.XLOOKUP(B136,'Base stats'!B:B,'Base stats'!U:U)="No","No",
MAX(0.01,MROUND(_xlfn.XLOOKUP(B136,'Base stats'!B:B,'Base stats'!BR:BR)/10000,0.01))
))</f>
        <v>No</v>
      </c>
      <c r="J136" s="4" t="str">
        <f>IF(G136="No","No",
MROUND(_xlfn.XLOOKUP(B136,'Base stats'!B:B,'Base stats'!BC:BC)^0.25
/((_xlfn.XLOOKUP(B136,'Base stats'!B:B,'Base stats'!BJ:BJ))*10)*_xlfn.XLOOKUP(_xlfn.XLOOKUP(B136,'Base stats'!B:B,'Base stats'!E:E),Groups!A:A,Groups!Q:Q)*150 + 0.5 + _xlfn.XLOOKUP(B136,'Base stats'!B:B,'Base stats'!BU:BU),
0.05))</f>
        <v>No</v>
      </c>
      <c r="K136" s="3" t="str">
        <f>IF(Animals!X136="No","No",
IF(_xlfn.XLOOKUP(_xlfn.XLOOKUP(B136,'Base stats'!B:B,'Base stats'!E:E),Groups!A:A,Groups!BD:BD)=1,
MAX(MROUND(_xlfn.XLOOKUP(B136,'Base stats'!B:B,'Base stats'!BS:BS) * _xlfn.XLOOKUP(B136,'Base stats'!B:B,'Base stats'!BO:BO)^0.9 / 21 *_xlfn.XLOOKUP(B136,'Base stats'!B:B,'Base stats'!BV:BV),0.1),0.05),
MAX(MROUND(((MIN(10,_xlfn.XLOOKUP(B136,'Base stats'!B:B,'Base stats'!W:W)))^0.4*_xlfn.XLOOKUP(B136,'Base stats'!B:B,'Base stats'!BG:BG)^0.73)^0.6 *_xlfn.XLOOKUP(B136,'Base stats'!B:B,'Base stats'!BV:BV),0.1),0.05)
))</f>
        <v>No</v>
      </c>
      <c r="L136" s="11" t="str">
        <f>IF(K136="No","No",
MAX(0.01,MROUND(_xlfn.XLOOKUP(B136,'Base stats'!B:B,'Base stats'!BG:BG) * 0.01 *2, 0.01))
)</f>
        <v>No</v>
      </c>
      <c r="M136" s="5" t="str">
        <f>IF(K136="No","No",IF(_xlfn.XLOOKUP(_xlfn.XLOOKUP(B136,'Base stats'!B:B,'Base stats'!E:E),Groups!A:A,Groups!BD:BD)=1,"No",
MAX(0.01,MROUND(_xlfn.XLOOKUP(B136,'Base stats'!B:B,'Base stats'!BS:BS)/10000,0.01))
))</f>
        <v>No</v>
      </c>
      <c r="N136" s="4" t="str">
        <f>IF(K136="No","No",
MROUND(
  _xlfn.XLOOKUP(B136,'Base stats'!B:B,'Base stats'!BA:BA)^0.25
  / (_xlfn.XLOOKUP(B136,'Base stats'!B:B,'Base stats'!BK:BK)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stats'!BU:BU),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stats'!BH:BH)^0.73)^0.6 *_xlfn.XLOOKUP(B136,'Base stats'!B:B,'Base stats'!BV:BV),0.1),0.05)
)</f>
        <v>8.1</v>
      </c>
      <c r="P136" s="11">
        <f>IF(O136="No","No",
MAX(0.01,MROUND(_xlfn.XLOOKUP(B136,'Base stats'!B:B,'Base stats'!BH:BH) * 0.01 * 2, 0.01))
)</f>
        <v>1.44</v>
      </c>
      <c r="Q136" s="5">
        <f>IF(O136="No","No",
MAX(0.01,MROUND(_xlfn.XLOOKUP(B136,'Base stats'!B:B,'Base stats'!BT:BT)/10000,0.01))
)</f>
        <v>0.08</v>
      </c>
      <c r="R136" s="4">
        <f>IF(O136="No","No",
MROUND(_xlfn.XLOOKUP(B136,'Base stats'!B:B,'Base stats'!AZ:AZ)^0.25
/((_xlfn.XLOOKUP(B136,'Base stats'!B:B,'Base stats'!BL:BL))*10)*_xlfn.XLOOKUP(_xlfn.XLOOKUP(B136,'Base stats'!B:B,'Base stats'!E:E),Groups!A:A,Groups!Z:Z)*150 + 0.5 + _xlfn.XLOOKUP(B136,'Base stats'!B:B,'Base stats'!BU:BU),
0.05))</f>
        <v>2</v>
      </c>
      <c r="S136" s="3" t="str">
        <f>IF(Animals!AI136="No","No",
IF(_xlfn.XLOOKUP(B136,'Base stats'!B:B,'Base stats'!U:U)="No",
MAX(MROUND(_xlfn.XLOOKUP(B136,'Base stats'!B:B,'Base stats'!BR:BR) * _xlfn.XLOOKUP(B136,'Base stats'!B:B,'Base stats'!BN:BN)^0.9 / 21 * _xlfn.XLOOKUP(B136,'Base stats'!B:B,'Base stats'!BV:BV),0.1),0.05),
MAX(MROUND(((MIN(12,_xlfn.XLOOKUP(B136,'Base stats'!B:B,'Base stats'!U:U)))^0.4*_xlfn.XLOOKUP(B136,'Base stats'!B:B,'Base stats'!BF:BF)^0.73)^0.6 * _xlfn.XLOOKUP(B136,'Base stats'!B:B,'Base stats'!BV:BV),0.1),0.05)
))</f>
        <v>No</v>
      </c>
      <c r="T136" s="11" t="str">
        <f>IF(S136="No","No",
MAX(0.01,MROUND(_xlfn.XLOOKUP(B136,'Base stats'!B:B,'Base stats'!BF:BF) * 0.01 * 2, 0.01))
)</f>
        <v>No</v>
      </c>
      <c r="U136" s="5" t="str">
        <f>IF(S136="No","No",IF(_xlfn.XLOOKUP(B136,'Base stats'!B:B,'Base stats'!U:U)="No","No",
MAX(0.01,MROUND(_xlfn.XLOOKUP(B136,'Base stats'!B:B,'Base stats'!BR:BR)/10000,0.01))
))</f>
        <v>No</v>
      </c>
      <c r="V136" s="4" t="str">
        <f>IF(S136="No","No",
MROUND(_xlfn.XLOOKUP(B136,'Base stats'!B:B,'Base stats'!BD:BD)^0.25
/((_xlfn.XLOOKUP(B136,'Base stats'!B:B,'Base stats'!BM:BM))*10)*_xlfn.XLOOKUP(_xlfn.XLOOKUP(B136,'Base stats'!B:B,'Base stats'!E:E),Groups!A:A,Groups!AE:AE)*150 + 0.5 + _xlfn.XLOOKUP(B136,'Base stats'!B:B,'Base stats'!BU:BU),
0.05))</f>
        <v>No</v>
      </c>
      <c r="W136" s="8">
        <f>MROUND(_xlfn.XLOOKUP(_xlfn.XLOOKUP(B136,'Base stats'!B:B,'Base stats'!E:E),Groups!A:A,Groups!BG:BG)*_xlfn.XLOOKUP(B136,'Base stats'!B:B,'Base stats'!C:C)^-0.165,0.01)</f>
        <v>0.23</v>
      </c>
      <c r="X136" s="1">
        <f>MROUND(_xlfn.XLOOKUP(_xlfn.XLOOKUP(B136,'Base stats'!B:B,'Base stats'!E:E),Groups!A:A,Groups!BH:BH)*_xlfn.XLOOKUP(B136,'Base stats'!B:B,'Base stats'!C:C)^0.165,0.01)</f>
        <v>0.21</v>
      </c>
      <c r="Y136" s="8">
        <f>MROUND(_xlfn.XLOOKUP(_xlfn.XLOOKUP(B136,'Base stats'!B:B,'Base stats'!E:E),Groups!A:A,Groups!BI:BI)*_xlfn.XLOOKUP(B136,'Base stats'!B:B,'Base stats'!C:C)^0.165,0.01)</f>
        <v>0.05</v>
      </c>
      <c r="Z136" s="18">
        <f>ROUND(_xlfn.XLOOKUP(B136,'Base stats'!B:B,'Base stats'!AO:AO)*_xlfn.XLOOKUP(_xlfn.XLOOKUP(B136,'Base stats'!B:B,'Base stats'!E:E),Groups!A:A,Groups!H:H)/1000,2)</f>
        <v>7.0000000000000007E-2</v>
      </c>
      <c r="AA136" s="18">
        <f>ROUND((1/2)*(_xlfn.XLOOKUP(_xlfn.XLOOKUP(B136,'Base stats'!B:B,'Base stats'!E:E),Groups!A:A,Groups!H:H)*_xlfn.XLOOKUP(_xlfn.XLOOKUP(B136,'Base stats'!B:B,'Base stats'!E:E),Groups!A:A,Groups!I:I))*_xlfn.XLOOKUP(B136,'Base stats'!B:B,'Base stats'!AO:AO)*0.01,2)</f>
        <v>0.3</v>
      </c>
      <c r="AB136" s="18">
        <f>250*(Animals!AO136+Animals!AP136)</f>
        <v>600.00000000000011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stats'!BQ:BQ) * (_xlfn.XLOOKUP(B137,'Base stats'!B:B,'Base stats'!AM:AM)*5%)^0.9 / 21,0.1),0.05)</f>
        <v>29.6</v>
      </c>
      <c r="E137" s="11">
        <f>MAX(0.01,MROUND(_xlfn.XLOOKUP(B137,'Base stats'!B:B,'Base stats'!BE:BE) * 0.01 * 2, 0.01))</f>
        <v>31.45</v>
      </c>
      <c r="F137" s="7">
        <f>MROUND(_xlfn.XLOOKUP(B137,'Base stats'!B:B,'Base stats'!BB:BB)^0.25 / (_xlfn.XLOOKUP(B137,'Base stats'!B:B,'Base stats'!BI:BI) * 10) * 150 + 0.5 + _xlfn.XLOOKUP(B137,'Base stats'!B:B,'Base stats'!BU:BU), 0.05)</f>
        <v>2.85</v>
      </c>
      <c r="G137" s="3">
        <f>IF(Animals!S137="No","No",
IF(_xlfn.XLOOKUP(B137,'Base stats'!B:B,'Base stats'!U:U)="No",
MAX(MROUND(_xlfn.XLOOKUP(B137,'Base stats'!B:B,'Base stats'!BR:BR) * _xlfn.XLOOKUP(B137,'Base stats'!B:B,'Base stats'!BN:BN)^0.9 / 21 * _xlfn.XLOOKUP(B137,'Base stats'!B:B,'Base stats'!BV:BV),0.1),0.05),
MAX(MROUND(((MIN(10,_xlfn.XLOOKUP(B137,'Base stats'!B:B,'Base stats'!U:U)))^0.4*_xlfn.XLOOKUP(B137,'Base stats'!B:B,'Base stats'!BF:BF)^0.73)^0.6 * _xlfn.XLOOKUP(B137,'Base stats'!B:B,'Base stats'!BV:BV),0.1),0.05)
))</f>
        <v>35.9</v>
      </c>
      <c r="H137" s="11">
        <f>IF(G137="No","No",
MAX(0.01,MROUND(_xlfn.XLOOKUP(B137,'Base stats'!B:B,'Base stats'!BF:BF) * 0.01 * 2, 0.01))
)</f>
        <v>28.19</v>
      </c>
      <c r="I137" s="11" t="str">
        <f>IF(G137="No","No",IF(_xlfn.XLOOKUP(B137,'Base stats'!B:B,'Base stats'!U:U)="No","No",
MAX(0.01,MROUND(_xlfn.XLOOKUP(B137,'Base stats'!B:B,'Base stats'!BR:BR)/10000,0.01))
))</f>
        <v>No</v>
      </c>
      <c r="J137" s="4">
        <f>IF(G137="No","No",
MROUND(_xlfn.XLOOKUP(B137,'Base stats'!B:B,'Base stats'!BC:BC)^0.25
/((_xlfn.XLOOKUP(B137,'Base stats'!B:B,'Base stats'!BJ:BJ))*10)*_xlfn.XLOOKUP(_xlfn.XLOOKUP(B137,'Base stats'!B:B,'Base stats'!E:E),Groups!A:A,Groups!Q:Q)*150 + 0.5 + _xlfn.XLOOKUP(B137,'Base stats'!B:B,'Base stats'!BU:BU),
0.05))</f>
        <v>3.45</v>
      </c>
      <c r="K137" s="3">
        <f>IF(Animals!X137="No","No",
IF(_xlfn.XLOOKUP(_xlfn.XLOOKUP(B137,'Base stats'!B:B,'Base stats'!E:E),Groups!A:A,Groups!BD:BD)=1,
MAX(MROUND(_xlfn.XLOOKUP(B137,'Base stats'!B:B,'Base stats'!BS:BS) * _xlfn.XLOOKUP(B137,'Base stats'!B:B,'Base stats'!BO:BO)^0.9 / 21 *_xlfn.XLOOKUP(B137,'Base stats'!B:B,'Base stats'!BV:BV),0.1),0.05),
MAX(MROUND(((MIN(10,_xlfn.XLOOKUP(B137,'Base stats'!B:B,'Base stats'!W:W)))^0.4*_xlfn.XLOOKUP(B137,'Base stats'!B:B,'Base stats'!BG:BG)^0.73)^0.6 *_xlfn.XLOOKUP(B137,'Base stats'!B:B,'Base stats'!BV:BV),0.1),0.05)
))</f>
        <v>45.1</v>
      </c>
      <c r="L137" s="11">
        <f>IF(K137="No","No",
MAX(0.01,MROUND(_xlfn.XLOOKUP(B137,'Base stats'!B:B,'Base stats'!BG:BG) * 0.01 *2, 0.01))
)</f>
        <v>33.83</v>
      </c>
      <c r="M137" s="5">
        <f>IF(K137="No","No",IF(_xlfn.XLOOKUP(_xlfn.XLOOKUP(B137,'Base stats'!B:B,'Base stats'!E:E),Groups!A:A,Groups!BD:BD)=1,"No",
MAX(0.01,MROUND(_xlfn.XLOOKUP(B137,'Base stats'!B:B,'Base stats'!BS:BS)/10000,0.01))
))</f>
        <v>1.5</v>
      </c>
      <c r="N137" s="4">
        <f>IF(K137="No","No",
MROUND(
  _xlfn.XLOOKUP(B137,'Base stats'!B:B,'Base stats'!BA:BA)^0.25
  / (_xlfn.XLOOKUP(B137,'Base stats'!B:B,'Base stats'!BK:BK)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stats'!BU:BU),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stats'!BH:BH)^0.73)^0.6 *_xlfn.XLOOKUP(B137,'Base stats'!B:B,'Base stats'!BV:BV),0.1),0.05)
)</f>
        <v>No</v>
      </c>
      <c r="P137" s="11" t="str">
        <f>IF(O137="No","No",
MAX(0.01,MROUND(_xlfn.XLOOKUP(B137,'Base stats'!B:B,'Base stats'!BH:BH) * 0.01 * 2, 0.01))
)</f>
        <v>No</v>
      </c>
      <c r="Q137" s="5" t="str">
        <f>IF(O137="No","No",
MAX(0.01,MROUND(_xlfn.XLOOKUP(B137,'Base stats'!B:B,'Base stats'!BT:BT)/10000,0.01))
)</f>
        <v>No</v>
      </c>
      <c r="R137" s="4" t="str">
        <f>IF(O137="No","No",
MROUND(_xlfn.XLOOKUP(B137,'Base stats'!B:B,'Base stats'!AZ:AZ)^0.25
/((_xlfn.XLOOKUP(B137,'Base stats'!B:B,'Base stats'!BL:BL))*10)*_xlfn.XLOOKUP(_xlfn.XLOOKUP(B137,'Base stats'!B:B,'Base stats'!E:E),Groups!A:A,Groups!Z:Z)*150 + 0.5 + _xlfn.XLOOKUP(B137,'Base stats'!B:B,'Base stats'!BU:BU),
0.05))</f>
        <v>No</v>
      </c>
      <c r="S137" s="3" t="str">
        <f>IF(Animals!AI137="No","No",
IF(_xlfn.XLOOKUP(B137,'Base stats'!B:B,'Base stats'!U:U)="No",
MAX(MROUND(_xlfn.XLOOKUP(B137,'Base stats'!B:B,'Base stats'!BR:BR) * _xlfn.XLOOKUP(B137,'Base stats'!B:B,'Base stats'!BN:BN)^0.9 / 21 * _xlfn.XLOOKUP(B137,'Base stats'!B:B,'Base stats'!BV:BV),0.1),0.05),
MAX(MROUND(((MIN(12,_xlfn.XLOOKUP(B137,'Base stats'!B:B,'Base stats'!U:U)))^0.4*_xlfn.XLOOKUP(B137,'Base stats'!B:B,'Base stats'!BF:BF)^0.73)^0.6 * _xlfn.XLOOKUP(B137,'Base stats'!B:B,'Base stats'!BV:BV),0.1),0.05)
))</f>
        <v>No</v>
      </c>
      <c r="T137" s="11" t="str">
        <f>IF(S137="No","No",
MAX(0.01,MROUND(_xlfn.XLOOKUP(B137,'Base stats'!B:B,'Base stats'!BF:BF) * 0.01 * 2, 0.01))
)</f>
        <v>No</v>
      </c>
      <c r="U137" s="5" t="str">
        <f>IF(S137="No","No",IF(_xlfn.XLOOKUP(B137,'Base stats'!B:B,'Base stats'!U:U)="No","No",
MAX(0.01,MROUND(_xlfn.XLOOKUP(B137,'Base stats'!B:B,'Base stats'!BR:BR)/10000,0.01))
))</f>
        <v>No</v>
      </c>
      <c r="V137" s="4" t="str">
        <f>IF(S137="No","No",
MROUND(_xlfn.XLOOKUP(B137,'Base stats'!B:B,'Base stats'!BD:BD)^0.25
/((_xlfn.XLOOKUP(B137,'Base stats'!B:B,'Base stats'!BM:BM))*10)*_xlfn.XLOOKUP(_xlfn.XLOOKUP(B137,'Base stats'!B:B,'Base stats'!E:E),Groups!A:A,Groups!AE:AE)*150 + 0.5 + _xlfn.XLOOKUP(B137,'Base stats'!B:B,'Base stats'!BU:BU),
0.05))</f>
        <v>No</v>
      </c>
      <c r="W137" s="8">
        <f>MROUND(_xlfn.XLOOKUP(_xlfn.XLOOKUP(B137,'Base stats'!B:B,'Base stats'!E:E),Groups!A:A,Groups!BG:BG)*_xlfn.XLOOKUP(B137,'Base stats'!B:B,'Base stats'!C:C)^-0.165,0.01)</f>
        <v>7.0000000000000007E-2</v>
      </c>
      <c r="X137" s="1">
        <f>MROUND(_xlfn.XLOOKUP(_xlfn.XLOOKUP(B137,'Base stats'!B:B,'Base stats'!E:E),Groups!A:A,Groups!BH:BH)*_xlfn.XLOOKUP(B137,'Base stats'!B:B,'Base stats'!C:C)^0.165,0.01)</f>
        <v>0.38</v>
      </c>
      <c r="Y137" s="8">
        <f>MROUND(_xlfn.XLOOKUP(_xlfn.XLOOKUP(B137,'Base stats'!B:B,'Base stats'!E:E),Groups!A:A,Groups!BI:BI)*_xlfn.XLOOKUP(B137,'Base stats'!B:B,'Base stats'!C:C)^0.165,0.01)</f>
        <v>0.19</v>
      </c>
      <c r="Z137" s="18">
        <f>ROUND(_xlfn.XLOOKUP(B137,'Base stats'!B:B,'Base stats'!AO:AO)*_xlfn.XLOOKUP(_xlfn.XLOOKUP(B137,'Base stats'!B:B,'Base stats'!E:E),Groups!A:A,Groups!H:H)/1000,2)</f>
        <v>0.16</v>
      </c>
      <c r="AA137" s="18">
        <f>ROUND((1/2)*(_xlfn.XLOOKUP(_xlfn.XLOOKUP(B137,'Base stats'!B:B,'Base stats'!E:E),Groups!A:A,Groups!H:H)*_xlfn.XLOOKUP(_xlfn.XLOOKUP(B137,'Base stats'!B:B,'Base stats'!E:E),Groups!A:A,Groups!I:I))*_xlfn.XLOOKUP(B137,'Base stats'!B:B,'Base stats'!AO:AO)*0.01,2)</f>
        <v>0.88</v>
      </c>
      <c r="AB137" s="18">
        <f>250*(Animals!AO137+Animals!AP137)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stats'!BQ:BQ) * (_xlfn.XLOOKUP(B138,'Base stats'!B:B,'Base stats'!AM:AM)*5%)^0.9 / 21,0.1),0.05)</f>
        <v>11.9</v>
      </c>
      <c r="E138" s="11">
        <f>MAX(0.01,MROUND(_xlfn.XLOOKUP(B138,'Base stats'!B:B,'Base stats'!BE:BE) * 0.01 * 2, 0.01))</f>
        <v>11.16</v>
      </c>
      <c r="F138" s="7">
        <f>MROUND(_xlfn.XLOOKUP(B138,'Base stats'!B:B,'Base stats'!BB:BB)^0.25 / (_xlfn.XLOOKUP(B138,'Base stats'!B:B,'Base stats'!BI:BI) * 10) * 150 + 0.5 + _xlfn.XLOOKUP(B138,'Base stats'!B:B,'Base stats'!BU:BU), 0.05)</f>
        <v>2.5</v>
      </c>
      <c r="G138" s="3" t="str">
        <f>IF(Animals!S138="No","No",
IF(_xlfn.XLOOKUP(B138,'Base stats'!B:B,'Base stats'!U:U)="No",
MAX(MROUND(_xlfn.XLOOKUP(B138,'Base stats'!B:B,'Base stats'!BR:BR) * _xlfn.XLOOKUP(B138,'Base stats'!B:B,'Base stats'!BN:BN)^0.9 / 21 * _xlfn.XLOOKUP(B138,'Base stats'!B:B,'Base stats'!BV:BV),0.1),0.05),
MAX(MROUND(((MIN(10,_xlfn.XLOOKUP(B138,'Base stats'!B:B,'Base stats'!U:U)))^0.4*_xlfn.XLOOKUP(B138,'Base stats'!B:B,'Base stats'!BF:BF)^0.73)^0.6 * _xlfn.XLOOKUP(B138,'Base stats'!B:B,'Base stats'!BV:BV),0.1),0.05)
))</f>
        <v>No</v>
      </c>
      <c r="H138" s="11" t="str">
        <f>IF(G138="No","No",
MAX(0.01,MROUND(_xlfn.XLOOKUP(B138,'Base stats'!B:B,'Base stats'!BF:BF) * 0.01 * 2, 0.01))
)</f>
        <v>No</v>
      </c>
      <c r="I138" s="11" t="str">
        <f>IF(G138="No","No",IF(_xlfn.XLOOKUP(B138,'Base stats'!B:B,'Base stats'!U:U)="No","No",
MAX(0.01,MROUND(_xlfn.XLOOKUP(B138,'Base stats'!B:B,'Base stats'!BR:BR)/10000,0.01))
))</f>
        <v>No</v>
      </c>
      <c r="J138" s="4" t="str">
        <f>IF(G138="No","No",
MROUND(_xlfn.XLOOKUP(B138,'Base stats'!B:B,'Base stats'!BC:BC)^0.25
/((_xlfn.XLOOKUP(B138,'Base stats'!B:B,'Base stats'!BJ:BJ))*10)*_xlfn.XLOOKUP(_xlfn.XLOOKUP(B138,'Base stats'!B:B,'Base stats'!E:E),Groups!A:A,Groups!Q:Q)*150 + 0.5 + _xlfn.XLOOKUP(B138,'Base stats'!B:B,'Base stats'!BU:BU),
0.05))</f>
        <v>No</v>
      </c>
      <c r="K138" s="3" t="str">
        <f>IF(Animals!X138="No","No",
IF(_xlfn.XLOOKUP(_xlfn.XLOOKUP(B138,'Base stats'!B:B,'Base stats'!E:E),Groups!A:A,Groups!BD:BD)=1,
MAX(MROUND(_xlfn.XLOOKUP(B138,'Base stats'!B:B,'Base stats'!BS:BS) * _xlfn.XLOOKUP(B138,'Base stats'!B:B,'Base stats'!BO:BO)^0.9 / 21 *_xlfn.XLOOKUP(B138,'Base stats'!B:B,'Base stats'!BV:BV),0.1),0.05),
MAX(MROUND(((MIN(10,_xlfn.XLOOKUP(B138,'Base stats'!B:B,'Base stats'!W:W)))^0.4*_xlfn.XLOOKUP(B138,'Base stats'!B:B,'Base stats'!BG:BG)^0.73)^0.6 *_xlfn.XLOOKUP(B138,'Base stats'!B:B,'Base stats'!BV:BV),0.1),0.05)
))</f>
        <v>No</v>
      </c>
      <c r="L138" s="11" t="str">
        <f>IF(K138="No","No",
MAX(0.01,MROUND(_xlfn.XLOOKUP(B138,'Base stats'!B:B,'Base stats'!BG:BG) * 0.01 *2, 0.01))
)</f>
        <v>No</v>
      </c>
      <c r="M138" s="5" t="str">
        <f>IF(K138="No","No",IF(_xlfn.XLOOKUP(_xlfn.XLOOKUP(B138,'Base stats'!B:B,'Base stats'!E:E),Groups!A:A,Groups!BD:BD)=1,"No",
MAX(0.01,MROUND(_xlfn.XLOOKUP(B138,'Base stats'!B:B,'Base stats'!BS:BS)/10000,0.01))
))</f>
        <v>No</v>
      </c>
      <c r="N138" s="4" t="str">
        <f>IF(K138="No","No",
MROUND(
  _xlfn.XLOOKUP(B138,'Base stats'!B:B,'Base stats'!BA:BA)^0.25
  / (_xlfn.XLOOKUP(B138,'Base stats'!B:B,'Base stats'!BK:BK)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stats'!BU:BU),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stats'!BH:BH)^0.73)^0.6 *_xlfn.XLOOKUP(B138,'Base stats'!B:B,'Base stats'!BV:BV),0.1),0.05)
)</f>
        <v>39.200000000000003</v>
      </c>
      <c r="P138" s="11">
        <f>IF(O138="No","No",
MAX(0.01,MROUND(_xlfn.XLOOKUP(B138,'Base stats'!B:B,'Base stats'!BH:BH) * 0.01 * 2, 0.01))
)</f>
        <v>26.16</v>
      </c>
      <c r="Q138" s="5">
        <f>IF(O138="No","No",
MAX(0.01,MROUND(_xlfn.XLOOKUP(B138,'Base stats'!B:B,'Base stats'!BT:BT)/10000,0.01))
)</f>
        <v>0.71</v>
      </c>
      <c r="R138" s="4">
        <f>IF(O138="No","No",
MROUND(_xlfn.XLOOKUP(B138,'Base stats'!B:B,'Base stats'!AZ:AZ)^0.25
/((_xlfn.XLOOKUP(B138,'Base stats'!B:B,'Base stats'!BL:BL))*10)*_xlfn.XLOOKUP(_xlfn.XLOOKUP(B138,'Base stats'!B:B,'Base stats'!E:E),Groups!A:A,Groups!Z:Z)*150 + 0.5 + _xlfn.XLOOKUP(B138,'Base stats'!B:B,'Base stats'!BU:BU),
0.05))</f>
        <v>2.35</v>
      </c>
      <c r="S138" s="3">
        <f>IF(Animals!AI138="No","No",
IF(_xlfn.XLOOKUP(B138,'Base stats'!B:B,'Base stats'!U:U)="No",
MAX(MROUND(_xlfn.XLOOKUP(B138,'Base stats'!B:B,'Base stats'!BR:BR) * _xlfn.XLOOKUP(B138,'Base stats'!B:B,'Base stats'!BN:BN)^0.9 / 21 * _xlfn.XLOOKUP(B138,'Base stats'!B:B,'Base stats'!BV:BV),0.1),0.05),
MAX(MROUND(((MIN(12,_xlfn.XLOOKUP(B138,'Base stats'!B:B,'Base stats'!U:U)))^0.4*_xlfn.XLOOKUP(B138,'Base stats'!B:B,'Base stats'!BF:BF)^0.73)^0.6 * _xlfn.XLOOKUP(B138,'Base stats'!B:B,'Base stats'!BV:BV),0.1),0.05)
))</f>
        <v>29.5</v>
      </c>
      <c r="T138" s="11">
        <f>IF(S138="No","No",
MAX(0.01,MROUND(_xlfn.XLOOKUP(B138,'Base stats'!B:B,'Base stats'!BF:BF) * 0.01 * 2, 0.01))
)</f>
        <v>12.84</v>
      </c>
      <c r="U138" s="5">
        <f>IF(S138="No","No",IF(_xlfn.XLOOKUP(B138,'Base stats'!B:B,'Base stats'!U:U)="No","No",
MAX(0.01,MROUND(_xlfn.XLOOKUP(B138,'Base stats'!B:B,'Base stats'!BR:BR)/10000,0.01))
))</f>
        <v>0.35000000000000003</v>
      </c>
      <c r="V138" s="4">
        <f>IF(S138="No","No",
MROUND(_xlfn.XLOOKUP(B138,'Base stats'!B:B,'Base stats'!BD:BD)^0.25
/((_xlfn.XLOOKUP(B138,'Base stats'!B:B,'Base stats'!BM:BM))*10)*_xlfn.XLOOKUP(_xlfn.XLOOKUP(B138,'Base stats'!B:B,'Base stats'!E:E),Groups!A:A,Groups!AE:AE)*150 + 0.5 + _xlfn.XLOOKUP(B138,'Base stats'!B:B,'Base stats'!BU:BU),
0.05))</f>
        <v>1.7000000000000002</v>
      </c>
      <c r="W138" s="8">
        <f>MROUND(_xlfn.XLOOKUP(_xlfn.XLOOKUP(B138,'Base stats'!B:B,'Base stats'!E:E),Groups!A:A,Groups!BG:BG)*_xlfn.XLOOKUP(B138,'Base stats'!B:B,'Base stats'!C:C)^-0.165,0.01)</f>
        <v>0.39</v>
      </c>
      <c r="X138" s="1">
        <f>MROUND(_xlfn.XLOOKUP(_xlfn.XLOOKUP(B138,'Base stats'!B:B,'Base stats'!E:E),Groups!A:A,Groups!BH:BH)*_xlfn.XLOOKUP(B138,'Base stats'!B:B,'Base stats'!C:C)^0.165,0.01)</f>
        <v>0.56000000000000005</v>
      </c>
      <c r="Y138" s="8">
        <f>MROUND(_xlfn.XLOOKUP(_xlfn.XLOOKUP(B138,'Base stats'!B:B,'Base stats'!E:E),Groups!A:A,Groups!BI:BI)*_xlfn.XLOOKUP(B138,'Base stats'!B:B,'Base stats'!C:C)^0.165,0.01)</f>
        <v>7.0000000000000007E-2</v>
      </c>
      <c r="Z138" s="18">
        <f>ROUND(_xlfn.XLOOKUP(B138,'Base stats'!B:B,'Base stats'!AO:AO)*_xlfn.XLOOKUP(_xlfn.XLOOKUP(B138,'Base stats'!B:B,'Base stats'!E:E),Groups!A:A,Groups!H:H)/1000,2)</f>
        <v>0.2</v>
      </c>
      <c r="AA138" s="18">
        <f>ROUND((1/2)*(_xlfn.XLOOKUP(_xlfn.XLOOKUP(B138,'Base stats'!B:B,'Base stats'!E:E),Groups!A:A,Groups!H:H)*_xlfn.XLOOKUP(_xlfn.XLOOKUP(B138,'Base stats'!B:B,'Base stats'!E:E),Groups!A:A,Groups!I:I))*_xlfn.XLOOKUP(B138,'Base stats'!B:B,'Base stats'!AO:AO)*0.01,2)</f>
        <v>1.47</v>
      </c>
      <c r="AB138" s="18">
        <f>250*(Animals!AO138+Animals!AP138)</f>
        <v>1512.5000000000002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stats'!BQ:BQ) * (_xlfn.XLOOKUP(B139,'Base stats'!B:B,'Base stats'!AM:AM)*5%)^0.9 / 21,0.1),0.05)</f>
        <v>0.4</v>
      </c>
      <c r="E139" s="11">
        <f>MAX(0.01,MROUND(_xlfn.XLOOKUP(B139,'Base stats'!B:B,'Base stats'!BE:BE) * 0.01 * 2, 0.01))</f>
        <v>0.32</v>
      </c>
      <c r="F139" s="7">
        <f>MROUND(_xlfn.XLOOKUP(B139,'Base stats'!B:B,'Base stats'!BB:BB)^0.25 / (_xlfn.XLOOKUP(B139,'Base stats'!B:B,'Base stats'!BI:BI) * 10) * 150 + 0.5 + _xlfn.XLOOKUP(B139,'Base stats'!B:B,'Base stats'!BU:BU), 0.05)</f>
        <v>1.6</v>
      </c>
      <c r="G139" s="3" t="str">
        <f>IF(Animals!S139="No","No",
IF(_xlfn.XLOOKUP(B139,'Base stats'!B:B,'Base stats'!U:U)="No",
MAX(MROUND(_xlfn.XLOOKUP(B139,'Base stats'!B:B,'Base stats'!BR:BR) * _xlfn.XLOOKUP(B139,'Base stats'!B:B,'Base stats'!BN:BN)^0.9 / 21 * _xlfn.XLOOKUP(B139,'Base stats'!B:B,'Base stats'!BV:BV),0.1),0.05),
MAX(MROUND(((MIN(10,_xlfn.XLOOKUP(B139,'Base stats'!B:B,'Base stats'!U:U)))^0.4*_xlfn.XLOOKUP(B139,'Base stats'!B:B,'Base stats'!BF:BF)^0.73)^0.6 * _xlfn.XLOOKUP(B139,'Base stats'!B:B,'Base stats'!BV:BV),0.1),0.05)
))</f>
        <v>No</v>
      </c>
      <c r="H139" s="11" t="str">
        <f>IF(G139="No","No",
MAX(0.01,MROUND(_xlfn.XLOOKUP(B139,'Base stats'!B:B,'Base stats'!BF:BF) * 0.01 * 2, 0.01))
)</f>
        <v>No</v>
      </c>
      <c r="I139" s="11" t="str">
        <f>IF(G139="No","No",IF(_xlfn.XLOOKUP(B139,'Base stats'!B:B,'Base stats'!U:U)="No","No",
MAX(0.01,MROUND(_xlfn.XLOOKUP(B139,'Base stats'!B:B,'Base stats'!BR:BR)/10000,0.01))
))</f>
        <v>No</v>
      </c>
      <c r="J139" s="4" t="str">
        <f>IF(G139="No","No",
MROUND(_xlfn.XLOOKUP(B139,'Base stats'!B:B,'Base stats'!BC:BC)^0.25
/((_xlfn.XLOOKUP(B139,'Base stats'!B:B,'Base stats'!BJ:BJ))*10)*_xlfn.XLOOKUP(_xlfn.XLOOKUP(B139,'Base stats'!B:B,'Base stats'!E:E),Groups!A:A,Groups!Q:Q)*150 + 0.5 + _xlfn.XLOOKUP(B139,'Base stats'!B:B,'Base stats'!BU:BU),
0.05))</f>
        <v>No</v>
      </c>
      <c r="K139" s="3" t="str">
        <f>IF(Animals!X139="No","No",
IF(_xlfn.XLOOKUP(_xlfn.XLOOKUP(B139,'Base stats'!B:B,'Base stats'!E:E),Groups!A:A,Groups!BD:BD)=1,
MAX(MROUND(_xlfn.XLOOKUP(B139,'Base stats'!B:B,'Base stats'!BS:BS) * _xlfn.XLOOKUP(B139,'Base stats'!B:B,'Base stats'!BO:BO)^0.9 / 21 *_xlfn.XLOOKUP(B139,'Base stats'!B:B,'Base stats'!BV:BV),0.1),0.05),
MAX(MROUND(((MIN(10,_xlfn.XLOOKUP(B139,'Base stats'!B:B,'Base stats'!W:W)))^0.4*_xlfn.XLOOKUP(B139,'Base stats'!B:B,'Base stats'!BG:BG)^0.73)^0.6 *_xlfn.XLOOKUP(B139,'Base stats'!B:B,'Base stats'!BV:BV),0.1),0.05)
))</f>
        <v>No</v>
      </c>
      <c r="L139" s="11" t="str">
        <f>IF(K139="No","No",
MAX(0.01,MROUND(_xlfn.XLOOKUP(B139,'Base stats'!B:B,'Base stats'!BG:BG) * 0.01 *2, 0.01))
)</f>
        <v>No</v>
      </c>
      <c r="M139" s="5" t="str">
        <f>IF(K139="No","No",IF(_xlfn.XLOOKUP(_xlfn.XLOOKUP(B139,'Base stats'!B:B,'Base stats'!E:E),Groups!A:A,Groups!BD:BD)=1,"No",
MAX(0.01,MROUND(_xlfn.XLOOKUP(B139,'Base stats'!B:B,'Base stats'!BS:BS)/10000,0.01))
))</f>
        <v>No</v>
      </c>
      <c r="N139" s="4" t="str">
        <f>IF(K139="No","No",
MROUND(
  _xlfn.XLOOKUP(B139,'Base stats'!B:B,'Base stats'!BA:BA)^0.25
  / (_xlfn.XLOOKUP(B139,'Base stats'!B:B,'Base stats'!BK:BK)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stats'!BU:BU),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stats'!BH:BH)^0.73)^0.6 *_xlfn.XLOOKUP(B139,'Base stats'!B:B,'Base stats'!BV:BV),0.1),0.05)
)</f>
        <v>5.9</v>
      </c>
      <c r="P139" s="11">
        <f>IF(O139="No","No",
MAX(0.01,MROUND(_xlfn.XLOOKUP(B139,'Base stats'!B:B,'Base stats'!BH:BH) * 0.01 * 2, 0.01))
)</f>
        <v>0.86</v>
      </c>
      <c r="Q139" s="5">
        <f>IF(O139="No","No",
MAX(0.01,MROUND(_xlfn.XLOOKUP(B139,'Base stats'!B:B,'Base stats'!BT:BT)/10000,0.01))
)</f>
        <v>0.11</v>
      </c>
      <c r="R139" s="4">
        <f>IF(O139="No","No",
MROUND(_xlfn.XLOOKUP(B139,'Base stats'!B:B,'Base stats'!AZ:AZ)^0.25
/((_xlfn.XLOOKUP(B139,'Base stats'!B:B,'Base stats'!BL:BL))*10)*_xlfn.XLOOKUP(_xlfn.XLOOKUP(B139,'Base stats'!B:B,'Base stats'!E:E),Groups!A:A,Groups!Z:Z)*150 + 0.5 + _xlfn.XLOOKUP(B139,'Base stats'!B:B,'Base stats'!BU:BU),
0.05))</f>
        <v>2.0500000000000003</v>
      </c>
      <c r="S139" s="3" t="str">
        <f>IF(Animals!AI139="No","No",
IF(_xlfn.XLOOKUP(B139,'Base stats'!B:B,'Base stats'!U:U)="No",
MAX(MROUND(_xlfn.XLOOKUP(B139,'Base stats'!B:B,'Base stats'!BR:BR) * _xlfn.XLOOKUP(B139,'Base stats'!B:B,'Base stats'!BN:BN)^0.9 / 21 * _xlfn.XLOOKUP(B139,'Base stats'!B:B,'Base stats'!BV:BV),0.1),0.05),
MAX(MROUND(((MIN(12,_xlfn.XLOOKUP(B139,'Base stats'!B:B,'Base stats'!U:U)))^0.4*_xlfn.XLOOKUP(B139,'Base stats'!B:B,'Base stats'!BF:BF)^0.73)^0.6 * _xlfn.XLOOKUP(B139,'Base stats'!B:B,'Base stats'!BV:BV),0.1),0.05)
))</f>
        <v>No</v>
      </c>
      <c r="T139" s="11" t="str">
        <f>IF(S139="No","No",
MAX(0.01,MROUND(_xlfn.XLOOKUP(B139,'Base stats'!B:B,'Base stats'!BF:BF) * 0.01 * 2, 0.01))
)</f>
        <v>No</v>
      </c>
      <c r="U139" s="5" t="str">
        <f>IF(S139="No","No",IF(_xlfn.XLOOKUP(B139,'Base stats'!B:B,'Base stats'!U:U)="No","No",
MAX(0.01,MROUND(_xlfn.XLOOKUP(B139,'Base stats'!B:B,'Base stats'!BR:BR)/10000,0.01))
))</f>
        <v>No</v>
      </c>
      <c r="V139" s="4" t="str">
        <f>IF(S139="No","No",
MROUND(_xlfn.XLOOKUP(B139,'Base stats'!B:B,'Base stats'!BD:BD)^0.25
/((_xlfn.XLOOKUP(B139,'Base stats'!B:B,'Base stats'!BM:BM))*10)*_xlfn.XLOOKUP(_xlfn.XLOOKUP(B139,'Base stats'!B:B,'Base stats'!E:E),Groups!A:A,Groups!AE:AE)*150 + 0.5 + _xlfn.XLOOKUP(B139,'Base stats'!B:B,'Base stats'!BU:BU),
0.05))</f>
        <v>No</v>
      </c>
      <c r="W139" s="8">
        <f>MROUND(_xlfn.XLOOKUP(_xlfn.XLOOKUP(B139,'Base stats'!B:B,'Base stats'!E:E),Groups!A:A,Groups!BG:BG)*_xlfn.XLOOKUP(B139,'Base stats'!B:B,'Base stats'!C:C)^-0.165,0.01)</f>
        <v>0.68</v>
      </c>
      <c r="X139" s="1">
        <f>MROUND(_xlfn.XLOOKUP(_xlfn.XLOOKUP(B139,'Base stats'!B:B,'Base stats'!E:E),Groups!A:A,Groups!BH:BH)*_xlfn.XLOOKUP(B139,'Base stats'!B:B,'Base stats'!C:C)^0.165,0.01)</f>
        <v>0.28999999999999998</v>
      </c>
      <c r="Y139" s="8">
        <f>MROUND(_xlfn.XLOOKUP(_xlfn.XLOOKUP(B139,'Base stats'!B:B,'Base stats'!E:E),Groups!A:A,Groups!BI:BI)*_xlfn.XLOOKUP(B139,'Base stats'!B:B,'Base stats'!C:C)^0.165,0.01)</f>
        <v>0.04</v>
      </c>
      <c r="Z139" s="18">
        <f>ROUND(_xlfn.XLOOKUP(B139,'Base stats'!B:B,'Base stats'!AO:AO)*_xlfn.XLOOKUP(_xlfn.XLOOKUP(B139,'Base stats'!B:B,'Base stats'!E:E),Groups!A:A,Groups!H:H)/1000,2)</f>
        <v>0.05</v>
      </c>
      <c r="AA139" s="18">
        <f>ROUND((1/2)*(_xlfn.XLOOKUP(_xlfn.XLOOKUP(B139,'Base stats'!B:B,'Base stats'!E:E),Groups!A:A,Groups!H:H)*_xlfn.XLOOKUP(_xlfn.XLOOKUP(B139,'Base stats'!B:B,'Base stats'!E:E),Groups!A:A,Groups!I:I))*_xlfn.XLOOKUP(B139,'Base stats'!B:B,'Base stats'!AO:AO)*0.01,2)</f>
        <v>0.38</v>
      </c>
      <c r="AB139" s="18">
        <f>250*(Animals!AO139+Animals!AP139)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stats'!BQ:BQ) * (_xlfn.XLOOKUP(B140,'Base stats'!B:B,'Base stats'!AM:AM)*5%)^0.9 / 21,0.1),0.05)</f>
        <v>0.1</v>
      </c>
      <c r="E140" s="11">
        <f>MAX(0.01,MROUND(_xlfn.XLOOKUP(B140,'Base stats'!B:B,'Base stats'!BE:BE) * 0.01 * 2, 0.01))</f>
        <v>7.0000000000000007E-2</v>
      </c>
      <c r="F140" s="7">
        <f>MROUND(_xlfn.XLOOKUP(B140,'Base stats'!B:B,'Base stats'!BB:BB)^0.25 / (_xlfn.XLOOKUP(B140,'Base stats'!B:B,'Base stats'!BI:BI) * 10) * 150 + 0.5 + _xlfn.XLOOKUP(B140,'Base stats'!B:B,'Base stats'!BU:BU), 0.05)</f>
        <v>1.25</v>
      </c>
      <c r="G140" s="3" t="str">
        <f>IF(Animals!S140="No","No",
IF(_xlfn.XLOOKUP(B140,'Base stats'!B:B,'Base stats'!U:U)="No",
MAX(MROUND(_xlfn.XLOOKUP(B140,'Base stats'!B:B,'Base stats'!BR:BR) * _xlfn.XLOOKUP(B140,'Base stats'!B:B,'Base stats'!BN:BN)^0.9 / 21 * _xlfn.XLOOKUP(B140,'Base stats'!B:B,'Base stats'!BV:BV),0.1),0.05),
MAX(MROUND(((MIN(10,_xlfn.XLOOKUP(B140,'Base stats'!B:B,'Base stats'!U:U)))^0.4*_xlfn.XLOOKUP(B140,'Base stats'!B:B,'Base stats'!BF:BF)^0.73)^0.6 * _xlfn.XLOOKUP(B140,'Base stats'!B:B,'Base stats'!BV:BV),0.1),0.05)
))</f>
        <v>No</v>
      </c>
      <c r="H140" s="11" t="str">
        <f>IF(G140="No","No",
MAX(0.01,MROUND(_xlfn.XLOOKUP(B140,'Base stats'!B:B,'Base stats'!BF:BF) * 0.01 * 2, 0.01))
)</f>
        <v>No</v>
      </c>
      <c r="I140" s="11" t="str">
        <f>IF(G140="No","No",IF(_xlfn.XLOOKUP(B140,'Base stats'!B:B,'Base stats'!U:U)="No","No",
MAX(0.01,MROUND(_xlfn.XLOOKUP(B140,'Base stats'!B:B,'Base stats'!BR:BR)/10000,0.01))
))</f>
        <v>No</v>
      </c>
      <c r="J140" s="4" t="str">
        <f>IF(G140="No","No",
MROUND(_xlfn.XLOOKUP(B140,'Base stats'!B:B,'Base stats'!BC:BC)^0.25
/((_xlfn.XLOOKUP(B140,'Base stats'!B:B,'Base stats'!BJ:BJ))*10)*_xlfn.XLOOKUP(_xlfn.XLOOKUP(B140,'Base stats'!B:B,'Base stats'!E:E),Groups!A:A,Groups!Q:Q)*150 + 0.5 + _xlfn.XLOOKUP(B140,'Base stats'!B:B,'Base stats'!BU:BU),
0.05))</f>
        <v>No</v>
      </c>
      <c r="K140" s="3" t="str">
        <f>IF(Animals!X140="No","No",
IF(_xlfn.XLOOKUP(_xlfn.XLOOKUP(B140,'Base stats'!B:B,'Base stats'!E:E),Groups!A:A,Groups!BD:BD)=1,
MAX(MROUND(_xlfn.XLOOKUP(B140,'Base stats'!B:B,'Base stats'!BS:BS) * _xlfn.XLOOKUP(B140,'Base stats'!B:B,'Base stats'!BO:BO)^0.9 / 21 *_xlfn.XLOOKUP(B140,'Base stats'!B:B,'Base stats'!BV:BV),0.1),0.05),
MAX(MROUND(((MIN(10,_xlfn.XLOOKUP(B140,'Base stats'!B:B,'Base stats'!W:W)))^0.4*_xlfn.XLOOKUP(B140,'Base stats'!B:B,'Base stats'!BG:BG)^0.73)^0.6 *_xlfn.XLOOKUP(B140,'Base stats'!B:B,'Base stats'!BV:BV),0.1),0.05)
))</f>
        <v>No</v>
      </c>
      <c r="L140" s="11" t="str">
        <f>IF(K140="No","No",
MAX(0.01,MROUND(_xlfn.XLOOKUP(B140,'Base stats'!B:B,'Base stats'!BG:BG) * 0.01 *2, 0.01))
)</f>
        <v>No</v>
      </c>
      <c r="M140" s="5" t="str">
        <f>IF(K140="No","No",IF(_xlfn.XLOOKUP(_xlfn.XLOOKUP(B140,'Base stats'!B:B,'Base stats'!E:E),Groups!A:A,Groups!BD:BD)=1,"No",
MAX(0.01,MROUND(_xlfn.XLOOKUP(B140,'Base stats'!B:B,'Base stats'!BS:BS)/10000,0.01))
))</f>
        <v>No</v>
      </c>
      <c r="N140" s="4" t="str">
        <f>IF(K140="No","No",
MROUND(
  _xlfn.XLOOKUP(B140,'Base stats'!B:B,'Base stats'!BA:BA)^0.25
  / (_xlfn.XLOOKUP(B140,'Base stats'!B:B,'Base stats'!BK:BK)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stats'!BU:BU),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stats'!BH:BH)^0.73)^0.6 *_xlfn.XLOOKUP(B140,'Base stats'!B:B,'Base stats'!BV:BV),0.1),0.05)
)</f>
        <v>2.7</v>
      </c>
      <c r="P140" s="11">
        <f>IF(O140="No","No",
MAX(0.01,MROUND(_xlfn.XLOOKUP(B140,'Base stats'!B:B,'Base stats'!BH:BH) * 0.01 * 2, 0.01))
)</f>
        <v>0.2</v>
      </c>
      <c r="Q140" s="5">
        <f>IF(O140="No","No",
MAX(0.01,MROUND(_xlfn.XLOOKUP(B140,'Base stats'!B:B,'Base stats'!BT:BT)/10000,0.01))
)</f>
        <v>0.05</v>
      </c>
      <c r="R140" s="4">
        <f>IF(O140="No","No",
MROUND(_xlfn.XLOOKUP(B140,'Base stats'!B:B,'Base stats'!AZ:AZ)^0.25
/((_xlfn.XLOOKUP(B140,'Base stats'!B:B,'Base stats'!BL:BL))*10)*_xlfn.XLOOKUP(_xlfn.XLOOKUP(B140,'Base stats'!B:B,'Base stats'!E:E),Groups!A:A,Groups!Z:Z)*150 + 0.5 + _xlfn.XLOOKUP(B140,'Base stats'!B:B,'Base stats'!BU:BU),
0.05))</f>
        <v>1.8</v>
      </c>
      <c r="S140" s="3" t="str">
        <f>IF(Animals!AI140="No","No",
IF(_xlfn.XLOOKUP(B140,'Base stats'!B:B,'Base stats'!U:U)="No",
MAX(MROUND(_xlfn.XLOOKUP(B140,'Base stats'!B:B,'Base stats'!BR:BR) * _xlfn.XLOOKUP(B140,'Base stats'!B:B,'Base stats'!BN:BN)^0.9 / 21 * _xlfn.XLOOKUP(B140,'Base stats'!B:B,'Base stats'!BV:BV),0.1),0.05),
MAX(MROUND(((MIN(12,_xlfn.XLOOKUP(B140,'Base stats'!B:B,'Base stats'!U:U)))^0.4*_xlfn.XLOOKUP(B140,'Base stats'!B:B,'Base stats'!BF:BF)^0.73)^0.6 * _xlfn.XLOOKUP(B140,'Base stats'!B:B,'Base stats'!BV:BV),0.1),0.05)
))</f>
        <v>No</v>
      </c>
      <c r="T140" s="11" t="str">
        <f>IF(S140="No","No",
MAX(0.01,MROUND(_xlfn.XLOOKUP(B140,'Base stats'!B:B,'Base stats'!BF:BF) * 0.01 * 2, 0.01))
)</f>
        <v>No</v>
      </c>
      <c r="U140" s="5" t="str">
        <f>IF(S140="No","No",IF(_xlfn.XLOOKUP(B140,'Base stats'!B:B,'Base stats'!U:U)="No","No",
MAX(0.01,MROUND(_xlfn.XLOOKUP(B140,'Base stats'!B:B,'Base stats'!BR:BR)/10000,0.01))
))</f>
        <v>No</v>
      </c>
      <c r="V140" s="4" t="str">
        <f>IF(S140="No","No",
MROUND(_xlfn.XLOOKUP(B140,'Base stats'!B:B,'Base stats'!BD:BD)^0.25
/((_xlfn.XLOOKUP(B140,'Base stats'!B:B,'Base stats'!BM:BM))*10)*_xlfn.XLOOKUP(_xlfn.XLOOKUP(B140,'Base stats'!B:B,'Base stats'!E:E),Groups!A:A,Groups!AE:AE)*150 + 0.5 + _xlfn.XLOOKUP(B140,'Base stats'!B:B,'Base stats'!BU:BU),
0.05))</f>
        <v>No</v>
      </c>
      <c r="W140" s="8">
        <f>MROUND(_xlfn.XLOOKUP(_xlfn.XLOOKUP(B140,'Base stats'!B:B,'Base stats'!E:E),Groups!A:A,Groups!BG:BG)*_xlfn.XLOOKUP(B140,'Base stats'!B:B,'Base stats'!C:C)^-0.165,0.01)</f>
        <v>0.89</v>
      </c>
      <c r="X140" s="1">
        <f>MROUND(_xlfn.XLOOKUP(_xlfn.XLOOKUP(B140,'Base stats'!B:B,'Base stats'!E:E),Groups!A:A,Groups!BH:BH)*_xlfn.XLOOKUP(B140,'Base stats'!B:B,'Base stats'!C:C)^0.165,0.01)</f>
        <v>0.22</v>
      </c>
      <c r="Y140" s="8">
        <f>MROUND(_xlfn.XLOOKUP(_xlfn.XLOOKUP(B140,'Base stats'!B:B,'Base stats'!E:E),Groups!A:A,Groups!BI:BI)*_xlfn.XLOOKUP(B140,'Base stats'!B:B,'Base stats'!C:C)^0.165,0.01)</f>
        <v>0.03</v>
      </c>
      <c r="Z140" s="18">
        <f>ROUND(_xlfn.XLOOKUP(B140,'Base stats'!B:B,'Base stats'!AO:AO)*_xlfn.XLOOKUP(_xlfn.XLOOKUP(B140,'Base stats'!B:B,'Base stats'!E:E),Groups!A:A,Groups!H:H)/1000,2)</f>
        <v>0.03</v>
      </c>
      <c r="AA140" s="18">
        <f>ROUND((1/2)*(_xlfn.XLOOKUP(_xlfn.XLOOKUP(B140,'Base stats'!B:B,'Base stats'!E:E),Groups!A:A,Groups!H:H)*_xlfn.XLOOKUP(_xlfn.XLOOKUP(B140,'Base stats'!B:B,'Base stats'!E:E),Groups!A:A,Groups!I:I))*_xlfn.XLOOKUP(B140,'Base stats'!B:B,'Base stats'!AO:AO)*0.01,2)</f>
        <v>0.21</v>
      </c>
      <c r="AB140" s="18">
        <f>250*(Animals!AO140+Animals!AP140)</f>
        <v>112.5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stats'!BQ:BQ) * (_xlfn.XLOOKUP(B141,'Base stats'!B:B,'Base stats'!AM:AM)*5%)^0.9 / 21,0.1),0.05)</f>
        <v>0.60000000000000009</v>
      </c>
      <c r="E141" s="11">
        <f>MAX(0.01,MROUND(_xlfn.XLOOKUP(B141,'Base stats'!B:B,'Base stats'!BE:BE) * 0.01 * 2, 0.01))</f>
        <v>0.47000000000000003</v>
      </c>
      <c r="F141" s="7">
        <f>MROUND(_xlfn.XLOOKUP(B141,'Base stats'!B:B,'Base stats'!BB:BB)^0.25 / (_xlfn.XLOOKUP(B141,'Base stats'!B:B,'Base stats'!BI:BI) * 10) * 150 + 0.5 + _xlfn.XLOOKUP(B141,'Base stats'!B:B,'Base stats'!BU:BU), 0.05)</f>
        <v>1.55</v>
      </c>
      <c r="G141" s="3" t="str">
        <f>IF(Animals!S141="No","No",
IF(_xlfn.XLOOKUP(B141,'Base stats'!B:B,'Base stats'!U:U)="No",
MAX(MROUND(_xlfn.XLOOKUP(B141,'Base stats'!B:B,'Base stats'!BR:BR) * _xlfn.XLOOKUP(B141,'Base stats'!B:B,'Base stats'!BN:BN)^0.9 / 21 * _xlfn.XLOOKUP(B141,'Base stats'!B:B,'Base stats'!BV:BV),0.1),0.05),
MAX(MROUND(((MIN(10,_xlfn.XLOOKUP(B141,'Base stats'!B:B,'Base stats'!U:U)))^0.4*_xlfn.XLOOKUP(B141,'Base stats'!B:B,'Base stats'!BF:BF)^0.73)^0.6 * _xlfn.XLOOKUP(B141,'Base stats'!B:B,'Base stats'!BV:BV),0.1),0.05)
))</f>
        <v>No</v>
      </c>
      <c r="H141" s="11" t="str">
        <f>IF(G141="No","No",
MAX(0.01,MROUND(_xlfn.XLOOKUP(B141,'Base stats'!B:B,'Base stats'!BF:BF) * 0.01 * 2, 0.01))
)</f>
        <v>No</v>
      </c>
      <c r="I141" s="11" t="str">
        <f>IF(G141="No","No",IF(_xlfn.XLOOKUP(B141,'Base stats'!B:B,'Base stats'!U:U)="No","No",
MAX(0.01,MROUND(_xlfn.XLOOKUP(B141,'Base stats'!B:B,'Base stats'!BR:BR)/10000,0.01))
))</f>
        <v>No</v>
      </c>
      <c r="J141" s="4" t="str">
        <f>IF(G141="No","No",
MROUND(_xlfn.XLOOKUP(B141,'Base stats'!B:B,'Base stats'!BC:BC)^0.25
/((_xlfn.XLOOKUP(B141,'Base stats'!B:B,'Base stats'!BJ:BJ))*10)*_xlfn.XLOOKUP(_xlfn.XLOOKUP(B141,'Base stats'!B:B,'Base stats'!E:E),Groups!A:A,Groups!Q:Q)*150 + 0.5 + _xlfn.XLOOKUP(B141,'Base stats'!B:B,'Base stats'!BU:BU),
0.05))</f>
        <v>No</v>
      </c>
      <c r="K141" s="3" t="str">
        <f>IF(Animals!X141="No","No",
IF(_xlfn.XLOOKUP(_xlfn.XLOOKUP(B141,'Base stats'!B:B,'Base stats'!E:E),Groups!A:A,Groups!BD:BD)=1,
MAX(MROUND(_xlfn.XLOOKUP(B141,'Base stats'!B:B,'Base stats'!BS:BS) * _xlfn.XLOOKUP(B141,'Base stats'!B:B,'Base stats'!BO:BO)^0.9 / 21 *_xlfn.XLOOKUP(B141,'Base stats'!B:B,'Base stats'!BV:BV),0.1),0.05),
MAX(MROUND(((MIN(10,_xlfn.XLOOKUP(B141,'Base stats'!B:B,'Base stats'!W:W)))^0.4*_xlfn.XLOOKUP(B141,'Base stats'!B:B,'Base stats'!BG:BG)^0.73)^0.6 *_xlfn.XLOOKUP(B141,'Base stats'!B:B,'Base stats'!BV:BV),0.1),0.05)
))</f>
        <v>No</v>
      </c>
      <c r="L141" s="11" t="str">
        <f>IF(K141="No","No",
MAX(0.01,MROUND(_xlfn.XLOOKUP(B141,'Base stats'!B:B,'Base stats'!BG:BG) * 0.01 *2, 0.01))
)</f>
        <v>No</v>
      </c>
      <c r="M141" s="5" t="str">
        <f>IF(K141="No","No",IF(_xlfn.XLOOKUP(_xlfn.XLOOKUP(B141,'Base stats'!B:B,'Base stats'!E:E),Groups!A:A,Groups!BD:BD)=1,"No",
MAX(0.01,MROUND(_xlfn.XLOOKUP(B141,'Base stats'!B:B,'Base stats'!BS:BS)/10000,0.01))
))</f>
        <v>No</v>
      </c>
      <c r="N141" s="4" t="str">
        <f>IF(K141="No","No",
MROUND(
  _xlfn.XLOOKUP(B141,'Base stats'!B:B,'Base stats'!BA:BA)^0.25
  / (_xlfn.XLOOKUP(B141,'Base stats'!B:B,'Base stats'!BK:BK)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stats'!BU:BU),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stats'!BH:BH)^0.73)^0.6 *_xlfn.XLOOKUP(B141,'Base stats'!B:B,'Base stats'!BV:BV),0.1),0.05)
)</f>
        <v>7.3000000000000007</v>
      </c>
      <c r="P141" s="11">
        <f>IF(O141="No","No",
MAX(0.01,MROUND(_xlfn.XLOOKUP(B141,'Base stats'!B:B,'Base stats'!BH:BH) * 0.01 * 2, 0.01))
)</f>
        <v>1.25</v>
      </c>
      <c r="Q141" s="5">
        <f>IF(O141="No","No",
MAX(0.01,MROUND(_xlfn.XLOOKUP(B141,'Base stats'!B:B,'Base stats'!BT:BT)/10000,0.01))
)</f>
        <v>0.14000000000000001</v>
      </c>
      <c r="R141" s="4">
        <f>IF(O141="No","No",
MROUND(_xlfn.XLOOKUP(B141,'Base stats'!B:B,'Base stats'!AZ:AZ)^0.25
/((_xlfn.XLOOKUP(B141,'Base stats'!B:B,'Base stats'!BL:BL))*10)*_xlfn.XLOOKUP(_xlfn.XLOOKUP(B141,'Base stats'!B:B,'Base stats'!E:E),Groups!A:A,Groups!Z:Z)*150 + 0.5 + _xlfn.XLOOKUP(B141,'Base stats'!B:B,'Base stats'!BU:BU),
0.05))</f>
        <v>1.9500000000000002</v>
      </c>
      <c r="S141" s="3" t="str">
        <f>IF(Animals!AI141="No","No",
IF(_xlfn.XLOOKUP(B141,'Base stats'!B:B,'Base stats'!U:U)="No",
MAX(MROUND(_xlfn.XLOOKUP(B141,'Base stats'!B:B,'Base stats'!BR:BR) * _xlfn.XLOOKUP(B141,'Base stats'!B:B,'Base stats'!BN:BN)^0.9 / 21 * _xlfn.XLOOKUP(B141,'Base stats'!B:B,'Base stats'!BV:BV),0.1),0.05),
MAX(MROUND(((MIN(12,_xlfn.XLOOKUP(B141,'Base stats'!B:B,'Base stats'!U:U)))^0.4*_xlfn.XLOOKUP(B141,'Base stats'!B:B,'Base stats'!BF:BF)^0.73)^0.6 * _xlfn.XLOOKUP(B141,'Base stats'!B:B,'Base stats'!BV:BV),0.1),0.05)
))</f>
        <v>No</v>
      </c>
      <c r="T141" s="11" t="str">
        <f>IF(S141="No","No",
MAX(0.01,MROUND(_xlfn.XLOOKUP(B141,'Base stats'!B:B,'Base stats'!BF:BF) * 0.01 * 2, 0.01))
)</f>
        <v>No</v>
      </c>
      <c r="U141" s="5" t="str">
        <f>IF(S141="No","No",IF(_xlfn.XLOOKUP(B141,'Base stats'!B:B,'Base stats'!U:U)="No","No",
MAX(0.01,MROUND(_xlfn.XLOOKUP(B141,'Base stats'!B:B,'Base stats'!BR:BR)/10000,0.01))
))</f>
        <v>No</v>
      </c>
      <c r="V141" s="4" t="str">
        <f>IF(S141="No","No",
MROUND(_xlfn.XLOOKUP(B141,'Base stats'!B:B,'Base stats'!BD:BD)^0.25
/((_xlfn.XLOOKUP(B141,'Base stats'!B:B,'Base stats'!BM:BM))*10)*_xlfn.XLOOKUP(_xlfn.XLOOKUP(B141,'Base stats'!B:B,'Base stats'!E:E),Groups!A:A,Groups!AE:AE)*150 + 0.5 + _xlfn.XLOOKUP(B141,'Base stats'!B:B,'Base stats'!BU:BU),
0.05))</f>
        <v>No</v>
      </c>
      <c r="W141" s="8">
        <f>MROUND(_xlfn.XLOOKUP(_xlfn.XLOOKUP(B141,'Base stats'!B:B,'Base stats'!E:E),Groups!A:A,Groups!BG:BG)*_xlfn.XLOOKUP(B141,'Base stats'!B:B,'Base stats'!C:C)^-0.165,0.01)</f>
        <v>0.64</v>
      </c>
      <c r="X141" s="1">
        <f>MROUND(_xlfn.XLOOKUP(_xlfn.XLOOKUP(B141,'Base stats'!B:B,'Base stats'!E:E),Groups!A:A,Groups!BH:BH)*_xlfn.XLOOKUP(B141,'Base stats'!B:B,'Base stats'!C:C)^0.165,0.01)</f>
        <v>0.31</v>
      </c>
      <c r="Y141" s="8">
        <f>MROUND(_xlfn.XLOOKUP(_xlfn.XLOOKUP(B141,'Base stats'!B:B,'Base stats'!E:E),Groups!A:A,Groups!BI:BI)*_xlfn.XLOOKUP(B141,'Base stats'!B:B,'Base stats'!C:C)^0.165,0.01)</f>
        <v>0.04</v>
      </c>
      <c r="Z141" s="18">
        <f>ROUND(_xlfn.XLOOKUP(B141,'Base stats'!B:B,'Base stats'!AO:AO)*_xlfn.XLOOKUP(_xlfn.XLOOKUP(B141,'Base stats'!B:B,'Base stats'!E:E),Groups!A:A,Groups!H:H)/1000,2)</f>
        <v>0.06</v>
      </c>
      <c r="AA141" s="18">
        <f>ROUND((1/2)*(_xlfn.XLOOKUP(_xlfn.XLOOKUP(B141,'Base stats'!B:B,'Base stats'!E:E),Groups!A:A,Groups!H:H)*_xlfn.XLOOKUP(_xlfn.XLOOKUP(B141,'Base stats'!B:B,'Base stats'!E:E),Groups!A:A,Groups!I:I))*_xlfn.XLOOKUP(B141,'Base stats'!B:B,'Base stats'!AO:AO)*0.01,2)</f>
        <v>0.44</v>
      </c>
      <c r="AB141" s="18">
        <f>250*(Animals!AO141+Animals!AP141)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stats'!BQ:BQ) * (_xlfn.XLOOKUP(B142,'Base stats'!B:B,'Base stats'!AM:AM)*5%)^0.9 / 21,0.1),0.05)</f>
        <v>0.5</v>
      </c>
      <c r="E142" s="11">
        <f>MAX(0.01,MROUND(_xlfn.XLOOKUP(B142,'Base stats'!B:B,'Base stats'!BE:BE) * 0.01 * 2, 0.01))</f>
        <v>0.35000000000000003</v>
      </c>
      <c r="F142" s="7">
        <f>MROUND(_xlfn.XLOOKUP(B142,'Base stats'!B:B,'Base stats'!BB:BB)^0.25 / (_xlfn.XLOOKUP(B142,'Base stats'!B:B,'Base stats'!BI:BI) * 10) * 150 + 0.5 + _xlfn.XLOOKUP(B142,'Base stats'!B:B,'Base stats'!BU:BU), 0.05)</f>
        <v>1.6</v>
      </c>
      <c r="G142" s="3" t="str">
        <f>IF(Animals!S142="No","No",
IF(_xlfn.XLOOKUP(B142,'Base stats'!B:B,'Base stats'!U:U)="No",
MAX(MROUND(_xlfn.XLOOKUP(B142,'Base stats'!B:B,'Base stats'!BR:BR) * _xlfn.XLOOKUP(B142,'Base stats'!B:B,'Base stats'!BN:BN)^0.9 / 21 * _xlfn.XLOOKUP(B142,'Base stats'!B:B,'Base stats'!BV:BV),0.1),0.05),
MAX(MROUND(((MIN(10,_xlfn.XLOOKUP(B142,'Base stats'!B:B,'Base stats'!U:U)))^0.4*_xlfn.XLOOKUP(B142,'Base stats'!B:B,'Base stats'!BF:BF)^0.73)^0.6 * _xlfn.XLOOKUP(B142,'Base stats'!B:B,'Base stats'!BV:BV),0.1),0.05)
))</f>
        <v>No</v>
      </c>
      <c r="H142" s="11" t="str">
        <f>IF(G142="No","No",
MAX(0.01,MROUND(_xlfn.XLOOKUP(B142,'Base stats'!B:B,'Base stats'!BF:BF) * 0.01 * 2, 0.01))
)</f>
        <v>No</v>
      </c>
      <c r="I142" s="11" t="str">
        <f>IF(G142="No","No",IF(_xlfn.XLOOKUP(B142,'Base stats'!B:B,'Base stats'!U:U)="No","No",
MAX(0.01,MROUND(_xlfn.XLOOKUP(B142,'Base stats'!B:B,'Base stats'!BR:BR)/10000,0.01))
))</f>
        <v>No</v>
      </c>
      <c r="J142" s="4" t="str">
        <f>IF(G142="No","No",
MROUND(_xlfn.XLOOKUP(B142,'Base stats'!B:B,'Base stats'!BC:BC)^0.25
/((_xlfn.XLOOKUP(B142,'Base stats'!B:B,'Base stats'!BJ:BJ))*10)*_xlfn.XLOOKUP(_xlfn.XLOOKUP(B142,'Base stats'!B:B,'Base stats'!E:E),Groups!A:A,Groups!Q:Q)*150 + 0.5 + _xlfn.XLOOKUP(B142,'Base stats'!B:B,'Base stats'!BU:BU),
0.05))</f>
        <v>No</v>
      </c>
      <c r="K142" s="3" t="str">
        <f>IF(Animals!X142="No","No",
IF(_xlfn.XLOOKUP(_xlfn.XLOOKUP(B142,'Base stats'!B:B,'Base stats'!E:E),Groups!A:A,Groups!BD:BD)=1,
MAX(MROUND(_xlfn.XLOOKUP(B142,'Base stats'!B:B,'Base stats'!BS:BS) * _xlfn.XLOOKUP(B142,'Base stats'!B:B,'Base stats'!BO:BO)^0.9 / 21 *_xlfn.XLOOKUP(B142,'Base stats'!B:B,'Base stats'!BV:BV),0.1),0.05),
MAX(MROUND(((MIN(10,_xlfn.XLOOKUP(B142,'Base stats'!B:B,'Base stats'!W:W)))^0.4*_xlfn.XLOOKUP(B142,'Base stats'!B:B,'Base stats'!BG:BG)^0.73)^0.6 *_xlfn.XLOOKUP(B142,'Base stats'!B:B,'Base stats'!BV:BV),0.1),0.05)
))</f>
        <v>No</v>
      </c>
      <c r="L142" s="11" t="str">
        <f>IF(K142="No","No",
MAX(0.01,MROUND(_xlfn.XLOOKUP(B142,'Base stats'!B:B,'Base stats'!BG:BG) * 0.01 *2, 0.01))
)</f>
        <v>No</v>
      </c>
      <c r="M142" s="5" t="str">
        <f>IF(K142="No","No",IF(_xlfn.XLOOKUP(_xlfn.XLOOKUP(B142,'Base stats'!B:B,'Base stats'!E:E),Groups!A:A,Groups!BD:BD)=1,"No",
MAX(0.01,MROUND(_xlfn.XLOOKUP(B142,'Base stats'!B:B,'Base stats'!BS:BS)/10000,0.01))
))</f>
        <v>No</v>
      </c>
      <c r="N142" s="4" t="str">
        <f>IF(K142="No","No",
MROUND(
  _xlfn.XLOOKUP(B142,'Base stats'!B:B,'Base stats'!BA:BA)^0.25
  / (_xlfn.XLOOKUP(B142,'Base stats'!B:B,'Base stats'!BK:BK)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stats'!BU:BU),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stats'!BH:BH)^0.73)^0.6 *_xlfn.XLOOKUP(B142,'Base stats'!B:B,'Base stats'!BV:BV),0.1),0.05)
)</f>
        <v>6.2</v>
      </c>
      <c r="P142" s="11">
        <f>IF(O142="No","No",
MAX(0.01,MROUND(_xlfn.XLOOKUP(B142,'Base stats'!B:B,'Base stats'!BH:BH) * 0.01 * 2, 0.01))
)</f>
        <v>0.92</v>
      </c>
      <c r="Q142" s="5">
        <f>IF(O142="No","No",
MAX(0.01,MROUND(_xlfn.XLOOKUP(B142,'Base stats'!B:B,'Base stats'!BT:BT)/10000,0.01))
)</f>
        <v>0.12</v>
      </c>
      <c r="R142" s="4">
        <f>IF(O142="No","No",
MROUND(_xlfn.XLOOKUP(B142,'Base stats'!B:B,'Base stats'!AZ:AZ)^0.25
/((_xlfn.XLOOKUP(B142,'Base stats'!B:B,'Base stats'!BL:BL))*10)*_xlfn.XLOOKUP(_xlfn.XLOOKUP(B142,'Base stats'!B:B,'Base stats'!E:E),Groups!A:A,Groups!Z:Z)*150 + 0.5 + _xlfn.XLOOKUP(B142,'Base stats'!B:B,'Base stats'!BU:BU),
0.05))</f>
        <v>1.9000000000000001</v>
      </c>
      <c r="S142" s="3" t="str">
        <f>IF(Animals!AI142="No","No",
IF(_xlfn.XLOOKUP(B142,'Base stats'!B:B,'Base stats'!U:U)="No",
MAX(MROUND(_xlfn.XLOOKUP(B142,'Base stats'!B:B,'Base stats'!BR:BR) * _xlfn.XLOOKUP(B142,'Base stats'!B:B,'Base stats'!BN:BN)^0.9 / 21 * _xlfn.XLOOKUP(B142,'Base stats'!B:B,'Base stats'!BV:BV),0.1),0.05),
MAX(MROUND(((MIN(12,_xlfn.XLOOKUP(B142,'Base stats'!B:B,'Base stats'!U:U)))^0.4*_xlfn.XLOOKUP(B142,'Base stats'!B:B,'Base stats'!BF:BF)^0.73)^0.6 * _xlfn.XLOOKUP(B142,'Base stats'!B:B,'Base stats'!BV:BV),0.1),0.05)
))</f>
        <v>No</v>
      </c>
      <c r="T142" s="11" t="str">
        <f>IF(S142="No","No",
MAX(0.01,MROUND(_xlfn.XLOOKUP(B142,'Base stats'!B:B,'Base stats'!BF:BF) * 0.01 * 2, 0.01))
)</f>
        <v>No</v>
      </c>
      <c r="U142" s="5" t="str">
        <f>IF(S142="No","No",IF(_xlfn.XLOOKUP(B142,'Base stats'!B:B,'Base stats'!U:U)="No","No",
MAX(0.01,MROUND(_xlfn.XLOOKUP(B142,'Base stats'!B:B,'Base stats'!BR:BR)/10000,0.01))
))</f>
        <v>No</v>
      </c>
      <c r="V142" s="4" t="str">
        <f>IF(S142="No","No",
MROUND(_xlfn.XLOOKUP(B142,'Base stats'!B:B,'Base stats'!BD:BD)^0.25
/((_xlfn.XLOOKUP(B142,'Base stats'!B:B,'Base stats'!BM:BM))*10)*_xlfn.XLOOKUP(_xlfn.XLOOKUP(B142,'Base stats'!B:B,'Base stats'!E:E),Groups!A:A,Groups!AE:AE)*150 + 0.5 + _xlfn.XLOOKUP(B142,'Base stats'!B:B,'Base stats'!BU:BU),
0.05))</f>
        <v>No</v>
      </c>
      <c r="W142" s="8">
        <f>MROUND(_xlfn.XLOOKUP(_xlfn.XLOOKUP(B142,'Base stats'!B:B,'Base stats'!E:E),Groups!A:A,Groups!BG:BG)*_xlfn.XLOOKUP(B142,'Base stats'!B:B,'Base stats'!C:C)^-0.165,0.01)</f>
        <v>0.67</v>
      </c>
      <c r="X142" s="1">
        <f>MROUND(_xlfn.XLOOKUP(_xlfn.XLOOKUP(B142,'Base stats'!B:B,'Base stats'!E:E),Groups!A:A,Groups!BH:BH)*_xlfn.XLOOKUP(B142,'Base stats'!B:B,'Base stats'!C:C)^0.165,0.01)</f>
        <v>0.3</v>
      </c>
      <c r="Y142" s="8">
        <f>MROUND(_xlfn.XLOOKUP(_xlfn.XLOOKUP(B142,'Base stats'!B:B,'Base stats'!E:E),Groups!A:A,Groups!BI:BI)*_xlfn.XLOOKUP(B142,'Base stats'!B:B,'Base stats'!C:C)^0.165,0.01)</f>
        <v>0.04</v>
      </c>
      <c r="Z142" s="18">
        <f>ROUND(_xlfn.XLOOKUP(B142,'Base stats'!B:B,'Base stats'!AO:AO)*_xlfn.XLOOKUP(_xlfn.XLOOKUP(B142,'Base stats'!B:B,'Base stats'!E:E),Groups!A:A,Groups!H:H)/1000,2)</f>
        <v>0.05</v>
      </c>
      <c r="AA142" s="18">
        <f>ROUND((1/2)*(_xlfn.XLOOKUP(_xlfn.XLOOKUP(B142,'Base stats'!B:B,'Base stats'!E:E),Groups!A:A,Groups!H:H)*_xlfn.XLOOKUP(_xlfn.XLOOKUP(B142,'Base stats'!B:B,'Base stats'!E:E),Groups!A:A,Groups!I:I))*_xlfn.XLOOKUP(B142,'Base stats'!B:B,'Base stats'!AO:AO)*0.01,2)</f>
        <v>0.39</v>
      </c>
      <c r="AB142" s="18">
        <f>250*(Animals!AO142+Animals!AP142)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stats'!BQ:BQ) * (_xlfn.XLOOKUP(B143,'Base stats'!B:B,'Base stats'!AM:AM)*5%)^0.9 / 21,0.1),0.05)</f>
        <v>1.3</v>
      </c>
      <c r="E143" s="11">
        <f>MAX(0.01,MROUND(_xlfn.XLOOKUP(B143,'Base stats'!B:B,'Base stats'!BE:BE) * 0.01 * 2, 0.01))</f>
        <v>1.06</v>
      </c>
      <c r="F143" s="7">
        <f>MROUND(_xlfn.XLOOKUP(B143,'Base stats'!B:B,'Base stats'!BB:BB)^0.25 / (_xlfn.XLOOKUP(B143,'Base stats'!B:B,'Base stats'!BI:BI) * 10) * 150 + 0.5 + _xlfn.XLOOKUP(B143,'Base stats'!B:B,'Base stats'!BU:BU), 0.05)</f>
        <v>1.8</v>
      </c>
      <c r="G143" s="3" t="str">
        <f>IF(Animals!S143="No","No",
IF(_xlfn.XLOOKUP(B143,'Base stats'!B:B,'Base stats'!U:U)="No",
MAX(MROUND(_xlfn.XLOOKUP(B143,'Base stats'!B:B,'Base stats'!BR:BR) * _xlfn.XLOOKUP(B143,'Base stats'!B:B,'Base stats'!BN:BN)^0.9 / 21 * _xlfn.XLOOKUP(B143,'Base stats'!B:B,'Base stats'!BV:BV),0.1),0.05),
MAX(MROUND(((MIN(10,_xlfn.XLOOKUP(B143,'Base stats'!B:B,'Base stats'!U:U)))^0.4*_xlfn.XLOOKUP(B143,'Base stats'!B:B,'Base stats'!BF:BF)^0.73)^0.6 * _xlfn.XLOOKUP(B143,'Base stats'!B:B,'Base stats'!BV:BV),0.1),0.05)
))</f>
        <v>No</v>
      </c>
      <c r="H143" s="11" t="str">
        <f>IF(G143="No","No",
MAX(0.01,MROUND(_xlfn.XLOOKUP(B143,'Base stats'!B:B,'Base stats'!BF:BF) * 0.01 * 2, 0.01))
)</f>
        <v>No</v>
      </c>
      <c r="I143" s="11" t="str">
        <f>IF(G143="No","No",IF(_xlfn.XLOOKUP(B143,'Base stats'!B:B,'Base stats'!U:U)="No","No",
MAX(0.01,MROUND(_xlfn.XLOOKUP(B143,'Base stats'!B:B,'Base stats'!BR:BR)/10000,0.01))
))</f>
        <v>No</v>
      </c>
      <c r="J143" s="4" t="str">
        <f>IF(G143="No","No",
MROUND(_xlfn.XLOOKUP(B143,'Base stats'!B:B,'Base stats'!BC:BC)^0.25
/((_xlfn.XLOOKUP(B143,'Base stats'!B:B,'Base stats'!BJ:BJ))*10)*_xlfn.XLOOKUP(_xlfn.XLOOKUP(B143,'Base stats'!B:B,'Base stats'!E:E),Groups!A:A,Groups!Q:Q)*150 + 0.5 + _xlfn.XLOOKUP(B143,'Base stats'!B:B,'Base stats'!BU:BU),
0.05))</f>
        <v>No</v>
      </c>
      <c r="K143" s="3" t="str">
        <f>IF(Animals!X143="No","No",
IF(_xlfn.XLOOKUP(_xlfn.XLOOKUP(B143,'Base stats'!B:B,'Base stats'!E:E),Groups!A:A,Groups!BD:BD)=1,
MAX(MROUND(_xlfn.XLOOKUP(B143,'Base stats'!B:B,'Base stats'!BS:BS) * _xlfn.XLOOKUP(B143,'Base stats'!B:B,'Base stats'!BO:BO)^0.9 / 21 *_xlfn.XLOOKUP(B143,'Base stats'!B:B,'Base stats'!BV:BV),0.1),0.05),
MAX(MROUND(((MIN(10,_xlfn.XLOOKUP(B143,'Base stats'!B:B,'Base stats'!W:W)))^0.4*_xlfn.XLOOKUP(B143,'Base stats'!B:B,'Base stats'!BG:BG)^0.73)^0.6 *_xlfn.XLOOKUP(B143,'Base stats'!B:B,'Base stats'!BV:BV),0.1),0.05)
))</f>
        <v>No</v>
      </c>
      <c r="L143" s="11" t="str">
        <f>IF(K143="No","No",
MAX(0.01,MROUND(_xlfn.XLOOKUP(B143,'Base stats'!B:B,'Base stats'!BG:BG) * 0.01 *2, 0.01))
)</f>
        <v>No</v>
      </c>
      <c r="M143" s="5" t="str">
        <f>IF(K143="No","No",IF(_xlfn.XLOOKUP(_xlfn.XLOOKUP(B143,'Base stats'!B:B,'Base stats'!E:E),Groups!A:A,Groups!BD:BD)=1,"No",
MAX(0.01,MROUND(_xlfn.XLOOKUP(B143,'Base stats'!B:B,'Base stats'!BS:BS)/10000,0.01))
))</f>
        <v>No</v>
      </c>
      <c r="N143" s="4" t="str">
        <f>IF(K143="No","No",
MROUND(
  _xlfn.XLOOKUP(B143,'Base stats'!B:B,'Base stats'!BA:BA)^0.25
  / (_xlfn.XLOOKUP(B143,'Base stats'!B:B,'Base stats'!BK:BK)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stats'!BU:BU),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stats'!BH:BH)^0.73)^0.6 *_xlfn.XLOOKUP(B143,'Base stats'!B:B,'Base stats'!BV:BV),0.1),0.05)
)</f>
        <v>11.100000000000001</v>
      </c>
      <c r="P143" s="11">
        <f>IF(O143="No","No",
MAX(0.01,MROUND(_xlfn.XLOOKUP(B143,'Base stats'!B:B,'Base stats'!BH:BH) * 0.01 * 2, 0.01))
)</f>
        <v>2.7600000000000002</v>
      </c>
      <c r="Q143" s="5">
        <f>IF(O143="No","No",
MAX(0.01,MROUND(_xlfn.XLOOKUP(B143,'Base stats'!B:B,'Base stats'!BT:BT)/10000,0.01))
)</f>
        <v>0.21</v>
      </c>
      <c r="R143" s="4">
        <f>IF(O143="No","No",
MROUND(_xlfn.XLOOKUP(B143,'Base stats'!B:B,'Base stats'!AZ:AZ)^0.25
/((_xlfn.XLOOKUP(B143,'Base stats'!B:B,'Base stats'!BL:BL))*10)*_xlfn.XLOOKUP(_xlfn.XLOOKUP(B143,'Base stats'!B:B,'Base stats'!E:E),Groups!A:A,Groups!Z:Z)*150 + 0.5 + _xlfn.XLOOKUP(B143,'Base stats'!B:B,'Base stats'!BU:BU),
0.05))</f>
        <v>2.0500000000000003</v>
      </c>
      <c r="S143" s="3" t="str">
        <f>IF(Animals!AI143="No","No",
IF(_xlfn.XLOOKUP(B143,'Base stats'!B:B,'Base stats'!U:U)="No",
MAX(MROUND(_xlfn.XLOOKUP(B143,'Base stats'!B:B,'Base stats'!BR:BR) * _xlfn.XLOOKUP(B143,'Base stats'!B:B,'Base stats'!BN:BN)^0.9 / 21 * _xlfn.XLOOKUP(B143,'Base stats'!B:B,'Base stats'!BV:BV),0.1),0.05),
MAX(MROUND(((MIN(12,_xlfn.XLOOKUP(B143,'Base stats'!B:B,'Base stats'!U:U)))^0.4*_xlfn.XLOOKUP(B143,'Base stats'!B:B,'Base stats'!BF:BF)^0.73)^0.6 * _xlfn.XLOOKUP(B143,'Base stats'!B:B,'Base stats'!BV:BV),0.1),0.05)
))</f>
        <v>No</v>
      </c>
      <c r="T143" s="11" t="str">
        <f>IF(S143="No","No",
MAX(0.01,MROUND(_xlfn.XLOOKUP(B143,'Base stats'!B:B,'Base stats'!BF:BF) * 0.01 * 2, 0.01))
)</f>
        <v>No</v>
      </c>
      <c r="U143" s="5" t="str">
        <f>IF(S143="No","No",IF(_xlfn.XLOOKUP(B143,'Base stats'!B:B,'Base stats'!U:U)="No","No",
MAX(0.01,MROUND(_xlfn.XLOOKUP(B143,'Base stats'!B:B,'Base stats'!BR:BR)/10000,0.01))
))</f>
        <v>No</v>
      </c>
      <c r="V143" s="4" t="str">
        <f>IF(S143="No","No",
MROUND(_xlfn.XLOOKUP(B143,'Base stats'!B:B,'Base stats'!BD:BD)^0.25
/((_xlfn.XLOOKUP(B143,'Base stats'!B:B,'Base stats'!BM:BM))*10)*_xlfn.XLOOKUP(_xlfn.XLOOKUP(B143,'Base stats'!B:B,'Base stats'!E:E),Groups!A:A,Groups!AE:AE)*150 + 0.5 + _xlfn.XLOOKUP(B143,'Base stats'!B:B,'Base stats'!BU:BU),
0.05))</f>
        <v>No</v>
      </c>
      <c r="W143" s="8">
        <f>MROUND(_xlfn.XLOOKUP(_xlfn.XLOOKUP(B143,'Base stats'!B:B,'Base stats'!E:E),Groups!A:A,Groups!BG:BG)*_xlfn.XLOOKUP(B143,'Base stats'!B:B,'Base stats'!C:C)^-0.165,0.01)</f>
        <v>0.55000000000000004</v>
      </c>
      <c r="X143" s="1">
        <f>MROUND(_xlfn.XLOOKUP(_xlfn.XLOOKUP(B143,'Base stats'!B:B,'Base stats'!E:E),Groups!A:A,Groups!BH:BH)*_xlfn.XLOOKUP(B143,'Base stats'!B:B,'Base stats'!C:C)^0.165,0.01)</f>
        <v>0.36</v>
      </c>
      <c r="Y143" s="8">
        <f>MROUND(_xlfn.XLOOKUP(_xlfn.XLOOKUP(B143,'Base stats'!B:B,'Base stats'!E:E),Groups!A:A,Groups!BI:BI)*_xlfn.XLOOKUP(B143,'Base stats'!B:B,'Base stats'!C:C)^0.165,0.01)</f>
        <v>0.05</v>
      </c>
      <c r="Z143" s="18">
        <f>ROUND(_xlfn.XLOOKUP(B143,'Base stats'!B:B,'Base stats'!AO:AO)*_xlfn.XLOOKUP(_xlfn.XLOOKUP(B143,'Base stats'!B:B,'Base stats'!E:E),Groups!A:A,Groups!H:H)/1000,2)</f>
        <v>0.08</v>
      </c>
      <c r="AA143" s="18">
        <f>ROUND((1/2)*(_xlfn.XLOOKUP(_xlfn.XLOOKUP(B143,'Base stats'!B:B,'Base stats'!E:E),Groups!A:A,Groups!H:H)*_xlfn.XLOOKUP(_xlfn.XLOOKUP(B143,'Base stats'!B:B,'Base stats'!E:E),Groups!A:A,Groups!I:I))*_xlfn.XLOOKUP(B143,'Base stats'!B:B,'Base stats'!AO:AO)*0.01,2)</f>
        <v>0.59</v>
      </c>
      <c r="AB143" s="18">
        <f>250*(Animals!AO143+Animals!AP143)</f>
        <v>412.5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stats'!BQ:BQ) * (_xlfn.XLOOKUP(B144,'Base stats'!B:B,'Base stats'!AM:AM)*5%)^0.9 / 21,0.1),0.05)</f>
        <v>2.1</v>
      </c>
      <c r="E144" s="11">
        <f>MAX(0.01,MROUND(_xlfn.XLOOKUP(B144,'Base stats'!B:B,'Base stats'!BE:BE) * 0.01 * 2, 0.01))</f>
        <v>1.72</v>
      </c>
      <c r="F144" s="7">
        <f>MROUND(_xlfn.XLOOKUP(B144,'Base stats'!B:B,'Base stats'!BB:BB)^0.25 / (_xlfn.XLOOKUP(B144,'Base stats'!B:B,'Base stats'!BI:BI) * 10) * 150 + 0.5 + _xlfn.XLOOKUP(B144,'Base stats'!B:B,'Base stats'!BU:BU), 0.05)</f>
        <v>1.9500000000000002</v>
      </c>
      <c r="G144" s="3" t="str">
        <f>IF(Animals!S144="No","No",
IF(_xlfn.XLOOKUP(B144,'Base stats'!B:B,'Base stats'!U:U)="No",
MAX(MROUND(_xlfn.XLOOKUP(B144,'Base stats'!B:B,'Base stats'!BR:BR) * _xlfn.XLOOKUP(B144,'Base stats'!B:B,'Base stats'!BN:BN)^0.9 / 21 * _xlfn.XLOOKUP(B144,'Base stats'!B:B,'Base stats'!BV:BV),0.1),0.05),
MAX(MROUND(((MIN(10,_xlfn.XLOOKUP(B144,'Base stats'!B:B,'Base stats'!U:U)))^0.4*_xlfn.XLOOKUP(B144,'Base stats'!B:B,'Base stats'!BF:BF)^0.73)^0.6 * _xlfn.XLOOKUP(B144,'Base stats'!B:B,'Base stats'!BV:BV),0.1),0.05)
))</f>
        <v>No</v>
      </c>
      <c r="H144" s="11" t="str">
        <f>IF(G144="No","No",
MAX(0.01,MROUND(_xlfn.XLOOKUP(B144,'Base stats'!B:B,'Base stats'!BF:BF) * 0.01 * 2, 0.01))
)</f>
        <v>No</v>
      </c>
      <c r="I144" s="11" t="str">
        <f>IF(G144="No","No",IF(_xlfn.XLOOKUP(B144,'Base stats'!B:B,'Base stats'!U:U)="No","No",
MAX(0.01,MROUND(_xlfn.XLOOKUP(B144,'Base stats'!B:B,'Base stats'!BR:BR)/10000,0.01))
))</f>
        <v>No</v>
      </c>
      <c r="J144" s="4" t="str">
        <f>IF(G144="No","No",
MROUND(_xlfn.XLOOKUP(B144,'Base stats'!B:B,'Base stats'!BC:BC)^0.25
/((_xlfn.XLOOKUP(B144,'Base stats'!B:B,'Base stats'!BJ:BJ))*10)*_xlfn.XLOOKUP(_xlfn.XLOOKUP(B144,'Base stats'!B:B,'Base stats'!E:E),Groups!A:A,Groups!Q:Q)*150 + 0.5 + _xlfn.XLOOKUP(B144,'Base stats'!B:B,'Base stats'!BU:BU),
0.05))</f>
        <v>No</v>
      </c>
      <c r="K144" s="3" t="str">
        <f>IF(Animals!X144="No","No",
IF(_xlfn.XLOOKUP(_xlfn.XLOOKUP(B144,'Base stats'!B:B,'Base stats'!E:E),Groups!A:A,Groups!BD:BD)=1,
MAX(MROUND(_xlfn.XLOOKUP(B144,'Base stats'!B:B,'Base stats'!BS:BS) * _xlfn.XLOOKUP(B144,'Base stats'!B:B,'Base stats'!BO:BO)^0.9 / 21 *_xlfn.XLOOKUP(B144,'Base stats'!B:B,'Base stats'!BV:BV),0.1),0.05),
MAX(MROUND(((MIN(10,_xlfn.XLOOKUP(B144,'Base stats'!B:B,'Base stats'!W:W)))^0.4*_xlfn.XLOOKUP(B144,'Base stats'!B:B,'Base stats'!BG:BG)^0.73)^0.6 *_xlfn.XLOOKUP(B144,'Base stats'!B:B,'Base stats'!BV:BV),0.1),0.05)
))</f>
        <v>No</v>
      </c>
      <c r="L144" s="11" t="str">
        <f>IF(K144="No","No",
MAX(0.01,MROUND(_xlfn.XLOOKUP(B144,'Base stats'!B:B,'Base stats'!BG:BG) * 0.01 *2, 0.01))
)</f>
        <v>No</v>
      </c>
      <c r="M144" s="5" t="str">
        <f>IF(K144="No","No",IF(_xlfn.XLOOKUP(_xlfn.XLOOKUP(B144,'Base stats'!B:B,'Base stats'!E:E),Groups!A:A,Groups!BD:BD)=1,"No",
MAX(0.01,MROUND(_xlfn.XLOOKUP(B144,'Base stats'!B:B,'Base stats'!BS:BS)/10000,0.01))
))</f>
        <v>No</v>
      </c>
      <c r="N144" s="4" t="str">
        <f>IF(K144="No","No",
MROUND(
  _xlfn.XLOOKUP(B144,'Base stats'!B:B,'Base stats'!BA:BA)^0.25
  / (_xlfn.XLOOKUP(B144,'Base stats'!B:B,'Base stats'!BK:BK)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stats'!BU:BU),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stats'!BH:BH)^0.73)^0.6 *_xlfn.XLOOKUP(B144,'Base stats'!B:B,'Base stats'!BV:BV),0.1),0.05)
)</f>
        <v>14.3</v>
      </c>
      <c r="P144" s="11">
        <f>IF(O144="No","No",
MAX(0.01,MROUND(_xlfn.XLOOKUP(B144,'Base stats'!B:B,'Base stats'!BH:BH) * 0.01 * 2, 0.01))
)</f>
        <v>4.46</v>
      </c>
      <c r="Q144" s="5">
        <f>IF(O144="No","No",
MAX(0.01,MROUND(_xlfn.XLOOKUP(B144,'Base stats'!B:B,'Base stats'!BT:BT)/10000,0.01))
)</f>
        <v>0.28000000000000003</v>
      </c>
      <c r="R144" s="4">
        <f>IF(O144="No","No",
MROUND(_xlfn.XLOOKUP(B144,'Base stats'!B:B,'Base stats'!AZ:AZ)^0.25
/((_xlfn.XLOOKUP(B144,'Base stats'!B:B,'Base stats'!BL:BL))*10)*_xlfn.XLOOKUP(_xlfn.XLOOKUP(B144,'Base stats'!B:B,'Base stats'!E:E),Groups!A:A,Groups!Z:Z)*150 + 0.5 + _xlfn.XLOOKUP(B144,'Base stats'!B:B,'Base stats'!BU:BU),
0.05))</f>
        <v>2.2000000000000002</v>
      </c>
      <c r="S144" s="3" t="str">
        <f>IF(Animals!AI144="No","No",
IF(_xlfn.XLOOKUP(B144,'Base stats'!B:B,'Base stats'!U:U)="No",
MAX(MROUND(_xlfn.XLOOKUP(B144,'Base stats'!B:B,'Base stats'!BR:BR) * _xlfn.XLOOKUP(B144,'Base stats'!B:B,'Base stats'!BN:BN)^0.9 / 21 * _xlfn.XLOOKUP(B144,'Base stats'!B:B,'Base stats'!BV:BV),0.1),0.05),
MAX(MROUND(((MIN(12,_xlfn.XLOOKUP(B144,'Base stats'!B:B,'Base stats'!U:U)))^0.4*_xlfn.XLOOKUP(B144,'Base stats'!B:B,'Base stats'!BF:BF)^0.73)^0.6 * _xlfn.XLOOKUP(B144,'Base stats'!B:B,'Base stats'!BV:BV),0.1),0.05)
))</f>
        <v>No</v>
      </c>
      <c r="T144" s="11" t="str">
        <f>IF(S144="No","No",
MAX(0.01,MROUND(_xlfn.XLOOKUP(B144,'Base stats'!B:B,'Base stats'!BF:BF) * 0.01 * 2, 0.01))
)</f>
        <v>No</v>
      </c>
      <c r="U144" s="5" t="str">
        <f>IF(S144="No","No",IF(_xlfn.XLOOKUP(B144,'Base stats'!B:B,'Base stats'!U:U)="No","No",
MAX(0.01,MROUND(_xlfn.XLOOKUP(B144,'Base stats'!B:B,'Base stats'!BR:BR)/10000,0.01))
))</f>
        <v>No</v>
      </c>
      <c r="V144" s="4" t="str">
        <f>IF(S144="No","No",
MROUND(_xlfn.XLOOKUP(B144,'Base stats'!B:B,'Base stats'!BD:BD)^0.25
/((_xlfn.XLOOKUP(B144,'Base stats'!B:B,'Base stats'!BM:BM))*10)*_xlfn.XLOOKUP(_xlfn.XLOOKUP(B144,'Base stats'!B:B,'Base stats'!E:E),Groups!A:A,Groups!AE:AE)*150 + 0.5 + _xlfn.XLOOKUP(B144,'Base stats'!B:B,'Base stats'!BU:BU),
0.05))</f>
        <v>No</v>
      </c>
      <c r="W144" s="8">
        <f>MROUND(_xlfn.XLOOKUP(_xlfn.XLOOKUP(B144,'Base stats'!B:B,'Base stats'!E:E),Groups!A:A,Groups!BG:BG)*_xlfn.XLOOKUP(B144,'Base stats'!B:B,'Base stats'!C:C)^-0.165,0.01)</f>
        <v>0.5</v>
      </c>
      <c r="X144" s="1">
        <f>MROUND(_xlfn.XLOOKUP(_xlfn.XLOOKUP(B144,'Base stats'!B:B,'Base stats'!E:E),Groups!A:A,Groups!BH:BH)*_xlfn.XLOOKUP(B144,'Base stats'!B:B,'Base stats'!C:C)^0.165,0.01)</f>
        <v>0.4</v>
      </c>
      <c r="Y144" s="8">
        <f>MROUND(_xlfn.XLOOKUP(_xlfn.XLOOKUP(B144,'Base stats'!B:B,'Base stats'!E:E),Groups!A:A,Groups!BI:BI)*_xlfn.XLOOKUP(B144,'Base stats'!B:B,'Base stats'!C:C)^0.165,0.01)</f>
        <v>0.05</v>
      </c>
      <c r="Z144" s="18">
        <f>ROUND(_xlfn.XLOOKUP(B144,'Base stats'!B:B,'Base stats'!AO:AO)*_xlfn.XLOOKUP(_xlfn.XLOOKUP(B144,'Base stats'!B:B,'Base stats'!E:E),Groups!A:A,Groups!H:H)/1000,2)</f>
        <v>0.1</v>
      </c>
      <c r="AA144" s="18">
        <f>ROUND((1/2)*(_xlfn.XLOOKUP(_xlfn.XLOOKUP(B144,'Base stats'!B:B,'Base stats'!E:E),Groups!A:A,Groups!H:H)*_xlfn.XLOOKUP(_xlfn.XLOOKUP(B144,'Base stats'!B:B,'Base stats'!E:E),Groups!A:A,Groups!I:I))*_xlfn.XLOOKUP(B144,'Base stats'!B:B,'Base stats'!AO:AO)*0.01,2)</f>
        <v>0.72</v>
      </c>
      <c r="AB144" s="18">
        <f>250*(Animals!AO144+Animals!AP144)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stats'!BQ:BQ) * (_xlfn.XLOOKUP(B145,'Base stats'!B:B,'Base stats'!AM:AM)*5%)^0.9 / 21,0.1),0.05)</f>
        <v>1</v>
      </c>
      <c r="E145" s="11">
        <f>MAX(0.01,MROUND(_xlfn.XLOOKUP(B145,'Base stats'!B:B,'Base stats'!BE:BE) * 0.01 * 2, 0.01))</f>
        <v>0.76</v>
      </c>
      <c r="F145" s="7">
        <f>MROUND(_xlfn.XLOOKUP(B145,'Base stats'!B:B,'Base stats'!BB:BB)^0.25 / (_xlfn.XLOOKUP(B145,'Base stats'!B:B,'Base stats'!BI:BI) * 10) * 150 + 0.5 + _xlfn.XLOOKUP(B145,'Base stats'!B:B,'Base stats'!BU:BU), 0.05)</f>
        <v>1.7000000000000002</v>
      </c>
      <c r="G145" s="3" t="str">
        <f>IF(Animals!S145="No","No",
IF(_xlfn.XLOOKUP(B145,'Base stats'!B:B,'Base stats'!U:U)="No",
MAX(MROUND(_xlfn.XLOOKUP(B145,'Base stats'!B:B,'Base stats'!BR:BR) * _xlfn.XLOOKUP(B145,'Base stats'!B:B,'Base stats'!BN:BN)^0.9 / 21 * _xlfn.XLOOKUP(B145,'Base stats'!B:B,'Base stats'!BV:BV),0.1),0.05),
MAX(MROUND(((MIN(10,_xlfn.XLOOKUP(B145,'Base stats'!B:B,'Base stats'!U:U)))^0.4*_xlfn.XLOOKUP(B145,'Base stats'!B:B,'Base stats'!BF:BF)^0.73)^0.6 * _xlfn.XLOOKUP(B145,'Base stats'!B:B,'Base stats'!BV:BV),0.1),0.05)
))</f>
        <v>No</v>
      </c>
      <c r="H145" s="11" t="str">
        <f>IF(G145="No","No",
MAX(0.01,MROUND(_xlfn.XLOOKUP(B145,'Base stats'!B:B,'Base stats'!BF:BF) * 0.01 * 2, 0.01))
)</f>
        <v>No</v>
      </c>
      <c r="I145" s="11" t="str">
        <f>IF(G145="No","No",IF(_xlfn.XLOOKUP(B145,'Base stats'!B:B,'Base stats'!U:U)="No","No",
MAX(0.01,MROUND(_xlfn.XLOOKUP(B145,'Base stats'!B:B,'Base stats'!BR:BR)/10000,0.01))
))</f>
        <v>No</v>
      </c>
      <c r="J145" s="4" t="str">
        <f>IF(G145="No","No",
MROUND(_xlfn.XLOOKUP(B145,'Base stats'!B:B,'Base stats'!BC:BC)^0.25
/((_xlfn.XLOOKUP(B145,'Base stats'!B:B,'Base stats'!BJ:BJ))*10)*_xlfn.XLOOKUP(_xlfn.XLOOKUP(B145,'Base stats'!B:B,'Base stats'!E:E),Groups!A:A,Groups!Q:Q)*150 + 0.5 + _xlfn.XLOOKUP(B145,'Base stats'!B:B,'Base stats'!BU:BU),
0.05))</f>
        <v>No</v>
      </c>
      <c r="K145" s="3" t="str">
        <f>IF(Animals!X145="No","No",
IF(_xlfn.XLOOKUP(_xlfn.XLOOKUP(B145,'Base stats'!B:B,'Base stats'!E:E),Groups!A:A,Groups!BD:BD)=1,
MAX(MROUND(_xlfn.XLOOKUP(B145,'Base stats'!B:B,'Base stats'!BS:BS) * _xlfn.XLOOKUP(B145,'Base stats'!B:B,'Base stats'!BO:BO)^0.9 / 21 *_xlfn.XLOOKUP(B145,'Base stats'!B:B,'Base stats'!BV:BV),0.1),0.05),
MAX(MROUND(((MIN(10,_xlfn.XLOOKUP(B145,'Base stats'!B:B,'Base stats'!W:W)))^0.4*_xlfn.XLOOKUP(B145,'Base stats'!B:B,'Base stats'!BG:BG)^0.73)^0.6 *_xlfn.XLOOKUP(B145,'Base stats'!B:B,'Base stats'!BV:BV),0.1),0.05)
))</f>
        <v>No</v>
      </c>
      <c r="L145" s="11" t="str">
        <f>IF(K145="No","No",
MAX(0.01,MROUND(_xlfn.XLOOKUP(B145,'Base stats'!B:B,'Base stats'!BG:BG) * 0.01 *2, 0.01))
)</f>
        <v>No</v>
      </c>
      <c r="M145" s="5" t="str">
        <f>IF(K145="No","No",IF(_xlfn.XLOOKUP(_xlfn.XLOOKUP(B145,'Base stats'!B:B,'Base stats'!E:E),Groups!A:A,Groups!BD:BD)=1,"No",
MAX(0.01,MROUND(_xlfn.XLOOKUP(B145,'Base stats'!B:B,'Base stats'!BS:BS)/10000,0.01))
))</f>
        <v>No</v>
      </c>
      <c r="N145" s="4" t="str">
        <f>IF(K145="No","No",
MROUND(
  _xlfn.XLOOKUP(B145,'Base stats'!B:B,'Base stats'!BA:BA)^0.25
  / (_xlfn.XLOOKUP(B145,'Base stats'!B:B,'Base stats'!BK:BK)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stats'!BU:BU),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stats'!BH:BH)^0.73)^0.6 *_xlfn.XLOOKUP(B145,'Base stats'!B:B,'Base stats'!BV:BV),0.1),0.05)
)</f>
        <v>9.3000000000000007</v>
      </c>
      <c r="P145" s="11">
        <f>IF(O145="No","No",
MAX(0.01,MROUND(_xlfn.XLOOKUP(B145,'Base stats'!B:B,'Base stats'!BH:BH) * 0.01 * 2, 0.01))
)</f>
        <v>1.99</v>
      </c>
      <c r="Q145" s="5">
        <f>IF(O145="No","No",
MAX(0.01,MROUND(_xlfn.XLOOKUP(B145,'Base stats'!B:B,'Base stats'!BT:BT)/10000,0.01))
)</f>
        <v>0.18</v>
      </c>
      <c r="R145" s="4">
        <f>IF(O145="No","No",
MROUND(_xlfn.XLOOKUP(B145,'Base stats'!B:B,'Base stats'!AZ:AZ)^0.25
/((_xlfn.XLOOKUP(B145,'Base stats'!B:B,'Base stats'!BL:BL))*10)*_xlfn.XLOOKUP(_xlfn.XLOOKUP(B145,'Base stats'!B:B,'Base stats'!E:E),Groups!A:A,Groups!Z:Z)*150 + 0.5 + _xlfn.XLOOKUP(B145,'Base stats'!B:B,'Base stats'!BU:BU),
0.05))</f>
        <v>2.1</v>
      </c>
      <c r="S145" s="3" t="str">
        <f>IF(Animals!AI145="No","No",
IF(_xlfn.XLOOKUP(B145,'Base stats'!B:B,'Base stats'!U:U)="No",
MAX(MROUND(_xlfn.XLOOKUP(B145,'Base stats'!B:B,'Base stats'!BR:BR) * _xlfn.XLOOKUP(B145,'Base stats'!B:B,'Base stats'!BN:BN)^0.9 / 21 * _xlfn.XLOOKUP(B145,'Base stats'!B:B,'Base stats'!BV:BV),0.1),0.05),
MAX(MROUND(((MIN(12,_xlfn.XLOOKUP(B145,'Base stats'!B:B,'Base stats'!U:U)))^0.4*_xlfn.XLOOKUP(B145,'Base stats'!B:B,'Base stats'!BF:BF)^0.73)^0.6 * _xlfn.XLOOKUP(B145,'Base stats'!B:B,'Base stats'!BV:BV),0.1),0.05)
))</f>
        <v>No</v>
      </c>
      <c r="T145" s="11" t="str">
        <f>IF(S145="No","No",
MAX(0.01,MROUND(_xlfn.XLOOKUP(B145,'Base stats'!B:B,'Base stats'!BF:BF) * 0.01 * 2, 0.01))
)</f>
        <v>No</v>
      </c>
      <c r="U145" s="5" t="str">
        <f>IF(S145="No","No",IF(_xlfn.XLOOKUP(B145,'Base stats'!B:B,'Base stats'!U:U)="No","No",
MAX(0.01,MROUND(_xlfn.XLOOKUP(B145,'Base stats'!B:B,'Base stats'!BR:BR)/10000,0.01))
))</f>
        <v>No</v>
      </c>
      <c r="V145" s="4" t="str">
        <f>IF(S145="No","No",
MROUND(_xlfn.XLOOKUP(B145,'Base stats'!B:B,'Base stats'!BD:BD)^0.25
/((_xlfn.XLOOKUP(B145,'Base stats'!B:B,'Base stats'!BM:BM))*10)*_xlfn.XLOOKUP(_xlfn.XLOOKUP(B145,'Base stats'!B:B,'Base stats'!E:E),Groups!A:A,Groups!AE:AE)*150 + 0.5 + _xlfn.XLOOKUP(B145,'Base stats'!B:B,'Base stats'!BU:BU),
0.05))</f>
        <v>No</v>
      </c>
      <c r="W145" s="8">
        <f>MROUND(_xlfn.XLOOKUP(_xlfn.XLOOKUP(B145,'Base stats'!B:B,'Base stats'!E:E),Groups!A:A,Groups!BG:BG)*_xlfn.XLOOKUP(B145,'Base stats'!B:B,'Base stats'!C:C)^-0.165,0.01)</f>
        <v>0.57999999999999996</v>
      </c>
      <c r="X145" s="1">
        <f>MROUND(_xlfn.XLOOKUP(_xlfn.XLOOKUP(B145,'Base stats'!B:B,'Base stats'!E:E),Groups!A:A,Groups!BH:BH)*_xlfn.XLOOKUP(B145,'Base stats'!B:B,'Base stats'!C:C)^0.165,0.01)</f>
        <v>0.34</v>
      </c>
      <c r="Y145" s="8">
        <f>MROUND(_xlfn.XLOOKUP(_xlfn.XLOOKUP(B145,'Base stats'!B:B,'Base stats'!E:E),Groups!A:A,Groups!BI:BI)*_xlfn.XLOOKUP(B145,'Base stats'!B:B,'Base stats'!C:C)^0.165,0.01)</f>
        <v>0.04</v>
      </c>
      <c r="Z145" s="18">
        <f>ROUND(_xlfn.XLOOKUP(B145,'Base stats'!B:B,'Base stats'!AO:AO)*_xlfn.XLOOKUP(_xlfn.XLOOKUP(B145,'Base stats'!B:B,'Base stats'!E:E),Groups!A:A,Groups!H:H)/1000,2)</f>
        <v>7.0000000000000007E-2</v>
      </c>
      <c r="AA145" s="18">
        <f>ROUND((1/2)*(_xlfn.XLOOKUP(_xlfn.XLOOKUP(B145,'Base stats'!B:B,'Base stats'!E:E),Groups!A:A,Groups!H:H)*_xlfn.XLOOKUP(_xlfn.XLOOKUP(B145,'Base stats'!B:B,'Base stats'!E:E),Groups!A:A,Groups!I:I))*_xlfn.XLOOKUP(B145,'Base stats'!B:B,'Base stats'!AO:AO)*0.01,2)</f>
        <v>0.52</v>
      </c>
      <c r="AB145" s="18">
        <f>250*(Animals!AO145+Animals!AP145)</f>
        <v>362.50000000000006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stats'!BQ:BQ) * (_xlfn.XLOOKUP(B146,'Base stats'!B:B,'Base stats'!AM:AM)*5%)^0.9 / 21,0.1),0.05)</f>
        <v>0.30000000000000004</v>
      </c>
      <c r="E146" s="11">
        <f>MAX(0.01,MROUND(_xlfn.XLOOKUP(B146,'Base stats'!B:B,'Base stats'!BE:BE) * 0.01 * 2, 0.01))</f>
        <v>0.24</v>
      </c>
      <c r="F146" s="7">
        <f>MROUND(_xlfn.XLOOKUP(B146,'Base stats'!B:B,'Base stats'!BB:BB)^0.25 / (_xlfn.XLOOKUP(B146,'Base stats'!B:B,'Base stats'!BI:BI) * 10) * 150 + 0.5 + _xlfn.XLOOKUP(B146,'Base stats'!B:B,'Base stats'!BU:BU), 0.05)</f>
        <v>1.5</v>
      </c>
      <c r="G146" s="3" t="str">
        <f>IF(Animals!S146="No","No",
IF(_xlfn.XLOOKUP(B146,'Base stats'!B:B,'Base stats'!U:U)="No",
MAX(MROUND(_xlfn.XLOOKUP(B146,'Base stats'!B:B,'Base stats'!BR:BR) * _xlfn.XLOOKUP(B146,'Base stats'!B:B,'Base stats'!BN:BN)^0.9 / 21 * _xlfn.XLOOKUP(B146,'Base stats'!B:B,'Base stats'!BV:BV),0.1),0.05),
MAX(MROUND(((MIN(10,_xlfn.XLOOKUP(B146,'Base stats'!B:B,'Base stats'!U:U)))^0.4*_xlfn.XLOOKUP(B146,'Base stats'!B:B,'Base stats'!BF:BF)^0.73)^0.6 * _xlfn.XLOOKUP(B146,'Base stats'!B:B,'Base stats'!BV:BV),0.1),0.05)
))</f>
        <v>No</v>
      </c>
      <c r="H146" s="11" t="str">
        <f>IF(G146="No","No",
MAX(0.01,MROUND(_xlfn.XLOOKUP(B146,'Base stats'!B:B,'Base stats'!BF:BF) * 0.01 * 2, 0.01))
)</f>
        <v>No</v>
      </c>
      <c r="I146" s="11" t="str">
        <f>IF(G146="No","No",IF(_xlfn.XLOOKUP(B146,'Base stats'!B:B,'Base stats'!U:U)="No","No",
MAX(0.01,MROUND(_xlfn.XLOOKUP(B146,'Base stats'!B:B,'Base stats'!BR:BR)/10000,0.01))
))</f>
        <v>No</v>
      </c>
      <c r="J146" s="4" t="str">
        <f>IF(G146="No","No",
MROUND(_xlfn.XLOOKUP(B146,'Base stats'!B:B,'Base stats'!BC:BC)^0.25
/((_xlfn.XLOOKUP(B146,'Base stats'!B:B,'Base stats'!BJ:BJ))*10)*_xlfn.XLOOKUP(_xlfn.XLOOKUP(B146,'Base stats'!B:B,'Base stats'!E:E),Groups!A:A,Groups!Q:Q)*150 + 0.5 + _xlfn.XLOOKUP(B146,'Base stats'!B:B,'Base stats'!BU:BU),
0.05))</f>
        <v>No</v>
      </c>
      <c r="K146" s="3" t="str">
        <f>IF(Animals!X146="No","No",
IF(_xlfn.XLOOKUP(_xlfn.XLOOKUP(B146,'Base stats'!B:B,'Base stats'!E:E),Groups!A:A,Groups!BD:BD)=1,
MAX(MROUND(_xlfn.XLOOKUP(B146,'Base stats'!B:B,'Base stats'!BS:BS) * _xlfn.XLOOKUP(B146,'Base stats'!B:B,'Base stats'!BO:BO)^0.9 / 21 *_xlfn.XLOOKUP(B146,'Base stats'!B:B,'Base stats'!BV:BV),0.1),0.05),
MAX(MROUND(((MIN(10,_xlfn.XLOOKUP(B146,'Base stats'!B:B,'Base stats'!W:W)))^0.4*_xlfn.XLOOKUP(B146,'Base stats'!B:B,'Base stats'!BG:BG)^0.73)^0.6 *_xlfn.XLOOKUP(B146,'Base stats'!B:B,'Base stats'!BV:BV),0.1),0.05)
))</f>
        <v>No</v>
      </c>
      <c r="L146" s="11" t="str">
        <f>IF(K146="No","No",
MAX(0.01,MROUND(_xlfn.XLOOKUP(B146,'Base stats'!B:B,'Base stats'!BG:BG) * 0.01 *2, 0.01))
)</f>
        <v>No</v>
      </c>
      <c r="M146" s="5" t="str">
        <f>IF(K146="No","No",IF(_xlfn.XLOOKUP(_xlfn.XLOOKUP(B146,'Base stats'!B:B,'Base stats'!E:E),Groups!A:A,Groups!BD:BD)=1,"No",
MAX(0.01,MROUND(_xlfn.XLOOKUP(B146,'Base stats'!B:B,'Base stats'!BS:BS)/10000,0.01))
))</f>
        <v>No</v>
      </c>
      <c r="N146" s="4" t="str">
        <f>IF(K146="No","No",
MROUND(
  _xlfn.XLOOKUP(B146,'Base stats'!B:B,'Base stats'!BA:BA)^0.25
  / (_xlfn.XLOOKUP(B146,'Base stats'!B:B,'Base stats'!BK:BK)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stats'!BU:BU),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stats'!BH:BH)^0.73)^0.6 *_xlfn.XLOOKUP(B146,'Base stats'!B:B,'Base stats'!BV:BV),0.1),0.05)
)</f>
        <v>5</v>
      </c>
      <c r="P146" s="11">
        <f>IF(O146="No","No",
MAX(0.01,MROUND(_xlfn.XLOOKUP(B146,'Base stats'!B:B,'Base stats'!BH:BH) * 0.01 * 2, 0.01))
)</f>
        <v>0.63</v>
      </c>
      <c r="Q146" s="5">
        <f>IF(O146="No","No",
MAX(0.01,MROUND(_xlfn.XLOOKUP(B146,'Base stats'!B:B,'Base stats'!BT:BT)/10000,0.01))
)</f>
        <v>0.1</v>
      </c>
      <c r="R146" s="4">
        <f>IF(O146="No","No",
MROUND(_xlfn.XLOOKUP(B146,'Base stats'!B:B,'Base stats'!AZ:AZ)^0.25
/((_xlfn.XLOOKUP(B146,'Base stats'!B:B,'Base stats'!BL:BL))*10)*_xlfn.XLOOKUP(_xlfn.XLOOKUP(B146,'Base stats'!B:B,'Base stats'!E:E),Groups!A:A,Groups!Z:Z)*150 + 0.5 + _xlfn.XLOOKUP(B146,'Base stats'!B:B,'Base stats'!BU:BU),
0.05))</f>
        <v>1.9500000000000002</v>
      </c>
      <c r="S146" s="3" t="str">
        <f>IF(Animals!AI146="No","No",
IF(_xlfn.XLOOKUP(B146,'Base stats'!B:B,'Base stats'!U:U)="No",
MAX(MROUND(_xlfn.XLOOKUP(B146,'Base stats'!B:B,'Base stats'!BR:BR) * _xlfn.XLOOKUP(B146,'Base stats'!B:B,'Base stats'!BN:BN)^0.9 / 21 * _xlfn.XLOOKUP(B146,'Base stats'!B:B,'Base stats'!BV:BV),0.1),0.05),
MAX(MROUND(((MIN(12,_xlfn.XLOOKUP(B146,'Base stats'!B:B,'Base stats'!U:U)))^0.4*_xlfn.XLOOKUP(B146,'Base stats'!B:B,'Base stats'!BF:BF)^0.73)^0.6 * _xlfn.XLOOKUP(B146,'Base stats'!B:B,'Base stats'!BV:BV),0.1),0.05)
))</f>
        <v>No</v>
      </c>
      <c r="T146" s="11" t="str">
        <f>IF(S146="No","No",
MAX(0.01,MROUND(_xlfn.XLOOKUP(B146,'Base stats'!B:B,'Base stats'!BF:BF) * 0.01 * 2, 0.01))
)</f>
        <v>No</v>
      </c>
      <c r="U146" s="5" t="str">
        <f>IF(S146="No","No",IF(_xlfn.XLOOKUP(B146,'Base stats'!B:B,'Base stats'!U:U)="No","No",
MAX(0.01,MROUND(_xlfn.XLOOKUP(B146,'Base stats'!B:B,'Base stats'!BR:BR)/10000,0.01))
))</f>
        <v>No</v>
      </c>
      <c r="V146" s="4" t="str">
        <f>IF(S146="No","No",
MROUND(_xlfn.XLOOKUP(B146,'Base stats'!B:B,'Base stats'!BD:BD)^0.25
/((_xlfn.XLOOKUP(B146,'Base stats'!B:B,'Base stats'!BM:BM))*10)*_xlfn.XLOOKUP(_xlfn.XLOOKUP(B146,'Base stats'!B:B,'Base stats'!E:E),Groups!A:A,Groups!AE:AE)*150 + 0.5 + _xlfn.XLOOKUP(B146,'Base stats'!B:B,'Base stats'!BU:BU),
0.05))</f>
        <v>No</v>
      </c>
      <c r="W146" s="8">
        <f>MROUND(_xlfn.XLOOKUP(_xlfn.XLOOKUP(B146,'Base stats'!B:B,'Base stats'!E:E),Groups!A:A,Groups!BG:BG)*_xlfn.XLOOKUP(B146,'Base stats'!B:B,'Base stats'!C:C)^-0.165,0.01)</f>
        <v>0.72</v>
      </c>
      <c r="X146" s="1">
        <f>MROUND(_xlfn.XLOOKUP(_xlfn.XLOOKUP(B146,'Base stats'!B:B,'Base stats'!E:E),Groups!A:A,Groups!BH:BH)*_xlfn.XLOOKUP(B146,'Base stats'!B:B,'Base stats'!C:C)^0.165,0.01)</f>
        <v>0.28000000000000003</v>
      </c>
      <c r="Y146" s="8">
        <f>MROUND(_xlfn.XLOOKUP(_xlfn.XLOOKUP(B146,'Base stats'!B:B,'Base stats'!E:E),Groups!A:A,Groups!BI:BI)*_xlfn.XLOOKUP(B146,'Base stats'!B:B,'Base stats'!C:C)^0.165,0.01)</f>
        <v>0.03</v>
      </c>
      <c r="Z146" s="18">
        <f>ROUND(_xlfn.XLOOKUP(B146,'Base stats'!B:B,'Base stats'!AO:AO)*_xlfn.XLOOKUP(_xlfn.XLOOKUP(B146,'Base stats'!B:B,'Base stats'!E:E),Groups!A:A,Groups!H:H)/1000,2)</f>
        <v>0.04</v>
      </c>
      <c r="AA146" s="18">
        <f>ROUND((1/2)*(_xlfn.XLOOKUP(_xlfn.XLOOKUP(B146,'Base stats'!B:B,'Base stats'!E:E),Groups!A:A,Groups!H:H)*_xlfn.XLOOKUP(_xlfn.XLOOKUP(B146,'Base stats'!B:B,'Base stats'!E:E),Groups!A:A,Groups!I:I))*_xlfn.XLOOKUP(B146,'Base stats'!B:B,'Base stats'!AO:AO)*0.01,2)</f>
        <v>0.33</v>
      </c>
      <c r="AB146" s="18">
        <f>250*(Animals!AO146+Animals!AP146)</f>
        <v>187.5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stats'!BQ:BQ) * (_xlfn.XLOOKUP(B147,'Base stats'!B:B,'Base stats'!AM:AM)*5%)^0.9 / 21,0.1),0.05)</f>
        <v>1.7000000000000002</v>
      </c>
      <c r="E147" s="11">
        <f>MAX(0.01,MROUND(_xlfn.XLOOKUP(B147,'Base stats'!B:B,'Base stats'!BE:BE) * 0.01 * 2, 0.01))</f>
        <v>1.33</v>
      </c>
      <c r="F147" s="7">
        <f>MROUND(_xlfn.XLOOKUP(B147,'Base stats'!B:B,'Base stats'!BB:BB)^0.25 / (_xlfn.XLOOKUP(B147,'Base stats'!B:B,'Base stats'!BI:BI) * 10) * 150 + 0.5 + _xlfn.XLOOKUP(B147,'Base stats'!B:B,'Base stats'!BU:BU), 0.05)</f>
        <v>1.85</v>
      </c>
      <c r="G147" s="3" t="str">
        <f>IF(Animals!S147="No","No",
IF(_xlfn.XLOOKUP(B147,'Base stats'!B:B,'Base stats'!U:U)="No",
MAX(MROUND(_xlfn.XLOOKUP(B147,'Base stats'!B:B,'Base stats'!BR:BR) * _xlfn.XLOOKUP(B147,'Base stats'!B:B,'Base stats'!BN:BN)^0.9 / 21 * _xlfn.XLOOKUP(B147,'Base stats'!B:B,'Base stats'!BV:BV),0.1),0.05),
MAX(MROUND(((MIN(10,_xlfn.XLOOKUP(B147,'Base stats'!B:B,'Base stats'!U:U)))^0.4*_xlfn.XLOOKUP(B147,'Base stats'!B:B,'Base stats'!BF:BF)^0.73)^0.6 * _xlfn.XLOOKUP(B147,'Base stats'!B:B,'Base stats'!BV:BV),0.1),0.05)
))</f>
        <v>No</v>
      </c>
      <c r="H147" s="11" t="str">
        <f>IF(G147="No","No",
MAX(0.01,MROUND(_xlfn.XLOOKUP(B147,'Base stats'!B:B,'Base stats'!BF:BF) * 0.01 * 2, 0.01))
)</f>
        <v>No</v>
      </c>
      <c r="I147" s="11" t="str">
        <f>IF(G147="No","No",IF(_xlfn.XLOOKUP(B147,'Base stats'!B:B,'Base stats'!U:U)="No","No",
MAX(0.01,MROUND(_xlfn.XLOOKUP(B147,'Base stats'!B:B,'Base stats'!BR:BR)/10000,0.01))
))</f>
        <v>No</v>
      </c>
      <c r="J147" s="4" t="str">
        <f>IF(G147="No","No",
MROUND(_xlfn.XLOOKUP(B147,'Base stats'!B:B,'Base stats'!BC:BC)^0.25
/((_xlfn.XLOOKUP(B147,'Base stats'!B:B,'Base stats'!BJ:BJ))*10)*_xlfn.XLOOKUP(_xlfn.XLOOKUP(B147,'Base stats'!B:B,'Base stats'!E:E),Groups!A:A,Groups!Q:Q)*150 + 0.5 + _xlfn.XLOOKUP(B147,'Base stats'!B:B,'Base stats'!BU:BU),
0.05))</f>
        <v>No</v>
      </c>
      <c r="K147" s="3" t="str">
        <f>IF(Animals!X147="No","No",
IF(_xlfn.XLOOKUP(_xlfn.XLOOKUP(B147,'Base stats'!B:B,'Base stats'!E:E),Groups!A:A,Groups!BD:BD)=1,
MAX(MROUND(_xlfn.XLOOKUP(B147,'Base stats'!B:B,'Base stats'!BS:BS) * _xlfn.XLOOKUP(B147,'Base stats'!B:B,'Base stats'!BO:BO)^0.9 / 21 *_xlfn.XLOOKUP(B147,'Base stats'!B:B,'Base stats'!BV:BV),0.1),0.05),
MAX(MROUND(((MIN(10,_xlfn.XLOOKUP(B147,'Base stats'!B:B,'Base stats'!W:W)))^0.4*_xlfn.XLOOKUP(B147,'Base stats'!B:B,'Base stats'!BG:BG)^0.73)^0.6 *_xlfn.XLOOKUP(B147,'Base stats'!B:B,'Base stats'!BV:BV),0.1),0.05)
))</f>
        <v>No</v>
      </c>
      <c r="L147" s="11" t="str">
        <f>IF(K147="No","No",
MAX(0.01,MROUND(_xlfn.XLOOKUP(B147,'Base stats'!B:B,'Base stats'!BG:BG) * 0.01 *2, 0.01))
)</f>
        <v>No</v>
      </c>
      <c r="M147" s="5" t="str">
        <f>IF(K147="No","No",IF(_xlfn.XLOOKUP(_xlfn.XLOOKUP(B147,'Base stats'!B:B,'Base stats'!E:E),Groups!A:A,Groups!BD:BD)=1,"No",
MAX(0.01,MROUND(_xlfn.XLOOKUP(B147,'Base stats'!B:B,'Base stats'!BS:BS)/10000,0.01))
))</f>
        <v>No</v>
      </c>
      <c r="N147" s="4" t="str">
        <f>IF(K147="No","No",
MROUND(
  _xlfn.XLOOKUP(B147,'Base stats'!B:B,'Base stats'!BA:BA)^0.25
  / (_xlfn.XLOOKUP(B147,'Base stats'!B:B,'Base stats'!BK:BK)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stats'!BU:BU),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stats'!BH:BH)^0.73)^0.6 *_xlfn.XLOOKUP(B147,'Base stats'!B:B,'Base stats'!BV:BV),0.1),0.05)
)</f>
        <v>12.5</v>
      </c>
      <c r="P147" s="11">
        <f>IF(O147="No","No",
MAX(0.01,MROUND(_xlfn.XLOOKUP(B147,'Base stats'!B:B,'Base stats'!BH:BH) * 0.01 * 2, 0.01))
)</f>
        <v>3.47</v>
      </c>
      <c r="Q147" s="5">
        <f>IF(O147="No","No",
MAX(0.01,MROUND(_xlfn.XLOOKUP(B147,'Base stats'!B:B,'Base stats'!BT:BT)/10000,0.01))
)</f>
        <v>0.24</v>
      </c>
      <c r="R147" s="4">
        <f>IF(O147="No","No",
MROUND(_xlfn.XLOOKUP(B147,'Base stats'!B:B,'Base stats'!AZ:AZ)^0.25
/((_xlfn.XLOOKUP(B147,'Base stats'!B:B,'Base stats'!BL:BL))*10)*_xlfn.XLOOKUP(_xlfn.XLOOKUP(B147,'Base stats'!B:B,'Base stats'!E:E),Groups!A:A,Groups!Z:Z)*150 + 0.5 + _xlfn.XLOOKUP(B147,'Base stats'!B:B,'Base stats'!BU:BU),
0.05))</f>
        <v>2.1</v>
      </c>
      <c r="S147" s="3" t="str">
        <f>IF(Animals!AI147="No","No",
IF(_xlfn.XLOOKUP(B147,'Base stats'!B:B,'Base stats'!U:U)="No",
MAX(MROUND(_xlfn.XLOOKUP(B147,'Base stats'!B:B,'Base stats'!BR:BR) * _xlfn.XLOOKUP(B147,'Base stats'!B:B,'Base stats'!BN:BN)^0.9 / 21 * _xlfn.XLOOKUP(B147,'Base stats'!B:B,'Base stats'!BV:BV),0.1),0.05),
MAX(MROUND(((MIN(12,_xlfn.XLOOKUP(B147,'Base stats'!B:B,'Base stats'!U:U)))^0.4*_xlfn.XLOOKUP(B147,'Base stats'!B:B,'Base stats'!BF:BF)^0.73)^0.6 * _xlfn.XLOOKUP(B147,'Base stats'!B:B,'Base stats'!BV:BV),0.1),0.05)
))</f>
        <v>No</v>
      </c>
      <c r="T147" s="11" t="str">
        <f>IF(S147="No","No",
MAX(0.01,MROUND(_xlfn.XLOOKUP(B147,'Base stats'!B:B,'Base stats'!BF:BF) * 0.01 * 2, 0.01))
)</f>
        <v>No</v>
      </c>
      <c r="U147" s="5" t="str">
        <f>IF(S147="No","No",IF(_xlfn.XLOOKUP(B147,'Base stats'!B:B,'Base stats'!U:U)="No","No",
MAX(0.01,MROUND(_xlfn.XLOOKUP(B147,'Base stats'!B:B,'Base stats'!BR:BR)/10000,0.01))
))</f>
        <v>No</v>
      </c>
      <c r="V147" s="4" t="str">
        <f>IF(S147="No","No",
MROUND(_xlfn.XLOOKUP(B147,'Base stats'!B:B,'Base stats'!BD:BD)^0.25
/((_xlfn.XLOOKUP(B147,'Base stats'!B:B,'Base stats'!BM:BM))*10)*_xlfn.XLOOKUP(_xlfn.XLOOKUP(B147,'Base stats'!B:B,'Base stats'!E:E),Groups!A:A,Groups!AE:AE)*150 + 0.5 + _xlfn.XLOOKUP(B147,'Base stats'!B:B,'Base stats'!BU:BU),
0.05))</f>
        <v>No</v>
      </c>
      <c r="W147" s="8">
        <f>MROUND(_xlfn.XLOOKUP(_xlfn.XLOOKUP(B147,'Base stats'!B:B,'Base stats'!E:E),Groups!A:A,Groups!BG:BG)*_xlfn.XLOOKUP(B147,'Base stats'!B:B,'Base stats'!C:C)^-0.165,0.01)</f>
        <v>0.53</v>
      </c>
      <c r="X147" s="1">
        <f>MROUND(_xlfn.XLOOKUP(_xlfn.XLOOKUP(B147,'Base stats'!B:B,'Base stats'!E:E),Groups!A:A,Groups!BH:BH)*_xlfn.XLOOKUP(B147,'Base stats'!B:B,'Base stats'!C:C)^0.165,0.01)</f>
        <v>0.38</v>
      </c>
      <c r="Y147" s="8">
        <f>MROUND(_xlfn.XLOOKUP(_xlfn.XLOOKUP(B147,'Base stats'!B:B,'Base stats'!E:E),Groups!A:A,Groups!BI:BI)*_xlfn.XLOOKUP(B147,'Base stats'!B:B,'Base stats'!C:C)^0.165,0.01)</f>
        <v>0.05</v>
      </c>
      <c r="Z147" s="18">
        <f>ROUND(_xlfn.XLOOKUP(B147,'Base stats'!B:B,'Base stats'!AO:AO)*_xlfn.XLOOKUP(_xlfn.XLOOKUP(B147,'Base stats'!B:B,'Base stats'!E:E),Groups!A:A,Groups!H:H)/1000,2)</f>
        <v>0.09</v>
      </c>
      <c r="AA147" s="18">
        <f>ROUND((1/2)*(_xlfn.XLOOKUP(_xlfn.XLOOKUP(B147,'Base stats'!B:B,'Base stats'!E:E),Groups!A:A,Groups!H:H)*_xlfn.XLOOKUP(_xlfn.XLOOKUP(B147,'Base stats'!B:B,'Base stats'!E:E),Groups!A:A,Groups!I:I))*_xlfn.XLOOKUP(B147,'Base stats'!B:B,'Base stats'!AO:AO)*0.01,2)</f>
        <v>0.65</v>
      </c>
      <c r="AB147" s="18">
        <f>250*(Animals!AO147+Animals!AP147)</f>
        <v>462.5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stats'!BQ:BQ) * (_xlfn.XLOOKUP(B148,'Base stats'!B:B,'Base stats'!AM:AM)*5%)^0.9 / 21,0.1),0.05)</f>
        <v>0.30000000000000004</v>
      </c>
      <c r="E148" s="11">
        <f>MAX(0.01,MROUND(_xlfn.XLOOKUP(B148,'Base stats'!B:B,'Base stats'!BE:BE) * 0.01 * 2, 0.01))</f>
        <v>0.19</v>
      </c>
      <c r="F148" s="7">
        <f>MROUND(_xlfn.XLOOKUP(B148,'Base stats'!B:B,'Base stats'!BB:BB)^0.25 / (_xlfn.XLOOKUP(B148,'Base stats'!B:B,'Base stats'!BI:BI) * 10) * 150 + 0.5 + _xlfn.XLOOKUP(B148,'Base stats'!B:B,'Base stats'!BU:BU), 0.05)</f>
        <v>1.4500000000000002</v>
      </c>
      <c r="G148" s="3" t="str">
        <f>IF(Animals!S148="No","No",
IF(_xlfn.XLOOKUP(B148,'Base stats'!B:B,'Base stats'!U:U)="No",
MAX(MROUND(_xlfn.XLOOKUP(B148,'Base stats'!B:B,'Base stats'!BR:BR) * _xlfn.XLOOKUP(B148,'Base stats'!B:B,'Base stats'!BN:BN)^0.9 / 21 * _xlfn.XLOOKUP(B148,'Base stats'!B:B,'Base stats'!BV:BV),0.1),0.05),
MAX(MROUND(((MIN(10,_xlfn.XLOOKUP(B148,'Base stats'!B:B,'Base stats'!U:U)))^0.4*_xlfn.XLOOKUP(B148,'Base stats'!B:B,'Base stats'!BF:BF)^0.73)^0.6 * _xlfn.XLOOKUP(B148,'Base stats'!B:B,'Base stats'!BV:BV),0.1),0.05)
))</f>
        <v>No</v>
      </c>
      <c r="H148" s="11" t="str">
        <f>IF(G148="No","No",
MAX(0.01,MROUND(_xlfn.XLOOKUP(B148,'Base stats'!B:B,'Base stats'!BF:BF) * 0.01 * 2, 0.01))
)</f>
        <v>No</v>
      </c>
      <c r="I148" s="11" t="str">
        <f>IF(G148="No","No",IF(_xlfn.XLOOKUP(B148,'Base stats'!B:B,'Base stats'!U:U)="No","No",
MAX(0.01,MROUND(_xlfn.XLOOKUP(B148,'Base stats'!B:B,'Base stats'!BR:BR)/10000,0.01))
))</f>
        <v>No</v>
      </c>
      <c r="J148" s="4" t="str">
        <f>IF(G148="No","No",
MROUND(_xlfn.XLOOKUP(B148,'Base stats'!B:B,'Base stats'!BC:BC)^0.25
/((_xlfn.XLOOKUP(B148,'Base stats'!B:B,'Base stats'!BJ:BJ))*10)*_xlfn.XLOOKUP(_xlfn.XLOOKUP(B148,'Base stats'!B:B,'Base stats'!E:E),Groups!A:A,Groups!Q:Q)*150 + 0.5 + _xlfn.XLOOKUP(B148,'Base stats'!B:B,'Base stats'!BU:BU),
0.05))</f>
        <v>No</v>
      </c>
      <c r="K148" s="3" t="str">
        <f>IF(Animals!X148="No","No",
IF(_xlfn.XLOOKUP(_xlfn.XLOOKUP(B148,'Base stats'!B:B,'Base stats'!E:E),Groups!A:A,Groups!BD:BD)=1,
MAX(MROUND(_xlfn.XLOOKUP(B148,'Base stats'!B:B,'Base stats'!BS:BS) * _xlfn.XLOOKUP(B148,'Base stats'!B:B,'Base stats'!BO:BO)^0.9 / 21 *_xlfn.XLOOKUP(B148,'Base stats'!B:B,'Base stats'!BV:BV),0.1),0.05),
MAX(MROUND(((MIN(10,_xlfn.XLOOKUP(B148,'Base stats'!B:B,'Base stats'!W:W)))^0.4*_xlfn.XLOOKUP(B148,'Base stats'!B:B,'Base stats'!BG:BG)^0.73)^0.6 *_xlfn.XLOOKUP(B148,'Base stats'!B:B,'Base stats'!BV:BV),0.1),0.05)
))</f>
        <v>No</v>
      </c>
      <c r="L148" s="11" t="str">
        <f>IF(K148="No","No",
MAX(0.01,MROUND(_xlfn.XLOOKUP(B148,'Base stats'!B:B,'Base stats'!BG:BG) * 0.01 *2, 0.01))
)</f>
        <v>No</v>
      </c>
      <c r="M148" s="5" t="str">
        <f>IF(K148="No","No",IF(_xlfn.XLOOKUP(_xlfn.XLOOKUP(B148,'Base stats'!B:B,'Base stats'!E:E),Groups!A:A,Groups!BD:BD)=1,"No",
MAX(0.01,MROUND(_xlfn.XLOOKUP(B148,'Base stats'!B:B,'Base stats'!BS:BS)/10000,0.01))
))</f>
        <v>No</v>
      </c>
      <c r="N148" s="4" t="str">
        <f>IF(K148="No","No",
MROUND(
  _xlfn.XLOOKUP(B148,'Base stats'!B:B,'Base stats'!BA:BA)^0.25
  / (_xlfn.XLOOKUP(B148,'Base stats'!B:B,'Base stats'!BK:BK)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stats'!BU:BU),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stats'!BH:BH)^0.73)^0.6 *_xlfn.XLOOKUP(B148,'Base stats'!B:B,'Base stats'!BV:BV),0.1),0.05)
)</f>
        <v>4.5</v>
      </c>
      <c r="P148" s="11">
        <f>IF(O148="No","No",
MAX(0.01,MROUND(_xlfn.XLOOKUP(B148,'Base stats'!B:B,'Base stats'!BH:BH) * 0.01 * 2, 0.01))
)</f>
        <v>0.51</v>
      </c>
      <c r="Q148" s="5">
        <f>IF(O148="No","No",
MAX(0.01,MROUND(_xlfn.XLOOKUP(B148,'Base stats'!B:B,'Base stats'!BT:BT)/10000,0.01))
)</f>
        <v>0.09</v>
      </c>
      <c r="R148" s="4">
        <f>IF(O148="No","No",
MROUND(_xlfn.XLOOKUP(B148,'Base stats'!B:B,'Base stats'!AZ:AZ)^0.25
/((_xlfn.XLOOKUP(B148,'Base stats'!B:B,'Base stats'!BL:BL))*10)*_xlfn.XLOOKUP(_xlfn.XLOOKUP(B148,'Base stats'!B:B,'Base stats'!E:E),Groups!A:A,Groups!Z:Z)*150 + 0.5 + _xlfn.XLOOKUP(B148,'Base stats'!B:B,'Base stats'!BU:BU),
0.05))</f>
        <v>1.9000000000000001</v>
      </c>
      <c r="S148" s="3" t="str">
        <f>IF(Animals!AI148="No","No",
IF(_xlfn.XLOOKUP(B148,'Base stats'!B:B,'Base stats'!U:U)="No",
MAX(MROUND(_xlfn.XLOOKUP(B148,'Base stats'!B:B,'Base stats'!BR:BR) * _xlfn.XLOOKUP(B148,'Base stats'!B:B,'Base stats'!BN:BN)^0.9 / 21 * _xlfn.XLOOKUP(B148,'Base stats'!B:B,'Base stats'!BV:BV),0.1),0.05),
MAX(MROUND(((MIN(12,_xlfn.XLOOKUP(B148,'Base stats'!B:B,'Base stats'!U:U)))^0.4*_xlfn.XLOOKUP(B148,'Base stats'!B:B,'Base stats'!BF:BF)^0.73)^0.6 * _xlfn.XLOOKUP(B148,'Base stats'!B:B,'Base stats'!BV:BV),0.1),0.05)
))</f>
        <v>No</v>
      </c>
      <c r="T148" s="11" t="str">
        <f>IF(S148="No","No",
MAX(0.01,MROUND(_xlfn.XLOOKUP(B148,'Base stats'!B:B,'Base stats'!BF:BF) * 0.01 * 2, 0.01))
)</f>
        <v>No</v>
      </c>
      <c r="U148" s="5" t="str">
        <f>IF(S148="No","No",IF(_xlfn.XLOOKUP(B148,'Base stats'!B:B,'Base stats'!U:U)="No","No",
MAX(0.01,MROUND(_xlfn.XLOOKUP(B148,'Base stats'!B:B,'Base stats'!BR:BR)/10000,0.01))
))</f>
        <v>No</v>
      </c>
      <c r="V148" s="4" t="str">
        <f>IF(S148="No","No",
MROUND(_xlfn.XLOOKUP(B148,'Base stats'!B:B,'Base stats'!BD:BD)^0.25
/((_xlfn.XLOOKUP(B148,'Base stats'!B:B,'Base stats'!BM:BM))*10)*_xlfn.XLOOKUP(_xlfn.XLOOKUP(B148,'Base stats'!B:B,'Base stats'!E:E),Groups!A:A,Groups!AE:AE)*150 + 0.5 + _xlfn.XLOOKUP(B148,'Base stats'!B:B,'Base stats'!BU:BU),
0.05))</f>
        <v>No</v>
      </c>
      <c r="W148" s="8">
        <f>MROUND(_xlfn.XLOOKUP(_xlfn.XLOOKUP(B148,'Base stats'!B:B,'Base stats'!E:E),Groups!A:A,Groups!BG:BG)*_xlfn.XLOOKUP(B148,'Base stats'!B:B,'Base stats'!C:C)^-0.165,0.01)</f>
        <v>0.75</v>
      </c>
      <c r="X148" s="1">
        <f>MROUND(_xlfn.XLOOKUP(_xlfn.XLOOKUP(B148,'Base stats'!B:B,'Base stats'!E:E),Groups!A:A,Groups!BH:BH)*_xlfn.XLOOKUP(B148,'Base stats'!B:B,'Base stats'!C:C)^0.165,0.01)</f>
        <v>0.27</v>
      </c>
      <c r="Y148" s="8">
        <f>MROUND(_xlfn.XLOOKUP(_xlfn.XLOOKUP(B148,'Base stats'!B:B,'Base stats'!E:E),Groups!A:A,Groups!BI:BI)*_xlfn.XLOOKUP(B148,'Base stats'!B:B,'Base stats'!C:C)^0.165,0.01)</f>
        <v>0.03</v>
      </c>
      <c r="Z148" s="18">
        <f>ROUND(_xlfn.XLOOKUP(B148,'Base stats'!B:B,'Base stats'!AO:AO)*_xlfn.XLOOKUP(_xlfn.XLOOKUP(B148,'Base stats'!B:B,'Base stats'!E:E),Groups!A:A,Groups!H:H)/1000,2)</f>
        <v>0.04</v>
      </c>
      <c r="AA148" s="18">
        <f>ROUND((1/2)*(_xlfn.XLOOKUP(_xlfn.XLOOKUP(B148,'Base stats'!B:B,'Base stats'!E:E),Groups!A:A,Groups!H:H)*_xlfn.XLOOKUP(_xlfn.XLOOKUP(B148,'Base stats'!B:B,'Base stats'!E:E),Groups!A:A,Groups!I:I))*_xlfn.XLOOKUP(B148,'Base stats'!B:B,'Base stats'!AO:AO)*0.01,2)</f>
        <v>0.31</v>
      </c>
      <c r="AB148" s="18">
        <f>250*(Animals!AO148+Animals!AP148)</f>
        <v>187.5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stats'!BQ:BQ) * (_xlfn.XLOOKUP(B149,'Base stats'!B:B,'Base stats'!AM:AM)*5%)^0.9 / 21,0.1),0.05)</f>
        <v>0.9</v>
      </c>
      <c r="E149" s="11">
        <f>MAX(0.01,MROUND(_xlfn.XLOOKUP(B149,'Base stats'!B:B,'Base stats'!BE:BE) * 0.01 * 2, 0.01))</f>
        <v>0.67</v>
      </c>
      <c r="F149" s="7">
        <f>MROUND(_xlfn.XLOOKUP(B149,'Base stats'!B:B,'Base stats'!BB:BB)^0.25 / (_xlfn.XLOOKUP(B149,'Base stats'!B:B,'Base stats'!BI:BI) * 10) * 150 + 0.5 + _xlfn.XLOOKUP(B149,'Base stats'!B:B,'Base stats'!BU:BU), 0.05)</f>
        <v>1.6500000000000001</v>
      </c>
      <c r="G149" s="3" t="str">
        <f>IF(Animals!S149="No","No",
IF(_xlfn.XLOOKUP(B149,'Base stats'!B:B,'Base stats'!U:U)="No",
MAX(MROUND(_xlfn.XLOOKUP(B149,'Base stats'!B:B,'Base stats'!BR:BR) * _xlfn.XLOOKUP(B149,'Base stats'!B:B,'Base stats'!BN:BN)^0.9 / 21 * _xlfn.XLOOKUP(B149,'Base stats'!B:B,'Base stats'!BV:BV),0.1),0.05),
MAX(MROUND(((MIN(10,_xlfn.XLOOKUP(B149,'Base stats'!B:B,'Base stats'!U:U)))^0.4*_xlfn.XLOOKUP(B149,'Base stats'!B:B,'Base stats'!BF:BF)^0.73)^0.6 * _xlfn.XLOOKUP(B149,'Base stats'!B:B,'Base stats'!BV:BV),0.1),0.05)
))</f>
        <v>No</v>
      </c>
      <c r="H149" s="11" t="str">
        <f>IF(G149="No","No",
MAX(0.01,MROUND(_xlfn.XLOOKUP(B149,'Base stats'!B:B,'Base stats'!BF:BF) * 0.01 * 2, 0.01))
)</f>
        <v>No</v>
      </c>
      <c r="I149" s="11" t="str">
        <f>IF(G149="No","No",IF(_xlfn.XLOOKUP(B149,'Base stats'!B:B,'Base stats'!U:U)="No","No",
MAX(0.01,MROUND(_xlfn.XLOOKUP(B149,'Base stats'!B:B,'Base stats'!BR:BR)/10000,0.01))
))</f>
        <v>No</v>
      </c>
      <c r="J149" s="4" t="str">
        <f>IF(G149="No","No",
MROUND(_xlfn.XLOOKUP(B149,'Base stats'!B:B,'Base stats'!BC:BC)^0.25
/((_xlfn.XLOOKUP(B149,'Base stats'!B:B,'Base stats'!BJ:BJ))*10)*_xlfn.XLOOKUP(_xlfn.XLOOKUP(B149,'Base stats'!B:B,'Base stats'!E:E),Groups!A:A,Groups!Q:Q)*150 + 0.5 + _xlfn.XLOOKUP(B149,'Base stats'!B:B,'Base stats'!BU:BU),
0.05))</f>
        <v>No</v>
      </c>
      <c r="K149" s="3" t="str">
        <f>IF(Animals!X149="No","No",
IF(_xlfn.XLOOKUP(_xlfn.XLOOKUP(B149,'Base stats'!B:B,'Base stats'!E:E),Groups!A:A,Groups!BD:BD)=1,
MAX(MROUND(_xlfn.XLOOKUP(B149,'Base stats'!B:B,'Base stats'!BS:BS) * _xlfn.XLOOKUP(B149,'Base stats'!B:B,'Base stats'!BO:BO)^0.9 / 21 *_xlfn.XLOOKUP(B149,'Base stats'!B:B,'Base stats'!BV:BV),0.1),0.05),
MAX(MROUND(((MIN(10,_xlfn.XLOOKUP(B149,'Base stats'!B:B,'Base stats'!W:W)))^0.4*_xlfn.XLOOKUP(B149,'Base stats'!B:B,'Base stats'!BG:BG)^0.73)^0.6 *_xlfn.XLOOKUP(B149,'Base stats'!B:B,'Base stats'!BV:BV),0.1),0.05)
))</f>
        <v>No</v>
      </c>
      <c r="L149" s="11" t="str">
        <f>IF(K149="No","No",
MAX(0.01,MROUND(_xlfn.XLOOKUP(B149,'Base stats'!B:B,'Base stats'!BG:BG) * 0.01 *2, 0.01))
)</f>
        <v>No</v>
      </c>
      <c r="M149" s="5" t="str">
        <f>IF(K149="No","No",IF(_xlfn.XLOOKUP(_xlfn.XLOOKUP(B149,'Base stats'!B:B,'Base stats'!E:E),Groups!A:A,Groups!BD:BD)=1,"No",
MAX(0.01,MROUND(_xlfn.XLOOKUP(B149,'Base stats'!B:B,'Base stats'!BS:BS)/10000,0.01))
))</f>
        <v>No</v>
      </c>
      <c r="N149" s="4" t="str">
        <f>IF(K149="No","No",
MROUND(
  _xlfn.XLOOKUP(B149,'Base stats'!B:B,'Base stats'!BA:BA)^0.25
  / (_xlfn.XLOOKUP(B149,'Base stats'!B:B,'Base stats'!BK:BK)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stats'!BU:BU),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stats'!BH:BH)^0.73)^0.6 *_xlfn.XLOOKUP(B149,'Base stats'!B:B,'Base stats'!BV:BV),0.1),0.05)
)</f>
        <v>8.7000000000000011</v>
      </c>
      <c r="P149" s="11">
        <f>IF(O149="No","No",
MAX(0.01,MROUND(_xlfn.XLOOKUP(B149,'Base stats'!B:B,'Base stats'!BH:BH) * 0.01 * 2, 0.01))
)</f>
        <v>1.75</v>
      </c>
      <c r="Q149" s="5">
        <f>IF(O149="No","No",
MAX(0.01,MROUND(_xlfn.XLOOKUP(B149,'Base stats'!B:B,'Base stats'!BT:BT)/10000,0.01))
)</f>
        <v>0.17</v>
      </c>
      <c r="R149" s="4">
        <f>IF(O149="No","No",
MROUND(_xlfn.XLOOKUP(B149,'Base stats'!B:B,'Base stats'!AZ:AZ)^0.25
/((_xlfn.XLOOKUP(B149,'Base stats'!B:B,'Base stats'!BL:BL))*10)*_xlfn.XLOOKUP(_xlfn.XLOOKUP(B149,'Base stats'!B:B,'Base stats'!E:E),Groups!A:A,Groups!Z:Z)*150 + 0.5 + _xlfn.XLOOKUP(B149,'Base stats'!B:B,'Base stats'!BU:BU),
0.05))</f>
        <v>2.0500000000000003</v>
      </c>
      <c r="S149" s="3" t="str">
        <f>IF(Animals!AI149="No","No",
IF(_xlfn.XLOOKUP(B149,'Base stats'!B:B,'Base stats'!U:U)="No",
MAX(MROUND(_xlfn.XLOOKUP(B149,'Base stats'!B:B,'Base stats'!BR:BR) * _xlfn.XLOOKUP(B149,'Base stats'!B:B,'Base stats'!BN:BN)^0.9 / 21 * _xlfn.XLOOKUP(B149,'Base stats'!B:B,'Base stats'!BV:BV),0.1),0.05),
MAX(MROUND(((MIN(12,_xlfn.XLOOKUP(B149,'Base stats'!B:B,'Base stats'!U:U)))^0.4*_xlfn.XLOOKUP(B149,'Base stats'!B:B,'Base stats'!BF:BF)^0.73)^0.6 * _xlfn.XLOOKUP(B149,'Base stats'!B:B,'Base stats'!BV:BV),0.1),0.05)
))</f>
        <v>No</v>
      </c>
      <c r="T149" s="11" t="str">
        <f>IF(S149="No","No",
MAX(0.01,MROUND(_xlfn.XLOOKUP(B149,'Base stats'!B:B,'Base stats'!BF:BF) * 0.01 * 2, 0.01))
)</f>
        <v>No</v>
      </c>
      <c r="U149" s="5" t="str">
        <f>IF(S149="No","No",IF(_xlfn.XLOOKUP(B149,'Base stats'!B:B,'Base stats'!U:U)="No","No",
MAX(0.01,MROUND(_xlfn.XLOOKUP(B149,'Base stats'!B:B,'Base stats'!BR:BR)/10000,0.01))
))</f>
        <v>No</v>
      </c>
      <c r="V149" s="4" t="str">
        <f>IF(S149="No","No",
MROUND(_xlfn.XLOOKUP(B149,'Base stats'!B:B,'Base stats'!BD:BD)^0.25
/((_xlfn.XLOOKUP(B149,'Base stats'!B:B,'Base stats'!BM:BM))*10)*_xlfn.XLOOKUP(_xlfn.XLOOKUP(B149,'Base stats'!B:B,'Base stats'!E:E),Groups!A:A,Groups!AE:AE)*150 + 0.5 + _xlfn.XLOOKUP(B149,'Base stats'!B:B,'Base stats'!BU:BU),
0.05))</f>
        <v>No</v>
      </c>
      <c r="W149" s="8">
        <f>MROUND(_xlfn.XLOOKUP(_xlfn.XLOOKUP(B149,'Base stats'!B:B,'Base stats'!E:E),Groups!A:A,Groups!BG:BG)*_xlfn.XLOOKUP(B149,'Base stats'!B:B,'Base stats'!C:C)^-0.165,0.01)</f>
        <v>0.6</v>
      </c>
      <c r="X149" s="1">
        <f>MROUND(_xlfn.XLOOKUP(_xlfn.XLOOKUP(B149,'Base stats'!B:B,'Base stats'!E:E),Groups!A:A,Groups!BH:BH)*_xlfn.XLOOKUP(B149,'Base stats'!B:B,'Base stats'!C:C)^0.165,0.01)</f>
        <v>0.33</v>
      </c>
      <c r="Y149" s="8">
        <f>MROUND(_xlfn.XLOOKUP(_xlfn.XLOOKUP(B149,'Base stats'!B:B,'Base stats'!E:E),Groups!A:A,Groups!BI:BI)*_xlfn.XLOOKUP(B149,'Base stats'!B:B,'Base stats'!C:C)^0.165,0.01)</f>
        <v>0.04</v>
      </c>
      <c r="Z149" s="18">
        <f>ROUND(_xlfn.XLOOKUP(B149,'Base stats'!B:B,'Base stats'!AO:AO)*_xlfn.XLOOKUP(_xlfn.XLOOKUP(B149,'Base stats'!B:B,'Base stats'!E:E),Groups!A:A,Groups!H:H)/1000,2)</f>
        <v>7.0000000000000007E-2</v>
      </c>
      <c r="AA149" s="18">
        <f>ROUND((1/2)*(_xlfn.XLOOKUP(_xlfn.XLOOKUP(B149,'Base stats'!B:B,'Base stats'!E:E),Groups!A:A,Groups!H:H)*_xlfn.XLOOKUP(_xlfn.XLOOKUP(B149,'Base stats'!B:B,'Base stats'!E:E),Groups!A:A,Groups!I:I))*_xlfn.XLOOKUP(B149,'Base stats'!B:B,'Base stats'!AO:AO)*0.01,2)</f>
        <v>0.5</v>
      </c>
      <c r="AB149" s="18">
        <f>250*(Animals!AO149+Animals!AP149)</f>
        <v>325.00000000000006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stats'!BQ:BQ) * (_xlfn.XLOOKUP(B150,'Base stats'!B:B,'Base stats'!AM:AM)*5%)^0.9 / 21,0.1),0.05)</f>
        <v>0.2</v>
      </c>
      <c r="E150" s="11">
        <f>MAX(0.01,MROUND(_xlfn.XLOOKUP(B150,'Base stats'!B:B,'Base stats'!BE:BE) * 0.01 * 2, 0.01))</f>
        <v>0.15</v>
      </c>
      <c r="F150" s="7">
        <f>MROUND(_xlfn.XLOOKUP(B150,'Base stats'!B:B,'Base stats'!BB:BB)^0.25 / (_xlfn.XLOOKUP(B150,'Base stats'!B:B,'Base stats'!BI:BI) * 10) * 150 + 0.5 + _xlfn.XLOOKUP(B150,'Base stats'!B:B,'Base stats'!BU:BU), 0.05)</f>
        <v>1.4000000000000001</v>
      </c>
      <c r="G150" s="3" t="str">
        <f>IF(Animals!S150="No","No",
IF(_xlfn.XLOOKUP(B150,'Base stats'!B:B,'Base stats'!U:U)="No",
MAX(MROUND(_xlfn.XLOOKUP(B150,'Base stats'!B:B,'Base stats'!BR:BR) * _xlfn.XLOOKUP(B150,'Base stats'!B:B,'Base stats'!BN:BN)^0.9 / 21 * _xlfn.XLOOKUP(B150,'Base stats'!B:B,'Base stats'!BV:BV),0.1),0.05),
MAX(MROUND(((MIN(10,_xlfn.XLOOKUP(B150,'Base stats'!B:B,'Base stats'!U:U)))^0.4*_xlfn.XLOOKUP(B150,'Base stats'!B:B,'Base stats'!BF:BF)^0.73)^0.6 * _xlfn.XLOOKUP(B150,'Base stats'!B:B,'Base stats'!BV:BV),0.1),0.05)
))</f>
        <v>No</v>
      </c>
      <c r="H150" s="11" t="str">
        <f>IF(G150="No","No",
MAX(0.01,MROUND(_xlfn.XLOOKUP(B150,'Base stats'!B:B,'Base stats'!BF:BF) * 0.01 * 2, 0.01))
)</f>
        <v>No</v>
      </c>
      <c r="I150" s="11" t="str">
        <f>IF(G150="No","No",IF(_xlfn.XLOOKUP(B150,'Base stats'!B:B,'Base stats'!U:U)="No","No",
MAX(0.01,MROUND(_xlfn.XLOOKUP(B150,'Base stats'!B:B,'Base stats'!BR:BR)/10000,0.01))
))</f>
        <v>No</v>
      </c>
      <c r="J150" s="4" t="str">
        <f>IF(G150="No","No",
MROUND(_xlfn.XLOOKUP(B150,'Base stats'!B:B,'Base stats'!BC:BC)^0.25
/((_xlfn.XLOOKUP(B150,'Base stats'!B:B,'Base stats'!BJ:BJ))*10)*_xlfn.XLOOKUP(_xlfn.XLOOKUP(B150,'Base stats'!B:B,'Base stats'!E:E),Groups!A:A,Groups!Q:Q)*150 + 0.5 + _xlfn.XLOOKUP(B150,'Base stats'!B:B,'Base stats'!BU:BU),
0.05))</f>
        <v>No</v>
      </c>
      <c r="K150" s="3" t="str">
        <f>IF(Animals!X150="No","No",
IF(_xlfn.XLOOKUP(_xlfn.XLOOKUP(B150,'Base stats'!B:B,'Base stats'!E:E),Groups!A:A,Groups!BD:BD)=1,
MAX(MROUND(_xlfn.XLOOKUP(B150,'Base stats'!B:B,'Base stats'!BS:BS) * _xlfn.XLOOKUP(B150,'Base stats'!B:B,'Base stats'!BO:BO)^0.9 / 21 *_xlfn.XLOOKUP(B150,'Base stats'!B:B,'Base stats'!BV:BV),0.1),0.05),
MAX(MROUND(((MIN(10,_xlfn.XLOOKUP(B150,'Base stats'!B:B,'Base stats'!W:W)))^0.4*_xlfn.XLOOKUP(B150,'Base stats'!B:B,'Base stats'!BG:BG)^0.73)^0.6 *_xlfn.XLOOKUP(B150,'Base stats'!B:B,'Base stats'!BV:BV),0.1),0.05)
))</f>
        <v>No</v>
      </c>
      <c r="L150" s="11" t="str">
        <f>IF(K150="No","No",
MAX(0.01,MROUND(_xlfn.XLOOKUP(B150,'Base stats'!B:B,'Base stats'!BG:BG) * 0.01 *2, 0.01))
)</f>
        <v>No</v>
      </c>
      <c r="M150" s="5" t="str">
        <f>IF(K150="No","No",IF(_xlfn.XLOOKUP(_xlfn.XLOOKUP(B150,'Base stats'!B:B,'Base stats'!E:E),Groups!A:A,Groups!BD:BD)=1,"No",
MAX(0.01,MROUND(_xlfn.XLOOKUP(B150,'Base stats'!B:B,'Base stats'!BS:BS)/10000,0.01))
))</f>
        <v>No</v>
      </c>
      <c r="N150" s="4" t="str">
        <f>IF(K150="No","No",
MROUND(
  _xlfn.XLOOKUP(B150,'Base stats'!B:B,'Base stats'!BA:BA)^0.25
  / (_xlfn.XLOOKUP(B150,'Base stats'!B:B,'Base stats'!BK:BK)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stats'!BU:BU),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stats'!BH:BH)^0.73)^0.6 *_xlfn.XLOOKUP(B150,'Base stats'!B:B,'Base stats'!BV:BV),0.1),0.05)
)</f>
        <v>4</v>
      </c>
      <c r="P150" s="11">
        <f>IF(O150="No","No",
MAX(0.01,MROUND(_xlfn.XLOOKUP(B150,'Base stats'!B:B,'Base stats'!BH:BH) * 0.01 * 2, 0.01))
)</f>
        <v>0.41000000000000003</v>
      </c>
      <c r="Q150" s="5">
        <f>IF(O150="No","No",
MAX(0.01,MROUND(_xlfn.XLOOKUP(B150,'Base stats'!B:B,'Base stats'!BT:BT)/10000,0.01))
)</f>
        <v>0.08</v>
      </c>
      <c r="R150" s="4">
        <f>IF(O150="No","No",
MROUND(_xlfn.XLOOKUP(B150,'Base stats'!B:B,'Base stats'!AZ:AZ)^0.25
/((_xlfn.XLOOKUP(B150,'Base stats'!B:B,'Base stats'!BL:BL))*10)*_xlfn.XLOOKUP(_xlfn.XLOOKUP(B150,'Base stats'!B:B,'Base stats'!E:E),Groups!A:A,Groups!Z:Z)*150 + 0.5 + _xlfn.XLOOKUP(B150,'Base stats'!B:B,'Base stats'!BU:BU),
0.05))</f>
        <v>1.6500000000000001</v>
      </c>
      <c r="S150" s="3">
        <f>IF(Animals!AI150="No","No",
IF(_xlfn.XLOOKUP(B150,'Base stats'!B:B,'Base stats'!U:U)="No",
MAX(MROUND(_xlfn.XLOOKUP(B150,'Base stats'!B:B,'Base stats'!BR:BR) * _xlfn.XLOOKUP(B150,'Base stats'!B:B,'Base stats'!BN:BN)^0.9 / 21 * _xlfn.XLOOKUP(B150,'Base stats'!B:B,'Base stats'!BV:BV),0.1),0.05),
MAX(MROUND(((MIN(12,_xlfn.XLOOKUP(B150,'Base stats'!B:B,'Base stats'!U:U)))^0.4*_xlfn.XLOOKUP(B150,'Base stats'!B:B,'Base stats'!BF:BF)^0.73)^0.6 * _xlfn.XLOOKUP(B150,'Base stats'!B:B,'Base stats'!BV:BV),0.1),0.05)
))</f>
        <v>3.1</v>
      </c>
      <c r="T150" s="11">
        <f>IF(S150="No","No",
MAX(0.01,MROUND(_xlfn.XLOOKUP(B150,'Base stats'!B:B,'Base stats'!BF:BF) * 0.01 * 2, 0.01))
)</f>
        <v>0.23</v>
      </c>
      <c r="U150" s="5">
        <f>IF(S150="No","No",IF(_xlfn.XLOOKUP(B150,'Base stats'!B:B,'Base stats'!U:U)="No","No",
MAX(0.01,MROUND(_xlfn.XLOOKUP(B150,'Base stats'!B:B,'Base stats'!BR:BR)/10000,0.01))
))</f>
        <v>0.04</v>
      </c>
      <c r="V150" s="4">
        <f>IF(S150="No","No",
MROUND(_xlfn.XLOOKUP(B150,'Base stats'!B:B,'Base stats'!BD:BD)^0.25
/((_xlfn.XLOOKUP(B150,'Base stats'!B:B,'Base stats'!BM:BM))*10)*_xlfn.XLOOKUP(_xlfn.XLOOKUP(B150,'Base stats'!B:B,'Base stats'!E:E),Groups!A:A,Groups!AE:AE)*150 + 0.5 + _xlfn.XLOOKUP(B150,'Base stats'!B:B,'Base stats'!BU:BU),
0.05))</f>
        <v>1.1000000000000001</v>
      </c>
      <c r="W150" s="8">
        <f>MROUND(_xlfn.XLOOKUP(_xlfn.XLOOKUP(B150,'Base stats'!B:B,'Base stats'!E:E),Groups!A:A,Groups!BG:BG)*_xlfn.XLOOKUP(B150,'Base stats'!B:B,'Base stats'!C:C)^-0.165,0.01)</f>
        <v>0.98</v>
      </c>
      <c r="X150" s="1">
        <f>MROUND(_xlfn.XLOOKUP(_xlfn.XLOOKUP(B150,'Base stats'!B:B,'Base stats'!E:E),Groups!A:A,Groups!BH:BH)*_xlfn.XLOOKUP(B150,'Base stats'!B:B,'Base stats'!C:C)^0.165,0.01)</f>
        <v>0.32</v>
      </c>
      <c r="Y150" s="8">
        <f>MROUND(_xlfn.XLOOKUP(_xlfn.XLOOKUP(B150,'Base stats'!B:B,'Base stats'!E:E),Groups!A:A,Groups!BI:BI)*_xlfn.XLOOKUP(B150,'Base stats'!B:B,'Base stats'!C:C)^0.165,0.01)</f>
        <v>0.03</v>
      </c>
      <c r="Z150" s="18">
        <f>ROUND(_xlfn.XLOOKUP(B150,'Base stats'!B:B,'Base stats'!AO:AO)*_xlfn.XLOOKUP(_xlfn.XLOOKUP(B150,'Base stats'!B:B,'Base stats'!E:E),Groups!A:A,Groups!H:H)/1000,2)</f>
        <v>0.04</v>
      </c>
      <c r="AA150" s="18">
        <f>ROUND((1/2)*(_xlfn.XLOOKUP(_xlfn.XLOOKUP(B150,'Base stats'!B:B,'Base stats'!E:E),Groups!A:A,Groups!H:H)*_xlfn.XLOOKUP(_xlfn.XLOOKUP(B150,'Base stats'!B:B,'Base stats'!E:E),Groups!A:A,Groups!I:I))*_xlfn.XLOOKUP(B150,'Base stats'!B:B,'Base stats'!AO:AO)*0.01,2)</f>
        <v>0.28000000000000003</v>
      </c>
      <c r="AB150" s="18">
        <f>250*(Animals!AO150+Animals!AP150)</f>
        <v>162.50000000000003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stats'!BQ:BQ) * (_xlfn.XLOOKUP(B151,'Base stats'!B:B,'Base stats'!AM:AM)*5%)^0.9 / 21,0.1),0.05)</f>
        <v>0.30000000000000004</v>
      </c>
      <c r="E151" s="11">
        <f>MAX(0.01,MROUND(_xlfn.XLOOKUP(B151,'Base stats'!B:B,'Base stats'!BE:BE) * 0.01 * 2, 0.01))</f>
        <v>0.19</v>
      </c>
      <c r="F151" s="7">
        <f>MROUND(_xlfn.XLOOKUP(B151,'Base stats'!B:B,'Base stats'!BB:BB)^0.25 / (_xlfn.XLOOKUP(B151,'Base stats'!B:B,'Base stats'!BI:BI) * 10) * 150 + 0.5 + _xlfn.XLOOKUP(B151,'Base stats'!B:B,'Base stats'!BU:BU), 0.05)</f>
        <v>1.4500000000000002</v>
      </c>
      <c r="G151" s="3" t="str">
        <f>IF(Animals!S151="No","No",
IF(_xlfn.XLOOKUP(B151,'Base stats'!B:B,'Base stats'!U:U)="No",
MAX(MROUND(_xlfn.XLOOKUP(B151,'Base stats'!B:B,'Base stats'!BR:BR) * _xlfn.XLOOKUP(B151,'Base stats'!B:B,'Base stats'!BN:BN)^0.9 / 21 * _xlfn.XLOOKUP(B151,'Base stats'!B:B,'Base stats'!BV:BV),0.1),0.05),
MAX(MROUND(((MIN(10,_xlfn.XLOOKUP(B151,'Base stats'!B:B,'Base stats'!U:U)))^0.4*_xlfn.XLOOKUP(B151,'Base stats'!B:B,'Base stats'!BF:BF)^0.73)^0.6 * _xlfn.XLOOKUP(B151,'Base stats'!B:B,'Base stats'!BV:BV),0.1),0.05)
))</f>
        <v>No</v>
      </c>
      <c r="H151" s="11" t="str">
        <f>IF(G151="No","No",
MAX(0.01,MROUND(_xlfn.XLOOKUP(B151,'Base stats'!B:B,'Base stats'!BF:BF) * 0.01 * 2, 0.01))
)</f>
        <v>No</v>
      </c>
      <c r="I151" s="11" t="str">
        <f>IF(G151="No","No",IF(_xlfn.XLOOKUP(B151,'Base stats'!B:B,'Base stats'!U:U)="No","No",
MAX(0.01,MROUND(_xlfn.XLOOKUP(B151,'Base stats'!B:B,'Base stats'!BR:BR)/10000,0.01))
))</f>
        <v>No</v>
      </c>
      <c r="J151" s="4" t="str">
        <f>IF(G151="No","No",
MROUND(_xlfn.XLOOKUP(B151,'Base stats'!B:B,'Base stats'!BC:BC)^0.25
/((_xlfn.XLOOKUP(B151,'Base stats'!B:B,'Base stats'!BJ:BJ))*10)*_xlfn.XLOOKUP(_xlfn.XLOOKUP(B151,'Base stats'!B:B,'Base stats'!E:E),Groups!A:A,Groups!Q:Q)*150 + 0.5 + _xlfn.XLOOKUP(B151,'Base stats'!B:B,'Base stats'!BU:BU),
0.05))</f>
        <v>No</v>
      </c>
      <c r="K151" s="3" t="str">
        <f>IF(Animals!X151="No","No",
IF(_xlfn.XLOOKUP(_xlfn.XLOOKUP(B151,'Base stats'!B:B,'Base stats'!E:E),Groups!A:A,Groups!BD:BD)=1,
MAX(MROUND(_xlfn.XLOOKUP(B151,'Base stats'!B:B,'Base stats'!BS:BS) * _xlfn.XLOOKUP(B151,'Base stats'!B:B,'Base stats'!BO:BO)^0.9 / 21 *_xlfn.XLOOKUP(B151,'Base stats'!B:B,'Base stats'!BV:BV),0.1),0.05),
MAX(MROUND(((MIN(10,_xlfn.XLOOKUP(B151,'Base stats'!B:B,'Base stats'!W:W)))^0.4*_xlfn.XLOOKUP(B151,'Base stats'!B:B,'Base stats'!BG:BG)^0.73)^0.6 *_xlfn.XLOOKUP(B151,'Base stats'!B:B,'Base stats'!BV:BV),0.1),0.05)
))</f>
        <v>No</v>
      </c>
      <c r="L151" s="11" t="str">
        <f>IF(K151="No","No",
MAX(0.01,MROUND(_xlfn.XLOOKUP(B151,'Base stats'!B:B,'Base stats'!BG:BG) * 0.01 *2, 0.01))
)</f>
        <v>No</v>
      </c>
      <c r="M151" s="5" t="str">
        <f>IF(K151="No","No",IF(_xlfn.XLOOKUP(_xlfn.XLOOKUP(B151,'Base stats'!B:B,'Base stats'!E:E),Groups!A:A,Groups!BD:BD)=1,"No",
MAX(0.01,MROUND(_xlfn.XLOOKUP(B151,'Base stats'!B:B,'Base stats'!BS:BS)/10000,0.01))
))</f>
        <v>No</v>
      </c>
      <c r="N151" s="4" t="str">
        <f>IF(K151="No","No",
MROUND(
  _xlfn.XLOOKUP(B151,'Base stats'!B:B,'Base stats'!BA:BA)^0.25
  / (_xlfn.XLOOKUP(B151,'Base stats'!B:B,'Base stats'!BK:BK)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stats'!BU:BU),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stats'!BH:BH)^0.73)^0.6 *_xlfn.XLOOKUP(B151,'Base stats'!B:B,'Base stats'!BV:BV),0.1),0.05)
)</f>
        <v>4.3</v>
      </c>
      <c r="P151" s="11">
        <f>IF(O151="No","No",
MAX(0.01,MROUND(_xlfn.XLOOKUP(B151,'Base stats'!B:B,'Base stats'!BH:BH) * 0.01 * 2, 0.01))
)</f>
        <v>0.49</v>
      </c>
      <c r="Q151" s="5">
        <f>IF(O151="No","No",
MAX(0.01,MROUND(_xlfn.XLOOKUP(B151,'Base stats'!B:B,'Base stats'!BT:BT)/10000,0.01))
)</f>
        <v>0.08</v>
      </c>
      <c r="R151" s="4">
        <f>IF(O151="No","No",
MROUND(_xlfn.XLOOKUP(B151,'Base stats'!B:B,'Base stats'!AZ:AZ)^0.25
/((_xlfn.XLOOKUP(B151,'Base stats'!B:B,'Base stats'!BL:BL))*10)*_xlfn.XLOOKUP(_xlfn.XLOOKUP(B151,'Base stats'!B:B,'Base stats'!E:E),Groups!A:A,Groups!Z:Z)*150 + 0.5 + _xlfn.XLOOKUP(B151,'Base stats'!B:B,'Base stats'!BU:BU),
0.05))</f>
        <v>1.7000000000000002</v>
      </c>
      <c r="S151" s="3">
        <f>IF(Animals!AI151="No","No",
IF(_xlfn.XLOOKUP(B151,'Base stats'!B:B,'Base stats'!U:U)="No",
MAX(MROUND(_xlfn.XLOOKUP(B151,'Base stats'!B:B,'Base stats'!BR:BR) * _xlfn.XLOOKUP(B151,'Base stats'!B:B,'Base stats'!BN:BN)^0.9 / 21 * _xlfn.XLOOKUP(B151,'Base stats'!B:B,'Base stats'!BV:BV),0.1),0.05),
MAX(MROUND(((MIN(12,_xlfn.XLOOKUP(B151,'Base stats'!B:B,'Base stats'!U:U)))^0.4*_xlfn.XLOOKUP(B151,'Base stats'!B:B,'Base stats'!BF:BF)^0.73)^0.6 * _xlfn.XLOOKUP(B151,'Base stats'!B:B,'Base stats'!BV:BV),0.1),0.05)
))</f>
        <v>3.3000000000000003</v>
      </c>
      <c r="T151" s="11">
        <f>IF(S151="No","No",
MAX(0.01,MROUND(_xlfn.XLOOKUP(B151,'Base stats'!B:B,'Base stats'!BF:BF) * 0.01 * 2, 0.01))
)</f>
        <v>0.27</v>
      </c>
      <c r="U151" s="5">
        <f>IF(S151="No","No",IF(_xlfn.XLOOKUP(B151,'Base stats'!B:B,'Base stats'!U:U)="No","No",
MAX(0.01,MROUND(_xlfn.XLOOKUP(B151,'Base stats'!B:B,'Base stats'!BR:BR)/10000,0.01))
))</f>
        <v>0.05</v>
      </c>
      <c r="V151" s="4">
        <f>IF(S151="No","No",
MROUND(_xlfn.XLOOKUP(B151,'Base stats'!B:B,'Base stats'!BD:BD)^0.25
/((_xlfn.XLOOKUP(B151,'Base stats'!B:B,'Base stats'!BM:BM))*10)*_xlfn.XLOOKUP(_xlfn.XLOOKUP(B151,'Base stats'!B:B,'Base stats'!E:E),Groups!A:A,Groups!AE:AE)*150 + 0.5 + _xlfn.XLOOKUP(B151,'Base stats'!B:B,'Base stats'!BU:BU),
0.05))</f>
        <v>1.1000000000000001</v>
      </c>
      <c r="W151" s="8">
        <f>MROUND(_xlfn.XLOOKUP(_xlfn.XLOOKUP(B151,'Base stats'!B:B,'Base stats'!E:E),Groups!A:A,Groups!BG:BG)*_xlfn.XLOOKUP(B151,'Base stats'!B:B,'Base stats'!C:C)^-0.165,0.01)</f>
        <v>0.94000000000000006</v>
      </c>
      <c r="X151" s="1">
        <f>MROUND(_xlfn.XLOOKUP(_xlfn.XLOOKUP(B151,'Base stats'!B:B,'Base stats'!E:E),Groups!A:A,Groups!BH:BH)*_xlfn.XLOOKUP(B151,'Base stats'!B:B,'Base stats'!C:C)^0.165,0.01)</f>
        <v>0.33</v>
      </c>
      <c r="Y151" s="8">
        <f>MROUND(_xlfn.XLOOKUP(_xlfn.XLOOKUP(B151,'Base stats'!B:B,'Base stats'!E:E),Groups!A:A,Groups!BI:BI)*_xlfn.XLOOKUP(B151,'Base stats'!B:B,'Base stats'!C:C)^0.165,0.01)</f>
        <v>0.03</v>
      </c>
      <c r="Z151" s="18">
        <f>ROUND(_xlfn.XLOOKUP(B151,'Base stats'!B:B,'Base stats'!AO:AO)*_xlfn.XLOOKUP(_xlfn.XLOOKUP(B151,'Base stats'!B:B,'Base stats'!E:E),Groups!A:A,Groups!H:H)/1000,2)</f>
        <v>0.04</v>
      </c>
      <c r="AA151" s="18">
        <f>ROUND((1/2)*(_xlfn.XLOOKUP(_xlfn.XLOOKUP(B151,'Base stats'!B:B,'Base stats'!E:E),Groups!A:A,Groups!H:H)*_xlfn.XLOOKUP(_xlfn.XLOOKUP(B151,'Base stats'!B:B,'Base stats'!E:E),Groups!A:A,Groups!I:I))*_xlfn.XLOOKUP(B151,'Base stats'!B:B,'Base stats'!AO:AO)*0.01,2)</f>
        <v>0.3</v>
      </c>
      <c r="AB151" s="18">
        <f>250*(Animals!AO151+Animals!AP151)</f>
        <v>162.50000000000003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stats'!BQ:BQ) * (_xlfn.XLOOKUP(B152,'Base stats'!B:B,'Base stats'!AM:AM)*5%)^0.9 / 21,0.1),0.05)</f>
        <v>0.2</v>
      </c>
      <c r="E152" s="11">
        <f>MAX(0.01,MROUND(_xlfn.XLOOKUP(B152,'Base stats'!B:B,'Base stats'!BE:BE) * 0.01 * 2, 0.01))</f>
        <v>0.17</v>
      </c>
      <c r="F152" s="7">
        <f>MROUND(_xlfn.XLOOKUP(B152,'Base stats'!B:B,'Base stats'!BB:BB)^0.25 / (_xlfn.XLOOKUP(B152,'Base stats'!B:B,'Base stats'!BI:BI) * 10) * 150 + 0.5 + _xlfn.XLOOKUP(B152,'Base stats'!B:B,'Base stats'!BU:BU), 0.05)</f>
        <v>1.4500000000000002</v>
      </c>
      <c r="G152" s="3" t="str">
        <f>IF(Animals!S152="No","No",
IF(_xlfn.XLOOKUP(B152,'Base stats'!B:B,'Base stats'!U:U)="No",
MAX(MROUND(_xlfn.XLOOKUP(B152,'Base stats'!B:B,'Base stats'!BR:BR) * _xlfn.XLOOKUP(B152,'Base stats'!B:B,'Base stats'!BN:BN)^0.9 / 21 * _xlfn.XLOOKUP(B152,'Base stats'!B:B,'Base stats'!BV:BV),0.1),0.05),
MAX(MROUND(((MIN(10,_xlfn.XLOOKUP(B152,'Base stats'!B:B,'Base stats'!U:U)))^0.4*_xlfn.XLOOKUP(B152,'Base stats'!B:B,'Base stats'!BF:BF)^0.73)^0.6 * _xlfn.XLOOKUP(B152,'Base stats'!B:B,'Base stats'!BV:BV),0.1),0.05)
))</f>
        <v>No</v>
      </c>
      <c r="H152" s="11" t="str">
        <f>IF(G152="No","No",
MAX(0.01,MROUND(_xlfn.XLOOKUP(B152,'Base stats'!B:B,'Base stats'!BF:BF) * 0.01 * 2, 0.01))
)</f>
        <v>No</v>
      </c>
      <c r="I152" s="11" t="str">
        <f>IF(G152="No","No",IF(_xlfn.XLOOKUP(B152,'Base stats'!B:B,'Base stats'!U:U)="No","No",
MAX(0.01,MROUND(_xlfn.XLOOKUP(B152,'Base stats'!B:B,'Base stats'!BR:BR)/10000,0.01))
))</f>
        <v>No</v>
      </c>
      <c r="J152" s="4" t="str">
        <f>IF(G152="No","No",
MROUND(_xlfn.XLOOKUP(B152,'Base stats'!B:B,'Base stats'!BC:BC)^0.25
/((_xlfn.XLOOKUP(B152,'Base stats'!B:B,'Base stats'!BJ:BJ))*10)*_xlfn.XLOOKUP(_xlfn.XLOOKUP(B152,'Base stats'!B:B,'Base stats'!E:E),Groups!A:A,Groups!Q:Q)*150 + 0.5 + _xlfn.XLOOKUP(B152,'Base stats'!B:B,'Base stats'!BU:BU),
0.05))</f>
        <v>No</v>
      </c>
      <c r="K152" s="3" t="str">
        <f>IF(Animals!X152="No","No",
IF(_xlfn.XLOOKUP(_xlfn.XLOOKUP(B152,'Base stats'!B:B,'Base stats'!E:E),Groups!A:A,Groups!BD:BD)=1,
MAX(MROUND(_xlfn.XLOOKUP(B152,'Base stats'!B:B,'Base stats'!BS:BS) * _xlfn.XLOOKUP(B152,'Base stats'!B:B,'Base stats'!BO:BO)^0.9 / 21 *_xlfn.XLOOKUP(B152,'Base stats'!B:B,'Base stats'!BV:BV),0.1),0.05),
MAX(MROUND(((MIN(10,_xlfn.XLOOKUP(B152,'Base stats'!B:B,'Base stats'!W:W)))^0.4*_xlfn.XLOOKUP(B152,'Base stats'!B:B,'Base stats'!BG:BG)^0.73)^0.6 *_xlfn.XLOOKUP(B152,'Base stats'!B:B,'Base stats'!BV:BV),0.1),0.05)
))</f>
        <v>No</v>
      </c>
      <c r="L152" s="11" t="str">
        <f>IF(K152="No","No",
MAX(0.01,MROUND(_xlfn.XLOOKUP(B152,'Base stats'!B:B,'Base stats'!BG:BG) * 0.01 *2, 0.01))
)</f>
        <v>No</v>
      </c>
      <c r="M152" s="5" t="str">
        <f>IF(K152="No","No",IF(_xlfn.XLOOKUP(_xlfn.XLOOKUP(B152,'Base stats'!B:B,'Base stats'!E:E),Groups!A:A,Groups!BD:BD)=1,"No",
MAX(0.01,MROUND(_xlfn.XLOOKUP(B152,'Base stats'!B:B,'Base stats'!BS:BS)/10000,0.01))
))</f>
        <v>No</v>
      </c>
      <c r="N152" s="4" t="str">
        <f>IF(K152="No","No",
MROUND(
  _xlfn.XLOOKUP(B152,'Base stats'!B:B,'Base stats'!BA:BA)^0.25
  / (_xlfn.XLOOKUP(B152,'Base stats'!B:B,'Base stats'!BK:BK)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stats'!BU:BU),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stats'!BH:BH)^0.73)^0.6 *_xlfn.XLOOKUP(B152,'Base stats'!B:B,'Base stats'!BV:BV),0.1),0.05)
)</f>
        <v>4.2</v>
      </c>
      <c r="P152" s="11">
        <f>IF(O152="No","No",
MAX(0.01,MROUND(_xlfn.XLOOKUP(B152,'Base stats'!B:B,'Base stats'!BH:BH) * 0.01 * 2, 0.01))
)</f>
        <v>0.45</v>
      </c>
      <c r="Q152" s="5">
        <f>IF(O152="No","No",
MAX(0.01,MROUND(_xlfn.XLOOKUP(B152,'Base stats'!B:B,'Base stats'!BT:BT)/10000,0.01))
)</f>
        <v>0.08</v>
      </c>
      <c r="R152" s="4">
        <f>IF(O152="No","No",
MROUND(_xlfn.XLOOKUP(B152,'Base stats'!B:B,'Base stats'!AZ:AZ)^0.25
/((_xlfn.XLOOKUP(B152,'Base stats'!B:B,'Base stats'!BL:BL))*10)*_xlfn.XLOOKUP(_xlfn.XLOOKUP(B152,'Base stats'!B:B,'Base stats'!E:E),Groups!A:A,Groups!Z:Z)*150 + 0.5 + _xlfn.XLOOKUP(B152,'Base stats'!B:B,'Base stats'!BU:BU),
0.05))</f>
        <v>1.7000000000000002</v>
      </c>
      <c r="S152" s="3">
        <f>IF(Animals!AI152="No","No",
IF(_xlfn.XLOOKUP(B152,'Base stats'!B:B,'Base stats'!U:U)="No",
MAX(MROUND(_xlfn.XLOOKUP(B152,'Base stats'!B:B,'Base stats'!BR:BR) * _xlfn.XLOOKUP(B152,'Base stats'!B:B,'Base stats'!BN:BN)^0.9 / 21 * _xlfn.XLOOKUP(B152,'Base stats'!B:B,'Base stats'!BV:BV),0.1),0.05),
MAX(MROUND(((MIN(12,_xlfn.XLOOKUP(B152,'Base stats'!B:B,'Base stats'!U:U)))^0.4*_xlfn.XLOOKUP(B152,'Base stats'!B:B,'Base stats'!BF:BF)^0.73)^0.6 * _xlfn.XLOOKUP(B152,'Base stats'!B:B,'Base stats'!BV:BV),0.1),0.05)
))</f>
        <v>3.2</v>
      </c>
      <c r="T152" s="11">
        <f>IF(S152="No","No",
MAX(0.01,MROUND(_xlfn.XLOOKUP(B152,'Base stats'!B:B,'Base stats'!BF:BF) * 0.01 * 2, 0.01))
)</f>
        <v>0.25</v>
      </c>
      <c r="U152" s="5">
        <f>IF(S152="No","No",IF(_xlfn.XLOOKUP(B152,'Base stats'!B:B,'Base stats'!U:U)="No","No",
MAX(0.01,MROUND(_xlfn.XLOOKUP(B152,'Base stats'!B:B,'Base stats'!BR:BR)/10000,0.01))
))</f>
        <v>0.04</v>
      </c>
      <c r="V152" s="4">
        <f>IF(S152="No","No",
MROUND(_xlfn.XLOOKUP(B152,'Base stats'!B:B,'Base stats'!BD:BD)^0.25
/((_xlfn.XLOOKUP(B152,'Base stats'!B:B,'Base stats'!BM:BM))*10)*_xlfn.XLOOKUP(_xlfn.XLOOKUP(B152,'Base stats'!B:B,'Base stats'!E:E),Groups!A:A,Groups!AE:AE)*150 + 0.5 + _xlfn.XLOOKUP(B152,'Base stats'!B:B,'Base stats'!BU:BU),
0.05))</f>
        <v>1.1000000000000001</v>
      </c>
      <c r="W152" s="8">
        <f>MROUND(_xlfn.XLOOKUP(_xlfn.XLOOKUP(B152,'Base stats'!B:B,'Base stats'!E:E),Groups!A:A,Groups!BG:BG)*_xlfn.XLOOKUP(B152,'Base stats'!B:B,'Base stats'!C:C)^-0.165,0.01)</f>
        <v>0.96</v>
      </c>
      <c r="X152" s="1">
        <f>MROUND(_xlfn.XLOOKUP(_xlfn.XLOOKUP(B152,'Base stats'!B:B,'Base stats'!E:E),Groups!A:A,Groups!BH:BH)*_xlfn.XLOOKUP(B152,'Base stats'!B:B,'Base stats'!C:C)^0.165,0.01)</f>
        <v>0.33</v>
      </c>
      <c r="Y152" s="8">
        <f>MROUND(_xlfn.XLOOKUP(_xlfn.XLOOKUP(B152,'Base stats'!B:B,'Base stats'!E:E),Groups!A:A,Groups!BI:BI)*_xlfn.XLOOKUP(B152,'Base stats'!B:B,'Base stats'!C:C)^0.165,0.01)</f>
        <v>0.03</v>
      </c>
      <c r="Z152" s="18">
        <f>ROUND(_xlfn.XLOOKUP(B152,'Base stats'!B:B,'Base stats'!AO:AO)*_xlfn.XLOOKUP(_xlfn.XLOOKUP(B152,'Base stats'!B:B,'Base stats'!E:E),Groups!A:A,Groups!H:H)/1000,2)</f>
        <v>0.04</v>
      </c>
      <c r="AA152" s="18">
        <f>ROUND((1/2)*(_xlfn.XLOOKUP(_xlfn.XLOOKUP(B152,'Base stats'!B:B,'Base stats'!E:E),Groups!A:A,Groups!H:H)*_xlfn.XLOOKUP(_xlfn.XLOOKUP(B152,'Base stats'!B:B,'Base stats'!E:E),Groups!A:A,Groups!I:I))*_xlfn.XLOOKUP(B152,'Base stats'!B:B,'Base stats'!AO:AO)*0.01,2)</f>
        <v>0.28999999999999998</v>
      </c>
      <c r="AB152" s="18">
        <f>250*(Animals!AO152+Animals!AP152)</f>
        <v>162.50000000000003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stats'!BQ:BQ) * (_xlfn.XLOOKUP(B153,'Base stats'!B:B,'Base stats'!AM:AM)*5%)^0.9 / 21,0.1),0.05)</f>
        <v>0.30000000000000004</v>
      </c>
      <c r="E153" s="11">
        <f>MAX(0.01,MROUND(_xlfn.XLOOKUP(B153,'Base stats'!B:B,'Base stats'!BE:BE) * 0.01 * 2, 0.01))</f>
        <v>0.25</v>
      </c>
      <c r="F153" s="7">
        <f>MROUND(_xlfn.XLOOKUP(B153,'Base stats'!B:B,'Base stats'!BB:BB)^0.25 / (_xlfn.XLOOKUP(B153,'Base stats'!B:B,'Base stats'!BI:BI) * 10) * 150 + 0.5 + _xlfn.XLOOKUP(B153,'Base stats'!B:B,'Base stats'!BU:BU), 0.05)</f>
        <v>1.5</v>
      </c>
      <c r="G153" s="3" t="str">
        <f>IF(Animals!S153="No","No",
IF(_xlfn.XLOOKUP(B153,'Base stats'!B:B,'Base stats'!U:U)="No",
MAX(MROUND(_xlfn.XLOOKUP(B153,'Base stats'!B:B,'Base stats'!BR:BR) * _xlfn.XLOOKUP(B153,'Base stats'!B:B,'Base stats'!BN:BN)^0.9 / 21 * _xlfn.XLOOKUP(B153,'Base stats'!B:B,'Base stats'!BV:BV),0.1),0.05),
MAX(MROUND(((MIN(10,_xlfn.XLOOKUP(B153,'Base stats'!B:B,'Base stats'!U:U)))^0.4*_xlfn.XLOOKUP(B153,'Base stats'!B:B,'Base stats'!BF:BF)^0.73)^0.6 * _xlfn.XLOOKUP(B153,'Base stats'!B:B,'Base stats'!BV:BV),0.1),0.05)
))</f>
        <v>No</v>
      </c>
      <c r="H153" s="11" t="str">
        <f>IF(G153="No","No",
MAX(0.01,MROUND(_xlfn.XLOOKUP(B153,'Base stats'!B:B,'Base stats'!BF:BF) * 0.01 * 2, 0.01))
)</f>
        <v>No</v>
      </c>
      <c r="I153" s="11" t="str">
        <f>IF(G153="No","No",IF(_xlfn.XLOOKUP(B153,'Base stats'!B:B,'Base stats'!U:U)="No","No",
MAX(0.01,MROUND(_xlfn.XLOOKUP(B153,'Base stats'!B:B,'Base stats'!BR:BR)/10000,0.01))
))</f>
        <v>No</v>
      </c>
      <c r="J153" s="4" t="str">
        <f>IF(G153="No","No",
MROUND(_xlfn.XLOOKUP(B153,'Base stats'!B:B,'Base stats'!BC:BC)^0.25
/((_xlfn.XLOOKUP(B153,'Base stats'!B:B,'Base stats'!BJ:BJ))*10)*_xlfn.XLOOKUP(_xlfn.XLOOKUP(B153,'Base stats'!B:B,'Base stats'!E:E),Groups!A:A,Groups!Q:Q)*150 + 0.5 + _xlfn.XLOOKUP(B153,'Base stats'!B:B,'Base stats'!BU:BU),
0.05))</f>
        <v>No</v>
      </c>
      <c r="K153" s="3" t="str">
        <f>IF(Animals!X153="No","No",
IF(_xlfn.XLOOKUP(_xlfn.XLOOKUP(B153,'Base stats'!B:B,'Base stats'!E:E),Groups!A:A,Groups!BD:BD)=1,
MAX(MROUND(_xlfn.XLOOKUP(B153,'Base stats'!B:B,'Base stats'!BS:BS) * _xlfn.XLOOKUP(B153,'Base stats'!B:B,'Base stats'!BO:BO)^0.9 / 21 *_xlfn.XLOOKUP(B153,'Base stats'!B:B,'Base stats'!BV:BV),0.1),0.05),
MAX(MROUND(((MIN(10,_xlfn.XLOOKUP(B153,'Base stats'!B:B,'Base stats'!W:W)))^0.4*_xlfn.XLOOKUP(B153,'Base stats'!B:B,'Base stats'!BG:BG)^0.73)^0.6 *_xlfn.XLOOKUP(B153,'Base stats'!B:B,'Base stats'!BV:BV),0.1),0.05)
))</f>
        <v>No</v>
      </c>
      <c r="L153" s="11" t="str">
        <f>IF(K153="No","No",
MAX(0.01,MROUND(_xlfn.XLOOKUP(B153,'Base stats'!B:B,'Base stats'!BG:BG) * 0.01 *2, 0.01))
)</f>
        <v>No</v>
      </c>
      <c r="M153" s="5" t="str">
        <f>IF(K153="No","No",IF(_xlfn.XLOOKUP(_xlfn.XLOOKUP(B153,'Base stats'!B:B,'Base stats'!E:E),Groups!A:A,Groups!BD:BD)=1,"No",
MAX(0.01,MROUND(_xlfn.XLOOKUP(B153,'Base stats'!B:B,'Base stats'!BS:BS)/10000,0.01))
))</f>
        <v>No</v>
      </c>
      <c r="N153" s="4" t="str">
        <f>IF(K153="No","No",
MROUND(
  _xlfn.XLOOKUP(B153,'Base stats'!B:B,'Base stats'!BA:BA)^0.25
  / (_xlfn.XLOOKUP(B153,'Base stats'!B:B,'Base stats'!BK:BK)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stats'!BU:BU),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stats'!BH:BH)^0.73)^0.6 *_xlfn.XLOOKUP(B153,'Base stats'!B:B,'Base stats'!BV:BV),0.1),0.05)
)</f>
        <v>5</v>
      </c>
      <c r="P153" s="11">
        <f>IF(O153="No","No",
MAX(0.01,MROUND(_xlfn.XLOOKUP(B153,'Base stats'!B:B,'Base stats'!BH:BH) * 0.01 * 2, 0.01))
)</f>
        <v>0.64</v>
      </c>
      <c r="Q153" s="5">
        <f>IF(O153="No","No",
MAX(0.01,MROUND(_xlfn.XLOOKUP(B153,'Base stats'!B:B,'Base stats'!BT:BT)/10000,0.01))
)</f>
        <v>0.1</v>
      </c>
      <c r="R153" s="4">
        <f>IF(O153="No","No",
MROUND(_xlfn.XLOOKUP(B153,'Base stats'!B:B,'Base stats'!AZ:AZ)^0.25
/((_xlfn.XLOOKUP(B153,'Base stats'!B:B,'Base stats'!BL:BL))*10)*_xlfn.XLOOKUP(_xlfn.XLOOKUP(B153,'Base stats'!B:B,'Base stats'!E:E),Groups!A:A,Groups!Z:Z)*150 + 0.5 + _xlfn.XLOOKUP(B153,'Base stats'!B:B,'Base stats'!BU:BU),
0.05))</f>
        <v>1.75</v>
      </c>
      <c r="S153" s="3">
        <f>IF(Animals!AI153="No","No",
IF(_xlfn.XLOOKUP(B153,'Base stats'!B:B,'Base stats'!U:U)="No",
MAX(MROUND(_xlfn.XLOOKUP(B153,'Base stats'!B:B,'Base stats'!BR:BR) * _xlfn.XLOOKUP(B153,'Base stats'!B:B,'Base stats'!BN:BN)^0.9 / 21 * _xlfn.XLOOKUP(B153,'Base stats'!B:B,'Base stats'!BV:BV),0.1),0.05),
MAX(MROUND(((MIN(12,_xlfn.XLOOKUP(B153,'Base stats'!B:B,'Base stats'!U:U)))^0.4*_xlfn.XLOOKUP(B153,'Base stats'!B:B,'Base stats'!BF:BF)^0.73)^0.6 * _xlfn.XLOOKUP(B153,'Base stats'!B:B,'Base stats'!BV:BV),0.1),0.05)
))</f>
        <v>3.9000000000000004</v>
      </c>
      <c r="T153" s="11">
        <f>IF(S153="No","No",
MAX(0.01,MROUND(_xlfn.XLOOKUP(B153,'Base stats'!B:B,'Base stats'!BF:BF) * 0.01 * 2, 0.01))
)</f>
        <v>0.36</v>
      </c>
      <c r="U153" s="5">
        <f>IF(S153="No","No",IF(_xlfn.XLOOKUP(B153,'Base stats'!B:B,'Base stats'!U:U)="No","No",
MAX(0.01,MROUND(_xlfn.XLOOKUP(B153,'Base stats'!B:B,'Base stats'!BR:BR)/10000,0.01))
))</f>
        <v>0.05</v>
      </c>
      <c r="V153" s="4">
        <f>IF(S153="No","No",
MROUND(_xlfn.XLOOKUP(B153,'Base stats'!B:B,'Base stats'!BD:BD)^0.25
/((_xlfn.XLOOKUP(B153,'Base stats'!B:B,'Base stats'!BM:BM))*10)*_xlfn.XLOOKUP(_xlfn.XLOOKUP(B153,'Base stats'!B:B,'Base stats'!E:E),Groups!A:A,Groups!AE:AE)*150 + 0.5 + _xlfn.XLOOKUP(B153,'Base stats'!B:B,'Base stats'!BU:BU),
0.05))</f>
        <v>1.1500000000000001</v>
      </c>
      <c r="W153" s="8">
        <f>MROUND(_xlfn.XLOOKUP(_xlfn.XLOOKUP(B153,'Base stats'!B:B,'Base stats'!E:E),Groups!A:A,Groups!BG:BG)*_xlfn.XLOOKUP(B153,'Base stats'!B:B,'Base stats'!C:C)^-0.165,0.01)</f>
        <v>0.89</v>
      </c>
      <c r="X153" s="1">
        <f>MROUND(_xlfn.XLOOKUP(_xlfn.XLOOKUP(B153,'Base stats'!B:B,'Base stats'!E:E),Groups!A:A,Groups!BH:BH)*_xlfn.XLOOKUP(B153,'Base stats'!B:B,'Base stats'!C:C)^0.165,0.01)</f>
        <v>0.35000000000000003</v>
      </c>
      <c r="Y153" s="8">
        <f>MROUND(_xlfn.XLOOKUP(_xlfn.XLOOKUP(B153,'Base stats'!B:B,'Base stats'!E:E),Groups!A:A,Groups!BI:BI)*_xlfn.XLOOKUP(B153,'Base stats'!B:B,'Base stats'!C:C)^0.165,0.01)</f>
        <v>0.03</v>
      </c>
      <c r="Z153" s="18">
        <f>ROUND(_xlfn.XLOOKUP(B153,'Base stats'!B:B,'Base stats'!AO:AO)*_xlfn.XLOOKUP(_xlfn.XLOOKUP(B153,'Base stats'!B:B,'Base stats'!E:E),Groups!A:A,Groups!H:H)/1000,2)</f>
        <v>0.05</v>
      </c>
      <c r="AA153" s="18">
        <f>ROUND((1/2)*(_xlfn.XLOOKUP(_xlfn.XLOOKUP(B153,'Base stats'!B:B,'Base stats'!E:E),Groups!A:A,Groups!H:H)*_xlfn.XLOOKUP(_xlfn.XLOOKUP(B153,'Base stats'!B:B,'Base stats'!E:E),Groups!A:A,Groups!I:I))*_xlfn.XLOOKUP(B153,'Base stats'!B:B,'Base stats'!AO:AO)*0.01,2)</f>
        <v>0.34</v>
      </c>
      <c r="AB153" s="18">
        <f>250*(Animals!AO153+Animals!AP153)</f>
        <v>187.5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stats'!BQ:BQ) * (_xlfn.XLOOKUP(B154,'Base stats'!B:B,'Base stats'!AM:AM)*5%)^0.9 / 21,0.1),0.05)</f>
        <v>0.2</v>
      </c>
      <c r="E154" s="11">
        <f>MAX(0.01,MROUND(_xlfn.XLOOKUP(B154,'Base stats'!B:B,'Base stats'!BE:BE) * 0.01 * 2, 0.01))</f>
        <v>0.12</v>
      </c>
      <c r="F154" s="7">
        <f>MROUND(_xlfn.XLOOKUP(B154,'Base stats'!B:B,'Base stats'!BB:BB)^0.25 / (_xlfn.XLOOKUP(B154,'Base stats'!B:B,'Base stats'!BI:BI) * 10) * 150 + 0.5 + _xlfn.XLOOKUP(B154,'Base stats'!B:B,'Base stats'!BU:BU), 0.05)</f>
        <v>1.35</v>
      </c>
      <c r="G154" s="3" t="str">
        <f>IF(Animals!S154="No","No",
IF(_xlfn.XLOOKUP(B154,'Base stats'!B:B,'Base stats'!U:U)="No",
MAX(MROUND(_xlfn.XLOOKUP(B154,'Base stats'!B:B,'Base stats'!BR:BR) * _xlfn.XLOOKUP(B154,'Base stats'!B:B,'Base stats'!BN:BN)^0.9 / 21 * _xlfn.XLOOKUP(B154,'Base stats'!B:B,'Base stats'!BV:BV),0.1),0.05),
MAX(MROUND(((MIN(10,_xlfn.XLOOKUP(B154,'Base stats'!B:B,'Base stats'!U:U)))^0.4*_xlfn.XLOOKUP(B154,'Base stats'!B:B,'Base stats'!BF:BF)^0.73)^0.6 * _xlfn.XLOOKUP(B154,'Base stats'!B:B,'Base stats'!BV:BV),0.1),0.05)
))</f>
        <v>No</v>
      </c>
      <c r="H154" s="11" t="str">
        <f>IF(G154="No","No",
MAX(0.01,MROUND(_xlfn.XLOOKUP(B154,'Base stats'!B:B,'Base stats'!BF:BF) * 0.01 * 2, 0.01))
)</f>
        <v>No</v>
      </c>
      <c r="I154" s="11" t="str">
        <f>IF(G154="No","No",IF(_xlfn.XLOOKUP(B154,'Base stats'!B:B,'Base stats'!U:U)="No","No",
MAX(0.01,MROUND(_xlfn.XLOOKUP(B154,'Base stats'!B:B,'Base stats'!BR:BR)/10000,0.01))
))</f>
        <v>No</v>
      </c>
      <c r="J154" s="4" t="str">
        <f>IF(G154="No","No",
MROUND(_xlfn.XLOOKUP(B154,'Base stats'!B:B,'Base stats'!BC:BC)^0.25
/((_xlfn.XLOOKUP(B154,'Base stats'!B:B,'Base stats'!BJ:BJ))*10)*_xlfn.XLOOKUP(_xlfn.XLOOKUP(B154,'Base stats'!B:B,'Base stats'!E:E),Groups!A:A,Groups!Q:Q)*150 + 0.5 + _xlfn.XLOOKUP(B154,'Base stats'!B:B,'Base stats'!BU:BU),
0.05))</f>
        <v>No</v>
      </c>
      <c r="K154" s="3" t="str">
        <f>IF(Animals!X154="No","No",
IF(_xlfn.XLOOKUP(_xlfn.XLOOKUP(B154,'Base stats'!B:B,'Base stats'!E:E),Groups!A:A,Groups!BD:BD)=1,
MAX(MROUND(_xlfn.XLOOKUP(B154,'Base stats'!B:B,'Base stats'!BS:BS) * _xlfn.XLOOKUP(B154,'Base stats'!B:B,'Base stats'!BO:BO)^0.9 / 21 *_xlfn.XLOOKUP(B154,'Base stats'!B:B,'Base stats'!BV:BV),0.1),0.05),
MAX(MROUND(((MIN(10,_xlfn.XLOOKUP(B154,'Base stats'!B:B,'Base stats'!W:W)))^0.4*_xlfn.XLOOKUP(B154,'Base stats'!B:B,'Base stats'!BG:BG)^0.73)^0.6 *_xlfn.XLOOKUP(B154,'Base stats'!B:B,'Base stats'!BV:BV),0.1),0.05)
))</f>
        <v>No</v>
      </c>
      <c r="L154" s="11" t="str">
        <f>IF(K154="No","No",
MAX(0.01,MROUND(_xlfn.XLOOKUP(B154,'Base stats'!B:B,'Base stats'!BG:BG) * 0.01 *2, 0.01))
)</f>
        <v>No</v>
      </c>
      <c r="M154" s="5" t="str">
        <f>IF(K154="No","No",IF(_xlfn.XLOOKUP(_xlfn.XLOOKUP(B154,'Base stats'!B:B,'Base stats'!E:E),Groups!A:A,Groups!BD:BD)=1,"No",
MAX(0.01,MROUND(_xlfn.XLOOKUP(B154,'Base stats'!B:B,'Base stats'!BS:BS)/10000,0.01))
))</f>
        <v>No</v>
      </c>
      <c r="N154" s="4" t="str">
        <f>IF(K154="No","No",
MROUND(
  _xlfn.XLOOKUP(B154,'Base stats'!B:B,'Base stats'!BA:BA)^0.25
  / (_xlfn.XLOOKUP(B154,'Base stats'!B:B,'Base stats'!BK:BK)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stats'!BU:BU),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stats'!BH:BH)^0.73)^0.6 *_xlfn.XLOOKUP(B154,'Base stats'!B:B,'Base stats'!BV:BV),0.1),0.05)
)</f>
        <v>3.5</v>
      </c>
      <c r="P154" s="11">
        <f>IF(O154="No","No",
MAX(0.01,MROUND(_xlfn.XLOOKUP(B154,'Base stats'!B:B,'Base stats'!BH:BH) * 0.01 * 2, 0.01))
)</f>
        <v>0.33</v>
      </c>
      <c r="Q154" s="5">
        <f>IF(O154="No","No",
MAX(0.01,MROUND(_xlfn.XLOOKUP(B154,'Base stats'!B:B,'Base stats'!BT:BT)/10000,0.01))
)</f>
        <v>7.0000000000000007E-2</v>
      </c>
      <c r="R154" s="4">
        <f>IF(O154="No","No",
MROUND(_xlfn.XLOOKUP(B154,'Base stats'!B:B,'Base stats'!AZ:AZ)^0.25
/((_xlfn.XLOOKUP(B154,'Base stats'!B:B,'Base stats'!BL:BL))*10)*_xlfn.XLOOKUP(_xlfn.XLOOKUP(B154,'Base stats'!B:B,'Base stats'!E:E),Groups!A:A,Groups!Z:Z)*150 + 0.5 + _xlfn.XLOOKUP(B154,'Base stats'!B:B,'Base stats'!BU:BU),
0.05))</f>
        <v>1.6</v>
      </c>
      <c r="S154" s="3">
        <f>IF(Animals!AI154="No","No",
IF(_xlfn.XLOOKUP(B154,'Base stats'!B:B,'Base stats'!U:U)="No",
MAX(MROUND(_xlfn.XLOOKUP(B154,'Base stats'!B:B,'Base stats'!BR:BR) * _xlfn.XLOOKUP(B154,'Base stats'!B:B,'Base stats'!BN:BN)^0.9 / 21 * _xlfn.XLOOKUP(B154,'Base stats'!B:B,'Base stats'!BV:BV),0.1),0.05),
MAX(MROUND(((MIN(12,_xlfn.XLOOKUP(B154,'Base stats'!B:B,'Base stats'!U:U)))^0.4*_xlfn.XLOOKUP(B154,'Base stats'!B:B,'Base stats'!BF:BF)^0.73)^0.6 * _xlfn.XLOOKUP(B154,'Base stats'!B:B,'Base stats'!BV:BV),0.1),0.05)
))</f>
        <v>2.7</v>
      </c>
      <c r="T154" s="11">
        <f>IF(S154="No","No",
MAX(0.01,MROUND(_xlfn.XLOOKUP(B154,'Base stats'!B:B,'Base stats'!BF:BF) * 0.01 * 2, 0.01))
)</f>
        <v>0.18</v>
      </c>
      <c r="U154" s="5">
        <f>IF(S154="No","No",IF(_xlfn.XLOOKUP(B154,'Base stats'!B:B,'Base stats'!U:U)="No","No",
MAX(0.01,MROUND(_xlfn.XLOOKUP(B154,'Base stats'!B:B,'Base stats'!BR:BR)/10000,0.01))
))</f>
        <v>0.04</v>
      </c>
      <c r="V154" s="4">
        <f>IF(S154="No","No",
MROUND(_xlfn.XLOOKUP(B154,'Base stats'!B:B,'Base stats'!BD:BD)^0.25
/((_xlfn.XLOOKUP(B154,'Base stats'!B:B,'Base stats'!BM:BM))*10)*_xlfn.XLOOKUP(_xlfn.XLOOKUP(B154,'Base stats'!B:B,'Base stats'!E:E),Groups!A:A,Groups!AE:AE)*150 + 0.5 + _xlfn.XLOOKUP(B154,'Base stats'!B:B,'Base stats'!BU:BU),
0.05))</f>
        <v>1.1000000000000001</v>
      </c>
      <c r="W154" s="8">
        <f>MROUND(_xlfn.XLOOKUP(_xlfn.XLOOKUP(B154,'Base stats'!B:B,'Base stats'!E:E),Groups!A:A,Groups!BG:BG)*_xlfn.XLOOKUP(B154,'Base stats'!B:B,'Base stats'!C:C)^-0.165,0.01)</f>
        <v>1.02</v>
      </c>
      <c r="X154" s="1">
        <f>MROUND(_xlfn.XLOOKUP(_xlfn.XLOOKUP(B154,'Base stats'!B:B,'Base stats'!E:E),Groups!A:A,Groups!BH:BH)*_xlfn.XLOOKUP(B154,'Base stats'!B:B,'Base stats'!C:C)^0.165,0.01)</f>
        <v>0.31</v>
      </c>
      <c r="Y154" s="8">
        <f>MROUND(_xlfn.XLOOKUP(_xlfn.XLOOKUP(B154,'Base stats'!B:B,'Base stats'!E:E),Groups!A:A,Groups!BI:BI)*_xlfn.XLOOKUP(B154,'Base stats'!B:B,'Base stats'!C:C)^0.165,0.01)</f>
        <v>0.03</v>
      </c>
      <c r="Z154" s="18">
        <f>ROUND(_xlfn.XLOOKUP(B154,'Base stats'!B:B,'Base stats'!AO:AO)*_xlfn.XLOOKUP(_xlfn.XLOOKUP(B154,'Base stats'!B:B,'Base stats'!E:E),Groups!A:A,Groups!H:H)/1000,2)</f>
        <v>0.03</v>
      </c>
      <c r="AA154" s="18">
        <f>ROUND((1/2)*(_xlfn.XLOOKUP(_xlfn.XLOOKUP(B154,'Base stats'!B:B,'Base stats'!E:E),Groups!A:A,Groups!H:H)*_xlfn.XLOOKUP(_xlfn.XLOOKUP(B154,'Base stats'!B:B,'Base stats'!E:E),Groups!A:A,Groups!I:I))*_xlfn.XLOOKUP(B154,'Base stats'!B:B,'Base stats'!AO:AO)*0.01,2)</f>
        <v>0.26</v>
      </c>
      <c r="AB154" s="18">
        <f>250*(Animals!AO154+Animals!AP154)</f>
        <v>137.5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stats'!BQ:BQ) * (_xlfn.XLOOKUP(B155,'Base stats'!B:B,'Base stats'!AM:AM)*5%)^0.9 / 21,0.1),0.05)</f>
        <v>0.30000000000000004</v>
      </c>
      <c r="E155" s="11">
        <f>MAX(0.01,MROUND(_xlfn.XLOOKUP(B155,'Base stats'!B:B,'Base stats'!BE:BE) * 0.01 * 2, 0.01))</f>
        <v>0.21</v>
      </c>
      <c r="F155" s="7">
        <f>MROUND(_xlfn.XLOOKUP(B155,'Base stats'!B:B,'Base stats'!BB:BB)^0.25 / (_xlfn.XLOOKUP(B155,'Base stats'!B:B,'Base stats'!BI:BI) * 10) * 150 + 0.5 + _xlfn.XLOOKUP(B155,'Base stats'!B:B,'Base stats'!BU:BU), 0.05)</f>
        <v>1.5</v>
      </c>
      <c r="G155" s="3" t="str">
        <f>IF(Animals!S155="No","No",
IF(_xlfn.XLOOKUP(B155,'Base stats'!B:B,'Base stats'!U:U)="No",
MAX(MROUND(_xlfn.XLOOKUP(B155,'Base stats'!B:B,'Base stats'!BR:BR) * _xlfn.XLOOKUP(B155,'Base stats'!B:B,'Base stats'!BN:BN)^0.9 / 21 * _xlfn.XLOOKUP(B155,'Base stats'!B:B,'Base stats'!BV:BV),0.1),0.05),
MAX(MROUND(((MIN(10,_xlfn.XLOOKUP(B155,'Base stats'!B:B,'Base stats'!U:U)))^0.4*_xlfn.XLOOKUP(B155,'Base stats'!B:B,'Base stats'!BF:BF)^0.73)^0.6 * _xlfn.XLOOKUP(B155,'Base stats'!B:B,'Base stats'!BV:BV),0.1),0.05)
))</f>
        <v>No</v>
      </c>
      <c r="H155" s="11" t="str">
        <f>IF(G155="No","No",
MAX(0.01,MROUND(_xlfn.XLOOKUP(B155,'Base stats'!B:B,'Base stats'!BF:BF) * 0.01 * 2, 0.01))
)</f>
        <v>No</v>
      </c>
      <c r="I155" s="11" t="str">
        <f>IF(G155="No","No",IF(_xlfn.XLOOKUP(B155,'Base stats'!B:B,'Base stats'!U:U)="No","No",
MAX(0.01,MROUND(_xlfn.XLOOKUP(B155,'Base stats'!B:B,'Base stats'!BR:BR)/10000,0.01))
))</f>
        <v>No</v>
      </c>
      <c r="J155" s="4" t="str">
        <f>IF(G155="No","No",
MROUND(_xlfn.XLOOKUP(B155,'Base stats'!B:B,'Base stats'!BC:BC)^0.25
/((_xlfn.XLOOKUP(B155,'Base stats'!B:B,'Base stats'!BJ:BJ))*10)*_xlfn.XLOOKUP(_xlfn.XLOOKUP(B155,'Base stats'!B:B,'Base stats'!E:E),Groups!A:A,Groups!Q:Q)*150 + 0.5 + _xlfn.XLOOKUP(B155,'Base stats'!B:B,'Base stats'!BU:BU),
0.05))</f>
        <v>No</v>
      </c>
      <c r="K155" s="3" t="str">
        <f>IF(Animals!X155="No","No",
IF(_xlfn.XLOOKUP(_xlfn.XLOOKUP(B155,'Base stats'!B:B,'Base stats'!E:E),Groups!A:A,Groups!BD:BD)=1,
MAX(MROUND(_xlfn.XLOOKUP(B155,'Base stats'!B:B,'Base stats'!BS:BS) * _xlfn.XLOOKUP(B155,'Base stats'!B:B,'Base stats'!BO:BO)^0.9 / 21 *_xlfn.XLOOKUP(B155,'Base stats'!B:B,'Base stats'!BV:BV),0.1),0.05),
MAX(MROUND(((MIN(10,_xlfn.XLOOKUP(B155,'Base stats'!B:B,'Base stats'!W:W)))^0.4*_xlfn.XLOOKUP(B155,'Base stats'!B:B,'Base stats'!BG:BG)^0.73)^0.6 *_xlfn.XLOOKUP(B155,'Base stats'!B:B,'Base stats'!BV:BV),0.1),0.05)
))</f>
        <v>No</v>
      </c>
      <c r="L155" s="11" t="str">
        <f>IF(K155="No","No",
MAX(0.01,MROUND(_xlfn.XLOOKUP(B155,'Base stats'!B:B,'Base stats'!BG:BG) * 0.01 *2, 0.01))
)</f>
        <v>No</v>
      </c>
      <c r="M155" s="5" t="str">
        <f>IF(K155="No","No",IF(_xlfn.XLOOKUP(_xlfn.XLOOKUP(B155,'Base stats'!B:B,'Base stats'!E:E),Groups!A:A,Groups!BD:BD)=1,"No",
MAX(0.01,MROUND(_xlfn.XLOOKUP(B155,'Base stats'!B:B,'Base stats'!BS:BS)/10000,0.01))
))</f>
        <v>No</v>
      </c>
      <c r="N155" s="4" t="str">
        <f>IF(K155="No","No",
MROUND(
  _xlfn.XLOOKUP(B155,'Base stats'!B:B,'Base stats'!BA:BA)^0.25
  / (_xlfn.XLOOKUP(B155,'Base stats'!B:B,'Base stats'!BK:BK)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stats'!BU:BU),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stats'!BH:BH)^0.73)^0.6 *_xlfn.XLOOKUP(B155,'Base stats'!B:B,'Base stats'!BV:BV),0.1),0.05)
)</f>
        <v>4.6000000000000005</v>
      </c>
      <c r="P155" s="11">
        <f>IF(O155="No","No",
MAX(0.01,MROUND(_xlfn.XLOOKUP(B155,'Base stats'!B:B,'Base stats'!BH:BH) * 0.01 * 2, 0.01))
)</f>
        <v>0.55000000000000004</v>
      </c>
      <c r="Q155" s="5">
        <f>IF(O155="No","No",
MAX(0.01,MROUND(_xlfn.XLOOKUP(B155,'Base stats'!B:B,'Base stats'!BT:BT)/10000,0.01))
)</f>
        <v>0.09</v>
      </c>
      <c r="R155" s="4">
        <f>IF(O155="No","No",
MROUND(_xlfn.XLOOKUP(B155,'Base stats'!B:B,'Base stats'!AZ:AZ)^0.25
/((_xlfn.XLOOKUP(B155,'Base stats'!B:B,'Base stats'!BL:BL))*10)*_xlfn.XLOOKUP(_xlfn.XLOOKUP(B155,'Base stats'!B:B,'Base stats'!E:E),Groups!A:A,Groups!Z:Z)*150 + 0.5 + _xlfn.XLOOKUP(B155,'Base stats'!B:B,'Base stats'!BU:BU),
0.05))</f>
        <v>1.7000000000000002</v>
      </c>
      <c r="S155" s="3">
        <f>IF(Animals!AI155="No","No",
IF(_xlfn.XLOOKUP(B155,'Base stats'!B:B,'Base stats'!U:U)="No",
MAX(MROUND(_xlfn.XLOOKUP(B155,'Base stats'!B:B,'Base stats'!BR:BR) * _xlfn.XLOOKUP(B155,'Base stats'!B:B,'Base stats'!BN:BN)^0.9 / 21 * _xlfn.XLOOKUP(B155,'Base stats'!B:B,'Base stats'!BV:BV),0.1),0.05),
MAX(MROUND(((MIN(12,_xlfn.XLOOKUP(B155,'Base stats'!B:B,'Base stats'!U:U)))^0.4*_xlfn.XLOOKUP(B155,'Base stats'!B:B,'Base stats'!BF:BF)^0.73)^0.6 * _xlfn.XLOOKUP(B155,'Base stats'!B:B,'Base stats'!BV:BV),0.1),0.05)
))</f>
        <v>3.6</v>
      </c>
      <c r="T155" s="11">
        <f>IF(S155="No","No",
MAX(0.01,MROUND(_xlfn.XLOOKUP(B155,'Base stats'!B:B,'Base stats'!BF:BF) * 0.01 * 2, 0.01))
)</f>
        <v>0.31</v>
      </c>
      <c r="U155" s="5">
        <f>IF(S155="No","No",IF(_xlfn.XLOOKUP(B155,'Base stats'!B:B,'Base stats'!U:U)="No","No",
MAX(0.01,MROUND(_xlfn.XLOOKUP(B155,'Base stats'!B:B,'Base stats'!BR:BR)/10000,0.01))
))</f>
        <v>0.05</v>
      </c>
      <c r="V155" s="4">
        <f>IF(S155="No","No",
MROUND(_xlfn.XLOOKUP(B155,'Base stats'!B:B,'Base stats'!BD:BD)^0.25
/((_xlfn.XLOOKUP(B155,'Base stats'!B:B,'Base stats'!BM:BM))*10)*_xlfn.XLOOKUP(_xlfn.XLOOKUP(B155,'Base stats'!B:B,'Base stats'!E:E),Groups!A:A,Groups!AE:AE)*150 + 0.5 + _xlfn.XLOOKUP(B155,'Base stats'!B:B,'Base stats'!BU:BU),
0.05))</f>
        <v>1.1000000000000001</v>
      </c>
      <c r="W155" s="8">
        <f>MROUND(_xlfn.XLOOKUP(_xlfn.XLOOKUP(B155,'Base stats'!B:B,'Base stats'!E:E),Groups!A:A,Groups!BG:BG)*_xlfn.XLOOKUP(B155,'Base stats'!B:B,'Base stats'!C:C)^-0.165,0.01)</f>
        <v>0.92</v>
      </c>
      <c r="X155" s="1">
        <f>MROUND(_xlfn.XLOOKUP(_xlfn.XLOOKUP(B155,'Base stats'!B:B,'Base stats'!E:E),Groups!A:A,Groups!BH:BH)*_xlfn.XLOOKUP(B155,'Base stats'!B:B,'Base stats'!C:C)^0.165,0.01)</f>
        <v>0.34</v>
      </c>
      <c r="Y155" s="8">
        <f>MROUND(_xlfn.XLOOKUP(_xlfn.XLOOKUP(B155,'Base stats'!B:B,'Base stats'!E:E),Groups!A:A,Groups!BI:BI)*_xlfn.XLOOKUP(B155,'Base stats'!B:B,'Base stats'!C:C)^0.165,0.01)</f>
        <v>0.03</v>
      </c>
      <c r="Z155" s="18">
        <f>ROUND(_xlfn.XLOOKUP(B155,'Base stats'!B:B,'Base stats'!AO:AO)*_xlfn.XLOOKUP(_xlfn.XLOOKUP(B155,'Base stats'!B:B,'Base stats'!E:E),Groups!A:A,Groups!H:H)/1000,2)</f>
        <v>0.04</v>
      </c>
      <c r="AA155" s="18">
        <f>ROUND((1/2)*(_xlfn.XLOOKUP(_xlfn.XLOOKUP(B155,'Base stats'!B:B,'Base stats'!E:E),Groups!A:A,Groups!H:H)*_xlfn.XLOOKUP(_xlfn.XLOOKUP(B155,'Base stats'!B:B,'Base stats'!E:E),Groups!A:A,Groups!I:I))*_xlfn.XLOOKUP(B155,'Base stats'!B:B,'Base stats'!AO:AO)*0.01,2)</f>
        <v>0.32</v>
      </c>
      <c r="AB155" s="18">
        <f>250*(Animals!AO155+Animals!AP155)</f>
        <v>187.5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stats'!BQ:BQ) * (_xlfn.XLOOKUP(B156,'Base stats'!B:B,'Base stats'!AM:AM)*5%)^0.9 / 21,0.1),0.05)</f>
        <v>0.2</v>
      </c>
      <c r="E156" s="11">
        <f>MAX(0.01,MROUND(_xlfn.XLOOKUP(B156,'Base stats'!B:B,'Base stats'!BE:BE) * 0.01 * 2, 0.01))</f>
        <v>0.12</v>
      </c>
      <c r="F156" s="7">
        <f>MROUND(_xlfn.XLOOKUP(B156,'Base stats'!B:B,'Base stats'!BB:BB)^0.25 / (_xlfn.XLOOKUP(B156,'Base stats'!B:B,'Base stats'!BI:BI) * 10) * 150 + 0.5 + _xlfn.XLOOKUP(B156,'Base stats'!B:B,'Base stats'!BU:BU), 0.05)</f>
        <v>1.35</v>
      </c>
      <c r="G156" s="3" t="str">
        <f>IF(Animals!S156="No","No",
IF(_xlfn.XLOOKUP(B156,'Base stats'!B:B,'Base stats'!U:U)="No",
MAX(MROUND(_xlfn.XLOOKUP(B156,'Base stats'!B:B,'Base stats'!BR:BR) * _xlfn.XLOOKUP(B156,'Base stats'!B:B,'Base stats'!BN:BN)^0.9 / 21 * _xlfn.XLOOKUP(B156,'Base stats'!B:B,'Base stats'!BV:BV),0.1),0.05),
MAX(MROUND(((MIN(10,_xlfn.XLOOKUP(B156,'Base stats'!B:B,'Base stats'!U:U)))^0.4*_xlfn.XLOOKUP(B156,'Base stats'!B:B,'Base stats'!BF:BF)^0.73)^0.6 * _xlfn.XLOOKUP(B156,'Base stats'!B:B,'Base stats'!BV:BV),0.1),0.05)
))</f>
        <v>No</v>
      </c>
      <c r="H156" s="11" t="str">
        <f>IF(G156="No","No",
MAX(0.01,MROUND(_xlfn.XLOOKUP(B156,'Base stats'!B:B,'Base stats'!BF:BF) * 0.01 * 2, 0.01))
)</f>
        <v>No</v>
      </c>
      <c r="I156" s="11" t="str">
        <f>IF(G156="No","No",IF(_xlfn.XLOOKUP(B156,'Base stats'!B:B,'Base stats'!U:U)="No","No",
MAX(0.01,MROUND(_xlfn.XLOOKUP(B156,'Base stats'!B:B,'Base stats'!BR:BR)/10000,0.01))
))</f>
        <v>No</v>
      </c>
      <c r="J156" s="4" t="str">
        <f>IF(G156="No","No",
MROUND(_xlfn.XLOOKUP(B156,'Base stats'!B:B,'Base stats'!BC:BC)^0.25
/((_xlfn.XLOOKUP(B156,'Base stats'!B:B,'Base stats'!BJ:BJ))*10)*_xlfn.XLOOKUP(_xlfn.XLOOKUP(B156,'Base stats'!B:B,'Base stats'!E:E),Groups!A:A,Groups!Q:Q)*150 + 0.5 + _xlfn.XLOOKUP(B156,'Base stats'!B:B,'Base stats'!BU:BU),
0.05))</f>
        <v>No</v>
      </c>
      <c r="K156" s="3" t="str">
        <f>IF(Animals!X156="No","No",
IF(_xlfn.XLOOKUP(_xlfn.XLOOKUP(B156,'Base stats'!B:B,'Base stats'!E:E),Groups!A:A,Groups!BD:BD)=1,
MAX(MROUND(_xlfn.XLOOKUP(B156,'Base stats'!B:B,'Base stats'!BS:BS) * _xlfn.XLOOKUP(B156,'Base stats'!B:B,'Base stats'!BO:BO)^0.9 / 21 *_xlfn.XLOOKUP(B156,'Base stats'!B:B,'Base stats'!BV:BV),0.1),0.05),
MAX(MROUND(((MIN(10,_xlfn.XLOOKUP(B156,'Base stats'!B:B,'Base stats'!W:W)))^0.4*_xlfn.XLOOKUP(B156,'Base stats'!B:B,'Base stats'!BG:BG)^0.73)^0.6 *_xlfn.XLOOKUP(B156,'Base stats'!B:B,'Base stats'!BV:BV),0.1),0.05)
))</f>
        <v>No</v>
      </c>
      <c r="L156" s="11" t="str">
        <f>IF(K156="No","No",
MAX(0.01,MROUND(_xlfn.XLOOKUP(B156,'Base stats'!B:B,'Base stats'!BG:BG) * 0.01 *2, 0.01))
)</f>
        <v>No</v>
      </c>
      <c r="M156" s="5" t="str">
        <f>IF(K156="No","No",IF(_xlfn.XLOOKUP(_xlfn.XLOOKUP(B156,'Base stats'!B:B,'Base stats'!E:E),Groups!A:A,Groups!BD:BD)=1,"No",
MAX(0.01,MROUND(_xlfn.XLOOKUP(B156,'Base stats'!B:B,'Base stats'!BS:BS)/10000,0.01))
))</f>
        <v>No</v>
      </c>
      <c r="N156" s="4" t="str">
        <f>IF(K156="No","No",
MROUND(
  _xlfn.XLOOKUP(B156,'Base stats'!B:B,'Base stats'!BA:BA)^0.25
  / (_xlfn.XLOOKUP(B156,'Base stats'!B:B,'Base stats'!BK:BK)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stats'!BU:BU),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stats'!BH:BH)^0.73)^0.6 *_xlfn.XLOOKUP(B156,'Base stats'!B:B,'Base stats'!BV:BV),0.1),0.05)
)</f>
        <v>3.6</v>
      </c>
      <c r="P156" s="11">
        <f>IF(O156="No","No",
MAX(0.01,MROUND(_xlfn.XLOOKUP(B156,'Base stats'!B:B,'Base stats'!BH:BH) * 0.01 * 2, 0.01))
)</f>
        <v>0.34</v>
      </c>
      <c r="Q156" s="5">
        <f>IF(O156="No","No",
MAX(0.01,MROUND(_xlfn.XLOOKUP(B156,'Base stats'!B:B,'Base stats'!BT:BT)/10000,0.01))
)</f>
        <v>7.0000000000000007E-2</v>
      </c>
      <c r="R156" s="4">
        <f>IF(O156="No","No",
MROUND(_xlfn.XLOOKUP(B156,'Base stats'!B:B,'Base stats'!AZ:AZ)^0.25
/((_xlfn.XLOOKUP(B156,'Base stats'!B:B,'Base stats'!BL:BL))*10)*_xlfn.XLOOKUP(_xlfn.XLOOKUP(B156,'Base stats'!B:B,'Base stats'!E:E),Groups!A:A,Groups!Z:Z)*150 + 0.5 + _xlfn.XLOOKUP(B156,'Base stats'!B:B,'Base stats'!BU:BU),
0.05))</f>
        <v>1.6</v>
      </c>
      <c r="S156" s="3">
        <f>IF(Animals!AI156="No","No",
IF(_xlfn.XLOOKUP(B156,'Base stats'!B:B,'Base stats'!U:U)="No",
MAX(MROUND(_xlfn.XLOOKUP(B156,'Base stats'!B:B,'Base stats'!BR:BR) * _xlfn.XLOOKUP(B156,'Base stats'!B:B,'Base stats'!BN:BN)^0.9 / 21 * _xlfn.XLOOKUP(B156,'Base stats'!B:B,'Base stats'!BV:BV),0.1),0.05),
MAX(MROUND(((MIN(12,_xlfn.XLOOKUP(B156,'Base stats'!B:B,'Base stats'!U:U)))^0.4*_xlfn.XLOOKUP(B156,'Base stats'!B:B,'Base stats'!BF:BF)^0.73)^0.6 * _xlfn.XLOOKUP(B156,'Base stats'!B:B,'Base stats'!BV:BV),0.1),0.05)
))</f>
        <v>2.8000000000000003</v>
      </c>
      <c r="T156" s="11">
        <f>IF(S156="No","No",
MAX(0.01,MROUND(_xlfn.XLOOKUP(B156,'Base stats'!B:B,'Base stats'!BF:BF) * 0.01 * 2, 0.01))
)</f>
        <v>0.19</v>
      </c>
      <c r="U156" s="5">
        <f>IF(S156="No","No",IF(_xlfn.XLOOKUP(B156,'Base stats'!B:B,'Base stats'!U:U)="No","No",
MAX(0.01,MROUND(_xlfn.XLOOKUP(B156,'Base stats'!B:B,'Base stats'!BR:BR)/10000,0.01))
))</f>
        <v>0.04</v>
      </c>
      <c r="V156" s="4">
        <f>IF(S156="No","No",
MROUND(_xlfn.XLOOKUP(B156,'Base stats'!B:B,'Base stats'!BD:BD)^0.25
/((_xlfn.XLOOKUP(B156,'Base stats'!B:B,'Base stats'!BM:BM))*10)*_xlfn.XLOOKUP(_xlfn.XLOOKUP(B156,'Base stats'!B:B,'Base stats'!E:E),Groups!A:A,Groups!AE:AE)*150 + 0.5 + _xlfn.XLOOKUP(B156,'Base stats'!B:B,'Base stats'!BU:BU),
0.05))</f>
        <v>1.1000000000000001</v>
      </c>
      <c r="W156" s="8">
        <f>MROUND(_xlfn.XLOOKUP(_xlfn.XLOOKUP(B156,'Base stats'!B:B,'Base stats'!E:E),Groups!A:A,Groups!BG:BG)*_xlfn.XLOOKUP(B156,'Base stats'!B:B,'Base stats'!C:C)^-0.165,0.01)</f>
        <v>1.01</v>
      </c>
      <c r="X156" s="1">
        <f>MROUND(_xlfn.XLOOKUP(_xlfn.XLOOKUP(B156,'Base stats'!B:B,'Base stats'!E:E),Groups!A:A,Groups!BH:BH)*_xlfn.XLOOKUP(B156,'Base stats'!B:B,'Base stats'!C:C)^0.165,0.01)</f>
        <v>0.31</v>
      </c>
      <c r="Y156" s="8">
        <f>MROUND(_xlfn.XLOOKUP(_xlfn.XLOOKUP(B156,'Base stats'!B:B,'Base stats'!E:E),Groups!A:A,Groups!BI:BI)*_xlfn.XLOOKUP(B156,'Base stats'!B:B,'Base stats'!C:C)^0.165,0.01)</f>
        <v>0.03</v>
      </c>
      <c r="Z156" s="18">
        <f>ROUND(_xlfn.XLOOKUP(B156,'Base stats'!B:B,'Base stats'!AO:AO)*_xlfn.XLOOKUP(_xlfn.XLOOKUP(B156,'Base stats'!B:B,'Base stats'!E:E),Groups!A:A,Groups!H:H)/1000,2)</f>
        <v>0.03</v>
      </c>
      <c r="AA156" s="18">
        <f>ROUND((1/2)*(_xlfn.XLOOKUP(_xlfn.XLOOKUP(B156,'Base stats'!B:B,'Base stats'!E:E),Groups!A:A,Groups!H:H)*_xlfn.XLOOKUP(_xlfn.XLOOKUP(B156,'Base stats'!B:B,'Base stats'!E:E),Groups!A:A,Groups!I:I))*_xlfn.XLOOKUP(B156,'Base stats'!B:B,'Base stats'!AO:AO)*0.01,2)</f>
        <v>0.26</v>
      </c>
      <c r="AB156" s="18">
        <f>250*(Animals!AO156+Animals!AP156)</f>
        <v>137.5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stats'!BQ:BQ) * (_xlfn.XLOOKUP(B157,'Base stats'!B:B,'Base stats'!AM:AM)*5%)^0.9 / 21,0.1),0.05)</f>
        <v>0.2</v>
      </c>
      <c r="E157" s="11">
        <f>MAX(0.01,MROUND(_xlfn.XLOOKUP(B157,'Base stats'!B:B,'Base stats'!BE:BE) * 0.01 * 2, 0.01))</f>
        <v>0.16</v>
      </c>
      <c r="F157" s="7">
        <f>MROUND(_xlfn.XLOOKUP(B157,'Base stats'!B:B,'Base stats'!BB:BB)^0.25 / (_xlfn.XLOOKUP(B157,'Base stats'!B:B,'Base stats'!BI:BI) * 10) * 150 + 0.5 + _xlfn.XLOOKUP(B157,'Base stats'!B:B,'Base stats'!BU:BU), 0.05)</f>
        <v>1.4000000000000001</v>
      </c>
      <c r="G157" s="3" t="str">
        <f>IF(Animals!S157="No","No",
IF(_xlfn.XLOOKUP(B157,'Base stats'!B:B,'Base stats'!U:U)="No",
MAX(MROUND(_xlfn.XLOOKUP(B157,'Base stats'!B:B,'Base stats'!BR:BR) * _xlfn.XLOOKUP(B157,'Base stats'!B:B,'Base stats'!BN:BN)^0.9 / 21 * _xlfn.XLOOKUP(B157,'Base stats'!B:B,'Base stats'!BV:BV),0.1),0.05),
MAX(MROUND(((MIN(10,_xlfn.XLOOKUP(B157,'Base stats'!B:B,'Base stats'!U:U)))^0.4*_xlfn.XLOOKUP(B157,'Base stats'!B:B,'Base stats'!BF:BF)^0.73)^0.6 * _xlfn.XLOOKUP(B157,'Base stats'!B:B,'Base stats'!BV:BV),0.1),0.05)
))</f>
        <v>No</v>
      </c>
      <c r="H157" s="11" t="str">
        <f>IF(G157="No","No",
MAX(0.01,MROUND(_xlfn.XLOOKUP(B157,'Base stats'!B:B,'Base stats'!BF:BF) * 0.01 * 2, 0.01))
)</f>
        <v>No</v>
      </c>
      <c r="I157" s="11" t="str">
        <f>IF(G157="No","No",IF(_xlfn.XLOOKUP(B157,'Base stats'!B:B,'Base stats'!U:U)="No","No",
MAX(0.01,MROUND(_xlfn.XLOOKUP(B157,'Base stats'!B:B,'Base stats'!BR:BR)/10000,0.01))
))</f>
        <v>No</v>
      </c>
      <c r="J157" s="4" t="str">
        <f>IF(G157="No","No",
MROUND(_xlfn.XLOOKUP(B157,'Base stats'!B:B,'Base stats'!BC:BC)^0.25
/((_xlfn.XLOOKUP(B157,'Base stats'!B:B,'Base stats'!BJ:BJ))*10)*_xlfn.XLOOKUP(_xlfn.XLOOKUP(B157,'Base stats'!B:B,'Base stats'!E:E),Groups!A:A,Groups!Q:Q)*150 + 0.5 + _xlfn.XLOOKUP(B157,'Base stats'!B:B,'Base stats'!BU:BU),
0.05))</f>
        <v>No</v>
      </c>
      <c r="K157" s="3" t="str">
        <f>IF(Animals!X157="No","No",
IF(_xlfn.XLOOKUP(_xlfn.XLOOKUP(B157,'Base stats'!B:B,'Base stats'!E:E),Groups!A:A,Groups!BD:BD)=1,
MAX(MROUND(_xlfn.XLOOKUP(B157,'Base stats'!B:B,'Base stats'!BS:BS) * _xlfn.XLOOKUP(B157,'Base stats'!B:B,'Base stats'!BO:BO)^0.9 / 21 *_xlfn.XLOOKUP(B157,'Base stats'!B:B,'Base stats'!BV:BV),0.1),0.05),
MAX(MROUND(((MIN(10,_xlfn.XLOOKUP(B157,'Base stats'!B:B,'Base stats'!W:W)))^0.4*_xlfn.XLOOKUP(B157,'Base stats'!B:B,'Base stats'!BG:BG)^0.73)^0.6 *_xlfn.XLOOKUP(B157,'Base stats'!B:B,'Base stats'!BV:BV),0.1),0.05)
))</f>
        <v>No</v>
      </c>
      <c r="L157" s="11" t="str">
        <f>IF(K157="No","No",
MAX(0.01,MROUND(_xlfn.XLOOKUP(B157,'Base stats'!B:B,'Base stats'!BG:BG) * 0.01 *2, 0.01))
)</f>
        <v>No</v>
      </c>
      <c r="M157" s="5" t="str">
        <f>IF(K157="No","No",IF(_xlfn.XLOOKUP(_xlfn.XLOOKUP(B157,'Base stats'!B:B,'Base stats'!E:E),Groups!A:A,Groups!BD:BD)=1,"No",
MAX(0.01,MROUND(_xlfn.XLOOKUP(B157,'Base stats'!B:B,'Base stats'!BS:BS)/10000,0.01))
))</f>
        <v>No</v>
      </c>
      <c r="N157" s="4" t="str">
        <f>IF(K157="No","No",
MROUND(
  _xlfn.XLOOKUP(B157,'Base stats'!B:B,'Base stats'!BA:BA)^0.25
  / (_xlfn.XLOOKUP(B157,'Base stats'!B:B,'Base stats'!BK:BK)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stats'!BU:BU),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stats'!BH:BH)^0.73)^0.6 *_xlfn.XLOOKUP(B157,'Base stats'!B:B,'Base stats'!BV:BV),0.1),0.05)
)</f>
        <v>4</v>
      </c>
      <c r="P157" s="11">
        <f>IF(O157="No","No",
MAX(0.01,MROUND(_xlfn.XLOOKUP(B157,'Base stats'!B:B,'Base stats'!BH:BH) * 0.01 * 2, 0.01))
)</f>
        <v>0.42</v>
      </c>
      <c r="Q157" s="5">
        <f>IF(O157="No","No",
MAX(0.01,MROUND(_xlfn.XLOOKUP(B157,'Base stats'!B:B,'Base stats'!BT:BT)/10000,0.01))
)</f>
        <v>0.08</v>
      </c>
      <c r="R157" s="4">
        <f>IF(O157="No","No",
MROUND(_xlfn.XLOOKUP(B157,'Base stats'!B:B,'Base stats'!AZ:AZ)^0.25
/((_xlfn.XLOOKUP(B157,'Base stats'!B:B,'Base stats'!BL:BL))*10)*_xlfn.XLOOKUP(_xlfn.XLOOKUP(B157,'Base stats'!B:B,'Base stats'!E:E),Groups!A:A,Groups!Z:Z)*150 + 0.5 + _xlfn.XLOOKUP(B157,'Base stats'!B:B,'Base stats'!BU:BU),
0.05))</f>
        <v>1.6500000000000001</v>
      </c>
      <c r="S157" s="3">
        <f>IF(Animals!AI157="No","No",
IF(_xlfn.XLOOKUP(B157,'Base stats'!B:B,'Base stats'!U:U)="No",
MAX(MROUND(_xlfn.XLOOKUP(B157,'Base stats'!B:B,'Base stats'!BR:BR) * _xlfn.XLOOKUP(B157,'Base stats'!B:B,'Base stats'!BN:BN)^0.9 / 21 * _xlfn.XLOOKUP(B157,'Base stats'!B:B,'Base stats'!BV:BV),0.1),0.05),
MAX(MROUND(((MIN(12,_xlfn.XLOOKUP(B157,'Base stats'!B:B,'Base stats'!U:U)))^0.4*_xlfn.XLOOKUP(B157,'Base stats'!B:B,'Base stats'!BF:BF)^0.73)^0.6 * _xlfn.XLOOKUP(B157,'Base stats'!B:B,'Base stats'!BV:BV),0.1),0.05)
))</f>
        <v>3.1</v>
      </c>
      <c r="T157" s="11">
        <f>IF(S157="No","No",
MAX(0.01,MROUND(_xlfn.XLOOKUP(B157,'Base stats'!B:B,'Base stats'!BF:BF) * 0.01 * 2, 0.01))
)</f>
        <v>0.23</v>
      </c>
      <c r="U157" s="5">
        <f>IF(S157="No","No",IF(_xlfn.XLOOKUP(B157,'Base stats'!B:B,'Base stats'!U:U)="No","No",
MAX(0.01,MROUND(_xlfn.XLOOKUP(B157,'Base stats'!B:B,'Base stats'!BR:BR)/10000,0.01))
))</f>
        <v>0.04</v>
      </c>
      <c r="V157" s="4">
        <f>IF(S157="No","No",
MROUND(_xlfn.XLOOKUP(B157,'Base stats'!B:B,'Base stats'!BD:BD)^0.25
/((_xlfn.XLOOKUP(B157,'Base stats'!B:B,'Base stats'!BM:BM))*10)*_xlfn.XLOOKUP(_xlfn.XLOOKUP(B157,'Base stats'!B:B,'Base stats'!E:E),Groups!A:A,Groups!AE:AE)*150 + 0.5 + _xlfn.XLOOKUP(B157,'Base stats'!B:B,'Base stats'!BU:BU),
0.05))</f>
        <v>1.1000000000000001</v>
      </c>
      <c r="W157" s="8">
        <f>MROUND(_xlfn.XLOOKUP(_xlfn.XLOOKUP(B157,'Base stats'!B:B,'Base stats'!E:E),Groups!A:A,Groups!BG:BG)*_xlfn.XLOOKUP(B157,'Base stats'!B:B,'Base stats'!C:C)^-0.165,0.01)</f>
        <v>0.97</v>
      </c>
      <c r="X157" s="1">
        <f>MROUND(_xlfn.XLOOKUP(_xlfn.XLOOKUP(B157,'Base stats'!B:B,'Base stats'!E:E),Groups!A:A,Groups!BH:BH)*_xlfn.XLOOKUP(B157,'Base stats'!B:B,'Base stats'!C:C)^0.165,0.01)</f>
        <v>0.32</v>
      </c>
      <c r="Y157" s="8">
        <f>MROUND(_xlfn.XLOOKUP(_xlfn.XLOOKUP(B157,'Base stats'!B:B,'Base stats'!E:E),Groups!A:A,Groups!BI:BI)*_xlfn.XLOOKUP(B157,'Base stats'!B:B,'Base stats'!C:C)^0.165,0.01)</f>
        <v>0.03</v>
      </c>
      <c r="Z157" s="18">
        <f>ROUND(_xlfn.XLOOKUP(B157,'Base stats'!B:B,'Base stats'!AO:AO)*_xlfn.XLOOKUP(_xlfn.XLOOKUP(B157,'Base stats'!B:B,'Base stats'!E:E),Groups!A:A,Groups!H:H)/1000,2)</f>
        <v>0.04</v>
      </c>
      <c r="AA157" s="18">
        <f>ROUND((1/2)*(_xlfn.XLOOKUP(_xlfn.XLOOKUP(B157,'Base stats'!B:B,'Base stats'!E:E),Groups!A:A,Groups!H:H)*_xlfn.XLOOKUP(_xlfn.XLOOKUP(B157,'Base stats'!B:B,'Base stats'!E:E),Groups!A:A,Groups!I:I))*_xlfn.XLOOKUP(B157,'Base stats'!B:B,'Base stats'!AO:AO)*0.01,2)</f>
        <v>0.28000000000000003</v>
      </c>
      <c r="AB157" s="18">
        <f>250*(Animals!AO157+Animals!AP157)</f>
        <v>162.50000000000003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stats'!BQ:BQ) * (_xlfn.XLOOKUP(B158,'Base stats'!B:B,'Base stats'!AM:AM)*5%)^0.9 / 21,0.1),0.05)</f>
        <v>0.2</v>
      </c>
      <c r="E158" s="11">
        <f>MAX(0.01,MROUND(_xlfn.XLOOKUP(B158,'Base stats'!B:B,'Base stats'!BE:BE) * 0.01 * 2, 0.01))</f>
        <v>0.15</v>
      </c>
      <c r="F158" s="7">
        <f>MROUND(_xlfn.XLOOKUP(B158,'Base stats'!B:B,'Base stats'!BB:BB)^0.25 / (_xlfn.XLOOKUP(B158,'Base stats'!B:B,'Base stats'!BI:BI) * 10) * 150 + 0.5 + _xlfn.XLOOKUP(B158,'Base stats'!B:B,'Base stats'!BU:BU), 0.05)</f>
        <v>1.4000000000000001</v>
      </c>
      <c r="G158" s="3" t="str">
        <f>IF(Animals!S158="No","No",
IF(_xlfn.XLOOKUP(B158,'Base stats'!B:B,'Base stats'!U:U)="No",
MAX(MROUND(_xlfn.XLOOKUP(B158,'Base stats'!B:B,'Base stats'!BR:BR) * _xlfn.XLOOKUP(B158,'Base stats'!B:B,'Base stats'!BN:BN)^0.9 / 21 * _xlfn.XLOOKUP(B158,'Base stats'!B:B,'Base stats'!BV:BV),0.1),0.05),
MAX(MROUND(((MIN(10,_xlfn.XLOOKUP(B158,'Base stats'!B:B,'Base stats'!U:U)))^0.4*_xlfn.XLOOKUP(B158,'Base stats'!B:B,'Base stats'!BF:BF)^0.73)^0.6 * _xlfn.XLOOKUP(B158,'Base stats'!B:B,'Base stats'!BV:BV),0.1),0.05)
))</f>
        <v>No</v>
      </c>
      <c r="H158" s="11" t="str">
        <f>IF(G158="No","No",
MAX(0.01,MROUND(_xlfn.XLOOKUP(B158,'Base stats'!B:B,'Base stats'!BF:BF) * 0.01 * 2, 0.01))
)</f>
        <v>No</v>
      </c>
      <c r="I158" s="11" t="str">
        <f>IF(G158="No","No",IF(_xlfn.XLOOKUP(B158,'Base stats'!B:B,'Base stats'!U:U)="No","No",
MAX(0.01,MROUND(_xlfn.XLOOKUP(B158,'Base stats'!B:B,'Base stats'!BR:BR)/10000,0.01))
))</f>
        <v>No</v>
      </c>
      <c r="J158" s="4" t="str">
        <f>IF(G158="No","No",
MROUND(_xlfn.XLOOKUP(B158,'Base stats'!B:B,'Base stats'!BC:BC)^0.25
/((_xlfn.XLOOKUP(B158,'Base stats'!B:B,'Base stats'!BJ:BJ))*10)*_xlfn.XLOOKUP(_xlfn.XLOOKUP(B158,'Base stats'!B:B,'Base stats'!E:E),Groups!A:A,Groups!Q:Q)*150 + 0.5 + _xlfn.XLOOKUP(B158,'Base stats'!B:B,'Base stats'!BU:BU),
0.05))</f>
        <v>No</v>
      </c>
      <c r="K158" s="3" t="str">
        <f>IF(Animals!X158="No","No",
IF(_xlfn.XLOOKUP(_xlfn.XLOOKUP(B158,'Base stats'!B:B,'Base stats'!E:E),Groups!A:A,Groups!BD:BD)=1,
MAX(MROUND(_xlfn.XLOOKUP(B158,'Base stats'!B:B,'Base stats'!BS:BS) * _xlfn.XLOOKUP(B158,'Base stats'!B:B,'Base stats'!BO:BO)^0.9 / 21 *_xlfn.XLOOKUP(B158,'Base stats'!B:B,'Base stats'!BV:BV),0.1),0.05),
MAX(MROUND(((MIN(10,_xlfn.XLOOKUP(B158,'Base stats'!B:B,'Base stats'!W:W)))^0.4*_xlfn.XLOOKUP(B158,'Base stats'!B:B,'Base stats'!BG:BG)^0.73)^0.6 *_xlfn.XLOOKUP(B158,'Base stats'!B:B,'Base stats'!BV:BV),0.1),0.05)
))</f>
        <v>No</v>
      </c>
      <c r="L158" s="11" t="str">
        <f>IF(K158="No","No",
MAX(0.01,MROUND(_xlfn.XLOOKUP(B158,'Base stats'!B:B,'Base stats'!BG:BG) * 0.01 *2, 0.01))
)</f>
        <v>No</v>
      </c>
      <c r="M158" s="5" t="str">
        <f>IF(K158="No","No",IF(_xlfn.XLOOKUP(_xlfn.XLOOKUP(B158,'Base stats'!B:B,'Base stats'!E:E),Groups!A:A,Groups!BD:BD)=1,"No",
MAX(0.01,MROUND(_xlfn.XLOOKUP(B158,'Base stats'!B:B,'Base stats'!BS:BS)/10000,0.01))
))</f>
        <v>No</v>
      </c>
      <c r="N158" s="4" t="str">
        <f>IF(K158="No","No",
MROUND(
  _xlfn.XLOOKUP(B158,'Base stats'!B:B,'Base stats'!BA:BA)^0.25
  / (_xlfn.XLOOKUP(B158,'Base stats'!B:B,'Base stats'!BK:BK)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stats'!BU:BU),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stats'!BH:BH)^0.73)^0.6 *_xlfn.XLOOKUP(B158,'Base stats'!B:B,'Base stats'!BV:BV),0.1),0.05)
)</f>
        <v>4</v>
      </c>
      <c r="P158" s="11">
        <f>IF(O158="No","No",
MAX(0.01,MROUND(_xlfn.XLOOKUP(B158,'Base stats'!B:B,'Base stats'!BH:BH) * 0.01 * 2, 0.01))
)</f>
        <v>0.41000000000000003</v>
      </c>
      <c r="Q158" s="5">
        <f>IF(O158="No","No",
MAX(0.01,MROUND(_xlfn.XLOOKUP(B158,'Base stats'!B:B,'Base stats'!BT:BT)/10000,0.01))
)</f>
        <v>0.08</v>
      </c>
      <c r="R158" s="4">
        <f>IF(O158="No","No",
MROUND(_xlfn.XLOOKUP(B158,'Base stats'!B:B,'Base stats'!AZ:AZ)^0.25
/((_xlfn.XLOOKUP(B158,'Base stats'!B:B,'Base stats'!BL:BL))*10)*_xlfn.XLOOKUP(_xlfn.XLOOKUP(B158,'Base stats'!B:B,'Base stats'!E:E),Groups!A:A,Groups!Z:Z)*150 + 0.5 + _xlfn.XLOOKUP(B158,'Base stats'!B:B,'Base stats'!BU:BU),
0.05))</f>
        <v>1.6500000000000001</v>
      </c>
      <c r="S158" s="3">
        <f>IF(Animals!AI158="No","No",
IF(_xlfn.XLOOKUP(B158,'Base stats'!B:B,'Base stats'!U:U)="No",
MAX(MROUND(_xlfn.XLOOKUP(B158,'Base stats'!B:B,'Base stats'!BR:BR) * _xlfn.XLOOKUP(B158,'Base stats'!B:B,'Base stats'!BN:BN)^0.9 / 21 * _xlfn.XLOOKUP(B158,'Base stats'!B:B,'Base stats'!BV:BV),0.1),0.05),
MAX(MROUND(((MIN(12,_xlfn.XLOOKUP(B158,'Base stats'!B:B,'Base stats'!U:U)))^0.4*_xlfn.XLOOKUP(B158,'Base stats'!B:B,'Base stats'!BF:BF)^0.73)^0.6 * _xlfn.XLOOKUP(B158,'Base stats'!B:B,'Base stats'!BV:BV),0.1),0.05)
))</f>
        <v>3.1</v>
      </c>
      <c r="T158" s="11">
        <f>IF(S158="No","No",
MAX(0.01,MROUND(_xlfn.XLOOKUP(B158,'Base stats'!B:B,'Base stats'!BF:BF) * 0.01 * 2, 0.01))
)</f>
        <v>0.23</v>
      </c>
      <c r="U158" s="5">
        <f>IF(S158="No","No",IF(_xlfn.XLOOKUP(B158,'Base stats'!B:B,'Base stats'!U:U)="No","No",
MAX(0.01,MROUND(_xlfn.XLOOKUP(B158,'Base stats'!B:B,'Base stats'!BR:BR)/10000,0.01))
))</f>
        <v>0.04</v>
      </c>
      <c r="V158" s="4">
        <f>IF(S158="No","No",
MROUND(_xlfn.XLOOKUP(B158,'Base stats'!B:B,'Base stats'!BD:BD)^0.25
/((_xlfn.XLOOKUP(B158,'Base stats'!B:B,'Base stats'!BM:BM))*10)*_xlfn.XLOOKUP(_xlfn.XLOOKUP(B158,'Base stats'!B:B,'Base stats'!E:E),Groups!A:A,Groups!AE:AE)*150 + 0.5 + _xlfn.XLOOKUP(B158,'Base stats'!B:B,'Base stats'!BU:BU),
0.05))</f>
        <v>1.1000000000000001</v>
      </c>
      <c r="W158" s="8">
        <f>MROUND(_xlfn.XLOOKUP(_xlfn.XLOOKUP(B158,'Base stats'!B:B,'Base stats'!E:E),Groups!A:A,Groups!BG:BG)*_xlfn.XLOOKUP(B158,'Base stats'!B:B,'Base stats'!C:C)^-0.165,0.01)</f>
        <v>0.98</v>
      </c>
      <c r="X158" s="1">
        <f>MROUND(_xlfn.XLOOKUP(_xlfn.XLOOKUP(B158,'Base stats'!B:B,'Base stats'!E:E),Groups!A:A,Groups!BH:BH)*_xlfn.XLOOKUP(B158,'Base stats'!B:B,'Base stats'!C:C)^0.165,0.01)</f>
        <v>0.32</v>
      </c>
      <c r="Y158" s="8">
        <f>MROUND(_xlfn.XLOOKUP(_xlfn.XLOOKUP(B158,'Base stats'!B:B,'Base stats'!E:E),Groups!A:A,Groups!BI:BI)*_xlfn.XLOOKUP(B158,'Base stats'!B:B,'Base stats'!C:C)^0.165,0.01)</f>
        <v>0.03</v>
      </c>
      <c r="Z158" s="18">
        <f>ROUND(_xlfn.XLOOKUP(B158,'Base stats'!B:B,'Base stats'!AO:AO)*_xlfn.XLOOKUP(_xlfn.XLOOKUP(B158,'Base stats'!B:B,'Base stats'!E:E),Groups!A:A,Groups!H:H)/1000,2)</f>
        <v>0.04</v>
      </c>
      <c r="AA158" s="18">
        <f>ROUND((1/2)*(_xlfn.XLOOKUP(_xlfn.XLOOKUP(B158,'Base stats'!B:B,'Base stats'!E:E),Groups!A:A,Groups!H:H)*_xlfn.XLOOKUP(_xlfn.XLOOKUP(B158,'Base stats'!B:B,'Base stats'!E:E),Groups!A:A,Groups!I:I))*_xlfn.XLOOKUP(B158,'Base stats'!B:B,'Base stats'!AO:AO)*0.01,2)</f>
        <v>0.28000000000000003</v>
      </c>
      <c r="AB158" s="18">
        <f>250*(Animals!AO158+Animals!AP158)</f>
        <v>162.50000000000003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stats'!BQ:BQ) * (_xlfn.XLOOKUP(B159,'Base stats'!B:B,'Base stats'!AM:AM)*5%)^0.9 / 21,0.1),0.05)</f>
        <v>0.30000000000000004</v>
      </c>
      <c r="E159" s="11">
        <f>MAX(0.01,MROUND(_xlfn.XLOOKUP(B159,'Base stats'!B:B,'Base stats'!BE:BE) * 0.01 * 2, 0.01))</f>
        <v>0.18</v>
      </c>
      <c r="F159" s="7">
        <f>MROUND(_xlfn.XLOOKUP(B159,'Base stats'!B:B,'Base stats'!BB:BB)^0.25 / (_xlfn.XLOOKUP(B159,'Base stats'!B:B,'Base stats'!BI:BI) * 10) * 150 + 0.5 + _xlfn.XLOOKUP(B159,'Base stats'!B:B,'Base stats'!BU:BU), 0.05)</f>
        <v>1.4500000000000002</v>
      </c>
      <c r="G159" s="3" t="str">
        <f>IF(Animals!S159="No","No",
IF(_xlfn.XLOOKUP(B159,'Base stats'!B:B,'Base stats'!U:U)="No",
MAX(MROUND(_xlfn.XLOOKUP(B159,'Base stats'!B:B,'Base stats'!BR:BR) * _xlfn.XLOOKUP(B159,'Base stats'!B:B,'Base stats'!BN:BN)^0.9 / 21 * _xlfn.XLOOKUP(B159,'Base stats'!B:B,'Base stats'!BV:BV),0.1),0.05),
MAX(MROUND(((MIN(10,_xlfn.XLOOKUP(B159,'Base stats'!B:B,'Base stats'!U:U)))^0.4*_xlfn.XLOOKUP(B159,'Base stats'!B:B,'Base stats'!BF:BF)^0.73)^0.6 * _xlfn.XLOOKUP(B159,'Base stats'!B:B,'Base stats'!BV:BV),0.1),0.05)
))</f>
        <v>No</v>
      </c>
      <c r="H159" s="11" t="str">
        <f>IF(G159="No","No",
MAX(0.01,MROUND(_xlfn.XLOOKUP(B159,'Base stats'!B:B,'Base stats'!BF:BF) * 0.01 * 2, 0.01))
)</f>
        <v>No</v>
      </c>
      <c r="I159" s="11" t="str">
        <f>IF(G159="No","No",IF(_xlfn.XLOOKUP(B159,'Base stats'!B:B,'Base stats'!U:U)="No","No",
MAX(0.01,MROUND(_xlfn.XLOOKUP(B159,'Base stats'!B:B,'Base stats'!BR:BR)/10000,0.01))
))</f>
        <v>No</v>
      </c>
      <c r="J159" s="4" t="str">
        <f>IF(G159="No","No",
MROUND(_xlfn.XLOOKUP(B159,'Base stats'!B:B,'Base stats'!BC:BC)^0.25
/((_xlfn.XLOOKUP(B159,'Base stats'!B:B,'Base stats'!BJ:BJ))*10)*_xlfn.XLOOKUP(_xlfn.XLOOKUP(B159,'Base stats'!B:B,'Base stats'!E:E),Groups!A:A,Groups!Q:Q)*150 + 0.5 + _xlfn.XLOOKUP(B159,'Base stats'!B:B,'Base stats'!BU:BU),
0.05))</f>
        <v>No</v>
      </c>
      <c r="K159" s="3" t="str">
        <f>IF(Animals!X159="No","No",
IF(_xlfn.XLOOKUP(_xlfn.XLOOKUP(B159,'Base stats'!B:B,'Base stats'!E:E),Groups!A:A,Groups!BD:BD)=1,
MAX(MROUND(_xlfn.XLOOKUP(B159,'Base stats'!B:B,'Base stats'!BS:BS) * _xlfn.XLOOKUP(B159,'Base stats'!B:B,'Base stats'!BO:BO)^0.9 / 21 *_xlfn.XLOOKUP(B159,'Base stats'!B:B,'Base stats'!BV:BV),0.1),0.05),
MAX(MROUND(((MIN(10,_xlfn.XLOOKUP(B159,'Base stats'!B:B,'Base stats'!W:W)))^0.4*_xlfn.XLOOKUP(B159,'Base stats'!B:B,'Base stats'!BG:BG)^0.73)^0.6 *_xlfn.XLOOKUP(B159,'Base stats'!B:B,'Base stats'!BV:BV),0.1),0.05)
))</f>
        <v>No</v>
      </c>
      <c r="L159" s="11" t="str">
        <f>IF(K159="No","No",
MAX(0.01,MROUND(_xlfn.XLOOKUP(B159,'Base stats'!B:B,'Base stats'!BG:BG) * 0.01 *2, 0.01))
)</f>
        <v>No</v>
      </c>
      <c r="M159" s="5" t="str">
        <f>IF(K159="No","No",IF(_xlfn.XLOOKUP(_xlfn.XLOOKUP(B159,'Base stats'!B:B,'Base stats'!E:E),Groups!A:A,Groups!BD:BD)=1,"No",
MAX(0.01,MROUND(_xlfn.XLOOKUP(B159,'Base stats'!B:B,'Base stats'!BS:BS)/10000,0.01))
))</f>
        <v>No</v>
      </c>
      <c r="N159" s="4" t="str">
        <f>IF(K159="No","No",
MROUND(
  _xlfn.XLOOKUP(B159,'Base stats'!B:B,'Base stats'!BA:BA)^0.25
  / (_xlfn.XLOOKUP(B159,'Base stats'!B:B,'Base stats'!BK:BK)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stats'!BU:BU),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stats'!BH:BH)^0.73)^0.6 *_xlfn.XLOOKUP(B159,'Base stats'!B:B,'Base stats'!BV:BV),0.1),0.05)
)</f>
        <v>4.2</v>
      </c>
      <c r="P159" s="11">
        <f>IF(O159="No","No",
MAX(0.01,MROUND(_xlfn.XLOOKUP(B159,'Base stats'!B:B,'Base stats'!BH:BH) * 0.01 * 2, 0.01))
)</f>
        <v>0.47000000000000003</v>
      </c>
      <c r="Q159" s="5">
        <f>IF(O159="No","No",
MAX(0.01,MROUND(_xlfn.XLOOKUP(B159,'Base stats'!B:B,'Base stats'!BT:BT)/10000,0.01))
)</f>
        <v>0.08</v>
      </c>
      <c r="R159" s="4">
        <f>IF(O159="No","No",
MROUND(_xlfn.XLOOKUP(B159,'Base stats'!B:B,'Base stats'!AZ:AZ)^0.25
/((_xlfn.XLOOKUP(B159,'Base stats'!B:B,'Base stats'!BL:BL))*10)*_xlfn.XLOOKUP(_xlfn.XLOOKUP(B159,'Base stats'!B:B,'Base stats'!E:E),Groups!A:A,Groups!Z:Z)*150 + 0.5 + _xlfn.XLOOKUP(B159,'Base stats'!B:B,'Base stats'!BU:BU),
0.05))</f>
        <v>1.7000000000000002</v>
      </c>
      <c r="S159" s="3">
        <f>IF(Animals!AI159="No","No",
IF(_xlfn.XLOOKUP(B159,'Base stats'!B:B,'Base stats'!U:U)="No",
MAX(MROUND(_xlfn.XLOOKUP(B159,'Base stats'!B:B,'Base stats'!BR:BR) * _xlfn.XLOOKUP(B159,'Base stats'!B:B,'Base stats'!BN:BN)^0.9 / 21 * _xlfn.XLOOKUP(B159,'Base stats'!B:B,'Base stats'!BV:BV),0.1),0.05),
MAX(MROUND(((MIN(12,_xlfn.XLOOKUP(B159,'Base stats'!B:B,'Base stats'!U:U)))^0.4*_xlfn.XLOOKUP(B159,'Base stats'!B:B,'Base stats'!BF:BF)^0.73)^0.6 * _xlfn.XLOOKUP(B159,'Base stats'!B:B,'Base stats'!BV:BV),0.1),0.05)
))</f>
        <v>3.2</v>
      </c>
      <c r="T159" s="11">
        <f>IF(S159="No","No",
MAX(0.01,MROUND(_xlfn.XLOOKUP(B159,'Base stats'!B:B,'Base stats'!BF:BF) * 0.01 * 2, 0.01))
)</f>
        <v>0.26</v>
      </c>
      <c r="U159" s="5">
        <f>IF(S159="No","No",IF(_xlfn.XLOOKUP(B159,'Base stats'!B:B,'Base stats'!U:U)="No","No",
MAX(0.01,MROUND(_xlfn.XLOOKUP(B159,'Base stats'!B:B,'Base stats'!BR:BR)/10000,0.01))
))</f>
        <v>0.05</v>
      </c>
      <c r="V159" s="4">
        <f>IF(S159="No","No",
MROUND(_xlfn.XLOOKUP(B159,'Base stats'!B:B,'Base stats'!BD:BD)^0.25
/((_xlfn.XLOOKUP(B159,'Base stats'!B:B,'Base stats'!BM:BM))*10)*_xlfn.XLOOKUP(_xlfn.XLOOKUP(B159,'Base stats'!B:B,'Base stats'!E:E),Groups!A:A,Groups!AE:AE)*150 + 0.5 + _xlfn.XLOOKUP(B159,'Base stats'!B:B,'Base stats'!BU:BU),
0.05))</f>
        <v>1.1000000000000001</v>
      </c>
      <c r="W159" s="8">
        <f>MROUND(_xlfn.XLOOKUP(_xlfn.XLOOKUP(B159,'Base stats'!B:B,'Base stats'!E:E),Groups!A:A,Groups!BG:BG)*_xlfn.XLOOKUP(B159,'Base stats'!B:B,'Base stats'!C:C)^-0.165,0.01)</f>
        <v>0.95000000000000007</v>
      </c>
      <c r="X159" s="1">
        <f>MROUND(_xlfn.XLOOKUP(_xlfn.XLOOKUP(B159,'Base stats'!B:B,'Base stats'!E:E),Groups!A:A,Groups!BH:BH)*_xlfn.XLOOKUP(B159,'Base stats'!B:B,'Base stats'!C:C)^0.165,0.01)</f>
        <v>0.33</v>
      </c>
      <c r="Y159" s="8">
        <f>MROUND(_xlfn.XLOOKUP(_xlfn.XLOOKUP(B159,'Base stats'!B:B,'Base stats'!E:E),Groups!A:A,Groups!BI:BI)*_xlfn.XLOOKUP(B159,'Base stats'!B:B,'Base stats'!C:C)^0.165,0.01)</f>
        <v>0.03</v>
      </c>
      <c r="Z159" s="18">
        <f>ROUND(_xlfn.XLOOKUP(B159,'Base stats'!B:B,'Base stats'!AO:AO)*_xlfn.XLOOKUP(_xlfn.XLOOKUP(B159,'Base stats'!B:B,'Base stats'!E:E),Groups!A:A,Groups!H:H)/1000,2)</f>
        <v>0.04</v>
      </c>
      <c r="AA159" s="18">
        <f>ROUND((1/2)*(_xlfn.XLOOKUP(_xlfn.XLOOKUP(B159,'Base stats'!B:B,'Base stats'!E:E),Groups!A:A,Groups!H:H)*_xlfn.XLOOKUP(_xlfn.XLOOKUP(B159,'Base stats'!B:B,'Base stats'!E:E),Groups!A:A,Groups!I:I))*_xlfn.XLOOKUP(B159,'Base stats'!B:B,'Base stats'!AO:AO)*0.01,2)</f>
        <v>0.3</v>
      </c>
      <c r="AB159" s="18">
        <f>250*(Animals!AO159+Animals!AP159)</f>
        <v>162.50000000000003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stats'!BQ:BQ) * (_xlfn.XLOOKUP(B160,'Base stats'!B:B,'Base stats'!AM:AM)*5%)^0.9 / 21,0.1),0.05)</f>
        <v>148.80000000000001</v>
      </c>
      <c r="E160" s="11">
        <f>MAX(0.01,MROUND(_xlfn.XLOOKUP(B160,'Base stats'!B:B,'Base stats'!BE:BE) * 0.01 * 2, 0.01))</f>
        <v>169.95000000000002</v>
      </c>
      <c r="F160" s="7">
        <f>MROUND(_xlfn.XLOOKUP(B160,'Base stats'!B:B,'Base stats'!BB:BB)^0.25 / (_xlfn.XLOOKUP(B160,'Base stats'!B:B,'Base stats'!BI:BI) * 10) * 150 + 0.5 + _xlfn.XLOOKUP(B160,'Base stats'!B:B,'Base stats'!BU:BU), 0.05)</f>
        <v>3.75</v>
      </c>
      <c r="G160" s="3" t="str">
        <f>IF(Animals!S160="No","No",
IF(_xlfn.XLOOKUP(B160,'Base stats'!B:B,'Base stats'!U:U)="No",
MAX(MROUND(_xlfn.XLOOKUP(B160,'Base stats'!B:B,'Base stats'!BR:BR) * _xlfn.XLOOKUP(B160,'Base stats'!B:B,'Base stats'!BN:BN)^0.9 / 21 * _xlfn.XLOOKUP(B160,'Base stats'!B:B,'Base stats'!BV:BV),0.1),0.05),
MAX(MROUND(((MIN(10,_xlfn.XLOOKUP(B160,'Base stats'!B:B,'Base stats'!U:U)))^0.4*_xlfn.XLOOKUP(B160,'Base stats'!B:B,'Base stats'!BF:BF)^0.73)^0.6 * _xlfn.XLOOKUP(B160,'Base stats'!B:B,'Base stats'!BV:BV),0.1),0.05)
))</f>
        <v>No</v>
      </c>
      <c r="H160" s="11" t="str">
        <f>IF(G160="No","No",
MAX(0.01,MROUND(_xlfn.XLOOKUP(B160,'Base stats'!B:B,'Base stats'!BF:BF) * 0.01 * 2, 0.01))
)</f>
        <v>No</v>
      </c>
      <c r="I160" s="11" t="str">
        <f>IF(G160="No","No",IF(_xlfn.XLOOKUP(B160,'Base stats'!B:B,'Base stats'!U:U)="No","No",
MAX(0.01,MROUND(_xlfn.XLOOKUP(B160,'Base stats'!B:B,'Base stats'!BR:BR)/10000,0.01))
))</f>
        <v>No</v>
      </c>
      <c r="J160" s="4" t="str">
        <f>IF(G160="No","No",
MROUND(_xlfn.XLOOKUP(B160,'Base stats'!B:B,'Base stats'!BC:BC)^0.25
/((_xlfn.XLOOKUP(B160,'Base stats'!B:B,'Base stats'!BJ:BJ))*10)*_xlfn.XLOOKUP(_xlfn.XLOOKUP(B160,'Base stats'!B:B,'Base stats'!E:E),Groups!A:A,Groups!Q:Q)*150 + 0.5 + _xlfn.XLOOKUP(B160,'Base stats'!B:B,'Base stats'!BU:BU),
0.05))</f>
        <v>No</v>
      </c>
      <c r="K160" s="3" t="str">
        <f>IF(Animals!X160="No","No",
IF(_xlfn.XLOOKUP(_xlfn.XLOOKUP(B160,'Base stats'!B:B,'Base stats'!E:E),Groups!A:A,Groups!BD:BD)=1,
MAX(MROUND(_xlfn.XLOOKUP(B160,'Base stats'!B:B,'Base stats'!BS:BS) * _xlfn.XLOOKUP(B160,'Base stats'!B:B,'Base stats'!BO:BO)^0.9 / 21 *_xlfn.XLOOKUP(B160,'Base stats'!B:B,'Base stats'!BV:BV),0.1),0.05),
MAX(MROUND(((MIN(10,_xlfn.XLOOKUP(B160,'Base stats'!B:B,'Base stats'!W:W)))^0.4*_xlfn.XLOOKUP(B160,'Base stats'!B:B,'Base stats'!BG:BG)^0.73)^0.6 *_xlfn.XLOOKUP(B160,'Base stats'!B:B,'Base stats'!BV:BV),0.1),0.05)
))</f>
        <v>No</v>
      </c>
      <c r="L160" s="11" t="str">
        <f>IF(K160="No","No",
MAX(0.01,MROUND(_xlfn.XLOOKUP(B160,'Base stats'!B:B,'Base stats'!BG:BG) * 0.01 *2, 0.01))
)</f>
        <v>No</v>
      </c>
      <c r="M160" s="5" t="str">
        <f>IF(K160="No","No",IF(_xlfn.XLOOKUP(_xlfn.XLOOKUP(B160,'Base stats'!B:B,'Base stats'!E:E),Groups!A:A,Groups!BD:BD)=1,"No",
MAX(0.01,MROUND(_xlfn.XLOOKUP(B160,'Base stats'!B:B,'Base stats'!BS:BS)/10000,0.01))
))</f>
        <v>No</v>
      </c>
      <c r="N160" s="4" t="str">
        <f>IF(K160="No","No",
MROUND(
  _xlfn.XLOOKUP(B160,'Base stats'!B:B,'Base stats'!BA:BA)^0.25
  / (_xlfn.XLOOKUP(B160,'Base stats'!B:B,'Base stats'!BK:BK)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stats'!BU:BU),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stats'!BH:BH)^0.73)^0.6 *_xlfn.XLOOKUP(B160,'Base stats'!B:B,'Base stats'!BV:BV),0.1),0.05)
)</f>
        <v>67.7</v>
      </c>
      <c r="P160" s="11">
        <f>IF(O160="No","No",
MAX(0.01,MROUND(_xlfn.XLOOKUP(B160,'Base stats'!B:B,'Base stats'!BH:BH) * 0.01 * 2, 0.01))
)</f>
        <v>125.26</v>
      </c>
      <c r="Q160" s="5">
        <f>IF(O160="No","No",
MAX(0.01,MROUND(_xlfn.XLOOKUP(B160,'Base stats'!B:B,'Base stats'!BT:BT)/10000,0.01))
)</f>
        <v>9.9500000000000011</v>
      </c>
      <c r="R160" s="4">
        <f>IF(O160="No","No",
MROUND(_xlfn.XLOOKUP(B160,'Base stats'!B:B,'Base stats'!AZ:AZ)^0.25
/((_xlfn.XLOOKUP(B160,'Base stats'!B:B,'Base stats'!BL:BL))*10)*_xlfn.XLOOKUP(_xlfn.XLOOKUP(B160,'Base stats'!B:B,'Base stats'!E:E),Groups!A:A,Groups!Z:Z)*150 + 0.5 + _xlfn.XLOOKUP(B160,'Base stats'!B:B,'Base stats'!BU:BU),
0.05))</f>
        <v>2.6500000000000004</v>
      </c>
      <c r="S160" s="3">
        <f>IF(Animals!AI160="No","No",
IF(_xlfn.XLOOKUP(B160,'Base stats'!B:B,'Base stats'!U:U)="No",
MAX(MROUND(_xlfn.XLOOKUP(B160,'Base stats'!B:B,'Base stats'!BR:BR) * _xlfn.XLOOKUP(B160,'Base stats'!B:B,'Base stats'!BN:BN)^0.9 / 21 * _xlfn.XLOOKUP(B160,'Base stats'!B:B,'Base stats'!BV:BV),0.1),0.05),
MAX(MROUND(((MIN(12,_xlfn.XLOOKUP(B160,'Base stats'!B:B,'Base stats'!U:U)))^0.4*_xlfn.XLOOKUP(B160,'Base stats'!B:B,'Base stats'!BF:BF)^0.73)^0.6 * _xlfn.XLOOKUP(B160,'Base stats'!B:B,'Base stats'!BV:BV),0.1),0.05)
))</f>
        <v>90.300000000000011</v>
      </c>
      <c r="T160" s="11">
        <f>IF(S160="No","No",
MAX(0.01,MROUND(_xlfn.XLOOKUP(B160,'Base stats'!B:B,'Base stats'!BF:BF) * 0.01 * 2, 0.01))
)</f>
        <v>165.35</v>
      </c>
      <c r="U160" s="5">
        <f>IF(S160="No","No",IF(_xlfn.XLOOKUP(B160,'Base stats'!B:B,'Base stats'!U:U)="No","No",
MAX(0.01,MROUND(_xlfn.XLOOKUP(B160,'Base stats'!B:B,'Base stats'!BR:BR)/10000,0.01))
))</f>
        <v>13.14</v>
      </c>
      <c r="V160" s="4">
        <f>IF(S160="No","No",
MROUND(_xlfn.XLOOKUP(B160,'Base stats'!B:B,'Base stats'!BD:BD)^0.25
/((_xlfn.XLOOKUP(B160,'Base stats'!B:B,'Base stats'!BM:BM))*10)*_xlfn.XLOOKUP(_xlfn.XLOOKUP(B160,'Base stats'!B:B,'Base stats'!E:E),Groups!A:A,Groups!AE:AE)*150 + 0.5 + _xlfn.XLOOKUP(B160,'Base stats'!B:B,'Base stats'!BU:BU),
0.05))</f>
        <v>2.35</v>
      </c>
      <c r="W160" s="8">
        <f>MROUND(_xlfn.XLOOKUP(_xlfn.XLOOKUP(B160,'Base stats'!B:B,'Base stats'!E:E),Groups!A:A,Groups!BG:BG)*_xlfn.XLOOKUP(B160,'Base stats'!B:B,'Base stats'!C:C)^-0.165,0.01)</f>
        <v>0.22</v>
      </c>
      <c r="X160" s="1">
        <f>MROUND(_xlfn.XLOOKUP(_xlfn.XLOOKUP(B160,'Base stats'!B:B,'Base stats'!E:E),Groups!A:A,Groups!BH:BH)*_xlfn.XLOOKUP(B160,'Base stats'!B:B,'Base stats'!C:C)^0.165,0.01)</f>
        <v>1.1400000000000001</v>
      </c>
      <c r="Y160" s="8">
        <f>MROUND(_xlfn.XLOOKUP(_xlfn.XLOOKUP(B160,'Base stats'!B:B,'Base stats'!E:E),Groups!A:A,Groups!BI:BI)*_xlfn.XLOOKUP(B160,'Base stats'!B:B,'Base stats'!C:C)^0.165,0.01)</f>
        <v>0.23</v>
      </c>
      <c r="Z160" s="18">
        <f>ROUND(_xlfn.XLOOKUP(B160,'Base stats'!B:B,'Base stats'!AO:AO)*_xlfn.XLOOKUP(_xlfn.XLOOKUP(B160,'Base stats'!B:B,'Base stats'!E:E),Groups!A:A,Groups!H:H)/1000,2)</f>
        <v>2.5299999999999998</v>
      </c>
      <c r="AA160" s="18">
        <f>ROUND((1/2)*(_xlfn.XLOOKUP(_xlfn.XLOOKUP(B160,'Base stats'!B:B,'Base stats'!E:E),Groups!A:A,Groups!H:H)*_xlfn.XLOOKUP(_xlfn.XLOOKUP(B160,'Base stats'!B:B,'Base stats'!E:E),Groups!A:A,Groups!I:I))*_xlfn.XLOOKUP(B160,'Base stats'!B:B,'Base stats'!AO:AO)*0.01,2)</f>
        <v>2.5299999999999998</v>
      </c>
      <c r="AB160" s="18">
        <f>250*(Animals!AO160+Animals!AP160)</f>
        <v>4062.5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stats'!BQ:BQ) * (_xlfn.XLOOKUP(B161,'Base stats'!B:B,'Base stats'!AM:AM)*5%)^0.9 / 21,0.1),0.05)</f>
        <v>9.2000000000000011</v>
      </c>
      <c r="E161" s="11">
        <f>MAX(0.01,MROUND(_xlfn.XLOOKUP(B161,'Base stats'!B:B,'Base stats'!BE:BE) * 0.01 * 2, 0.01))</f>
        <v>8.4700000000000006</v>
      </c>
      <c r="F161" s="7">
        <f>MROUND(_xlfn.XLOOKUP(B161,'Base stats'!B:B,'Base stats'!BB:BB)^0.25 / (_xlfn.XLOOKUP(B161,'Base stats'!B:B,'Base stats'!BI:BI) * 10) * 150 + 0.5 + _xlfn.XLOOKUP(B161,'Base stats'!B:B,'Base stats'!BU:BU), 0.05)</f>
        <v>2.4000000000000004</v>
      </c>
      <c r="G161" s="3" t="str">
        <f>IF(Animals!S161="No","No",
IF(_xlfn.XLOOKUP(B161,'Base stats'!B:B,'Base stats'!U:U)="No",
MAX(MROUND(_xlfn.XLOOKUP(B161,'Base stats'!B:B,'Base stats'!BR:BR) * _xlfn.XLOOKUP(B161,'Base stats'!B:B,'Base stats'!BN:BN)^0.9 / 21 * _xlfn.XLOOKUP(B161,'Base stats'!B:B,'Base stats'!BV:BV),0.1),0.05),
MAX(MROUND(((MIN(10,_xlfn.XLOOKUP(B161,'Base stats'!B:B,'Base stats'!U:U)))^0.4*_xlfn.XLOOKUP(B161,'Base stats'!B:B,'Base stats'!BF:BF)^0.73)^0.6 * _xlfn.XLOOKUP(B161,'Base stats'!B:B,'Base stats'!BV:BV),0.1),0.05)
))</f>
        <v>No</v>
      </c>
      <c r="H161" s="11" t="str">
        <f>IF(G161="No","No",
MAX(0.01,MROUND(_xlfn.XLOOKUP(B161,'Base stats'!B:B,'Base stats'!BF:BF) * 0.01 * 2, 0.01))
)</f>
        <v>No</v>
      </c>
      <c r="I161" s="11" t="str">
        <f>IF(G161="No","No",IF(_xlfn.XLOOKUP(B161,'Base stats'!B:B,'Base stats'!U:U)="No","No",
MAX(0.01,MROUND(_xlfn.XLOOKUP(B161,'Base stats'!B:B,'Base stats'!BR:BR)/10000,0.01))
))</f>
        <v>No</v>
      </c>
      <c r="J161" s="4" t="str">
        <f>IF(G161="No","No",
MROUND(_xlfn.XLOOKUP(B161,'Base stats'!B:B,'Base stats'!BC:BC)^0.25
/((_xlfn.XLOOKUP(B161,'Base stats'!B:B,'Base stats'!BJ:BJ))*10)*_xlfn.XLOOKUP(_xlfn.XLOOKUP(B161,'Base stats'!B:B,'Base stats'!E:E),Groups!A:A,Groups!Q:Q)*150 + 0.5 + _xlfn.XLOOKUP(B161,'Base stats'!B:B,'Base stats'!BU:BU),
0.05))</f>
        <v>No</v>
      </c>
      <c r="K161" s="3" t="str">
        <f>IF(Animals!X161="No","No",
IF(_xlfn.XLOOKUP(_xlfn.XLOOKUP(B161,'Base stats'!B:B,'Base stats'!E:E),Groups!A:A,Groups!BD:BD)=1,
MAX(MROUND(_xlfn.XLOOKUP(B161,'Base stats'!B:B,'Base stats'!BS:BS) * _xlfn.XLOOKUP(B161,'Base stats'!B:B,'Base stats'!BO:BO)^0.9 / 21 *_xlfn.XLOOKUP(B161,'Base stats'!B:B,'Base stats'!BV:BV),0.1),0.05),
MAX(MROUND(((MIN(10,_xlfn.XLOOKUP(B161,'Base stats'!B:B,'Base stats'!W:W)))^0.4*_xlfn.XLOOKUP(B161,'Base stats'!B:B,'Base stats'!BG:BG)^0.73)^0.6 *_xlfn.XLOOKUP(B161,'Base stats'!B:B,'Base stats'!BV:BV),0.1),0.05)
))</f>
        <v>No</v>
      </c>
      <c r="L161" s="11" t="str">
        <f>IF(K161="No","No",
MAX(0.01,MROUND(_xlfn.XLOOKUP(B161,'Base stats'!B:B,'Base stats'!BG:BG) * 0.01 *2, 0.01))
)</f>
        <v>No</v>
      </c>
      <c r="M161" s="5" t="str">
        <f>IF(K161="No","No",IF(_xlfn.XLOOKUP(_xlfn.XLOOKUP(B161,'Base stats'!B:B,'Base stats'!E:E),Groups!A:A,Groups!BD:BD)=1,"No",
MAX(0.01,MROUND(_xlfn.XLOOKUP(B161,'Base stats'!B:B,'Base stats'!BS:BS)/10000,0.01))
))</f>
        <v>No</v>
      </c>
      <c r="N161" s="4" t="str">
        <f>IF(K161="No","No",
MROUND(
  _xlfn.XLOOKUP(B161,'Base stats'!B:B,'Base stats'!BA:BA)^0.25
  / (_xlfn.XLOOKUP(B161,'Base stats'!B:B,'Base stats'!BK:BK)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stats'!BU:BU),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stats'!BH:BH)^0.73)^0.6 *_xlfn.XLOOKUP(B161,'Base stats'!B:B,'Base stats'!BV:BV),0.1),0.05)
)</f>
        <v>27.5</v>
      </c>
      <c r="P161" s="11">
        <f>IF(O161="No","No",
MAX(0.01,MROUND(_xlfn.XLOOKUP(B161,'Base stats'!B:B,'Base stats'!BH:BH) * 0.01 * 2, 0.01))
)</f>
        <v>10.97</v>
      </c>
      <c r="Q161" s="5">
        <f>IF(O161="No","No",
MAX(0.01,MROUND(_xlfn.XLOOKUP(B161,'Base stats'!B:B,'Base stats'!BT:BT)/10000,0.01))
)</f>
        <v>0.33</v>
      </c>
      <c r="R161" s="4">
        <f>IF(O161="No","No",
MROUND(_xlfn.XLOOKUP(B161,'Base stats'!B:B,'Base stats'!AZ:AZ)^0.25
/((_xlfn.XLOOKUP(B161,'Base stats'!B:B,'Base stats'!BL:BL))*10)*_xlfn.XLOOKUP(_xlfn.XLOOKUP(B161,'Base stats'!B:B,'Base stats'!E:E),Groups!A:A,Groups!Z:Z)*150 + 0.5 + _xlfn.XLOOKUP(B161,'Base stats'!B:B,'Base stats'!BU:BU),
0.05))</f>
        <v>1.9500000000000002</v>
      </c>
      <c r="S161" s="3">
        <f>IF(Animals!AI161="No","No",
IF(_xlfn.XLOOKUP(B161,'Base stats'!B:B,'Base stats'!U:U)="No",
MAX(MROUND(_xlfn.XLOOKUP(B161,'Base stats'!B:B,'Base stats'!BR:BR) * _xlfn.XLOOKUP(B161,'Base stats'!B:B,'Base stats'!BN:BN)^0.9 / 21 * _xlfn.XLOOKUP(B161,'Base stats'!B:B,'Base stats'!BV:BV),0.1),0.05),
MAX(MROUND(((MIN(12,_xlfn.XLOOKUP(B161,'Base stats'!B:B,'Base stats'!U:U)))^0.4*_xlfn.XLOOKUP(B161,'Base stats'!B:B,'Base stats'!BF:BF)^0.73)^0.6 * _xlfn.XLOOKUP(B161,'Base stats'!B:B,'Base stats'!BV:BV),0.1),0.05)
))</f>
        <v>27.5</v>
      </c>
      <c r="T161" s="11">
        <f>IF(S161="No","No",
MAX(0.01,MROUND(_xlfn.XLOOKUP(B161,'Base stats'!B:B,'Base stats'!BF:BF) * 0.01 * 2, 0.01))
)</f>
        <v>9.91</v>
      </c>
      <c r="U161" s="5">
        <f>IF(S161="No","No",IF(_xlfn.XLOOKUP(B161,'Base stats'!B:B,'Base stats'!U:U)="No","No",
MAX(0.01,MROUND(_xlfn.XLOOKUP(B161,'Base stats'!B:B,'Base stats'!BR:BR)/10000,0.01))
))</f>
        <v>0.3</v>
      </c>
      <c r="V161" s="4">
        <f>IF(S161="No","No",
MROUND(_xlfn.XLOOKUP(B161,'Base stats'!B:B,'Base stats'!BD:BD)^0.25
/((_xlfn.XLOOKUP(B161,'Base stats'!B:B,'Base stats'!BM:BM))*10)*_xlfn.XLOOKUP(_xlfn.XLOOKUP(B161,'Base stats'!B:B,'Base stats'!E:E),Groups!A:A,Groups!AE:AE)*150 + 0.5 + _xlfn.XLOOKUP(B161,'Base stats'!B:B,'Base stats'!BU:BU),
0.05))</f>
        <v>1.6500000000000001</v>
      </c>
      <c r="W161" s="8">
        <f>MROUND(_xlfn.XLOOKUP(_xlfn.XLOOKUP(B161,'Base stats'!B:B,'Base stats'!E:E),Groups!A:A,Groups!BG:BG)*_xlfn.XLOOKUP(B161,'Base stats'!B:B,'Base stats'!C:C)^-0.165,0.01)</f>
        <v>0.47000000000000003</v>
      </c>
      <c r="X161" s="1">
        <f>MROUND(_xlfn.XLOOKUP(_xlfn.XLOOKUP(B161,'Base stats'!B:B,'Base stats'!E:E),Groups!A:A,Groups!BH:BH)*_xlfn.XLOOKUP(B161,'Base stats'!B:B,'Base stats'!C:C)^0.165,0.01)</f>
        <v>0.66</v>
      </c>
      <c r="Y161" s="8">
        <f>MROUND(_xlfn.XLOOKUP(_xlfn.XLOOKUP(B161,'Base stats'!B:B,'Base stats'!E:E),Groups!A:A,Groups!BI:BI)*_xlfn.XLOOKUP(B161,'Base stats'!B:B,'Base stats'!C:C)^0.165,0.01)</f>
        <v>7.0000000000000007E-2</v>
      </c>
      <c r="Z161" s="18">
        <f>ROUND(_xlfn.XLOOKUP(B161,'Base stats'!B:B,'Base stats'!AO:AO)*_xlfn.XLOOKUP(_xlfn.XLOOKUP(B161,'Base stats'!B:B,'Base stats'!E:E),Groups!A:A,Groups!H:H)/1000,2)</f>
        <v>0.18</v>
      </c>
      <c r="AA161" s="18">
        <f>ROUND((1/2)*(_xlfn.XLOOKUP(_xlfn.XLOOKUP(B161,'Base stats'!B:B,'Base stats'!E:E),Groups!A:A,Groups!H:H)*_xlfn.XLOOKUP(_xlfn.XLOOKUP(B161,'Base stats'!B:B,'Base stats'!E:E),Groups!A:A,Groups!I:I))*_xlfn.XLOOKUP(B161,'Base stats'!B:B,'Base stats'!AO:AO)*0.01,2)</f>
        <v>1.32</v>
      </c>
      <c r="AB161" s="18">
        <f>250*(Animals!AO161+Animals!AP161)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stats'!BQ:BQ) * (_xlfn.XLOOKUP(B162,'Base stats'!B:B,'Base stats'!AM:AM)*5%)^0.9 / 21,0.1),0.05)</f>
        <v>0.1</v>
      </c>
      <c r="E162" s="11">
        <f>MAX(0.01,MROUND(_xlfn.XLOOKUP(B162,'Base stats'!B:B,'Base stats'!BE:BE) * 0.01 * 2, 0.01))</f>
        <v>0.04</v>
      </c>
      <c r="F162" s="7">
        <f>MROUND(_xlfn.XLOOKUP(B162,'Base stats'!B:B,'Base stats'!BB:BB)^0.25 / (_xlfn.XLOOKUP(B162,'Base stats'!B:B,'Base stats'!BI:BI) * 10) * 150 + 0.5 + _xlfn.XLOOKUP(B162,'Base stats'!B:B,'Base stats'!BU:BU), 0.05)</f>
        <v>1.2000000000000002</v>
      </c>
      <c r="G162" s="3">
        <f>IF(Animals!S162="No","No",
IF(_xlfn.XLOOKUP(B162,'Base stats'!B:B,'Base stats'!U:U)="No",
MAX(MROUND(_xlfn.XLOOKUP(B162,'Base stats'!B:B,'Base stats'!BR:BR) * _xlfn.XLOOKUP(B162,'Base stats'!B:B,'Base stats'!BN:BN)^0.9 / 21 * _xlfn.XLOOKUP(B162,'Base stats'!B:B,'Base stats'!BV:BV),0.1),0.05),
MAX(MROUND(((MIN(10,_xlfn.XLOOKUP(B162,'Base stats'!B:B,'Base stats'!U:U)))^0.4*_xlfn.XLOOKUP(B162,'Base stats'!B:B,'Base stats'!BF:BF)^0.73)^0.6 * _xlfn.XLOOKUP(B162,'Base stats'!B:B,'Base stats'!BV:BV),0.1),0.05)
))</f>
        <v>1.6</v>
      </c>
      <c r="H162" s="11">
        <f>IF(G162="No","No",
MAX(0.01,MROUND(_xlfn.XLOOKUP(B162,'Base stats'!B:B,'Base stats'!BF:BF) * 0.01 * 2, 0.01))
)</f>
        <v>7.0000000000000007E-2</v>
      </c>
      <c r="I162" s="11">
        <f>IF(G162="No","No",IF(_xlfn.XLOOKUP(B162,'Base stats'!B:B,'Base stats'!U:U)="No","No",
MAX(0.01,MROUND(_xlfn.XLOOKUP(B162,'Base stats'!B:B,'Base stats'!BR:BR)/10000,0.01))
))</f>
        <v>0.02</v>
      </c>
      <c r="J162" s="4">
        <f>IF(G162="No","No",
MROUND(_xlfn.XLOOKUP(B162,'Base stats'!B:B,'Base stats'!BC:BC)^0.25
/((_xlfn.XLOOKUP(B162,'Base stats'!B:B,'Base stats'!BJ:BJ))*10)*_xlfn.XLOOKUP(_xlfn.XLOOKUP(B162,'Base stats'!B:B,'Base stats'!E:E),Groups!A:A,Groups!Q:Q)*150 + 0.5 + _xlfn.XLOOKUP(B162,'Base stats'!B:B,'Base stats'!BU:BU),
0.05))</f>
        <v>1.8</v>
      </c>
      <c r="K162" s="3" t="str">
        <f>IF(Animals!X162="No","No",
IF(_xlfn.XLOOKUP(_xlfn.XLOOKUP(B162,'Base stats'!B:B,'Base stats'!E:E),Groups!A:A,Groups!BD:BD)=1,
MAX(MROUND(_xlfn.XLOOKUP(B162,'Base stats'!B:B,'Base stats'!BS:BS) * _xlfn.XLOOKUP(B162,'Base stats'!B:B,'Base stats'!BO:BO)^0.9 / 21 *_xlfn.XLOOKUP(B162,'Base stats'!B:B,'Base stats'!BV:BV),0.1),0.05),
MAX(MROUND(((MIN(10,_xlfn.XLOOKUP(B162,'Base stats'!B:B,'Base stats'!W:W)))^0.4*_xlfn.XLOOKUP(B162,'Base stats'!B:B,'Base stats'!BG:BG)^0.73)^0.6 *_xlfn.XLOOKUP(B162,'Base stats'!B:B,'Base stats'!BV:BV),0.1),0.05)
))</f>
        <v>No</v>
      </c>
      <c r="L162" s="11" t="str">
        <f>IF(K162="No","No",
MAX(0.01,MROUND(_xlfn.XLOOKUP(B162,'Base stats'!B:B,'Base stats'!BG:BG) * 0.01 *2, 0.01))
)</f>
        <v>No</v>
      </c>
      <c r="M162" s="5" t="str">
        <f>IF(K162="No","No",IF(_xlfn.XLOOKUP(_xlfn.XLOOKUP(B162,'Base stats'!B:B,'Base stats'!E:E),Groups!A:A,Groups!BD:BD)=1,"No",
MAX(0.01,MROUND(_xlfn.XLOOKUP(B162,'Base stats'!B:B,'Base stats'!BS:BS)/10000,0.01))
))</f>
        <v>No</v>
      </c>
      <c r="N162" s="4" t="str">
        <f>IF(K162="No","No",
MROUND(
  _xlfn.XLOOKUP(B162,'Base stats'!B:B,'Base stats'!BA:BA)^0.25
  / (_xlfn.XLOOKUP(B162,'Base stats'!B:B,'Base stats'!BK:BK)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stats'!BU:BU),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stats'!BH:BH)^0.73)^0.6 *_xlfn.XLOOKUP(B162,'Base stats'!B:B,'Base stats'!BV:BV),0.1),0.05)
)</f>
        <v>0.70000000000000007</v>
      </c>
      <c r="P162" s="11">
        <f>IF(O162="No","No",
MAX(0.01,MROUND(_xlfn.XLOOKUP(B162,'Base stats'!B:B,'Base stats'!BH:BH) * 0.01 * 2, 0.01))
)</f>
        <v>0.01</v>
      </c>
      <c r="Q162" s="5">
        <f>IF(O162="No","No",
MAX(0.01,MROUND(_xlfn.XLOOKUP(B162,'Base stats'!B:B,'Base stats'!BT:BT)/10000,0.01))
)</f>
        <v>0.01</v>
      </c>
      <c r="R162" s="4">
        <f>IF(O162="No","No",
MROUND(_xlfn.XLOOKUP(B162,'Base stats'!B:B,'Base stats'!AZ:AZ)^0.25
/((_xlfn.XLOOKUP(B162,'Base stats'!B:B,'Base stats'!BL:BL))*10)*_xlfn.XLOOKUP(_xlfn.XLOOKUP(B162,'Base stats'!B:B,'Base stats'!E:E),Groups!A:A,Groups!Z:Z)*150 + 0.5 + _xlfn.XLOOKUP(B162,'Base stats'!B:B,'Base stats'!BU:BU),
0.05))</f>
        <v>1.9000000000000001</v>
      </c>
      <c r="S162" s="3" t="str">
        <f>IF(Animals!AI162="No","No",
IF(_xlfn.XLOOKUP(B162,'Base stats'!B:B,'Base stats'!U:U)="No",
MAX(MROUND(_xlfn.XLOOKUP(B162,'Base stats'!B:B,'Base stats'!BR:BR) * _xlfn.XLOOKUP(B162,'Base stats'!B:B,'Base stats'!BN:BN)^0.9 / 21 * _xlfn.XLOOKUP(B162,'Base stats'!B:B,'Base stats'!BV:BV),0.1),0.05),
MAX(MROUND(((MIN(12,_xlfn.XLOOKUP(B162,'Base stats'!B:B,'Base stats'!U:U)))^0.4*_xlfn.XLOOKUP(B162,'Base stats'!B:B,'Base stats'!BF:BF)^0.73)^0.6 * _xlfn.XLOOKUP(B162,'Base stats'!B:B,'Base stats'!BV:BV),0.1),0.05)
))</f>
        <v>No</v>
      </c>
      <c r="T162" s="11" t="str">
        <f>IF(S162="No","No",
MAX(0.01,MROUND(_xlfn.XLOOKUP(B162,'Base stats'!B:B,'Base stats'!BF:BF) * 0.01 * 2, 0.01))
)</f>
        <v>No</v>
      </c>
      <c r="U162" s="5" t="str">
        <f>IF(S162="No","No",IF(_xlfn.XLOOKUP(B162,'Base stats'!B:B,'Base stats'!U:U)="No","No",
MAX(0.01,MROUND(_xlfn.XLOOKUP(B162,'Base stats'!B:B,'Base stats'!BR:BR)/10000,0.01))
))</f>
        <v>No</v>
      </c>
      <c r="V162" s="4" t="str">
        <f>IF(S162="No","No",
MROUND(_xlfn.XLOOKUP(B162,'Base stats'!B:B,'Base stats'!BD:BD)^0.25
/((_xlfn.XLOOKUP(B162,'Base stats'!B:B,'Base stats'!BM:BM))*10)*_xlfn.XLOOKUP(_xlfn.XLOOKUP(B162,'Base stats'!B:B,'Base stats'!E:E),Groups!A:A,Groups!AE:AE)*150 + 0.5 + _xlfn.XLOOKUP(B162,'Base stats'!B:B,'Base stats'!BU:BU),
0.05))</f>
        <v>No</v>
      </c>
      <c r="W162" s="8">
        <f>MROUND(_xlfn.XLOOKUP(_xlfn.XLOOKUP(B162,'Base stats'!B:B,'Base stats'!E:E),Groups!A:A,Groups!BG:BG)*_xlfn.XLOOKUP(B162,'Base stats'!B:B,'Base stats'!C:C)^-0.165,0.01)</f>
        <v>0.99</v>
      </c>
      <c r="X162" s="1">
        <f>MROUND(_xlfn.XLOOKUP(_xlfn.XLOOKUP(B162,'Base stats'!B:B,'Base stats'!E:E),Groups!A:A,Groups!BH:BH)*_xlfn.XLOOKUP(B162,'Base stats'!B:B,'Base stats'!C:C)^0.165,0.01)</f>
        <v>0</v>
      </c>
      <c r="Y162" s="8">
        <f>MROUND(_xlfn.XLOOKUP(_xlfn.XLOOKUP(B162,'Base stats'!B:B,'Base stats'!E:E),Groups!A:A,Groups!BI:BI)*_xlfn.XLOOKUP(B162,'Base stats'!B:B,'Base stats'!C:C)^0.165,0.01)</f>
        <v>0</v>
      </c>
      <c r="Z162" s="18">
        <f>ROUND(_xlfn.XLOOKUP(B162,'Base stats'!B:B,'Base stats'!AO:AO)*_xlfn.XLOOKUP(_xlfn.XLOOKUP(B162,'Base stats'!B:B,'Base stats'!E:E),Groups!A:A,Groups!H:H)/1000,2)</f>
        <v>0</v>
      </c>
      <c r="AA162" s="18">
        <f>ROUND((1/2)*(_xlfn.XLOOKUP(_xlfn.XLOOKUP(B162,'Base stats'!B:B,'Base stats'!E:E),Groups!A:A,Groups!H:H)*_xlfn.XLOOKUP(_xlfn.XLOOKUP(B162,'Base stats'!B:B,'Base stats'!E:E),Groups!A:A,Groups!I:I))*_xlfn.XLOOKUP(B162,'Base stats'!B:B,'Base stats'!AO:AO)*0.01,2)</f>
        <v>0</v>
      </c>
      <c r="AB162" s="18">
        <f>250*(Animals!AO162+Animals!AP162)</f>
        <v>75.000000000000014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stats'!BQ:BQ) * (_xlfn.XLOOKUP(B163,'Base stats'!B:B,'Base stats'!AM:AM)*5%)^0.9 / 21,0.1),0.05)</f>
        <v>2.1</v>
      </c>
      <c r="E163" s="11">
        <f>MAX(0.01,MROUND(_xlfn.XLOOKUP(B163,'Base stats'!B:B,'Base stats'!BE:BE) * 0.01 * 2, 0.01))</f>
        <v>1.73</v>
      </c>
      <c r="F163" s="7">
        <f>MROUND(_xlfn.XLOOKUP(B163,'Base stats'!B:B,'Base stats'!BB:BB)^0.25 / (_xlfn.XLOOKUP(B163,'Base stats'!B:B,'Base stats'!BI:BI) * 10) * 150 + 0.5 + _xlfn.XLOOKUP(B163,'Base stats'!B:B,'Base stats'!BU:BU), 0.05)</f>
        <v>1.6500000000000001</v>
      </c>
      <c r="G163" s="3" t="str">
        <f>IF(Animals!S163="No","No",
IF(_xlfn.XLOOKUP(B163,'Base stats'!B:B,'Base stats'!U:U)="No",
MAX(MROUND(_xlfn.XLOOKUP(B163,'Base stats'!B:B,'Base stats'!BR:BR) * _xlfn.XLOOKUP(B163,'Base stats'!B:B,'Base stats'!BN:BN)^0.9 / 21 * _xlfn.XLOOKUP(B163,'Base stats'!B:B,'Base stats'!BV:BV),0.1),0.05),
MAX(MROUND(((MIN(10,_xlfn.XLOOKUP(B163,'Base stats'!B:B,'Base stats'!U:U)))^0.4*_xlfn.XLOOKUP(B163,'Base stats'!B:B,'Base stats'!BF:BF)^0.73)^0.6 * _xlfn.XLOOKUP(B163,'Base stats'!B:B,'Base stats'!BV:BV),0.1),0.05)
))</f>
        <v>No</v>
      </c>
      <c r="H163" s="11" t="str">
        <f>IF(G163="No","No",
MAX(0.01,MROUND(_xlfn.XLOOKUP(B163,'Base stats'!B:B,'Base stats'!BF:BF) * 0.01 * 2, 0.01))
)</f>
        <v>No</v>
      </c>
      <c r="I163" s="11" t="str">
        <f>IF(G163="No","No",IF(_xlfn.XLOOKUP(B163,'Base stats'!B:B,'Base stats'!U:U)="No","No",
MAX(0.01,MROUND(_xlfn.XLOOKUP(B163,'Base stats'!B:B,'Base stats'!BR:BR)/10000,0.01))
))</f>
        <v>No</v>
      </c>
      <c r="J163" s="4" t="str">
        <f>IF(G163="No","No",
MROUND(_xlfn.XLOOKUP(B163,'Base stats'!B:B,'Base stats'!BC:BC)^0.25
/((_xlfn.XLOOKUP(B163,'Base stats'!B:B,'Base stats'!BJ:BJ))*10)*_xlfn.XLOOKUP(_xlfn.XLOOKUP(B163,'Base stats'!B:B,'Base stats'!E:E),Groups!A:A,Groups!Q:Q)*150 + 0.5 + _xlfn.XLOOKUP(B163,'Base stats'!B:B,'Base stats'!BU:BU),
0.05))</f>
        <v>No</v>
      </c>
      <c r="K163" s="3" t="str">
        <f>IF(Animals!X163="No","No",
IF(_xlfn.XLOOKUP(_xlfn.XLOOKUP(B163,'Base stats'!B:B,'Base stats'!E:E),Groups!A:A,Groups!BD:BD)=1,
MAX(MROUND(_xlfn.XLOOKUP(B163,'Base stats'!B:B,'Base stats'!BS:BS) * _xlfn.XLOOKUP(B163,'Base stats'!B:B,'Base stats'!BO:BO)^0.9 / 21 *_xlfn.XLOOKUP(B163,'Base stats'!B:B,'Base stats'!BV:BV),0.1),0.05),
MAX(MROUND(((MIN(10,_xlfn.XLOOKUP(B163,'Base stats'!B:B,'Base stats'!W:W)))^0.4*_xlfn.XLOOKUP(B163,'Base stats'!B:B,'Base stats'!BG:BG)^0.73)^0.6 *_xlfn.XLOOKUP(B163,'Base stats'!B:B,'Base stats'!BV:BV),0.1),0.05)
))</f>
        <v>No</v>
      </c>
      <c r="L163" s="11" t="str">
        <f>IF(K163="No","No",
MAX(0.01,MROUND(_xlfn.XLOOKUP(B163,'Base stats'!B:B,'Base stats'!BG:BG) * 0.01 *2, 0.01))
)</f>
        <v>No</v>
      </c>
      <c r="M163" s="5" t="str">
        <f>IF(K163="No","No",IF(_xlfn.XLOOKUP(_xlfn.XLOOKUP(B163,'Base stats'!B:B,'Base stats'!E:E),Groups!A:A,Groups!BD:BD)=1,"No",
MAX(0.01,MROUND(_xlfn.XLOOKUP(B163,'Base stats'!B:B,'Base stats'!BS:BS)/10000,0.01))
))</f>
        <v>No</v>
      </c>
      <c r="N163" s="4" t="str">
        <f>IF(K163="No","No",
MROUND(
  _xlfn.XLOOKUP(B163,'Base stats'!B:B,'Base stats'!BA:BA)^0.25
  / (_xlfn.XLOOKUP(B163,'Base stats'!B:B,'Base stats'!BK:BK)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stats'!BU:BU),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stats'!BH:BH)^0.73)^0.6 *_xlfn.XLOOKUP(B163,'Base stats'!B:B,'Base stats'!BV:BV),0.1),0.05)
)</f>
        <v>10.200000000000001</v>
      </c>
      <c r="P163" s="11">
        <f>IF(O163="No","No",
MAX(0.01,MROUND(_xlfn.XLOOKUP(B163,'Base stats'!B:B,'Base stats'!BH:BH) * 0.01 * 2, 0.01))
)</f>
        <v>2.2200000000000002</v>
      </c>
      <c r="Q163" s="5">
        <f>IF(O163="No","No",
MAX(0.01,MROUND(_xlfn.XLOOKUP(B163,'Base stats'!B:B,'Base stats'!BT:BT)/10000,0.01))
)</f>
        <v>0.14000000000000001</v>
      </c>
      <c r="R163" s="4">
        <f>IF(O163="No","No",
MROUND(_xlfn.XLOOKUP(B163,'Base stats'!B:B,'Base stats'!AZ:AZ)^0.25
/((_xlfn.XLOOKUP(B163,'Base stats'!B:B,'Base stats'!BL:BL))*10)*_xlfn.XLOOKUP(_xlfn.XLOOKUP(B163,'Base stats'!B:B,'Base stats'!E:E),Groups!A:A,Groups!Z:Z)*150 + 0.5 + _xlfn.XLOOKUP(B163,'Base stats'!B:B,'Base stats'!BU:BU),
0.05))</f>
        <v>2.0500000000000003</v>
      </c>
      <c r="S163" s="3">
        <f>IF(Animals!AI163="No","No",
IF(_xlfn.XLOOKUP(B163,'Base stats'!B:B,'Base stats'!U:U)="No",
MAX(MROUND(_xlfn.XLOOKUP(B163,'Base stats'!B:B,'Base stats'!BR:BR) * _xlfn.XLOOKUP(B163,'Base stats'!B:B,'Base stats'!BN:BN)^0.9 / 21 * _xlfn.XLOOKUP(B163,'Base stats'!B:B,'Base stats'!BV:BV),0.1),0.05),
MAX(MROUND(((MIN(12,_xlfn.XLOOKUP(B163,'Base stats'!B:B,'Base stats'!U:U)))^0.4*_xlfn.XLOOKUP(B163,'Base stats'!B:B,'Base stats'!BF:BF)^0.73)^0.6 * _xlfn.XLOOKUP(B163,'Base stats'!B:B,'Base stats'!BV:BV),0.1),0.05)
))</f>
        <v>4.8000000000000007</v>
      </c>
      <c r="T163" s="11">
        <f>IF(S163="No","No",
MAX(0.01,MROUND(_xlfn.XLOOKUP(B163,'Base stats'!B:B,'Base stats'!BF:BF) * 0.01 * 2, 0.01))
)</f>
        <v>2.2400000000000002</v>
      </c>
      <c r="U163" s="5" t="str">
        <f>IF(S163="No","No",IF(_xlfn.XLOOKUP(B163,'Base stats'!B:B,'Base stats'!U:U)="No","No",
MAX(0.01,MROUND(_xlfn.XLOOKUP(B163,'Base stats'!B:B,'Base stats'!BR:BR)/10000,0.01))
))</f>
        <v>No</v>
      </c>
      <c r="V163" s="4">
        <f>IF(S163="No","No",
MROUND(_xlfn.XLOOKUP(B163,'Base stats'!B:B,'Base stats'!BD:BD)^0.25
/((_xlfn.XLOOKUP(B163,'Base stats'!B:B,'Base stats'!BM:BM))*10)*_xlfn.XLOOKUP(_xlfn.XLOOKUP(B163,'Base stats'!B:B,'Base stats'!E:E),Groups!A:A,Groups!AE:AE)*150 + 0.5 + _xlfn.XLOOKUP(B163,'Base stats'!B:B,'Base stats'!BU:BU),
0.05))</f>
        <v>1.4000000000000001</v>
      </c>
      <c r="W163" s="8">
        <f>MROUND(_xlfn.XLOOKUP(_xlfn.XLOOKUP(B163,'Base stats'!B:B,'Base stats'!E:E),Groups!A:A,Groups!BG:BG)*_xlfn.XLOOKUP(B163,'Base stats'!B:B,'Base stats'!C:C)^-0.165,0.01)</f>
        <v>0.5</v>
      </c>
      <c r="X163" s="1">
        <f>MROUND(_xlfn.XLOOKUP(_xlfn.XLOOKUP(B163,'Base stats'!B:B,'Base stats'!E:E),Groups!A:A,Groups!BH:BH)*_xlfn.XLOOKUP(B163,'Base stats'!B:B,'Base stats'!C:C)^0.165,0.01)</f>
        <v>0.2</v>
      </c>
      <c r="Y163" s="8">
        <f>MROUND(_xlfn.XLOOKUP(_xlfn.XLOOKUP(B163,'Base stats'!B:B,'Base stats'!E:E),Groups!A:A,Groups!BI:BI)*_xlfn.XLOOKUP(B163,'Base stats'!B:B,'Base stats'!C:C)^0.165,0.01)</f>
        <v>0.1</v>
      </c>
      <c r="Z163" s="18">
        <f>ROUND(_xlfn.XLOOKUP(B163,'Base stats'!B:B,'Base stats'!AO:AO)*_xlfn.XLOOKUP(_xlfn.XLOOKUP(B163,'Base stats'!B:B,'Base stats'!E:E),Groups!A:A,Groups!H:H)/1000,2)</f>
        <v>0.04</v>
      </c>
      <c r="AA163" s="18">
        <f>ROUND((1/2)*(_xlfn.XLOOKUP(_xlfn.XLOOKUP(B163,'Base stats'!B:B,'Base stats'!E:E),Groups!A:A,Groups!H:H)*_xlfn.XLOOKUP(_xlfn.XLOOKUP(B163,'Base stats'!B:B,'Base stats'!E:E),Groups!A:A,Groups!I:I))*_xlfn.XLOOKUP(B163,'Base stats'!B:B,'Base stats'!AO:AO)*0.01,2)</f>
        <v>0.23</v>
      </c>
      <c r="AB163" s="18">
        <f>250*(Animals!AO163+Animals!AP163)</f>
        <v>475.00000000000006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stats'!BQ:BQ) * (_xlfn.XLOOKUP(B164,'Base stats'!B:B,'Base stats'!AM:AM)*5%)^0.9 / 21,0.1),0.05)</f>
        <v>0.2</v>
      </c>
      <c r="E164" s="11">
        <f>MAX(0.01,MROUND(_xlfn.XLOOKUP(B164,'Base stats'!B:B,'Base stats'!BE:BE) * 0.01 * 2, 0.01))</f>
        <v>0.17</v>
      </c>
      <c r="F164" s="7">
        <f>MROUND(_xlfn.XLOOKUP(B164,'Base stats'!B:B,'Base stats'!BB:BB)^0.25 / (_xlfn.XLOOKUP(B164,'Base stats'!B:B,'Base stats'!BI:BI) * 10) * 150 + 0.5 + _xlfn.XLOOKUP(B164,'Base stats'!B:B,'Base stats'!BU:BU), 0.05)</f>
        <v>1.3</v>
      </c>
      <c r="G164" s="3">
        <f>IF(Animals!S164="No","No",
IF(_xlfn.XLOOKUP(B164,'Base stats'!B:B,'Base stats'!U:U)="No",
MAX(MROUND(_xlfn.XLOOKUP(B164,'Base stats'!B:B,'Base stats'!BR:BR) * _xlfn.XLOOKUP(B164,'Base stats'!B:B,'Base stats'!BN:BN)^0.9 / 21 * _xlfn.XLOOKUP(B164,'Base stats'!B:B,'Base stats'!BV:BV),0.1),0.05),
MAX(MROUND(((MIN(10,_xlfn.XLOOKUP(B164,'Base stats'!B:B,'Base stats'!U:U)))^0.4*_xlfn.XLOOKUP(B164,'Base stats'!B:B,'Base stats'!BF:BF)^0.73)^0.6 * _xlfn.XLOOKUP(B164,'Base stats'!B:B,'Base stats'!BV:BV),0.1),0.05)
))</f>
        <v>3.6</v>
      </c>
      <c r="H164" s="11">
        <f>IF(G164="No","No",
MAX(0.01,MROUND(_xlfn.XLOOKUP(B164,'Base stats'!B:B,'Base stats'!BF:BF) * 0.01 * 2, 0.01))
)</f>
        <v>0.25</v>
      </c>
      <c r="I164" s="11">
        <f>IF(G164="No","No",IF(_xlfn.XLOOKUP(B164,'Base stats'!B:B,'Base stats'!U:U)="No","No",
MAX(0.01,MROUND(_xlfn.XLOOKUP(B164,'Base stats'!B:B,'Base stats'!BR:BR)/10000,0.01))
))</f>
        <v>0.04</v>
      </c>
      <c r="J164" s="4">
        <f>IF(G164="No","No",
MROUND(_xlfn.XLOOKUP(B164,'Base stats'!B:B,'Base stats'!BC:BC)^0.25
/((_xlfn.XLOOKUP(B164,'Base stats'!B:B,'Base stats'!BJ:BJ))*10)*_xlfn.XLOOKUP(_xlfn.XLOOKUP(B164,'Base stats'!B:B,'Base stats'!E:E),Groups!A:A,Groups!Q:Q)*150 + 0.5 + _xlfn.XLOOKUP(B164,'Base stats'!B:B,'Base stats'!BU:BU),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stats'!BS:BS) * _xlfn.XLOOKUP(B164,'Base stats'!B:B,'Base stats'!BO:BO)^0.9 / 21 *_xlfn.XLOOKUP(B164,'Base stats'!B:B,'Base stats'!BV:BV),0.1),0.05),
MAX(MROUND(((MIN(10,_xlfn.XLOOKUP(B164,'Base stats'!B:B,'Base stats'!W:W)))^0.4*_xlfn.XLOOKUP(B164,'Base stats'!B:B,'Base stats'!BG:BG)^0.73)^0.6 *_xlfn.XLOOKUP(B164,'Base stats'!B:B,'Base stats'!BV:BV),0.1),0.05)
))</f>
        <v>No</v>
      </c>
      <c r="L164" s="11" t="str">
        <f>IF(K164="No","No",
MAX(0.01,MROUND(_xlfn.XLOOKUP(B164,'Base stats'!B:B,'Base stats'!BG:BG) * 0.01 *2, 0.01))
)</f>
        <v>No</v>
      </c>
      <c r="M164" s="5" t="str">
        <f>IF(K164="No","No",IF(_xlfn.XLOOKUP(_xlfn.XLOOKUP(B164,'Base stats'!B:B,'Base stats'!E:E),Groups!A:A,Groups!BD:BD)=1,"No",
MAX(0.01,MROUND(_xlfn.XLOOKUP(B164,'Base stats'!B:B,'Base stats'!BS:BS)/10000,0.01))
))</f>
        <v>No</v>
      </c>
      <c r="N164" s="4" t="str">
        <f>IF(K164="No","No",
MROUND(
  _xlfn.XLOOKUP(B164,'Base stats'!B:B,'Base stats'!BA:BA)^0.25
  / (_xlfn.XLOOKUP(B164,'Base stats'!B:B,'Base stats'!BK:BK)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stats'!BU:BU),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stats'!BH:BH)^0.73)^0.6 *_xlfn.XLOOKUP(B164,'Base stats'!B:B,'Base stats'!BV:BV),0.1),0.05)
)</f>
        <v>1.3</v>
      </c>
      <c r="P164" s="11">
        <f>IF(O164="No","No",
MAX(0.01,MROUND(_xlfn.XLOOKUP(B164,'Base stats'!B:B,'Base stats'!BH:BH) * 0.01 * 2, 0.01))
)</f>
        <v>0.05</v>
      </c>
      <c r="Q164" s="5">
        <f>IF(O164="No","No",
MAX(0.01,MROUND(_xlfn.XLOOKUP(B164,'Base stats'!B:B,'Base stats'!BT:BT)/10000,0.01))
)</f>
        <v>0.01</v>
      </c>
      <c r="R164" s="4">
        <f>IF(O164="No","No",
MROUND(_xlfn.XLOOKUP(B164,'Base stats'!B:B,'Base stats'!AZ:AZ)^0.25
/((_xlfn.XLOOKUP(B164,'Base stats'!B:B,'Base stats'!BL:BL))*10)*_xlfn.XLOOKUP(_xlfn.XLOOKUP(B164,'Base stats'!B:B,'Base stats'!E:E),Groups!A:A,Groups!Z:Z)*150 + 0.5 + _xlfn.XLOOKUP(B164,'Base stats'!B:B,'Base stats'!BU:BU),
0.05))</f>
        <v>2</v>
      </c>
      <c r="S164" s="3" t="str">
        <f>IF(Animals!AI164="No","No",
IF(_xlfn.XLOOKUP(B164,'Base stats'!B:B,'Base stats'!U:U)="No",
MAX(MROUND(_xlfn.XLOOKUP(B164,'Base stats'!B:B,'Base stats'!BR:BR) * _xlfn.XLOOKUP(B164,'Base stats'!B:B,'Base stats'!BN:BN)^0.9 / 21 * _xlfn.XLOOKUP(B164,'Base stats'!B:B,'Base stats'!BV:BV),0.1),0.05),
MAX(MROUND(((MIN(12,_xlfn.XLOOKUP(B164,'Base stats'!B:B,'Base stats'!U:U)))^0.4*_xlfn.XLOOKUP(B164,'Base stats'!B:B,'Base stats'!BF:BF)^0.73)^0.6 * _xlfn.XLOOKUP(B164,'Base stats'!B:B,'Base stats'!BV:BV),0.1),0.05)
))</f>
        <v>No</v>
      </c>
      <c r="T164" s="11" t="str">
        <f>IF(S164="No","No",
MAX(0.01,MROUND(_xlfn.XLOOKUP(B164,'Base stats'!B:B,'Base stats'!BF:BF) * 0.01 * 2, 0.01))
)</f>
        <v>No</v>
      </c>
      <c r="U164" s="5" t="str">
        <f>IF(S164="No","No",IF(_xlfn.XLOOKUP(B164,'Base stats'!B:B,'Base stats'!U:U)="No","No",
MAX(0.01,MROUND(_xlfn.XLOOKUP(B164,'Base stats'!B:B,'Base stats'!BR:BR)/10000,0.01))
))</f>
        <v>No</v>
      </c>
      <c r="V164" s="4" t="str">
        <f>IF(S164="No","No",
MROUND(_xlfn.XLOOKUP(B164,'Base stats'!B:B,'Base stats'!BD:BD)^0.25
/((_xlfn.XLOOKUP(B164,'Base stats'!B:B,'Base stats'!BM:BM))*10)*_xlfn.XLOOKUP(_xlfn.XLOOKUP(B164,'Base stats'!B:B,'Base stats'!E:E),Groups!A:A,Groups!AE:AE)*150 + 0.5 + _xlfn.XLOOKUP(B164,'Base stats'!B:B,'Base stats'!BU:BU),
0.05))</f>
        <v>No</v>
      </c>
      <c r="W164" s="8">
        <f>MROUND(_xlfn.XLOOKUP(_xlfn.XLOOKUP(B164,'Base stats'!B:B,'Base stats'!E:E),Groups!A:A,Groups!BG:BG)*_xlfn.XLOOKUP(B164,'Base stats'!B:B,'Base stats'!C:C)^-0.165,0.01)</f>
        <v>0.77</v>
      </c>
      <c r="X164" s="1">
        <f>MROUND(_xlfn.XLOOKUP(_xlfn.XLOOKUP(B164,'Base stats'!B:B,'Base stats'!E:E),Groups!A:A,Groups!BH:BH)*_xlfn.XLOOKUP(B164,'Base stats'!B:B,'Base stats'!C:C)^0.165,0.01)</f>
        <v>0</v>
      </c>
      <c r="Y164" s="8">
        <f>MROUND(_xlfn.XLOOKUP(_xlfn.XLOOKUP(B164,'Base stats'!B:B,'Base stats'!E:E),Groups!A:A,Groups!BI:BI)*_xlfn.XLOOKUP(B164,'Base stats'!B:B,'Base stats'!C:C)^0.165,0.01)</f>
        <v>0</v>
      </c>
      <c r="Z164" s="18">
        <f>ROUND(_xlfn.XLOOKUP(B164,'Base stats'!B:B,'Base stats'!AO:AO)*_xlfn.XLOOKUP(_xlfn.XLOOKUP(B164,'Base stats'!B:B,'Base stats'!E:E),Groups!A:A,Groups!H:H)/1000,2)</f>
        <v>0</v>
      </c>
      <c r="AA164" s="18">
        <f>ROUND((1/2)*(_xlfn.XLOOKUP(_xlfn.XLOOKUP(B164,'Base stats'!B:B,'Base stats'!E:E),Groups!A:A,Groups!H:H)*_xlfn.XLOOKUP(_xlfn.XLOOKUP(B164,'Base stats'!B:B,'Base stats'!E:E),Groups!A:A,Groups!I:I))*_xlfn.XLOOKUP(B164,'Base stats'!B:B,'Base stats'!AO:AO)*0.01,2)</f>
        <v>0.01</v>
      </c>
      <c r="AB164" s="18">
        <f>250*(Animals!AO164+Animals!AP164)</f>
        <v>150.00000000000003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stats'!BQ:BQ) * (_xlfn.XLOOKUP(B165,'Base stats'!B:B,'Base stats'!AM:AM)*5%)^0.9 / 21,0.1),0.05)</f>
        <v>0.4</v>
      </c>
      <c r="E165" s="11">
        <f>MAX(0.01,MROUND(_xlfn.XLOOKUP(B165,'Base stats'!B:B,'Base stats'!BE:BE) * 0.01 * 2, 0.01))</f>
        <v>0.28000000000000003</v>
      </c>
      <c r="F165" s="7">
        <f>MROUND(_xlfn.XLOOKUP(B165,'Base stats'!B:B,'Base stats'!BB:BB)^0.25 / (_xlfn.XLOOKUP(B165,'Base stats'!B:B,'Base stats'!BI:BI) * 10) * 150 + 0.5 + _xlfn.XLOOKUP(B165,'Base stats'!B:B,'Base stats'!BU:BU), 0.05)</f>
        <v>1.55</v>
      </c>
      <c r="G165" s="3" t="str">
        <f>IF(Animals!S165="No","No",
IF(_xlfn.XLOOKUP(B165,'Base stats'!B:B,'Base stats'!U:U)="No",
MAX(MROUND(_xlfn.XLOOKUP(B165,'Base stats'!B:B,'Base stats'!BR:BR) * _xlfn.XLOOKUP(B165,'Base stats'!B:B,'Base stats'!BN:BN)^0.9 / 21 * _xlfn.XLOOKUP(B165,'Base stats'!B:B,'Base stats'!BV:BV),0.1),0.05),
MAX(MROUND(((MIN(10,_xlfn.XLOOKUP(B165,'Base stats'!B:B,'Base stats'!U:U)))^0.4*_xlfn.XLOOKUP(B165,'Base stats'!B:B,'Base stats'!BF:BF)^0.73)^0.6 * _xlfn.XLOOKUP(B165,'Base stats'!B:B,'Base stats'!BV:BV),0.1),0.05)
))</f>
        <v>No</v>
      </c>
      <c r="H165" s="11" t="str">
        <f>IF(G165="No","No",
MAX(0.01,MROUND(_xlfn.XLOOKUP(B165,'Base stats'!B:B,'Base stats'!BF:BF) * 0.01 * 2, 0.01))
)</f>
        <v>No</v>
      </c>
      <c r="I165" s="11" t="str">
        <f>IF(G165="No","No",IF(_xlfn.XLOOKUP(B165,'Base stats'!B:B,'Base stats'!U:U)="No","No",
MAX(0.01,MROUND(_xlfn.XLOOKUP(B165,'Base stats'!B:B,'Base stats'!BR:BR)/10000,0.01))
))</f>
        <v>No</v>
      </c>
      <c r="J165" s="4" t="str">
        <f>IF(G165="No","No",
MROUND(_xlfn.XLOOKUP(B165,'Base stats'!B:B,'Base stats'!BC:BC)^0.25
/((_xlfn.XLOOKUP(B165,'Base stats'!B:B,'Base stats'!BJ:BJ))*10)*_xlfn.XLOOKUP(_xlfn.XLOOKUP(B165,'Base stats'!B:B,'Base stats'!E:E),Groups!A:A,Groups!Q:Q)*150 + 0.5 + _xlfn.XLOOKUP(B165,'Base stats'!B:B,'Base stats'!BU:BU),
0.05))</f>
        <v>No</v>
      </c>
      <c r="K165" s="3" t="str">
        <f>IF(Animals!X165="No","No",
IF(_xlfn.XLOOKUP(_xlfn.XLOOKUP(B165,'Base stats'!B:B,'Base stats'!E:E),Groups!A:A,Groups!BD:BD)=1,
MAX(MROUND(_xlfn.XLOOKUP(B165,'Base stats'!B:B,'Base stats'!BS:BS) * _xlfn.XLOOKUP(B165,'Base stats'!B:B,'Base stats'!BO:BO)^0.9 / 21 *_xlfn.XLOOKUP(B165,'Base stats'!B:B,'Base stats'!BV:BV),0.1),0.05),
MAX(MROUND(((MIN(10,_xlfn.XLOOKUP(B165,'Base stats'!B:B,'Base stats'!W:W)))^0.4*_xlfn.XLOOKUP(B165,'Base stats'!B:B,'Base stats'!BG:BG)^0.73)^0.6 *_xlfn.XLOOKUP(B165,'Base stats'!B:B,'Base stats'!BV:BV),0.1),0.05)
))</f>
        <v>No</v>
      </c>
      <c r="L165" s="11" t="str">
        <f>IF(K165="No","No",
MAX(0.01,MROUND(_xlfn.XLOOKUP(B165,'Base stats'!B:B,'Base stats'!BG:BG) * 0.01 *2, 0.01))
)</f>
        <v>No</v>
      </c>
      <c r="M165" s="5" t="str">
        <f>IF(K165="No","No",IF(_xlfn.XLOOKUP(_xlfn.XLOOKUP(B165,'Base stats'!B:B,'Base stats'!E:E),Groups!A:A,Groups!BD:BD)=1,"No",
MAX(0.01,MROUND(_xlfn.XLOOKUP(B165,'Base stats'!B:B,'Base stats'!BS:BS)/10000,0.01))
))</f>
        <v>No</v>
      </c>
      <c r="N165" s="4" t="str">
        <f>IF(K165="No","No",
MROUND(
  _xlfn.XLOOKUP(B165,'Base stats'!B:B,'Base stats'!BA:BA)^0.25
  / (_xlfn.XLOOKUP(B165,'Base stats'!B:B,'Base stats'!BK:BK)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stats'!BU:BU),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stats'!BH:BH)^0.73)^0.6 *_xlfn.XLOOKUP(B165,'Base stats'!B:B,'Base stats'!BV:BV),0.1),0.05)
)</f>
        <v>2.5</v>
      </c>
      <c r="P165" s="11">
        <f>IF(O165="No","No",
MAX(0.01,MROUND(_xlfn.XLOOKUP(B165,'Base stats'!B:B,'Base stats'!BH:BH) * 0.01 * 2, 0.01))
)</f>
        <v>7.0000000000000007E-2</v>
      </c>
      <c r="Q165" s="5">
        <f>IF(O165="No","No",
MAX(0.01,MROUND(_xlfn.XLOOKUP(B165,'Base stats'!B:B,'Base stats'!BT:BT)/10000,0.01))
)</f>
        <v>0.01</v>
      </c>
      <c r="R165" s="4">
        <f>IF(O165="No","No",
MROUND(_xlfn.XLOOKUP(B165,'Base stats'!B:B,'Base stats'!AZ:AZ)^0.25
/((_xlfn.XLOOKUP(B165,'Base stats'!B:B,'Base stats'!BL:BL))*10)*_xlfn.XLOOKUP(_xlfn.XLOOKUP(B165,'Base stats'!B:B,'Base stats'!E:E),Groups!A:A,Groups!Z:Z)*150 + 0.5 + _xlfn.XLOOKUP(B165,'Base stats'!B:B,'Base stats'!BU:BU),
0.05))</f>
        <v>1.8</v>
      </c>
      <c r="S165" s="3" t="str">
        <f>IF(Animals!AI165="No","No",
IF(_xlfn.XLOOKUP(B165,'Base stats'!B:B,'Base stats'!U:U)="No",
MAX(MROUND(_xlfn.XLOOKUP(B165,'Base stats'!B:B,'Base stats'!BR:BR) * _xlfn.XLOOKUP(B165,'Base stats'!B:B,'Base stats'!BN:BN)^0.9 / 21 * _xlfn.XLOOKUP(B165,'Base stats'!B:B,'Base stats'!BV:BV),0.1),0.05),
MAX(MROUND(((MIN(12,_xlfn.XLOOKUP(B165,'Base stats'!B:B,'Base stats'!U:U)))^0.4*_xlfn.XLOOKUP(B165,'Base stats'!B:B,'Base stats'!BF:BF)^0.73)^0.6 * _xlfn.XLOOKUP(B165,'Base stats'!B:B,'Base stats'!BV:BV),0.1),0.05)
))</f>
        <v>No</v>
      </c>
      <c r="T165" s="11" t="str">
        <f>IF(S165="No","No",
MAX(0.01,MROUND(_xlfn.XLOOKUP(B165,'Base stats'!B:B,'Base stats'!BF:BF) * 0.01 * 2, 0.01))
)</f>
        <v>No</v>
      </c>
      <c r="U165" s="5" t="str">
        <f>IF(S165="No","No",IF(_xlfn.XLOOKUP(B165,'Base stats'!B:B,'Base stats'!U:U)="No","No",
MAX(0.01,MROUND(_xlfn.XLOOKUP(B165,'Base stats'!B:B,'Base stats'!BR:BR)/10000,0.01))
))</f>
        <v>No</v>
      </c>
      <c r="V165" s="4" t="str">
        <f>IF(S165="No","No",
MROUND(_xlfn.XLOOKUP(B165,'Base stats'!B:B,'Base stats'!BD:BD)^0.25
/((_xlfn.XLOOKUP(B165,'Base stats'!B:B,'Base stats'!BM:BM))*10)*_xlfn.XLOOKUP(_xlfn.XLOOKUP(B165,'Base stats'!B:B,'Base stats'!E:E),Groups!A:A,Groups!AE:AE)*150 + 0.5 + _xlfn.XLOOKUP(B165,'Base stats'!B:B,'Base stats'!BU:BU),
0.05))</f>
        <v>No</v>
      </c>
      <c r="W165" s="8">
        <f>MROUND(_xlfn.XLOOKUP(_xlfn.XLOOKUP(B165,'Base stats'!B:B,'Base stats'!E:E),Groups!A:A,Groups!BG:BG)*_xlfn.XLOOKUP(B165,'Base stats'!B:B,'Base stats'!C:C)^-0.165,0.01)</f>
        <v>0.70000000000000007</v>
      </c>
      <c r="X165" s="1">
        <f>MROUND(_xlfn.XLOOKUP(_xlfn.XLOOKUP(B165,'Base stats'!B:B,'Base stats'!E:E),Groups!A:A,Groups!BH:BH)*_xlfn.XLOOKUP(B165,'Base stats'!B:B,'Base stats'!C:C)^0.165,0.01)</f>
        <v>0</v>
      </c>
      <c r="Y165" s="8">
        <f>MROUND(_xlfn.XLOOKUP(_xlfn.XLOOKUP(B165,'Base stats'!B:B,'Base stats'!E:E),Groups!A:A,Groups!BI:BI)*_xlfn.XLOOKUP(B165,'Base stats'!B:B,'Base stats'!C:C)^0.165,0.01)</f>
        <v>0</v>
      </c>
      <c r="Z165" s="18">
        <f>ROUND(_xlfn.XLOOKUP(B165,'Base stats'!B:B,'Base stats'!AO:AO)*_xlfn.XLOOKUP(_xlfn.XLOOKUP(B165,'Base stats'!B:B,'Base stats'!E:E),Groups!A:A,Groups!H:H)/1000,2)</f>
        <v>0</v>
      </c>
      <c r="AA165" s="18">
        <f>ROUND((1/2)*(_xlfn.XLOOKUP(_xlfn.XLOOKUP(B165,'Base stats'!B:B,'Base stats'!E:E),Groups!A:A,Groups!H:H)*_xlfn.XLOOKUP(_xlfn.XLOOKUP(B165,'Base stats'!B:B,'Base stats'!E:E),Groups!A:A,Groups!I:I))*_xlfn.XLOOKUP(B165,'Base stats'!B:B,'Base stats'!AO:AO)*0.01,2)</f>
        <v>0.01</v>
      </c>
      <c r="AB165" s="18">
        <f>250*(Animals!AO165+Animals!AP165)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stats'!BQ:BQ) * (_xlfn.XLOOKUP(B166,'Base stats'!B:B,'Base stats'!AM:AM)*5%)^0.9 / 21,0.1),0.05)</f>
        <v>0.2</v>
      </c>
      <c r="E166" s="11">
        <f>MAX(0.01,MROUND(_xlfn.XLOOKUP(B166,'Base stats'!B:B,'Base stats'!BE:BE) * 0.01 * 2, 0.01))</f>
        <v>0.13</v>
      </c>
      <c r="F166" s="7">
        <f>MROUND(_xlfn.XLOOKUP(B166,'Base stats'!B:B,'Base stats'!BB:BB)^0.25 / (_xlfn.XLOOKUP(B166,'Base stats'!B:B,'Base stats'!BI:BI) * 10) * 150 + 0.5 + _xlfn.XLOOKUP(B166,'Base stats'!B:B,'Base stats'!BU:BU), 0.05)</f>
        <v>1.3</v>
      </c>
      <c r="G166" s="3" t="str">
        <f>IF(Animals!S166="No","No",
IF(_xlfn.XLOOKUP(B166,'Base stats'!B:B,'Base stats'!U:U)="No",
MAX(MROUND(_xlfn.XLOOKUP(B166,'Base stats'!B:B,'Base stats'!BR:BR) * _xlfn.XLOOKUP(B166,'Base stats'!B:B,'Base stats'!BN:BN)^0.9 / 21 * _xlfn.XLOOKUP(B166,'Base stats'!B:B,'Base stats'!BV:BV),0.1),0.05),
MAX(MROUND(((MIN(10,_xlfn.XLOOKUP(B166,'Base stats'!B:B,'Base stats'!U:U)))^0.4*_xlfn.XLOOKUP(B166,'Base stats'!B:B,'Base stats'!BF:BF)^0.73)^0.6 * _xlfn.XLOOKUP(B166,'Base stats'!B:B,'Base stats'!BV:BV),0.1),0.05)
))</f>
        <v>No</v>
      </c>
      <c r="H166" s="11" t="str">
        <f>IF(G166="No","No",
MAX(0.01,MROUND(_xlfn.XLOOKUP(B166,'Base stats'!B:B,'Base stats'!BF:BF) * 0.01 * 2, 0.01))
)</f>
        <v>No</v>
      </c>
      <c r="I166" s="11" t="str">
        <f>IF(G166="No","No",IF(_xlfn.XLOOKUP(B166,'Base stats'!B:B,'Base stats'!U:U)="No","No",
MAX(0.01,MROUND(_xlfn.XLOOKUP(B166,'Base stats'!B:B,'Base stats'!BR:BR)/10000,0.01))
))</f>
        <v>No</v>
      </c>
      <c r="J166" s="4" t="str">
        <f>IF(G166="No","No",
MROUND(_xlfn.XLOOKUP(B166,'Base stats'!B:B,'Base stats'!BC:BC)^0.25
/((_xlfn.XLOOKUP(B166,'Base stats'!B:B,'Base stats'!BJ:BJ))*10)*_xlfn.XLOOKUP(_xlfn.XLOOKUP(B166,'Base stats'!B:B,'Base stats'!E:E),Groups!A:A,Groups!Q:Q)*150 + 0.5 + _xlfn.XLOOKUP(B166,'Base stats'!B:B,'Base stats'!BU:BU),
0.05))</f>
        <v>No</v>
      </c>
      <c r="K166" s="3" t="str">
        <f>IF(Animals!X166="No","No",
IF(_xlfn.XLOOKUP(_xlfn.XLOOKUP(B166,'Base stats'!B:B,'Base stats'!E:E),Groups!A:A,Groups!BD:BD)=1,
MAX(MROUND(_xlfn.XLOOKUP(B166,'Base stats'!B:B,'Base stats'!BS:BS) * _xlfn.XLOOKUP(B166,'Base stats'!B:B,'Base stats'!BO:BO)^0.9 / 21 *_xlfn.XLOOKUP(B166,'Base stats'!B:B,'Base stats'!BV:BV),0.1),0.05),
MAX(MROUND(((MIN(10,_xlfn.XLOOKUP(B166,'Base stats'!B:B,'Base stats'!W:W)))^0.4*_xlfn.XLOOKUP(B166,'Base stats'!B:B,'Base stats'!BG:BG)^0.73)^0.6 *_xlfn.XLOOKUP(B166,'Base stats'!B:B,'Base stats'!BV:BV),0.1),0.05)
))</f>
        <v>No</v>
      </c>
      <c r="L166" s="11" t="str">
        <f>IF(K166="No","No",
MAX(0.01,MROUND(_xlfn.XLOOKUP(B166,'Base stats'!B:B,'Base stats'!BG:BG) * 0.01 *2, 0.01))
)</f>
        <v>No</v>
      </c>
      <c r="M166" s="5" t="str">
        <f>IF(K166="No","No",IF(_xlfn.XLOOKUP(_xlfn.XLOOKUP(B166,'Base stats'!B:B,'Base stats'!E:E),Groups!A:A,Groups!BD:BD)=1,"No",
MAX(0.01,MROUND(_xlfn.XLOOKUP(B166,'Base stats'!B:B,'Base stats'!BS:BS)/10000,0.01))
))</f>
        <v>No</v>
      </c>
      <c r="N166" s="4" t="str">
        <f>IF(K166="No","No",
MROUND(
  _xlfn.XLOOKUP(B166,'Base stats'!B:B,'Base stats'!BA:BA)^0.25
  / (_xlfn.XLOOKUP(B166,'Base stats'!B:B,'Base stats'!BK:BK)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stats'!BU:BU),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stats'!BH:BH)^0.73)^0.6 *_xlfn.XLOOKUP(B166,'Base stats'!B:B,'Base stats'!BV:BV),0.1),0.05)
)</f>
        <v>2.4000000000000004</v>
      </c>
      <c r="P166" s="11">
        <f>IF(O166="No","No",
MAX(0.01,MROUND(_xlfn.XLOOKUP(B166,'Base stats'!B:B,'Base stats'!BH:BH) * 0.01 * 2, 0.01))
)</f>
        <v>0.18</v>
      </c>
      <c r="Q166" s="5">
        <f>IF(O166="No","No",
MAX(0.01,MROUND(_xlfn.XLOOKUP(B166,'Base stats'!B:B,'Base stats'!BT:BT)/10000,0.01))
)</f>
        <v>0.04</v>
      </c>
      <c r="R166" s="4">
        <f>IF(O166="No","No",
MROUND(_xlfn.XLOOKUP(B166,'Base stats'!B:B,'Base stats'!AZ:AZ)^0.25
/((_xlfn.XLOOKUP(B166,'Base stats'!B:B,'Base stats'!BL:BL))*10)*_xlfn.XLOOKUP(_xlfn.XLOOKUP(B166,'Base stats'!B:B,'Base stats'!E:E),Groups!A:A,Groups!Z:Z)*150 + 0.5 + _xlfn.XLOOKUP(B166,'Base stats'!B:B,'Base stats'!BU:BU),
0.05))</f>
        <v>2.1</v>
      </c>
      <c r="S166" s="3" t="str">
        <f>IF(Animals!AI166="No","No",
IF(_xlfn.XLOOKUP(B166,'Base stats'!B:B,'Base stats'!U:U)="No",
MAX(MROUND(_xlfn.XLOOKUP(B166,'Base stats'!B:B,'Base stats'!BR:BR) * _xlfn.XLOOKUP(B166,'Base stats'!B:B,'Base stats'!BN:BN)^0.9 / 21 * _xlfn.XLOOKUP(B166,'Base stats'!B:B,'Base stats'!BV:BV),0.1),0.05),
MAX(MROUND(((MIN(12,_xlfn.XLOOKUP(B166,'Base stats'!B:B,'Base stats'!U:U)))^0.4*_xlfn.XLOOKUP(B166,'Base stats'!B:B,'Base stats'!BF:BF)^0.73)^0.6 * _xlfn.XLOOKUP(B166,'Base stats'!B:B,'Base stats'!BV:BV),0.1),0.05)
))</f>
        <v>No</v>
      </c>
      <c r="T166" s="11" t="str">
        <f>IF(S166="No","No",
MAX(0.01,MROUND(_xlfn.XLOOKUP(B166,'Base stats'!B:B,'Base stats'!BF:BF) * 0.01 * 2, 0.01))
)</f>
        <v>No</v>
      </c>
      <c r="U166" s="5" t="str">
        <f>IF(S166="No","No",IF(_xlfn.XLOOKUP(B166,'Base stats'!B:B,'Base stats'!U:U)="No","No",
MAX(0.01,MROUND(_xlfn.XLOOKUP(B166,'Base stats'!B:B,'Base stats'!BR:BR)/10000,0.01))
))</f>
        <v>No</v>
      </c>
      <c r="V166" s="4" t="str">
        <f>IF(S166="No","No",
MROUND(_xlfn.XLOOKUP(B166,'Base stats'!B:B,'Base stats'!BD:BD)^0.25
/((_xlfn.XLOOKUP(B166,'Base stats'!B:B,'Base stats'!BM:BM))*10)*_xlfn.XLOOKUP(_xlfn.XLOOKUP(B166,'Base stats'!B:B,'Base stats'!E:E),Groups!A:A,Groups!AE:AE)*150 + 0.5 + _xlfn.XLOOKUP(B166,'Base stats'!B:B,'Base stats'!BU:BU),
0.05))</f>
        <v>No</v>
      </c>
      <c r="W166" s="8">
        <f>MROUND(_xlfn.XLOOKUP(_xlfn.XLOOKUP(B166,'Base stats'!B:B,'Base stats'!E:E),Groups!A:A,Groups!BG:BG)*_xlfn.XLOOKUP(B166,'Base stats'!B:B,'Base stats'!C:C)^-0.165,0.01)</f>
        <v>0.56000000000000005</v>
      </c>
      <c r="X166" s="1">
        <f>MROUND(_xlfn.XLOOKUP(_xlfn.XLOOKUP(B166,'Base stats'!B:B,'Base stats'!E:E),Groups!A:A,Groups!BH:BH)*_xlfn.XLOOKUP(B166,'Base stats'!B:B,'Base stats'!C:C)^0.165,0.01)</f>
        <v>0</v>
      </c>
      <c r="Y166" s="8">
        <f>MROUND(_xlfn.XLOOKUP(_xlfn.XLOOKUP(B166,'Base stats'!B:B,'Base stats'!E:E),Groups!A:A,Groups!BI:BI)*_xlfn.XLOOKUP(B166,'Base stats'!B:B,'Base stats'!C:C)^0.165,0.01)</f>
        <v>0</v>
      </c>
      <c r="Z166" s="18">
        <f>ROUND(_xlfn.XLOOKUP(B166,'Base stats'!B:B,'Base stats'!AO:AO)*_xlfn.XLOOKUP(_xlfn.XLOOKUP(B166,'Base stats'!B:B,'Base stats'!E:E),Groups!A:A,Groups!H:H)/1000,2)</f>
        <v>0.02</v>
      </c>
      <c r="AA166" s="18">
        <f>ROUND((1/2)*(_xlfn.XLOOKUP(_xlfn.XLOOKUP(B166,'Base stats'!B:B,'Base stats'!E:E),Groups!A:A,Groups!H:H)*_xlfn.XLOOKUP(_xlfn.XLOOKUP(B166,'Base stats'!B:B,'Base stats'!E:E),Groups!A:A,Groups!I:I))*_xlfn.XLOOKUP(B166,'Base stats'!B:B,'Base stats'!AO:AO)*0.01,2)</f>
        <v>0.1</v>
      </c>
      <c r="AB166" s="18">
        <f>250*(Animals!AO166+Animals!AP166)</f>
        <v>125</v>
      </c>
      <c r="AC166" s="18" t="str">
        <f>_xlfn.XLOOKUP(_xlfn.XLOOKUP(B166,'Base stats'!B:B,'Base stats'!E:E),Groups!A:A,Groups!BJ:BJ)</f>
        <v>QuadrupedLow</v>
      </c>
    </row>
    <row r="167" spans="1:29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stats'!BQ:BQ) * (_xlfn.XLOOKUP(B167,'Base stats'!B:B,'Base stats'!AM:AM)*5%)^0.9 / 21,0.1),0.05)</f>
        <v>107.7</v>
      </c>
      <c r="E167" s="11">
        <f>MAX(0.01,MROUND(_xlfn.XLOOKUP(B167,'Base stats'!B:B,'Base stats'!BE:BE) * 0.01 * 2, 0.01))</f>
        <v>122.9</v>
      </c>
      <c r="F167" s="7">
        <f>MROUND(_xlfn.XLOOKUP(B167,'Base stats'!B:B,'Base stats'!BB:BB)^0.25 / (_xlfn.XLOOKUP(B167,'Base stats'!B:B,'Base stats'!BI:BI) * 10) * 150 + 0.5 + _xlfn.XLOOKUP(B167,'Base stats'!B:B,'Base stats'!BU:BU), 0.05)</f>
        <v>3.5</v>
      </c>
      <c r="G167" s="3" t="str">
        <f>IF(Animals!S167="No","No",
IF(_xlfn.XLOOKUP(B167,'Base stats'!B:B,'Base stats'!U:U)="No",
MAX(MROUND(_xlfn.XLOOKUP(B167,'Base stats'!B:B,'Base stats'!BR:BR) * _xlfn.XLOOKUP(B167,'Base stats'!B:B,'Base stats'!BN:BN)^0.9 / 21 * _xlfn.XLOOKUP(B167,'Base stats'!B:B,'Base stats'!BV:BV),0.1),0.05),
MAX(MROUND(((MIN(10,_xlfn.XLOOKUP(B167,'Base stats'!B:B,'Base stats'!U:U)))^0.4*_xlfn.XLOOKUP(B167,'Base stats'!B:B,'Base stats'!BF:BF)^0.73)^0.6 * _xlfn.XLOOKUP(B167,'Base stats'!B:B,'Base stats'!BV:BV),0.1),0.05)
))</f>
        <v>No</v>
      </c>
      <c r="H167" s="11" t="str">
        <f>IF(G167="No","No",
MAX(0.01,MROUND(_xlfn.XLOOKUP(B167,'Base stats'!B:B,'Base stats'!BF:BF) * 0.01 * 2, 0.01))
)</f>
        <v>No</v>
      </c>
      <c r="I167" s="11" t="str">
        <f>IF(G167="No","No",IF(_xlfn.XLOOKUP(B167,'Base stats'!B:B,'Base stats'!U:U)="No","No",
MAX(0.01,MROUND(_xlfn.XLOOKUP(B167,'Base stats'!B:B,'Base stats'!BR:BR)/10000,0.01))
))</f>
        <v>No</v>
      </c>
      <c r="J167" s="4" t="str">
        <f>IF(G167="No","No",
MROUND(_xlfn.XLOOKUP(B167,'Base stats'!B:B,'Base stats'!BC:BC)^0.25
/((_xlfn.XLOOKUP(B167,'Base stats'!B:B,'Base stats'!BJ:BJ))*10)*_xlfn.XLOOKUP(_xlfn.XLOOKUP(B167,'Base stats'!B:B,'Base stats'!E:E),Groups!A:A,Groups!Q:Q)*150 + 0.5 + _xlfn.XLOOKUP(B167,'Base stats'!B:B,'Base stats'!BU:BU),
0.05))</f>
        <v>No</v>
      </c>
      <c r="K167" s="3" t="str">
        <f>IF(Animals!X167="No","No",
IF(_xlfn.XLOOKUP(_xlfn.XLOOKUP(B167,'Base stats'!B:B,'Base stats'!E:E),Groups!A:A,Groups!BD:BD)=1,
MAX(MROUND(_xlfn.XLOOKUP(B167,'Base stats'!B:B,'Base stats'!BS:BS) * _xlfn.XLOOKUP(B167,'Base stats'!B:B,'Base stats'!BO:BO)^0.9 / 21 *_xlfn.XLOOKUP(B167,'Base stats'!B:B,'Base stats'!BV:BV),0.1),0.05),
MAX(MROUND(((MIN(10,_xlfn.XLOOKUP(B167,'Base stats'!B:B,'Base stats'!W:W)))^0.4*_xlfn.XLOOKUP(B167,'Base stats'!B:B,'Base stats'!BG:BG)^0.73)^0.6 *_xlfn.XLOOKUP(B167,'Base stats'!B:B,'Base stats'!BV:BV),0.1),0.05)
))</f>
        <v>No</v>
      </c>
      <c r="L167" s="11" t="str">
        <f>IF(K167="No","No",
MAX(0.01,MROUND(_xlfn.XLOOKUP(B167,'Base stats'!B:B,'Base stats'!BG:BG) * 0.01 *2, 0.01))
)</f>
        <v>No</v>
      </c>
      <c r="M167" s="5" t="str">
        <f>IF(K167="No","No",IF(_xlfn.XLOOKUP(_xlfn.XLOOKUP(B167,'Base stats'!B:B,'Base stats'!E:E),Groups!A:A,Groups!BD:BD)=1,"No",
MAX(0.01,MROUND(_xlfn.XLOOKUP(B167,'Base stats'!B:B,'Base stats'!BS:BS)/10000,0.01))
))</f>
        <v>No</v>
      </c>
      <c r="N167" s="4" t="str">
        <f>IF(K167="No","No",
MROUND(
  _xlfn.XLOOKUP(B167,'Base stats'!B:B,'Base stats'!BA:BA)^0.25
  / (_xlfn.XLOOKUP(B167,'Base stats'!B:B,'Base stats'!BK:BK)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stats'!BU:BU),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stats'!BH:BH)^0.73)^0.6 *_xlfn.XLOOKUP(B167,'Base stats'!B:B,'Base stats'!BV:BV),0.1),0.05)
)</f>
        <v>117.5</v>
      </c>
      <c r="P167" s="11">
        <f>IF(O167="No","No",
MAX(0.01,MROUND(_xlfn.XLOOKUP(B167,'Base stats'!B:B,'Base stats'!BH:BH) * 0.01 * 2, 0.01))
)</f>
        <v>301.49</v>
      </c>
      <c r="Q167" s="5">
        <f>IF(O167="No","No",
MAX(0.01,MROUND(_xlfn.XLOOKUP(B167,'Base stats'!B:B,'Base stats'!BT:BT)/10000,0.01))
)</f>
        <v>27.71</v>
      </c>
      <c r="R167" s="4">
        <f>IF(O167="No","No",
MROUND(_xlfn.XLOOKUP(B167,'Base stats'!B:B,'Base stats'!AZ:AZ)^0.25
/((_xlfn.XLOOKUP(B167,'Base stats'!B:B,'Base stats'!BL:BL))*10)*_xlfn.XLOOKUP(_xlfn.XLOOKUP(B167,'Base stats'!B:B,'Base stats'!E:E),Groups!A:A,Groups!Z:Z)*150 + 0.5 + _xlfn.XLOOKUP(B167,'Base stats'!B:B,'Base stats'!BU:BU),
0.05))</f>
        <v>2.4000000000000004</v>
      </c>
      <c r="S167" s="3">
        <f>IF(Animals!AI167="No","No",
IF(_xlfn.XLOOKUP(B167,'Base stats'!B:B,'Base stats'!U:U)="No",
MAX(MROUND(_xlfn.XLOOKUP(B167,'Base stats'!B:B,'Base stats'!BR:BR) * _xlfn.XLOOKUP(B167,'Base stats'!B:B,'Base stats'!BN:BN)^0.9 / 21 * _xlfn.XLOOKUP(B167,'Base stats'!B:B,'Base stats'!BV:BV),0.1),0.05),
MAX(MROUND(((MIN(12,_xlfn.XLOOKUP(B167,'Base stats'!B:B,'Base stats'!U:U)))^0.4*_xlfn.XLOOKUP(B167,'Base stats'!B:B,'Base stats'!BF:BF)^0.73)^0.6 * _xlfn.XLOOKUP(B167,'Base stats'!B:B,'Base stats'!BV:BV),0.1),0.05)
))</f>
        <v>82.600000000000009</v>
      </c>
      <c r="T167" s="11">
        <f>IF(S167="No","No",
MAX(0.01,MROUND(_xlfn.XLOOKUP(B167,'Base stats'!B:B,'Base stats'!BF:BF) * 0.01 * 2, 0.01))
)</f>
        <v>121.98</v>
      </c>
      <c r="U167" s="5">
        <f>IF(S167="No","No",IF(_xlfn.XLOOKUP(B167,'Base stats'!B:B,'Base stats'!U:U)="No","No",
MAX(0.01,MROUND(_xlfn.XLOOKUP(B167,'Base stats'!B:B,'Base stats'!BR:BR)/10000,0.01))
))</f>
        <v>11.21</v>
      </c>
      <c r="V167" s="4">
        <f>IF(S167="No","No",
MROUND(_xlfn.XLOOKUP(B167,'Base stats'!B:B,'Base stats'!BD:BD)^0.25
/((_xlfn.XLOOKUP(B167,'Base stats'!B:B,'Base stats'!BM:BM))*10)*_xlfn.XLOOKUP(_xlfn.XLOOKUP(B167,'Base stats'!B:B,'Base stats'!E:E),Groups!A:A,Groups!AE:AE)*150 + 0.5 + _xlfn.XLOOKUP(B167,'Base stats'!B:B,'Base stats'!BU:BU),
0.05))</f>
        <v>1.7000000000000002</v>
      </c>
      <c r="W167" s="8">
        <f>MROUND(_xlfn.XLOOKUP(_xlfn.XLOOKUP(B167,'Base stats'!B:B,'Base stats'!E:E),Groups!A:A,Groups!BG:BG)*_xlfn.XLOOKUP(B167,'Base stats'!B:B,'Base stats'!C:C)^-0.165,0.01)</f>
        <v>0.57999999999999996</v>
      </c>
      <c r="X167" s="1">
        <f>MROUND(_xlfn.XLOOKUP(_xlfn.XLOOKUP(B167,'Base stats'!B:B,'Base stats'!E:E),Groups!A:A,Groups!BH:BH)*_xlfn.XLOOKUP(B167,'Base stats'!B:B,'Base stats'!C:C)^0.165,0.01)</f>
        <v>2.15</v>
      </c>
      <c r="Y167" s="8">
        <f>MROUND(_xlfn.XLOOKUP(_xlfn.XLOOKUP(B167,'Base stats'!B:B,'Base stats'!E:E),Groups!A:A,Groups!BI:BI)*_xlfn.XLOOKUP(B167,'Base stats'!B:B,'Base stats'!C:C)^0.165,0.01)</f>
        <v>1.08</v>
      </c>
      <c r="Z167" s="18">
        <f>ROUND(_xlfn.XLOOKUP(B167,'Base stats'!B:B,'Base stats'!AO:AO)*_xlfn.XLOOKUP(_xlfn.XLOOKUP(B167,'Base stats'!B:B,'Base stats'!E:E),Groups!A:A,Groups!H:H)/1000,2)</f>
        <v>35.79</v>
      </c>
      <c r="AA167" s="18">
        <f>ROUND((1/2)*(_xlfn.XLOOKUP(_xlfn.XLOOKUP(B167,'Base stats'!B:B,'Base stats'!E:E),Groups!A:A,Groups!H:H)*_xlfn.XLOOKUP(_xlfn.XLOOKUP(B167,'Base stats'!B:B,'Base stats'!E:E),Groups!A:A,Groups!I:I))*_xlfn.XLOOKUP(B167,'Base stats'!B:B,'Base stats'!AO:AO)*0.01,2)</f>
        <v>215.28</v>
      </c>
      <c r="AB167" s="18">
        <f>250*(Animals!AO167+Animals!AP167)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Asciotaurus</v>
      </c>
      <c r="B168" s="6" t="str">
        <f>Animals!B168</f>
        <v>Asciotaurus validus</v>
      </c>
      <c r="C168" s="1" t="str">
        <f>Animals!C168</f>
        <v>&lt;li&gt;Asciotaurus&lt;/li&gt;</v>
      </c>
      <c r="D168" s="47">
        <f>MAX(MROUND(_xlfn.XLOOKUP(B168,'Base stats'!B:B,'Base stats'!BQ:BQ) * (_xlfn.XLOOKUP(B168,'Base stats'!B:B,'Base stats'!AM:AM)*5%)^0.9 / 21,0.1),0.05)</f>
        <v>79.300000000000011</v>
      </c>
      <c r="E168" s="11">
        <f>MAX(0.01,MROUND(_xlfn.XLOOKUP(B168,'Base stats'!B:B,'Base stats'!BE:BE) * 0.01 * 2, 0.01))</f>
        <v>90.52</v>
      </c>
      <c r="F168" s="7">
        <f>MROUND(_xlfn.XLOOKUP(B168,'Base stats'!B:B,'Base stats'!BB:BB)^0.25 / (_xlfn.XLOOKUP(B168,'Base stats'!B:B,'Base stats'!BI:BI) * 10) * 150 + 0.5 + _xlfn.XLOOKUP(B168,'Base stats'!B:B,'Base stats'!BU:BU), 0.05)</f>
        <v>2.25</v>
      </c>
      <c r="G168" s="3">
        <f>IF(Animals!S168="No","No",
IF(_xlfn.XLOOKUP(B168,'Base stats'!B:B,'Base stats'!U:U)="No",
MAX(MROUND(_xlfn.XLOOKUP(B168,'Base stats'!B:B,'Base stats'!BR:BR) * _xlfn.XLOOKUP(B168,'Base stats'!B:B,'Base stats'!BN:BN)^0.9 / 21 * _xlfn.XLOOKUP(B168,'Base stats'!B:B,'Base stats'!BV:BV),0.1),0.05),
MAX(MROUND(((MIN(10,_xlfn.XLOOKUP(B168,'Base stats'!B:B,'Base stats'!U:U)))^0.4*_xlfn.XLOOKUP(B168,'Base stats'!B:B,'Base stats'!BF:BF)^0.73)^0.6 * _xlfn.XLOOKUP(B168,'Base stats'!B:B,'Base stats'!BV:BV),0.1),0.05)
))</f>
        <v>112.4</v>
      </c>
      <c r="H168" s="11">
        <f>IF(G168="No","No",
MAX(0.01,MROUND(_xlfn.XLOOKUP(B168,'Base stats'!B:B,'Base stats'!BF:BF) * 0.01 * 2, 0.01))
)</f>
        <v>91.55</v>
      </c>
      <c r="I168" s="11" t="str">
        <f>IF(G168="No","No",IF(_xlfn.XLOOKUP(B168,'Base stats'!B:B,'Base stats'!U:U)="No","No",
MAX(0.01,MROUND(_xlfn.XLOOKUP(B168,'Base stats'!B:B,'Base stats'!BR:BR)/10000,0.01))
))</f>
        <v>No</v>
      </c>
      <c r="J168" s="4">
        <f>IF(G168="No","No",
MROUND(_xlfn.XLOOKUP(B168,'Base stats'!B:B,'Base stats'!BC:BC)^0.25
/((_xlfn.XLOOKUP(B168,'Base stats'!B:B,'Base stats'!BJ:BJ))*10)*_xlfn.XLOOKUP(_xlfn.XLOOKUP(B168,'Base stats'!B:B,'Base stats'!E:E),Groups!A:A,Groups!Q:Q)*150 + 0.5 + _xlfn.XLOOKUP(B168,'Base stats'!B:B,'Base stats'!BU:BU),
0.05))</f>
        <v>2.3000000000000003</v>
      </c>
      <c r="K168" s="3">
        <f>IF(Animals!X168="No","No",
IF(_xlfn.XLOOKUP(_xlfn.XLOOKUP(B168,'Base stats'!B:B,'Base stats'!E:E),Groups!A:A,Groups!BD:BD)=1,
MAX(MROUND(_xlfn.XLOOKUP(B168,'Base stats'!B:B,'Base stats'!BS:BS) * _xlfn.XLOOKUP(B168,'Base stats'!B:B,'Base stats'!BO:BO)^0.9 / 21 *_xlfn.XLOOKUP(B168,'Base stats'!B:B,'Base stats'!BV:BV),0.1),0.05),
MAX(MROUND(((MIN(10,_xlfn.XLOOKUP(B168,'Base stats'!B:B,'Base stats'!W:W)))^0.4*_xlfn.XLOOKUP(B168,'Base stats'!B:B,'Base stats'!BG:BG)^0.73)^0.6 *_xlfn.XLOOKUP(B168,'Base stats'!B:B,'Base stats'!BV:BV),0.1),0.05)
))</f>
        <v>75.100000000000009</v>
      </c>
      <c r="L168" s="11">
        <f>IF(K168="No","No",
MAX(0.01,MROUND(_xlfn.XLOOKUP(B168,'Base stats'!B:B,'Base stats'!BG:BG) * 0.01 *2, 0.01))
)</f>
        <v>108.62</v>
      </c>
      <c r="M168" s="5">
        <f>IF(K168="No","No",IF(_xlfn.XLOOKUP(_xlfn.XLOOKUP(B168,'Base stats'!B:B,'Base stats'!E:E),Groups!A:A,Groups!BD:BD)=1,"No",
MAX(0.01,MROUND(_xlfn.XLOOKUP(B168,'Base stats'!B:B,'Base stats'!BS:BS)/10000,0.01))
))</f>
        <v>46.64</v>
      </c>
      <c r="N168" s="4">
        <f>IF(K168="No","No",
MROUND(
  _xlfn.XLOOKUP(B168,'Base stats'!B:B,'Base stats'!BA:BA)^0.25
  / (_xlfn.XLOOKUP(B168,'Base stats'!B:B,'Base stats'!BK:BK)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stats'!BU:BU),
0.05))</f>
        <v>2.9000000000000004</v>
      </c>
      <c r="O168" s="3" t="str">
        <f>IF(Animals!AD168="No","No",
MAX(MROUND((MIN(10,_xlfn.XLOOKUP(B168,'Base stats'!B:B,'Base stats'!V:V)*IF(_xlfn.XLOOKUP(_xlfn.XLOOKUP(B168,'Base stats'!B:B,'Base stats'!E:E),Groups!A:A,Groups!O:O)=0,1,0.33))^0.4*_xlfn.XLOOKUP(B168,'Base stats'!B:B,'Base stats'!BH:BH)^0.73)^0.6 *_xlfn.XLOOKUP(B168,'Base stats'!B:B,'Base stats'!BV:BV),0.1),0.05)
)</f>
        <v>No</v>
      </c>
      <c r="P168" s="11" t="str">
        <f>IF(O168="No","No",
MAX(0.01,MROUND(_xlfn.XLOOKUP(B168,'Base stats'!B:B,'Base stats'!BH:BH) * 0.01 * 2, 0.01))
)</f>
        <v>No</v>
      </c>
      <c r="Q168" s="5" t="str">
        <f>IF(O168="No","No",
MAX(0.01,MROUND(_xlfn.XLOOKUP(B168,'Base stats'!B:B,'Base stats'!BT:BT)/10000,0.01))
)</f>
        <v>No</v>
      </c>
      <c r="R168" s="4" t="str">
        <f>IF(O168="No","No",
MROUND(_xlfn.XLOOKUP(B168,'Base stats'!B:B,'Base stats'!AZ:AZ)^0.25
/((_xlfn.XLOOKUP(B168,'Base stats'!B:B,'Base stats'!BL:BL))*10)*_xlfn.XLOOKUP(_xlfn.XLOOKUP(B168,'Base stats'!B:B,'Base stats'!E:E),Groups!A:A,Groups!Z:Z)*150 + 0.5 + _xlfn.XLOOKUP(B168,'Base stats'!B:B,'Base stats'!BU:BU),
0.05))</f>
        <v>No</v>
      </c>
      <c r="S168" s="3" t="str">
        <f>IF(Animals!AI168="No","No",
IF(_xlfn.XLOOKUP(B168,'Base stats'!B:B,'Base stats'!U:U)="No",
MAX(MROUND(_xlfn.XLOOKUP(B168,'Base stats'!B:B,'Base stats'!BR:BR) * _xlfn.XLOOKUP(B168,'Base stats'!B:B,'Base stats'!BN:BN)^0.9 / 21 * _xlfn.XLOOKUP(B168,'Base stats'!B:B,'Base stats'!BV:BV),0.1),0.05),
MAX(MROUND(((MIN(12,_xlfn.XLOOKUP(B168,'Base stats'!B:B,'Base stats'!U:U)))^0.4*_xlfn.XLOOKUP(B168,'Base stats'!B:B,'Base stats'!BF:BF)^0.73)^0.6 * _xlfn.XLOOKUP(B168,'Base stats'!B:B,'Base stats'!BV:BV),0.1),0.05)
))</f>
        <v>No</v>
      </c>
      <c r="T168" s="11" t="str">
        <f>IF(S168="No","No",
MAX(0.01,MROUND(_xlfn.XLOOKUP(B168,'Base stats'!B:B,'Base stats'!BF:BF) * 0.01 * 2, 0.01))
)</f>
        <v>No</v>
      </c>
      <c r="U168" s="5" t="str">
        <f>IF(S168="No","No",IF(_xlfn.XLOOKUP(B168,'Base stats'!B:B,'Base stats'!U:U)="No","No",
MAX(0.01,MROUND(_xlfn.XLOOKUP(B168,'Base stats'!B:B,'Base stats'!BR:BR)/10000,0.01))
))</f>
        <v>No</v>
      </c>
      <c r="V168" s="4" t="str">
        <f>IF(S168="No","No",
MROUND(_xlfn.XLOOKUP(B168,'Base stats'!B:B,'Base stats'!BD:BD)^0.25
/((_xlfn.XLOOKUP(B168,'Base stats'!B:B,'Base stats'!BM:BM))*10)*_xlfn.XLOOKUP(_xlfn.XLOOKUP(B168,'Base stats'!B:B,'Base stats'!E:E),Groups!A:A,Groups!AE:AE)*150 + 0.5 + _xlfn.XLOOKUP(B168,'Base stats'!B:B,'Base stats'!BU:BU),
0.05))</f>
        <v>No</v>
      </c>
      <c r="W168" s="8">
        <f>MROUND(_xlfn.XLOOKUP(_xlfn.XLOOKUP(B168,'Base stats'!B:B,'Base stats'!E:E),Groups!A:A,Groups!BG:BG)*_xlfn.XLOOKUP(B168,'Base stats'!B:B,'Base stats'!C:C)^-0.165,0.01)</f>
        <v>0.25</v>
      </c>
      <c r="X168" s="1">
        <f>MROUND(_xlfn.XLOOKUP(_xlfn.XLOOKUP(B168,'Base stats'!B:B,'Base stats'!E:E),Groups!A:A,Groups!BH:BH)*_xlfn.XLOOKUP(B168,'Base stats'!B:B,'Base stats'!C:C)^0.165,0.01)</f>
        <v>1.02</v>
      </c>
      <c r="Y168" s="8">
        <f>MROUND(_xlfn.XLOOKUP(_xlfn.XLOOKUP(B168,'Base stats'!B:B,'Base stats'!E:E),Groups!A:A,Groups!BI:BI)*_xlfn.XLOOKUP(B168,'Base stats'!B:B,'Base stats'!C:C)^0.165,0.01)</f>
        <v>0.41000000000000003</v>
      </c>
      <c r="Z168" s="18">
        <f>ROUND(_xlfn.XLOOKUP(B168,'Base stats'!B:B,'Base stats'!AO:AO)*_xlfn.XLOOKUP(_xlfn.XLOOKUP(B168,'Base stats'!B:B,'Base stats'!E:E),Groups!A:A,Groups!H:H)/1000,2)</f>
        <v>25.56</v>
      </c>
      <c r="AA168" s="18">
        <f>ROUND((1/2)*(_xlfn.XLOOKUP(_xlfn.XLOOKUP(B168,'Base stats'!B:B,'Base stats'!E:E),Groups!A:A,Groups!H:H)*_xlfn.XLOOKUP(_xlfn.XLOOKUP(B168,'Base stats'!B:B,'Base stats'!E:E),Groups!A:A,Groups!I:I))*_xlfn.XLOOKUP(B168,'Base stats'!B:B,'Base stats'!AO:AO)*0.01,2)</f>
        <v>153.77000000000001</v>
      </c>
      <c r="AB168" s="18">
        <f>250*(Animals!AO168+Animals!AP168)</f>
        <v>2500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Arthropython</v>
      </c>
      <c r="B169" s="6" t="str">
        <f>Animals!B169</f>
        <v>Arthropython serpentes</v>
      </c>
      <c r="C169" s="1" t="str">
        <f>Animals!C169</f>
        <v>&lt;li&gt;Arthropython&lt;/li&gt;</v>
      </c>
      <c r="D169" s="47">
        <f>MAX(MROUND(_xlfn.XLOOKUP(B169,'Base stats'!B:B,'Base stats'!BQ:BQ) * (_xlfn.XLOOKUP(B169,'Base stats'!B:B,'Base stats'!AM:AM)*5%)^0.9 / 21,0.1),0.05)</f>
        <v>1.2000000000000002</v>
      </c>
      <c r="E169" s="11">
        <f>MAX(0.01,MROUND(_xlfn.XLOOKUP(B169,'Base stats'!B:B,'Base stats'!BE:BE) * 0.01 * 2, 0.01))</f>
        <v>1.3800000000000001</v>
      </c>
      <c r="F169" s="7">
        <f>MROUND(_xlfn.XLOOKUP(B169,'Base stats'!B:B,'Base stats'!BB:BB)^0.25 / (_xlfn.XLOOKUP(B169,'Base stats'!B:B,'Base stats'!BI:BI) * 10) * 150 + 0.5 + _xlfn.XLOOKUP(B169,'Base stats'!B:B,'Base stats'!BU:BU), 0.05)</f>
        <v>1.85</v>
      </c>
      <c r="G169" s="3" t="str">
        <f>IF(Animals!S169="No","No",
IF(_xlfn.XLOOKUP(B169,'Base stats'!B:B,'Base stats'!U:U)="No",
MAX(MROUND(_xlfn.XLOOKUP(B169,'Base stats'!B:B,'Base stats'!BR:BR) * _xlfn.XLOOKUP(B169,'Base stats'!B:B,'Base stats'!BN:BN)^0.9 / 21 * _xlfn.XLOOKUP(B169,'Base stats'!B:B,'Base stats'!BV:BV),0.1),0.05),
MAX(MROUND(((MIN(10,_xlfn.XLOOKUP(B169,'Base stats'!B:B,'Base stats'!U:U)))^0.4*_xlfn.XLOOKUP(B169,'Base stats'!B:B,'Base stats'!BF:BF)^0.73)^0.6 * _xlfn.XLOOKUP(B169,'Base stats'!B:B,'Base stats'!BV:BV),0.1),0.05)
))</f>
        <v>No</v>
      </c>
      <c r="H169" s="11" t="str">
        <f>IF(G169="No","No",
MAX(0.01,MROUND(_xlfn.XLOOKUP(B169,'Base stats'!B:B,'Base stats'!BF:BF) * 0.01 * 2, 0.01))
)</f>
        <v>No</v>
      </c>
      <c r="I169" s="11" t="str">
        <f>IF(G169="No","No",IF(_xlfn.XLOOKUP(B169,'Base stats'!B:B,'Base stats'!U:U)="No","No",
MAX(0.01,MROUND(_xlfn.XLOOKUP(B169,'Base stats'!B:B,'Base stats'!BR:BR)/10000,0.01))
))</f>
        <v>No</v>
      </c>
      <c r="J169" s="4" t="str">
        <f>IF(G169="No","No",
MROUND(_xlfn.XLOOKUP(B169,'Base stats'!B:B,'Base stats'!BC:BC)^0.25
/((_xlfn.XLOOKUP(B169,'Base stats'!B:B,'Base stats'!BJ:BJ))*10)*_xlfn.XLOOKUP(_xlfn.XLOOKUP(B169,'Base stats'!B:B,'Base stats'!E:E),Groups!A:A,Groups!Q:Q)*150 + 0.5 + _xlfn.XLOOKUP(B169,'Base stats'!B:B,'Base stats'!BU:BU),
0.05))</f>
        <v>No</v>
      </c>
      <c r="K169" s="3" t="str">
        <f>IF(Animals!X169="No","No",
IF(_xlfn.XLOOKUP(_xlfn.XLOOKUP(B169,'Base stats'!B:B,'Base stats'!E:E),Groups!A:A,Groups!BD:BD)=1,
MAX(MROUND(_xlfn.XLOOKUP(B169,'Base stats'!B:B,'Base stats'!BS:BS) * _xlfn.XLOOKUP(B169,'Base stats'!B:B,'Base stats'!BO:BO)^0.9 / 21 *_xlfn.XLOOKUP(B169,'Base stats'!B:B,'Base stats'!BV:BV),0.1),0.05),
MAX(MROUND(((MIN(10,_xlfn.XLOOKUP(B169,'Base stats'!B:B,'Base stats'!W:W)))^0.4*_xlfn.XLOOKUP(B169,'Base stats'!B:B,'Base stats'!BG:BG)^0.73)^0.6 *_xlfn.XLOOKUP(B169,'Base stats'!B:B,'Base stats'!BV:BV),0.1),0.05)
))</f>
        <v>No</v>
      </c>
      <c r="L169" s="11" t="str">
        <f>IF(K169="No","No",
MAX(0.01,MROUND(_xlfn.XLOOKUP(B169,'Base stats'!B:B,'Base stats'!BG:BG) * 0.01 *2, 0.01))
)</f>
        <v>No</v>
      </c>
      <c r="M169" s="5" t="str">
        <f>IF(K169="No","No",IF(_xlfn.XLOOKUP(_xlfn.XLOOKUP(B169,'Base stats'!B:B,'Base stats'!E:E),Groups!A:A,Groups!BD:BD)=1,"No",
MAX(0.01,MROUND(_xlfn.XLOOKUP(B169,'Base stats'!B:B,'Base stats'!BS:BS)/10000,0.01))
))</f>
        <v>No</v>
      </c>
      <c r="N169" s="4" t="str">
        <f>IF(K169="No","No",
MROUND(
  _xlfn.XLOOKUP(B169,'Base stats'!B:B,'Base stats'!BA:BA)^0.25
  / (_xlfn.XLOOKUP(B169,'Base stats'!B:B,'Base stats'!BK:BK)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stats'!BU:BU),
0.05))</f>
        <v>No</v>
      </c>
      <c r="O169" s="3">
        <f>IF(Animals!AD169="No","No",
MAX(MROUND((MIN(10,_xlfn.XLOOKUP(B169,'Base stats'!B:B,'Base stats'!V:V)*IF(_xlfn.XLOOKUP(_xlfn.XLOOKUP(B169,'Base stats'!B:B,'Base stats'!E:E),Groups!A:A,Groups!O:O)=0,1,0.33))^0.4*_xlfn.XLOOKUP(B169,'Base stats'!B:B,'Base stats'!BH:BH)^0.73)^0.6 *_xlfn.XLOOKUP(B169,'Base stats'!B:B,'Base stats'!BV:BV),0.1),0.05)
)</f>
        <v>14.100000000000001</v>
      </c>
      <c r="P169" s="11">
        <f>IF(O169="No","No",
MAX(0.01,MROUND(_xlfn.XLOOKUP(B169,'Base stats'!B:B,'Base stats'!BH:BH) * 0.01 * 2, 0.01))
)</f>
        <v>5.76</v>
      </c>
      <c r="Q169" s="5">
        <f>IF(O169="No","No",
MAX(0.01,MROUND(_xlfn.XLOOKUP(B169,'Base stats'!B:B,'Base stats'!BT:BT)/10000,0.01))
)</f>
        <v>3.97</v>
      </c>
      <c r="R169" s="4">
        <f>IF(O169="No","No",
MROUND(_xlfn.XLOOKUP(B169,'Base stats'!B:B,'Base stats'!AZ:AZ)^0.25
/((_xlfn.XLOOKUP(B169,'Base stats'!B:B,'Base stats'!BL:BL))*10)*_xlfn.XLOOKUP(_xlfn.XLOOKUP(B169,'Base stats'!B:B,'Base stats'!E:E),Groups!A:A,Groups!Z:Z)*150 + 0.5 + _xlfn.XLOOKUP(B169,'Base stats'!B:B,'Base stats'!BU:BU),
0.05))</f>
        <v>1.25</v>
      </c>
      <c r="S169" s="3">
        <f>IF(Animals!AI169="No","No",
IF(_xlfn.XLOOKUP(B169,'Base stats'!B:B,'Base stats'!U:U)="No",
MAX(MROUND(_xlfn.XLOOKUP(B169,'Base stats'!B:B,'Base stats'!BR:BR) * _xlfn.XLOOKUP(B169,'Base stats'!B:B,'Base stats'!BN:BN)^0.9 / 21 * _xlfn.XLOOKUP(B169,'Base stats'!B:B,'Base stats'!BV:BV),0.1),0.05),
MAX(MROUND(((MIN(12,_xlfn.XLOOKUP(B169,'Base stats'!B:B,'Base stats'!U:U)))^0.4*_xlfn.XLOOKUP(B169,'Base stats'!B:B,'Base stats'!BF:BF)^0.73)^0.6 * _xlfn.XLOOKUP(B169,'Base stats'!B:B,'Base stats'!BV:BV),0.1),0.05)
))</f>
        <v>18.8</v>
      </c>
      <c r="T169" s="11">
        <f>IF(S169="No","No",
MAX(0.01,MROUND(_xlfn.XLOOKUP(B169,'Base stats'!B:B,'Base stats'!BF:BF) * 0.01 * 2, 0.01))
)</f>
        <v>4.6100000000000003</v>
      </c>
      <c r="U169" s="5">
        <f>IF(S169="No","No",IF(_xlfn.XLOOKUP(B169,'Base stats'!B:B,'Base stats'!U:U)="No","No",
MAX(0.01,MROUND(_xlfn.XLOOKUP(B169,'Base stats'!B:B,'Base stats'!BR:BR)/10000,0.01))
))</f>
        <v>3.18</v>
      </c>
      <c r="V169" s="4">
        <f>IF(S169="No","No",
MROUND(_xlfn.XLOOKUP(B169,'Base stats'!B:B,'Base stats'!BD:BD)^0.25
/((_xlfn.XLOOKUP(B169,'Base stats'!B:B,'Base stats'!BM:BM))*10)*_xlfn.XLOOKUP(_xlfn.XLOOKUP(B169,'Base stats'!B:B,'Base stats'!E:E),Groups!A:A,Groups!AE:AE)*150 + 0.5 + _xlfn.XLOOKUP(B169,'Base stats'!B:B,'Base stats'!BU:BU),
0.05))</f>
        <v>1.35</v>
      </c>
      <c r="W169" s="8">
        <f>MROUND(_xlfn.XLOOKUP(_xlfn.XLOOKUP(B169,'Base stats'!B:B,'Base stats'!E:E),Groups!A:A,Groups!BG:BG)*_xlfn.XLOOKUP(B169,'Base stats'!B:B,'Base stats'!C:C)^-0.165,0.01)</f>
        <v>0.52</v>
      </c>
      <c r="X169" s="1">
        <f>MROUND(_xlfn.XLOOKUP(_xlfn.XLOOKUP(B169,'Base stats'!B:B,'Base stats'!E:E),Groups!A:A,Groups!BH:BH)*_xlfn.XLOOKUP(B169,'Base stats'!B:B,'Base stats'!C:C)^0.165,0.01)</f>
        <v>0.67</v>
      </c>
      <c r="Y169" s="8">
        <f>MROUND(_xlfn.XLOOKUP(_xlfn.XLOOKUP(B169,'Base stats'!B:B,'Base stats'!E:E),Groups!A:A,Groups!BI:BI)*_xlfn.XLOOKUP(B169,'Base stats'!B:B,'Base stats'!C:C)^0.165,0.01)</f>
        <v>0.28999999999999998</v>
      </c>
      <c r="Z169" s="18">
        <f>ROUND(_xlfn.XLOOKUP(B169,'Base stats'!B:B,'Base stats'!AO:AO)*_xlfn.XLOOKUP(_xlfn.XLOOKUP(B169,'Base stats'!B:B,'Base stats'!E:E),Groups!A:A,Groups!H:H)/1000,2)</f>
        <v>0.26</v>
      </c>
      <c r="AA169" s="18">
        <f>ROUND((1/2)*(_xlfn.XLOOKUP(_xlfn.XLOOKUP(B169,'Base stats'!B:B,'Base stats'!E:E),Groups!A:A,Groups!H:H)*_xlfn.XLOOKUP(_xlfn.XLOOKUP(B169,'Base stats'!B:B,'Base stats'!E:E),Groups!A:A,Groups!I:I))*_xlfn.XLOOKUP(B169,'Base stats'!B:B,'Base stats'!AO:AO)*0.01,2)</f>
        <v>1.54</v>
      </c>
      <c r="AB169" s="18">
        <f>250*(Animals!AO169+Animals!AP169)</f>
        <v>462.5</v>
      </c>
      <c r="AC169" s="18" t="str">
        <f>_xlfn.XLOOKUP(_xlfn.XLOOKUP(B169,'Base stats'!B:B,'Base stats'!E:E),Groups!A:A,Groups!BJ:BJ)</f>
        <v>Serpentine</v>
      </c>
    </row>
    <row r="170" spans="1:29" ht="16.5" thickTop="1" thickBot="1" x14ac:dyDescent="0.3">
      <c r="A170" s="16" t="str">
        <f>Animals!A170</f>
        <v>Paragnathus</v>
      </c>
      <c r="B170" s="6" t="str">
        <f>Animals!B170</f>
        <v>Paragnathus paradocus</v>
      </c>
      <c r="C170" s="1" t="str">
        <f>Animals!C170</f>
        <v>&lt;li&gt;Paragnathus&lt;/li&gt;</v>
      </c>
      <c r="D170" s="47">
        <f>MAX(MROUND(_xlfn.XLOOKUP(B170,'Base stats'!B:B,'Base stats'!BQ:BQ) * (_xlfn.XLOOKUP(B170,'Base stats'!B:B,'Base stats'!AM:AM)*5%)^0.9 / 21,0.1),0.05)</f>
        <v>2.3000000000000003</v>
      </c>
      <c r="E170" s="11">
        <f>MAX(0.01,MROUND(_xlfn.XLOOKUP(B170,'Base stats'!B:B,'Base stats'!BE:BE) * 0.01 * 2, 0.01))</f>
        <v>2.59</v>
      </c>
      <c r="F170" s="7">
        <f>MROUND(_xlfn.XLOOKUP(B170,'Base stats'!B:B,'Base stats'!BB:BB)^0.25 / (_xlfn.XLOOKUP(B170,'Base stats'!B:B,'Base stats'!BI:BI) * 10) * 150 + 0.5 + _xlfn.XLOOKUP(B170,'Base stats'!B:B,'Base stats'!BU:BU), 0.05)</f>
        <v>1.6500000000000001</v>
      </c>
      <c r="G170" s="3" t="str">
        <f>IF(Animals!S170="No","No",
IF(_xlfn.XLOOKUP(B170,'Base stats'!B:B,'Base stats'!U:U)="No",
MAX(MROUND(_xlfn.XLOOKUP(B170,'Base stats'!B:B,'Base stats'!BR:BR) * _xlfn.XLOOKUP(B170,'Base stats'!B:B,'Base stats'!BN:BN)^0.9 / 21 * _xlfn.XLOOKUP(B170,'Base stats'!B:B,'Base stats'!BV:BV),0.1),0.05),
MAX(MROUND(((MIN(10,_xlfn.XLOOKUP(B170,'Base stats'!B:B,'Base stats'!U:U)))^0.4*_xlfn.XLOOKUP(B170,'Base stats'!B:B,'Base stats'!BF:BF)^0.73)^0.6 * _xlfn.XLOOKUP(B170,'Base stats'!B:B,'Base stats'!BV:BV),0.1),0.05)
))</f>
        <v>No</v>
      </c>
      <c r="H170" s="11" t="str">
        <f>IF(G170="No","No",
MAX(0.01,MROUND(_xlfn.XLOOKUP(B170,'Base stats'!B:B,'Base stats'!BF:BF) * 0.01 * 2, 0.01))
)</f>
        <v>No</v>
      </c>
      <c r="I170" s="11" t="str">
        <f>IF(G170="No","No",IF(_xlfn.XLOOKUP(B170,'Base stats'!B:B,'Base stats'!U:U)="No","No",
MAX(0.01,MROUND(_xlfn.XLOOKUP(B170,'Base stats'!B:B,'Base stats'!BR:BR)/10000,0.01))
))</f>
        <v>No</v>
      </c>
      <c r="J170" s="4" t="str">
        <f>IF(G170="No","No",
MROUND(_xlfn.XLOOKUP(B170,'Base stats'!B:B,'Base stats'!BC:BC)^0.25
/((_xlfn.XLOOKUP(B170,'Base stats'!B:B,'Base stats'!BJ:BJ))*10)*_xlfn.XLOOKUP(_xlfn.XLOOKUP(B170,'Base stats'!B:B,'Base stats'!E:E),Groups!A:A,Groups!Q:Q)*150 + 0.5 + _xlfn.XLOOKUP(B170,'Base stats'!B:B,'Base stats'!BU:BU),
0.05))</f>
        <v>No</v>
      </c>
      <c r="K170" s="3" t="str">
        <f>IF(Animals!X170="No","No",
IF(_xlfn.XLOOKUP(_xlfn.XLOOKUP(B170,'Base stats'!B:B,'Base stats'!E:E),Groups!A:A,Groups!BD:BD)=1,
MAX(MROUND(_xlfn.XLOOKUP(B170,'Base stats'!B:B,'Base stats'!BS:BS) * _xlfn.XLOOKUP(B170,'Base stats'!B:B,'Base stats'!BO:BO)^0.9 / 21 *_xlfn.XLOOKUP(B170,'Base stats'!B:B,'Base stats'!BV:BV),0.1),0.05),
MAX(MROUND(((MIN(10,_xlfn.XLOOKUP(B170,'Base stats'!B:B,'Base stats'!W:W)))^0.4*_xlfn.XLOOKUP(B170,'Base stats'!B:B,'Base stats'!BG:BG)^0.73)^0.6 *_xlfn.XLOOKUP(B170,'Base stats'!B:B,'Base stats'!BV:BV),0.1),0.05)
))</f>
        <v>No</v>
      </c>
      <c r="L170" s="11" t="str">
        <f>IF(K170="No","No",
MAX(0.01,MROUND(_xlfn.XLOOKUP(B170,'Base stats'!B:B,'Base stats'!BG:BG) * 0.01 *2, 0.01))
)</f>
        <v>No</v>
      </c>
      <c r="M170" s="5" t="str">
        <f>IF(K170="No","No",IF(_xlfn.XLOOKUP(_xlfn.XLOOKUP(B170,'Base stats'!B:B,'Base stats'!E:E),Groups!A:A,Groups!BD:BD)=1,"No",
MAX(0.01,MROUND(_xlfn.XLOOKUP(B170,'Base stats'!B:B,'Base stats'!BS:BS)/10000,0.01))
))</f>
        <v>No</v>
      </c>
      <c r="N170" s="4" t="str">
        <f>IF(K170="No","No",
MROUND(
  _xlfn.XLOOKUP(B170,'Base stats'!B:B,'Base stats'!BA:BA)^0.25
  / (_xlfn.XLOOKUP(B170,'Base stats'!B:B,'Base stats'!BK:BK)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stats'!BU:BU),
0.05))</f>
        <v>No</v>
      </c>
      <c r="O170" s="3" t="e">
        <f>IF(Animals!AD170="No","No",
MAX(MROUND((MIN(10,_xlfn.XLOOKUP(B170,'Base stats'!B:B,'Base stats'!V:V)*IF(_xlfn.XLOOKUP(_xlfn.XLOOKUP(B170,'Base stats'!B:B,'Base stats'!E:E),Groups!A:A,Groups!O:O)=0,1,0.33))^0.4*_xlfn.XLOOKUP(B170,'Base stats'!B:B,'Base stats'!BH:BH)^0.73)^0.6 *_xlfn.XLOOKUP(B170,'Base stats'!B:B,'Base stats'!BV:BV),0.1),0.05)
)</f>
        <v>#VALUE!</v>
      </c>
      <c r="P170" s="11" t="e">
        <f>IF(O170="No","No",
MAX(0.01,MROUND(_xlfn.XLOOKUP(B170,'Base stats'!B:B,'Base stats'!BH:BH) * 0.01 * 2, 0.01))
)</f>
        <v>#VALUE!</v>
      </c>
      <c r="Q170" s="5" t="e">
        <f>IF(O170="No","No",
MAX(0.01,MROUND(_xlfn.XLOOKUP(B170,'Base stats'!B:B,'Base stats'!BT:BT)/10000,0.01))
)</f>
        <v>#VALUE!</v>
      </c>
      <c r="R170" s="4" t="e">
        <f>IF(O170="No","No",
MROUND(_xlfn.XLOOKUP(B170,'Base stats'!B:B,'Base stats'!AZ:AZ)^0.25
/((_xlfn.XLOOKUP(B170,'Base stats'!B:B,'Base stats'!BL:BL))*10)*_xlfn.XLOOKUP(_xlfn.XLOOKUP(B170,'Base stats'!B:B,'Base stats'!E:E),Groups!A:A,Groups!Z:Z)*150 + 0.5 + _xlfn.XLOOKUP(B170,'Base stats'!B:B,'Base stats'!BU:BU),
0.05))</f>
        <v>#VALUE!</v>
      </c>
      <c r="S170" s="3" t="str">
        <f>IF(Animals!AI170="No","No",
IF(_xlfn.XLOOKUP(B170,'Base stats'!B:B,'Base stats'!U:U)="No",
MAX(MROUND(_xlfn.XLOOKUP(B170,'Base stats'!B:B,'Base stats'!BR:BR) * _xlfn.XLOOKUP(B170,'Base stats'!B:B,'Base stats'!BN:BN)^0.9 / 21 * _xlfn.XLOOKUP(B170,'Base stats'!B:B,'Base stats'!BV:BV),0.1),0.05),
MAX(MROUND(((MIN(12,_xlfn.XLOOKUP(B170,'Base stats'!B:B,'Base stats'!U:U)))^0.4*_xlfn.XLOOKUP(B170,'Base stats'!B:B,'Base stats'!BF:BF)^0.73)^0.6 * _xlfn.XLOOKUP(B170,'Base stats'!B:B,'Base stats'!BV:BV),0.1),0.05)
))</f>
        <v>No</v>
      </c>
      <c r="T170" s="11" t="str">
        <f>IF(S170="No","No",
MAX(0.01,MROUND(_xlfn.XLOOKUP(B170,'Base stats'!B:B,'Base stats'!BF:BF) * 0.01 * 2, 0.01))
)</f>
        <v>No</v>
      </c>
      <c r="U170" s="5" t="str">
        <f>IF(S170="No","No",IF(_xlfn.XLOOKUP(B170,'Base stats'!B:B,'Base stats'!U:U)="No","No",
MAX(0.01,MROUND(_xlfn.XLOOKUP(B170,'Base stats'!B:B,'Base stats'!BR:BR)/10000,0.01))
))</f>
        <v>No</v>
      </c>
      <c r="V170" s="4" t="str">
        <f>IF(S170="No","No",
MROUND(_xlfn.XLOOKUP(B170,'Base stats'!B:B,'Base stats'!BD:BD)^0.25
/((_xlfn.XLOOKUP(B170,'Base stats'!B:B,'Base stats'!BM:BM))*10)*_xlfn.XLOOKUP(_xlfn.XLOOKUP(B170,'Base stats'!B:B,'Base stats'!E:E),Groups!A:A,Groups!AE:AE)*150 + 0.5 + _xlfn.XLOOKUP(B170,'Base stats'!B:B,'Base stats'!BU:BU),
0.05))</f>
        <v>No</v>
      </c>
      <c r="W170" s="8">
        <f>MROUND(_xlfn.XLOOKUP(_xlfn.XLOOKUP(B170,'Base stats'!B:B,'Base stats'!E:E),Groups!A:A,Groups!BG:BG)*_xlfn.XLOOKUP(B170,'Base stats'!B:B,'Base stats'!C:C)^-0.165,0.01)</f>
        <v>0.47000000000000003</v>
      </c>
      <c r="X170" s="1">
        <f>MROUND(_xlfn.XLOOKUP(_xlfn.XLOOKUP(B170,'Base stats'!B:B,'Base stats'!E:E),Groups!A:A,Groups!BH:BH)*_xlfn.XLOOKUP(B170,'Base stats'!B:B,'Base stats'!C:C)^0.165,0.01)</f>
        <v>0.53</v>
      </c>
      <c r="Y170" s="8">
        <f>MROUND(_xlfn.XLOOKUP(_xlfn.XLOOKUP(B170,'Base stats'!B:B,'Base stats'!E:E),Groups!A:A,Groups!BI:BI)*_xlfn.XLOOKUP(B170,'Base stats'!B:B,'Base stats'!C:C)^0.165,0.01)</f>
        <v>0.21</v>
      </c>
      <c r="Z170" s="18">
        <f>ROUND(_xlfn.XLOOKUP(B170,'Base stats'!B:B,'Base stats'!AO:AO)*_xlfn.XLOOKUP(_xlfn.XLOOKUP(B170,'Base stats'!B:B,'Base stats'!E:E),Groups!A:A,Groups!H:H)/1000,2)</f>
        <v>0.51</v>
      </c>
      <c r="AA170" s="18">
        <f>ROUND((1/2)*(_xlfn.XLOOKUP(_xlfn.XLOOKUP(B170,'Base stats'!B:B,'Base stats'!E:E),Groups!A:A,Groups!H:H)*_xlfn.XLOOKUP(_xlfn.XLOOKUP(B170,'Base stats'!B:B,'Base stats'!E:E),Groups!A:A,Groups!I:I))*_xlfn.XLOOKUP(B170,'Base stats'!B:B,'Base stats'!AO:AO)*0.01,2)</f>
        <v>3.08</v>
      </c>
      <c r="AB170" s="18">
        <f>250*(Animals!AO170+Animals!AP170)</f>
        <v>625</v>
      </c>
      <c r="AC170" s="18" t="str">
        <f>_xlfn.XLOOKUP(_xlfn.XLOOKUP(B170,'Base stats'!B:B,'Base stats'!E:E),Groups!A:A,Groups!BJ:BJ)</f>
        <v>QuadrupedLow</v>
      </c>
    </row>
    <row r="171" spans="1:29" ht="16.5" thickTop="1" thickBot="1" x14ac:dyDescent="0.3">
      <c r="A171" s="16" t="str">
        <f>Animals!A171</f>
        <v>BlackFootedFerret</v>
      </c>
      <c r="B171" s="6" t="str">
        <f>Animals!B171</f>
        <v>Mustela nigripes</v>
      </c>
      <c r="C171" s="1" t="str">
        <f>Animals!C171</f>
        <v>&lt;li&gt;AEXP_BlackFootedFerret&lt;/li&gt;</v>
      </c>
      <c r="D171" s="47">
        <f>MAX(MROUND(_xlfn.XLOOKUP(B171,'Base stats'!B:B,'Base stats'!BQ:BQ) * (_xlfn.XLOOKUP(B171,'Base stats'!B:B,'Base stats'!AM:AM)*5%)^0.9 / 21,0.1),0.05)</f>
        <v>0.1</v>
      </c>
      <c r="E171" s="11">
        <f>MAX(0.01,MROUND(_xlfn.XLOOKUP(B171,'Base stats'!B:B,'Base stats'!BE:BE) * 0.01 * 2, 0.01))</f>
        <v>0.04</v>
      </c>
      <c r="F171" s="7">
        <f>MROUND(_xlfn.XLOOKUP(B171,'Base stats'!B:B,'Base stats'!BB:BB)^0.25 / (_xlfn.XLOOKUP(B171,'Base stats'!B:B,'Base stats'!BI:BI) * 10) * 150 + 0.5 + _xlfn.XLOOKUP(B171,'Base stats'!B:B,'Base stats'!BU:BU), 0.05)</f>
        <v>1.1500000000000001</v>
      </c>
      <c r="G171" s="3" t="str">
        <f>IF(Animals!S171="No","No",
IF(_xlfn.XLOOKUP(B171,'Base stats'!B:B,'Base stats'!U:U)="No",
MAX(MROUND(_xlfn.XLOOKUP(B171,'Base stats'!B:B,'Base stats'!BR:BR) * _xlfn.XLOOKUP(B171,'Base stats'!B:B,'Base stats'!BN:BN)^0.9 / 21 * _xlfn.XLOOKUP(B171,'Base stats'!B:B,'Base stats'!BV:BV),0.1),0.05),
MAX(MROUND(((MIN(10,_xlfn.XLOOKUP(B171,'Base stats'!B:B,'Base stats'!U:U)))^0.4*_xlfn.XLOOKUP(B171,'Base stats'!B:B,'Base stats'!BF:BF)^0.73)^0.6 * _xlfn.XLOOKUP(B171,'Base stats'!B:B,'Base stats'!BV:BV),0.1),0.05)
))</f>
        <v>No</v>
      </c>
      <c r="H171" s="11" t="str">
        <f>IF(G171="No","No",
MAX(0.01,MROUND(_xlfn.XLOOKUP(B171,'Base stats'!B:B,'Base stats'!BF:BF) * 0.01 * 2, 0.01))
)</f>
        <v>No</v>
      </c>
      <c r="I171" s="11" t="str">
        <f>IF(G171="No","No",IF(_xlfn.XLOOKUP(B171,'Base stats'!B:B,'Base stats'!U:U)="No","No",
MAX(0.01,MROUND(_xlfn.XLOOKUP(B171,'Base stats'!B:B,'Base stats'!BR:BR)/10000,0.01))
))</f>
        <v>No</v>
      </c>
      <c r="J171" s="4" t="str">
        <f>IF(G171="No","No",
MROUND(_xlfn.XLOOKUP(B171,'Base stats'!B:B,'Base stats'!BC:BC)^0.25
/((_xlfn.XLOOKUP(B171,'Base stats'!B:B,'Base stats'!BJ:BJ))*10)*_xlfn.XLOOKUP(_xlfn.XLOOKUP(B171,'Base stats'!B:B,'Base stats'!E:E),Groups!A:A,Groups!Q:Q)*150 + 0.5 + _xlfn.XLOOKUP(B171,'Base stats'!B:B,'Base stats'!BU:BU),
0.05))</f>
        <v>No</v>
      </c>
      <c r="K171" s="3" t="str">
        <f>IF(Animals!X171="No","No",
IF(_xlfn.XLOOKUP(_xlfn.XLOOKUP(B171,'Base stats'!B:B,'Base stats'!E:E),Groups!A:A,Groups!BD:BD)=1,
MAX(MROUND(_xlfn.XLOOKUP(B171,'Base stats'!B:B,'Base stats'!BS:BS) * _xlfn.XLOOKUP(B171,'Base stats'!B:B,'Base stats'!BO:BO)^0.9 / 21 *_xlfn.XLOOKUP(B171,'Base stats'!B:B,'Base stats'!BV:BV),0.1),0.05),
MAX(MROUND(((MIN(10,_xlfn.XLOOKUP(B171,'Base stats'!B:B,'Base stats'!W:W)))^0.4*_xlfn.XLOOKUP(B171,'Base stats'!B:B,'Base stats'!BG:BG)^0.73)^0.6 *_xlfn.XLOOKUP(B171,'Base stats'!B:B,'Base stats'!BV:BV),0.1),0.05)
))</f>
        <v>No</v>
      </c>
      <c r="L171" s="11" t="str">
        <f>IF(K171="No","No",
MAX(0.01,MROUND(_xlfn.XLOOKUP(B171,'Base stats'!B:B,'Base stats'!BG:BG) * 0.01 *2, 0.01))
)</f>
        <v>No</v>
      </c>
      <c r="M171" s="5" t="str">
        <f>IF(K171="No","No",IF(_xlfn.XLOOKUP(_xlfn.XLOOKUP(B171,'Base stats'!B:B,'Base stats'!E:E),Groups!A:A,Groups!BD:BD)=1,"No",
MAX(0.01,MROUND(_xlfn.XLOOKUP(B171,'Base stats'!B:B,'Base stats'!BS:BS)/10000,0.01))
))</f>
        <v>No</v>
      </c>
      <c r="N171" s="4" t="str">
        <f>IF(K171="No","No",
MROUND(
  _xlfn.XLOOKUP(B171,'Base stats'!B:B,'Base stats'!BA:BA)^0.25
  / (_xlfn.XLOOKUP(B171,'Base stats'!B:B,'Base stats'!BK:BK)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stats'!BU:BU),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stats'!BH:BH)^0.73)^0.6 *_xlfn.XLOOKUP(B171,'Base stats'!B:B,'Base stats'!BV:BV),0.1),0.05)
)</f>
        <v>1.7000000000000002</v>
      </c>
      <c r="P171" s="11">
        <f>IF(O171="No","No",
MAX(0.01,MROUND(_xlfn.XLOOKUP(B171,'Base stats'!B:B,'Base stats'!BH:BH) * 0.01 * 2, 0.01))
)</f>
        <v>0.08</v>
      </c>
      <c r="Q171" s="5">
        <f>IF(O171="No","No",
MAX(0.01,MROUND(_xlfn.XLOOKUP(B171,'Base stats'!B:B,'Base stats'!BT:BT)/10000,0.01))
)</f>
        <v>0.03</v>
      </c>
      <c r="R171" s="4">
        <f>IF(O171="No","No",
MROUND(_xlfn.XLOOKUP(B171,'Base stats'!B:B,'Base stats'!AZ:AZ)^0.25
/((_xlfn.XLOOKUP(B171,'Base stats'!B:B,'Base stats'!BL:BL))*10)*_xlfn.XLOOKUP(_xlfn.XLOOKUP(B171,'Base stats'!B:B,'Base stats'!E:E),Groups!A:A,Groups!Z:Z)*150 + 0.5 + _xlfn.XLOOKUP(B171,'Base stats'!B:B,'Base stats'!BU:BU),
0.05))</f>
        <v>1.75</v>
      </c>
      <c r="S171" s="3">
        <f>IF(Animals!AI171="No","No",
IF(_xlfn.XLOOKUP(B171,'Base stats'!B:B,'Base stats'!U:U)="No",
MAX(MROUND(_xlfn.XLOOKUP(B171,'Base stats'!B:B,'Base stats'!BR:BR) * _xlfn.XLOOKUP(B171,'Base stats'!B:B,'Base stats'!BN:BN)^0.9 / 21 * _xlfn.XLOOKUP(B171,'Base stats'!B:B,'Base stats'!BV:BV),0.1),0.05),
MAX(MROUND(((MIN(12,_xlfn.XLOOKUP(B171,'Base stats'!B:B,'Base stats'!U:U)))^0.4*_xlfn.XLOOKUP(B171,'Base stats'!B:B,'Base stats'!BF:BF)^0.73)^0.6 * _xlfn.XLOOKUP(B171,'Base stats'!B:B,'Base stats'!BV:BV),0.1),0.05)
))</f>
        <v>1.7000000000000002</v>
      </c>
      <c r="T171" s="11">
        <f>IF(S171="No","No",
MAX(0.01,MROUND(_xlfn.XLOOKUP(B171,'Base stats'!B:B,'Base stats'!BF:BF) * 0.01 * 2, 0.01))
)</f>
        <v>7.0000000000000007E-2</v>
      </c>
      <c r="U171" s="5">
        <f>IF(S171="No","No",IF(_xlfn.XLOOKUP(B171,'Base stats'!B:B,'Base stats'!U:U)="No","No",
MAX(0.01,MROUND(_xlfn.XLOOKUP(B171,'Base stats'!B:B,'Base stats'!BR:BR)/10000,0.01))
))</f>
        <v>0.02</v>
      </c>
      <c r="V171" s="4">
        <f>IF(S171="No","No",
MROUND(_xlfn.XLOOKUP(B171,'Base stats'!B:B,'Base stats'!BD:BD)^0.25
/((_xlfn.XLOOKUP(B171,'Base stats'!B:B,'Base stats'!BM:BM))*10)*_xlfn.XLOOKUP(_xlfn.XLOOKUP(B171,'Base stats'!B:B,'Base stats'!E:E),Groups!A:A,Groups!AE:AE)*150 + 0.5 + _xlfn.XLOOKUP(B171,'Base stats'!B:B,'Base stats'!BU:BU),
0.05))</f>
        <v>1</v>
      </c>
      <c r="W171" s="8">
        <f>MROUND(_xlfn.XLOOKUP(_xlfn.XLOOKUP(B171,'Base stats'!B:B,'Base stats'!E:E),Groups!A:A,Groups!BG:BG)*_xlfn.XLOOKUP(B171,'Base stats'!B:B,'Base stats'!C:C)^-0.165,0.01)</f>
        <v>1.1000000000000001</v>
      </c>
      <c r="X171" s="1">
        <f>MROUND(_xlfn.XLOOKUP(_xlfn.XLOOKUP(B171,'Base stats'!B:B,'Base stats'!E:E),Groups!A:A,Groups!BH:BH)*_xlfn.XLOOKUP(B171,'Base stats'!B:B,'Base stats'!C:C)^0.165,0.01)</f>
        <v>0.2</v>
      </c>
      <c r="Y171" s="8">
        <f>MROUND(_xlfn.XLOOKUP(_xlfn.XLOOKUP(B171,'Base stats'!B:B,'Base stats'!E:E),Groups!A:A,Groups!BI:BI)*_xlfn.XLOOKUP(B171,'Base stats'!B:B,'Base stats'!C:C)^0.165,0.01)</f>
        <v>0.03</v>
      </c>
      <c r="Z171" s="18">
        <f>ROUND(_xlfn.XLOOKUP(B171,'Base stats'!B:B,'Base stats'!AO:AO)*_xlfn.XLOOKUP(_xlfn.XLOOKUP(B171,'Base stats'!B:B,'Base stats'!E:E),Groups!A:A,Groups!H:H)/1000,2)</f>
        <v>0.02</v>
      </c>
      <c r="AA171" s="18">
        <f>ROUND((1/2)*(_xlfn.XLOOKUP(_xlfn.XLOOKUP(B171,'Base stats'!B:B,'Base stats'!E:E),Groups!A:A,Groups!H:H)*_xlfn.XLOOKUP(_xlfn.XLOOKUP(B171,'Base stats'!B:B,'Base stats'!E:E),Groups!A:A,Groups!I:I))*_xlfn.XLOOKUP(B171,'Base stats'!B:B,'Base stats'!AO:AO)*0.01,2)</f>
        <v>0.17</v>
      </c>
      <c r="AB171" s="18">
        <f>250*(Animals!AO171+Animals!AP171)</f>
        <v>87.500000000000014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BlackRhino</v>
      </c>
      <c r="B172" s="6" t="str">
        <f>Animals!B172</f>
        <v>Diceros bicornis</v>
      </c>
      <c r="C172" s="1" t="str">
        <f>Animals!C172</f>
        <v>&lt;li&gt;AEXP_BlackRhino&lt;/li&gt;</v>
      </c>
      <c r="D172" s="47">
        <f>MAX(MROUND(_xlfn.XLOOKUP(B172,'Base stats'!B:B,'Base stats'!BQ:BQ) * (_xlfn.XLOOKUP(B172,'Base stats'!B:B,'Base stats'!AM:AM)*5%)^0.9 / 21,0.1),0.05)</f>
        <v>23.1</v>
      </c>
      <c r="E172" s="11">
        <f>MAX(0.01,MROUND(_xlfn.XLOOKUP(B172,'Base stats'!B:B,'Base stats'!BE:BE) * 0.01 * 2, 0.01))</f>
        <v>22.86</v>
      </c>
      <c r="F172" s="7">
        <f>MROUND(_xlfn.XLOOKUP(B172,'Base stats'!B:B,'Base stats'!BB:BB)^0.25 / (_xlfn.XLOOKUP(B172,'Base stats'!B:B,'Base stats'!BI:BI) * 10) * 150 + 0.5 + _xlfn.XLOOKUP(B172,'Base stats'!B:B,'Base stats'!BU:BU), 0.05)</f>
        <v>1.9500000000000002</v>
      </c>
      <c r="G172" s="3" t="str">
        <f>IF(Animals!S172="No","No",
IF(_xlfn.XLOOKUP(B172,'Base stats'!B:B,'Base stats'!U:U)="No",
MAX(MROUND(_xlfn.XLOOKUP(B172,'Base stats'!B:B,'Base stats'!BR:BR) * _xlfn.XLOOKUP(B172,'Base stats'!B:B,'Base stats'!BN:BN)^0.9 / 21 * _xlfn.XLOOKUP(B172,'Base stats'!B:B,'Base stats'!BV:BV),0.1),0.05),
MAX(MROUND(((MIN(10,_xlfn.XLOOKUP(B172,'Base stats'!B:B,'Base stats'!U:U)))^0.4*_xlfn.XLOOKUP(B172,'Base stats'!B:B,'Base stats'!BF:BF)^0.73)^0.6 * _xlfn.XLOOKUP(B172,'Base stats'!B:B,'Base stats'!BV:BV),0.1),0.05)
))</f>
        <v>No</v>
      </c>
      <c r="H172" s="11" t="str">
        <f>IF(G172="No","No",
MAX(0.01,MROUND(_xlfn.XLOOKUP(B172,'Base stats'!B:B,'Base stats'!BF:BF) * 0.01 * 2, 0.01))
)</f>
        <v>No</v>
      </c>
      <c r="I172" s="11" t="str">
        <f>IF(G172="No","No",IF(_xlfn.XLOOKUP(B172,'Base stats'!B:B,'Base stats'!U:U)="No","No",
MAX(0.01,MROUND(_xlfn.XLOOKUP(B172,'Base stats'!B:B,'Base stats'!BR:BR)/10000,0.01))
))</f>
        <v>No</v>
      </c>
      <c r="J172" s="4" t="str">
        <f>IF(G172="No","No",
MROUND(_xlfn.XLOOKUP(B172,'Base stats'!B:B,'Base stats'!BC:BC)^0.25
/((_xlfn.XLOOKUP(B172,'Base stats'!B:B,'Base stats'!BJ:BJ))*10)*_xlfn.XLOOKUP(_xlfn.XLOOKUP(B172,'Base stats'!B:B,'Base stats'!E:E),Groups!A:A,Groups!Q:Q)*150 + 0.5 + _xlfn.XLOOKUP(B172,'Base stats'!B:B,'Base stats'!BU:BU),
0.05))</f>
        <v>No</v>
      </c>
      <c r="K172" s="3">
        <f>IF(Animals!X172="No","No",
IF(_xlfn.XLOOKUP(_xlfn.XLOOKUP(B172,'Base stats'!B:B,'Base stats'!E:E),Groups!A:A,Groups!BD:BD)=1,
MAX(MROUND(_xlfn.XLOOKUP(B172,'Base stats'!B:B,'Base stats'!BS:BS) * _xlfn.XLOOKUP(B172,'Base stats'!B:B,'Base stats'!BO:BO)^0.9 / 21 *_xlfn.XLOOKUP(B172,'Base stats'!B:B,'Base stats'!BV:BV),0.1),0.05),
MAX(MROUND(((MIN(10,_xlfn.XLOOKUP(B172,'Base stats'!B:B,'Base stats'!W:W)))^0.4*_xlfn.XLOOKUP(B172,'Base stats'!B:B,'Base stats'!BG:BG)^0.73)^0.6 *_xlfn.XLOOKUP(B172,'Base stats'!B:B,'Base stats'!BV:BV),0.1),0.05)
))</f>
        <v>41.1</v>
      </c>
      <c r="L172" s="11">
        <f>IF(K172="No","No",
MAX(0.01,MROUND(_xlfn.XLOOKUP(B172,'Base stats'!B:B,'Base stats'!BG:BG) * 0.01 *2, 0.01))
)</f>
        <v>27.43</v>
      </c>
      <c r="M172" s="5">
        <f>IF(K172="No","No",IF(_xlfn.XLOOKUP(_xlfn.XLOOKUP(B172,'Base stats'!B:B,'Base stats'!E:E),Groups!A:A,Groups!BD:BD)=1,"No",
MAX(0.01,MROUND(_xlfn.XLOOKUP(B172,'Base stats'!B:B,'Base stats'!BS:BS)/10000,0.01))
))</f>
        <v>1.35</v>
      </c>
      <c r="N172" s="4">
        <f>IF(K172="No","No",
MROUND(
  _xlfn.XLOOKUP(B172,'Base stats'!B:B,'Base stats'!BA:BA)^0.25
  / (_xlfn.XLOOKUP(B172,'Base stats'!B:B,'Base stats'!BK:BK)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stats'!BU:BU),
0.05))</f>
        <v>2.75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stats'!BH:BH)^0.73)^0.6 *_xlfn.XLOOKUP(B172,'Base stats'!B:B,'Base stats'!BV:BV),0.1),0.05)
)</f>
        <v>21.3</v>
      </c>
      <c r="P172" s="11">
        <f>IF(O172="No","No",
MAX(0.01,MROUND(_xlfn.XLOOKUP(B172,'Base stats'!B:B,'Base stats'!BH:BH) * 0.01 * 2, 0.01))
)</f>
        <v>13.89</v>
      </c>
      <c r="Q172" s="5">
        <f>IF(O172="No","No",
MAX(0.01,MROUND(_xlfn.XLOOKUP(B172,'Base stats'!B:B,'Base stats'!BT:BT)/10000,0.01))
)</f>
        <v>0.27</v>
      </c>
      <c r="R172" s="4">
        <f>IF(O172="No","No",
MROUND(_xlfn.XLOOKUP(B172,'Base stats'!B:B,'Base stats'!AZ:AZ)^0.25
/((_xlfn.XLOOKUP(B172,'Base stats'!B:B,'Base stats'!BL:BL))*10)*_xlfn.XLOOKUP(_xlfn.XLOOKUP(B172,'Base stats'!B:B,'Base stats'!E:E),Groups!A:A,Groups!Z:Z)*150 + 0.5 + _xlfn.XLOOKUP(B172,'Base stats'!B:B,'Base stats'!BU:BU),
0.05))</f>
        <v>2.95</v>
      </c>
      <c r="S172" s="3" t="str">
        <f>IF(Animals!AI172="No","No",
IF(_xlfn.XLOOKUP(B172,'Base stats'!B:B,'Base stats'!U:U)="No",
MAX(MROUND(_xlfn.XLOOKUP(B172,'Base stats'!B:B,'Base stats'!BR:BR) * _xlfn.XLOOKUP(B172,'Base stats'!B:B,'Base stats'!BN:BN)^0.9 / 21 * _xlfn.XLOOKUP(B172,'Base stats'!B:B,'Base stats'!BV:BV),0.1),0.05),
MAX(MROUND(((MIN(12,_xlfn.XLOOKUP(B172,'Base stats'!B:B,'Base stats'!U:U)))^0.4*_xlfn.XLOOKUP(B172,'Base stats'!B:B,'Base stats'!BF:BF)^0.73)^0.6 * _xlfn.XLOOKUP(B172,'Base stats'!B:B,'Base stats'!BV:BV),0.1),0.05)
))</f>
        <v>No</v>
      </c>
      <c r="T172" s="11" t="str">
        <f>IF(S172="No","No",
MAX(0.01,MROUND(_xlfn.XLOOKUP(B172,'Base stats'!B:B,'Base stats'!BF:BF) * 0.01 * 2, 0.01))
)</f>
        <v>No</v>
      </c>
      <c r="U172" s="5" t="str">
        <f>IF(S172="No","No",IF(_xlfn.XLOOKUP(B172,'Base stats'!B:B,'Base stats'!U:U)="No","No",
MAX(0.01,MROUND(_xlfn.XLOOKUP(B172,'Base stats'!B:B,'Base stats'!BR:BR)/10000,0.01))
))</f>
        <v>No</v>
      </c>
      <c r="V172" s="4" t="str">
        <f>IF(S172="No","No",
MROUND(_xlfn.XLOOKUP(B172,'Base stats'!B:B,'Base stats'!BD:BD)^0.25
/((_xlfn.XLOOKUP(B172,'Base stats'!B:B,'Base stats'!BM:BM))*10)*_xlfn.XLOOKUP(_xlfn.XLOOKUP(B172,'Base stats'!B:B,'Base stats'!E:E),Groups!A:A,Groups!AE:AE)*150 + 0.5 + _xlfn.XLOOKUP(B172,'Base stats'!B:B,'Base stats'!BU:BU),
0.05))</f>
        <v>No</v>
      </c>
      <c r="W172" s="8">
        <f>MROUND(_xlfn.XLOOKUP(_xlfn.XLOOKUP(B172,'Base stats'!B:B,'Base stats'!E:E),Groups!A:A,Groups!BG:BG)*_xlfn.XLOOKUP(B172,'Base stats'!B:B,'Base stats'!C:C)^-0.165,0.01)</f>
        <v>0.16</v>
      </c>
      <c r="X172" s="1">
        <f>MROUND(_xlfn.XLOOKUP(_xlfn.XLOOKUP(B172,'Base stats'!B:B,'Base stats'!E:E),Groups!A:A,Groups!BH:BH)*_xlfn.XLOOKUP(B172,'Base stats'!B:B,'Base stats'!C:C)^0.165,0.01)</f>
        <v>0.48</v>
      </c>
      <c r="Y172" s="8">
        <f>MROUND(_xlfn.XLOOKUP(_xlfn.XLOOKUP(B172,'Base stats'!B:B,'Base stats'!E:E),Groups!A:A,Groups!BI:BI)*_xlfn.XLOOKUP(B172,'Base stats'!B:B,'Base stats'!C:C)^0.165,0.01)</f>
        <v>0.08</v>
      </c>
      <c r="Z172" s="18">
        <f>ROUND(_xlfn.XLOOKUP(B172,'Base stats'!B:B,'Base stats'!AO:AO)*_xlfn.XLOOKUP(_xlfn.XLOOKUP(B172,'Base stats'!B:B,'Base stats'!E:E),Groups!A:A,Groups!H:H)/1000,2)</f>
        <v>0.2</v>
      </c>
      <c r="AA172" s="18">
        <f>ROUND((1/2)*(_xlfn.XLOOKUP(_xlfn.XLOOKUP(B172,'Base stats'!B:B,'Base stats'!E:E),Groups!A:A,Groups!H:H)*_xlfn.XLOOKUP(_xlfn.XLOOKUP(B172,'Base stats'!B:B,'Base stats'!E:E),Groups!A:A,Groups!I:I))*_xlfn.XLOOKUP(B172,'Base stats'!B:B,'Base stats'!AO:AO)*0.01,2)</f>
        <v>0.24</v>
      </c>
      <c r="AB172" s="18">
        <f>250*(Animals!AO172+Animals!AP172)</f>
        <v>1925</v>
      </c>
      <c r="AC172" s="18" t="str">
        <f>_xlfn.XLOOKUP(_xlfn.XLOOKUP(B172,'Base stats'!B:B,'Base stats'!E:E),Groups!A:A,Groups!BJ:BJ)</f>
        <v>Quadruped</v>
      </c>
    </row>
    <row r="173" spans="1:29" ht="16.5" thickTop="1" thickBot="1" x14ac:dyDescent="0.3">
      <c r="A173" s="16" t="str">
        <f>Animals!A173</f>
        <v>Bonobo</v>
      </c>
      <c r="B173" s="6" t="str">
        <f>Animals!B173</f>
        <v>Pan paniscus</v>
      </c>
      <c r="C173" s="1" t="str">
        <f>Animals!C173</f>
        <v>&lt;li&gt;AEXP_Bonobo&lt;/li&gt;</v>
      </c>
      <c r="D173" s="47">
        <f>MAX(MROUND(_xlfn.XLOOKUP(B173,'Base stats'!B:B,'Base stats'!BQ:BQ) * (_xlfn.XLOOKUP(B173,'Base stats'!B:B,'Base stats'!AM:AM)*5%)^0.9 / 21,0.1),0.05)</f>
        <v>1.4000000000000001</v>
      </c>
      <c r="E173" s="11">
        <f>MAX(0.01,MROUND(_xlfn.XLOOKUP(B173,'Base stats'!B:B,'Base stats'!BE:BE) * 0.01 * 2, 0.01))</f>
        <v>1.1200000000000001</v>
      </c>
      <c r="F173" s="7">
        <f>MROUND(_xlfn.XLOOKUP(B173,'Base stats'!B:B,'Base stats'!BB:BB)^0.25 / (_xlfn.XLOOKUP(B173,'Base stats'!B:B,'Base stats'!BI:BI) * 10) * 150 + 0.5 + _xlfn.XLOOKUP(B173,'Base stats'!B:B,'Base stats'!BU:BU), 0.05)</f>
        <v>1.55</v>
      </c>
      <c r="G173" s="3" t="str">
        <f>IF(Animals!S173="No","No",
IF(_xlfn.XLOOKUP(B173,'Base stats'!B:B,'Base stats'!U:U)="No",
MAX(MROUND(_xlfn.XLOOKUP(B173,'Base stats'!B:B,'Base stats'!BR:BR) * _xlfn.XLOOKUP(B173,'Base stats'!B:B,'Base stats'!BN:BN)^0.9 / 21 * _xlfn.XLOOKUP(B173,'Base stats'!B:B,'Base stats'!BV:BV),0.1),0.05),
MAX(MROUND(((MIN(10,_xlfn.XLOOKUP(B173,'Base stats'!B:B,'Base stats'!U:U)))^0.4*_xlfn.XLOOKUP(B173,'Base stats'!B:B,'Base stats'!BF:BF)^0.73)^0.6 * _xlfn.XLOOKUP(B173,'Base stats'!B:B,'Base stats'!BV:BV),0.1),0.05)
))</f>
        <v>No</v>
      </c>
      <c r="H173" s="11" t="str">
        <f>IF(G173="No","No",
MAX(0.01,MROUND(_xlfn.XLOOKUP(B173,'Base stats'!B:B,'Base stats'!BF:BF) * 0.01 * 2, 0.01))
)</f>
        <v>No</v>
      </c>
      <c r="I173" s="11" t="str">
        <f>IF(G173="No","No",IF(_xlfn.XLOOKUP(B173,'Base stats'!B:B,'Base stats'!U:U)="No","No",
MAX(0.01,MROUND(_xlfn.XLOOKUP(B173,'Base stats'!B:B,'Base stats'!BR:BR)/10000,0.01))
))</f>
        <v>No</v>
      </c>
      <c r="J173" s="4" t="str">
        <f>IF(G173="No","No",
MROUND(_xlfn.XLOOKUP(B173,'Base stats'!B:B,'Base stats'!BC:BC)^0.25
/((_xlfn.XLOOKUP(B173,'Base stats'!B:B,'Base stats'!BJ:BJ))*10)*_xlfn.XLOOKUP(_xlfn.XLOOKUP(B173,'Base stats'!B:B,'Base stats'!E:E),Groups!A:A,Groups!Q:Q)*150 + 0.5 + _xlfn.XLOOKUP(B173,'Base stats'!B:B,'Base stats'!BU:BU),
0.05))</f>
        <v>No</v>
      </c>
      <c r="K173" s="3" t="str">
        <f>IF(Animals!X173="No","No",
IF(_xlfn.XLOOKUP(_xlfn.XLOOKUP(B173,'Base stats'!B:B,'Base stats'!E:E),Groups!A:A,Groups!BD:BD)=1,
MAX(MROUND(_xlfn.XLOOKUP(B173,'Base stats'!B:B,'Base stats'!BS:BS) * _xlfn.XLOOKUP(B173,'Base stats'!B:B,'Base stats'!BO:BO)^0.9 / 21 *_xlfn.XLOOKUP(B173,'Base stats'!B:B,'Base stats'!BV:BV),0.1),0.05),
MAX(MROUND(((MIN(10,_xlfn.XLOOKUP(B173,'Base stats'!B:B,'Base stats'!W:W)))^0.4*_xlfn.XLOOKUP(B173,'Base stats'!B:B,'Base stats'!BG:BG)^0.73)^0.6 *_xlfn.XLOOKUP(B173,'Base stats'!B:B,'Base stats'!BV:BV),0.1),0.05)
))</f>
        <v>No</v>
      </c>
      <c r="L173" s="11" t="str">
        <f>IF(K173="No","No",
MAX(0.01,MROUND(_xlfn.XLOOKUP(B173,'Base stats'!B:B,'Base stats'!BG:BG) * 0.01 *2, 0.01))
)</f>
        <v>No</v>
      </c>
      <c r="M173" s="5" t="str">
        <f>IF(K173="No","No",IF(_xlfn.XLOOKUP(_xlfn.XLOOKUP(B173,'Base stats'!B:B,'Base stats'!E:E),Groups!A:A,Groups!BD:BD)=1,"No",
MAX(0.01,MROUND(_xlfn.XLOOKUP(B173,'Base stats'!B:B,'Base stats'!BS:BS)/10000,0.01))
))</f>
        <v>No</v>
      </c>
      <c r="N173" s="4" t="str">
        <f>IF(K173="No","No",
MROUND(
  _xlfn.XLOOKUP(B173,'Base stats'!B:B,'Base stats'!BA:BA)^0.25
  / (_xlfn.XLOOKUP(B173,'Base stats'!B:B,'Base stats'!BK:BK)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stats'!BU:BU),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stats'!BH:BH)^0.73)^0.6 *_xlfn.XLOOKUP(B173,'Base stats'!B:B,'Base stats'!BV:BV),0.1),0.05)
)</f>
        <v>6.4</v>
      </c>
      <c r="P173" s="11">
        <f>IF(O173="No","No",
MAX(0.01,MROUND(_xlfn.XLOOKUP(B173,'Base stats'!B:B,'Base stats'!BH:BH) * 0.01 * 2, 0.01))
)</f>
        <v>0.77</v>
      </c>
      <c r="Q173" s="5">
        <f>IF(O173="No","No",
MAX(0.01,MROUND(_xlfn.XLOOKUP(B173,'Base stats'!B:B,'Base stats'!BT:BT)/10000,0.01))
)</f>
        <v>0.06</v>
      </c>
      <c r="R173" s="4">
        <f>IF(O173="No","No",
MROUND(_xlfn.XLOOKUP(B173,'Base stats'!B:B,'Base stats'!AZ:AZ)^0.25
/((_xlfn.XLOOKUP(B173,'Base stats'!B:B,'Base stats'!BL:BL))*10)*_xlfn.XLOOKUP(_xlfn.XLOOKUP(B173,'Base stats'!B:B,'Base stats'!E:E),Groups!A:A,Groups!Z:Z)*150 + 0.5 + _xlfn.XLOOKUP(B173,'Base stats'!B:B,'Base stats'!BU:BU),
0.05))</f>
        <v>1.9000000000000001</v>
      </c>
      <c r="S173" s="3">
        <f>IF(Animals!AI173="No","No",
IF(_xlfn.XLOOKUP(B173,'Base stats'!B:B,'Base stats'!U:U)="No",
MAX(MROUND(_xlfn.XLOOKUP(B173,'Base stats'!B:B,'Base stats'!BR:BR) * _xlfn.XLOOKUP(B173,'Base stats'!B:B,'Base stats'!BN:BN)^0.9 / 21 * _xlfn.XLOOKUP(B173,'Base stats'!B:B,'Base stats'!BV:BV),0.1),0.05),
MAX(MROUND(((MIN(12,_xlfn.XLOOKUP(B173,'Base stats'!B:B,'Base stats'!U:U)))^0.4*_xlfn.XLOOKUP(B173,'Base stats'!B:B,'Base stats'!BF:BF)^0.73)^0.6 * _xlfn.XLOOKUP(B173,'Base stats'!B:B,'Base stats'!BV:BV),0.1),0.05)
))</f>
        <v>3.3000000000000003</v>
      </c>
      <c r="T173" s="11">
        <f>IF(S173="No","No",
MAX(0.01,MROUND(_xlfn.XLOOKUP(B173,'Base stats'!B:B,'Base stats'!BF:BF) * 0.01 * 2, 0.01))
)</f>
        <v>1.49</v>
      </c>
      <c r="U173" s="5" t="str">
        <f>IF(S173="No","No",IF(_xlfn.XLOOKUP(B173,'Base stats'!B:B,'Base stats'!U:U)="No","No",
MAX(0.01,MROUND(_xlfn.XLOOKUP(B173,'Base stats'!B:B,'Base stats'!BR:BR)/10000,0.01))
))</f>
        <v>No</v>
      </c>
      <c r="V173" s="4">
        <f>IF(S173="No","No",
MROUND(_xlfn.XLOOKUP(B173,'Base stats'!B:B,'Base stats'!BD:BD)^0.25
/((_xlfn.XLOOKUP(B173,'Base stats'!B:B,'Base stats'!BM:BM))*10)*_xlfn.XLOOKUP(_xlfn.XLOOKUP(B173,'Base stats'!B:B,'Base stats'!E:E),Groups!A:A,Groups!AE:AE)*150 + 0.5 + _xlfn.XLOOKUP(B173,'Base stats'!B:B,'Base stats'!BU:BU),
0.05))</f>
        <v>1.3</v>
      </c>
      <c r="W173" s="8">
        <f>MROUND(_xlfn.XLOOKUP(_xlfn.XLOOKUP(B173,'Base stats'!B:B,'Base stats'!E:E),Groups!A:A,Groups!BG:BG)*_xlfn.XLOOKUP(B173,'Base stats'!B:B,'Base stats'!C:C)^-0.165,0.01)</f>
        <v>0.54</v>
      </c>
      <c r="X173" s="1">
        <f>MROUND(_xlfn.XLOOKUP(_xlfn.XLOOKUP(B173,'Base stats'!B:B,'Base stats'!E:E),Groups!A:A,Groups!BH:BH)*_xlfn.XLOOKUP(B173,'Base stats'!B:B,'Base stats'!C:C)^0.165,0.01)</f>
        <v>0.18</v>
      </c>
      <c r="Y173" s="8">
        <f>MROUND(_xlfn.XLOOKUP(_xlfn.XLOOKUP(B173,'Base stats'!B:B,'Base stats'!E:E),Groups!A:A,Groups!BI:BI)*_xlfn.XLOOKUP(B173,'Base stats'!B:B,'Base stats'!C:C)^0.165,0.01)</f>
        <v>0.09</v>
      </c>
      <c r="Z173" s="18">
        <f>ROUND(_xlfn.XLOOKUP(B173,'Base stats'!B:B,'Base stats'!AO:AO)*_xlfn.XLOOKUP(_xlfn.XLOOKUP(B173,'Base stats'!B:B,'Base stats'!E:E),Groups!A:A,Groups!H:H)/1000,2)</f>
        <v>0.04</v>
      </c>
      <c r="AA173" s="18">
        <f>ROUND((1/2)*(_xlfn.XLOOKUP(_xlfn.XLOOKUP(B173,'Base stats'!B:B,'Base stats'!E:E),Groups!A:A,Groups!H:H)*_xlfn.XLOOKUP(_xlfn.XLOOKUP(B173,'Base stats'!B:B,'Base stats'!E:E),Groups!A:A,Groups!I:I))*_xlfn.XLOOKUP(B173,'Base stats'!B:B,'Base stats'!AO:AO)*0.01,2)</f>
        <v>0.2</v>
      </c>
      <c r="AB173" s="18">
        <f>250*(Animals!AO173+Animals!AP173)</f>
        <v>400</v>
      </c>
      <c r="AC173" s="18" t="str">
        <f>_xlfn.XLOOKUP(_xlfn.XLOOKUP(B173,'Base stats'!B:B,'Base stats'!E:E),Groups!A:A,Groups!BJ:BJ)</f>
        <v>HumanoidWide</v>
      </c>
    </row>
    <row r="174" spans="1:29" ht="16.5" thickTop="1" thickBot="1" x14ac:dyDescent="0.3">
      <c r="A174" s="16" t="str">
        <f>Animals!A174</f>
        <v>Moa</v>
      </c>
      <c r="B174" s="6" t="str">
        <f>Animals!B174</f>
        <v>Dinornis novaezealandiae</v>
      </c>
      <c r="C174" s="1" t="str">
        <f>Animals!C174</f>
        <v>&lt;li&gt;AEXP_Moa&lt;/li&gt;</v>
      </c>
      <c r="D174" s="47">
        <f>MAX(MROUND(_xlfn.XLOOKUP(B174,'Base stats'!B:B,'Base stats'!BQ:BQ) * (_xlfn.XLOOKUP(B174,'Base stats'!B:B,'Base stats'!AM:AM)*5%)^0.9 / 21,0.1),0.05)</f>
        <v>4.5</v>
      </c>
      <c r="E174" s="11">
        <f>MAX(0.01,MROUND(_xlfn.XLOOKUP(B174,'Base stats'!B:B,'Base stats'!BE:BE) * 0.01 * 2, 0.01))</f>
        <v>3.92</v>
      </c>
      <c r="F174" s="7">
        <f>MROUND(_xlfn.XLOOKUP(B174,'Base stats'!B:B,'Base stats'!BB:BB)^0.25 / (_xlfn.XLOOKUP(B174,'Base stats'!B:B,'Base stats'!BI:BI) * 10) * 150 + 0.5 + _xlfn.XLOOKUP(B174,'Base stats'!B:B,'Base stats'!BU:BU), 0.05)</f>
        <v>1.75</v>
      </c>
      <c r="G174" s="3">
        <f>IF(Animals!S174="No","No",
IF(_xlfn.XLOOKUP(B174,'Base stats'!B:B,'Base stats'!U:U)="No",
MAX(MROUND(_xlfn.XLOOKUP(B174,'Base stats'!B:B,'Base stats'!BR:BR) * _xlfn.XLOOKUP(B174,'Base stats'!B:B,'Base stats'!BN:BN)^0.9 / 21 * _xlfn.XLOOKUP(B174,'Base stats'!B:B,'Base stats'!BV:BV),0.1),0.05),
MAX(MROUND(((MIN(10,_xlfn.XLOOKUP(B174,'Base stats'!B:B,'Base stats'!U:U)))^0.4*_xlfn.XLOOKUP(B174,'Base stats'!B:B,'Base stats'!BF:BF)^0.73)^0.6 * _xlfn.XLOOKUP(B174,'Base stats'!B:B,'Base stats'!BV:BV),0.1),0.05)
))</f>
        <v>17</v>
      </c>
      <c r="H174" s="11">
        <f>IF(G174="No","No",
MAX(0.01,MROUND(_xlfn.XLOOKUP(B174,'Base stats'!B:B,'Base stats'!BF:BF) * 0.01 * 2, 0.01))
)</f>
        <v>4.8100000000000005</v>
      </c>
      <c r="I174" s="11">
        <f>IF(G174="No","No",IF(_xlfn.XLOOKUP(B174,'Base stats'!B:B,'Base stats'!U:U)="No","No",
MAX(0.01,MROUND(_xlfn.XLOOKUP(B174,'Base stats'!B:B,'Base stats'!BR:BR)/10000,0.01))
))</f>
        <v>0.21</v>
      </c>
      <c r="J174" s="4">
        <f>IF(G174="No","No",
MROUND(_xlfn.XLOOKUP(B174,'Base stats'!B:B,'Base stats'!BC:BC)^0.25
/((_xlfn.XLOOKUP(B174,'Base stats'!B:B,'Base stats'!BJ:BJ))*10)*_xlfn.XLOOKUP(_xlfn.XLOOKUP(B174,'Base stats'!B:B,'Base stats'!E:E),Groups!A:A,Groups!Q:Q)*150 + 0.5 + _xlfn.XLOOKUP(B174,'Base stats'!B:B,'Base stats'!BU:BU),
0.05))</f>
        <v>3.1</v>
      </c>
      <c r="K174" s="3" t="str">
        <f>IF(Animals!X174="No","No",
IF(_xlfn.XLOOKUP(_xlfn.XLOOKUP(B174,'Base stats'!B:B,'Base stats'!E:E),Groups!A:A,Groups!BD:BD)=1,
MAX(MROUND(_xlfn.XLOOKUP(B174,'Base stats'!B:B,'Base stats'!BS:BS) * _xlfn.XLOOKUP(B174,'Base stats'!B:B,'Base stats'!BO:BO)^0.9 / 21 *_xlfn.XLOOKUP(B174,'Base stats'!B:B,'Base stats'!BV:BV),0.1),0.05),
MAX(MROUND(((MIN(10,_xlfn.XLOOKUP(B174,'Base stats'!B:B,'Base stats'!W:W)))^0.4*_xlfn.XLOOKUP(B174,'Base stats'!B:B,'Base stats'!BG:BG)^0.73)^0.6 *_xlfn.XLOOKUP(B174,'Base stats'!B:B,'Base stats'!BV:BV),0.1),0.05)
))</f>
        <v>No</v>
      </c>
      <c r="L174" s="11" t="str">
        <f>IF(K174="No","No",
MAX(0.01,MROUND(_xlfn.XLOOKUP(B174,'Base stats'!B:B,'Base stats'!BG:BG) * 0.01 *2, 0.01))
)</f>
        <v>No</v>
      </c>
      <c r="M174" s="5" t="str">
        <f>IF(K174="No","No",IF(_xlfn.XLOOKUP(_xlfn.XLOOKUP(B174,'Base stats'!B:B,'Base stats'!E:E),Groups!A:A,Groups!BD:BD)=1,"No",
MAX(0.01,MROUND(_xlfn.XLOOKUP(B174,'Base stats'!B:B,'Base stats'!BS:BS)/10000,0.01))
))</f>
        <v>No</v>
      </c>
      <c r="N174" s="4" t="str">
        <f>IF(K174="No","No",
MROUND(
  _xlfn.XLOOKUP(B174,'Base stats'!B:B,'Base stats'!BA:BA)^0.25
  / (_xlfn.XLOOKUP(B174,'Base stats'!B:B,'Base stats'!BK:BK)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stats'!BU:BU),
0.05))</f>
        <v>No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stats'!BH:BH)^0.73)^0.6 *_xlfn.XLOOKUP(B174,'Base stats'!B:B,'Base stats'!BV:BV),0.1),0.05)
)</f>
        <v>5.6000000000000005</v>
      </c>
      <c r="P174" s="11">
        <f>IF(O174="No","No",
MAX(0.01,MROUND(_xlfn.XLOOKUP(B174,'Base stats'!B:B,'Base stats'!BH:BH) * 0.01 * 2, 0.01))
)</f>
        <v>0.6</v>
      </c>
      <c r="Q174" s="5">
        <f>IF(O174="No","No",
MAX(0.01,MROUND(_xlfn.XLOOKUP(B174,'Base stats'!B:B,'Base stats'!BT:BT)/10000,0.01))
)</f>
        <v>0.03</v>
      </c>
      <c r="R174" s="4">
        <f>IF(O174="No","No",
MROUND(_xlfn.XLOOKUP(B174,'Base stats'!B:B,'Base stats'!AZ:AZ)^0.25
/((_xlfn.XLOOKUP(B174,'Base stats'!B:B,'Base stats'!BL:BL))*10)*_xlfn.XLOOKUP(_xlfn.XLOOKUP(B174,'Base stats'!B:B,'Base stats'!E:E),Groups!A:A,Groups!Z:Z)*150 + 0.5 + _xlfn.XLOOKUP(B174,'Base stats'!B:B,'Base stats'!BU:BU),
0.05))</f>
        <v>2.35</v>
      </c>
      <c r="S174" s="3" t="str">
        <f>IF(Animals!AI174="No","No",
IF(_xlfn.XLOOKUP(B174,'Base stats'!B:B,'Base stats'!U:U)="No",
MAX(MROUND(_xlfn.XLOOKUP(B174,'Base stats'!B:B,'Base stats'!BR:BR) * _xlfn.XLOOKUP(B174,'Base stats'!B:B,'Base stats'!BN:BN)^0.9 / 21 * _xlfn.XLOOKUP(B174,'Base stats'!B:B,'Base stats'!BV:BV),0.1),0.05),
MAX(MROUND(((MIN(12,_xlfn.XLOOKUP(B174,'Base stats'!B:B,'Base stats'!U:U)))^0.4*_xlfn.XLOOKUP(B174,'Base stats'!B:B,'Base stats'!BF:BF)^0.73)^0.6 * _xlfn.XLOOKUP(B174,'Base stats'!B:B,'Base stats'!BV:BV),0.1),0.05)
))</f>
        <v>No</v>
      </c>
      <c r="T174" s="11" t="str">
        <f>IF(S174="No","No",
MAX(0.01,MROUND(_xlfn.XLOOKUP(B174,'Base stats'!B:B,'Base stats'!BF:BF) * 0.01 * 2, 0.01))
)</f>
        <v>No</v>
      </c>
      <c r="U174" s="5" t="str">
        <f>IF(S174="No","No",IF(_xlfn.XLOOKUP(B174,'Base stats'!B:B,'Base stats'!U:U)="No","No",
MAX(0.01,MROUND(_xlfn.XLOOKUP(B174,'Base stats'!B:B,'Base stats'!BR:BR)/10000,0.01))
))</f>
        <v>No</v>
      </c>
      <c r="V174" s="4" t="str">
        <f>IF(S174="No","No",
MROUND(_xlfn.XLOOKUP(B174,'Base stats'!B:B,'Base stats'!BD:BD)^0.25
/((_xlfn.XLOOKUP(B174,'Base stats'!B:B,'Base stats'!BM:BM))*10)*_xlfn.XLOOKUP(_xlfn.XLOOKUP(B174,'Base stats'!B:B,'Base stats'!E:E),Groups!A:A,Groups!AE:AE)*150 + 0.5 + _xlfn.XLOOKUP(B174,'Base stats'!B:B,'Base stats'!BU:BU),
0.05))</f>
        <v>No</v>
      </c>
      <c r="W174" s="8">
        <f>MROUND(_xlfn.XLOOKUP(_xlfn.XLOOKUP(B174,'Base stats'!B:B,'Base stats'!E:E),Groups!A:A,Groups!BG:BG)*_xlfn.XLOOKUP(B174,'Base stats'!B:B,'Base stats'!C:C)^-0.165,0.01)</f>
        <v>0.43</v>
      </c>
      <c r="X174" s="1">
        <f>MROUND(_xlfn.XLOOKUP(_xlfn.XLOOKUP(B174,'Base stats'!B:B,'Base stats'!E:E),Groups!A:A,Groups!BH:BH)*_xlfn.XLOOKUP(B174,'Base stats'!B:B,'Base stats'!C:C)^0.165,0.01)</f>
        <v>0</v>
      </c>
      <c r="Y174" s="8">
        <f>MROUND(_xlfn.XLOOKUP(_xlfn.XLOOKUP(B174,'Base stats'!B:B,'Base stats'!E:E),Groups!A:A,Groups!BI:BI)*_xlfn.XLOOKUP(B174,'Base stats'!B:B,'Base stats'!C:C)^0.165,0.01)</f>
        <v>0</v>
      </c>
      <c r="Z174" s="18">
        <f>ROUND(_xlfn.XLOOKUP(B174,'Base stats'!B:B,'Base stats'!AO:AO)*_xlfn.XLOOKUP(_xlfn.XLOOKUP(B174,'Base stats'!B:B,'Base stats'!E:E),Groups!A:A,Groups!H:H)/1000,2)</f>
        <v>0</v>
      </c>
      <c r="AA174" s="18">
        <f>ROUND((1/2)*(_xlfn.XLOOKUP(_xlfn.XLOOKUP(B174,'Base stats'!B:B,'Base stats'!E:E),Groups!A:A,Groups!H:H)*_xlfn.XLOOKUP(_xlfn.XLOOKUP(B174,'Base stats'!B:B,'Base stats'!E:E),Groups!A:A,Groups!I:I))*_xlfn.XLOOKUP(B174,'Base stats'!B:B,'Base stats'!AO:AO)*0.01,2)</f>
        <v>0.02</v>
      </c>
      <c r="AB174" s="18">
        <f>250*(Animals!AO174+Animals!AP174)</f>
        <v>800</v>
      </c>
      <c r="AC174" s="18" t="str">
        <f>_xlfn.XLOOKUP(_xlfn.XLOOKUP(B174,'Base stats'!B:B,'Base stats'!E:E),Groups!A:A,Groups!BJ:BJ)</f>
        <v>Birdlike</v>
      </c>
    </row>
    <row r="175" spans="1:29" ht="16.5" thickTop="1" thickBot="1" x14ac:dyDescent="0.3">
      <c r="A175" s="16" t="str">
        <f>Animals!A175</f>
        <v>Quagga</v>
      </c>
      <c r="B175" s="6" t="str">
        <f>Animals!B175</f>
        <v>Equus quagga</v>
      </c>
      <c r="C175" s="1" t="str">
        <f>Animals!C175</f>
        <v>&lt;li&gt;AEXP_Quagga&lt;/li&gt;</v>
      </c>
      <c r="D175" s="47">
        <f>MAX(MROUND(_xlfn.XLOOKUP(B175,'Base stats'!B:B,'Base stats'!BQ:BQ) * (_xlfn.XLOOKUP(B175,'Base stats'!B:B,'Base stats'!AM:AM)*5%)^0.9 / 21,0.1),0.05)</f>
        <v>7.3000000000000007</v>
      </c>
      <c r="E175" s="11">
        <f>MAX(0.01,MROUND(_xlfn.XLOOKUP(B175,'Base stats'!B:B,'Base stats'!BE:BE) * 0.01 * 2, 0.01))</f>
        <v>6.59</v>
      </c>
      <c r="F175" s="7">
        <f>MROUND(_xlfn.XLOOKUP(B175,'Base stats'!B:B,'Base stats'!BB:BB)^0.25 / (_xlfn.XLOOKUP(B175,'Base stats'!B:B,'Base stats'!BI:BI) * 10) * 150 + 0.5 + _xlfn.XLOOKUP(B175,'Base stats'!B:B,'Base stats'!BU:BU), 0.05)</f>
        <v>1.8</v>
      </c>
      <c r="G175" s="3">
        <f>IF(Animals!S175="No","No",
IF(_xlfn.XLOOKUP(B175,'Base stats'!B:B,'Base stats'!U:U)="No",
MAX(MROUND(_xlfn.XLOOKUP(B175,'Base stats'!B:B,'Base stats'!BR:BR) * _xlfn.XLOOKUP(B175,'Base stats'!B:B,'Base stats'!BN:BN)^0.9 / 21 * _xlfn.XLOOKUP(B175,'Base stats'!B:B,'Base stats'!BV:BV),0.1),0.05),
MAX(MROUND(((MIN(10,_xlfn.XLOOKUP(B175,'Base stats'!B:B,'Base stats'!U:U)))^0.4*_xlfn.XLOOKUP(B175,'Base stats'!B:B,'Base stats'!BF:BF)^0.73)^0.6 * _xlfn.XLOOKUP(B175,'Base stats'!B:B,'Base stats'!BV:BV),0.1),0.05)
))</f>
        <v>12.600000000000001</v>
      </c>
      <c r="H175" s="11">
        <f>IF(G175="No","No",
MAX(0.01,MROUND(_xlfn.XLOOKUP(B175,'Base stats'!B:B,'Base stats'!BF:BF) * 0.01 * 2, 0.01))
)</f>
        <v>7.83</v>
      </c>
      <c r="I175" s="11" t="str">
        <f>IF(G175="No","No",IF(_xlfn.XLOOKUP(B175,'Base stats'!B:B,'Base stats'!U:U)="No","No",
MAX(0.01,MROUND(_xlfn.XLOOKUP(B175,'Base stats'!B:B,'Base stats'!BR:BR)/10000,0.01))
))</f>
        <v>No</v>
      </c>
      <c r="J175" s="4">
        <f>IF(G175="No","No",
MROUND(_xlfn.XLOOKUP(B175,'Base stats'!B:B,'Base stats'!BC:BC)^0.25
/((_xlfn.XLOOKUP(B175,'Base stats'!B:B,'Base stats'!BJ:BJ))*10)*_xlfn.XLOOKUP(_xlfn.XLOOKUP(B175,'Base stats'!B:B,'Base stats'!E:E),Groups!A:A,Groups!Q:Q)*150 + 0.5 + _xlfn.XLOOKUP(B175,'Base stats'!B:B,'Base stats'!BU:BU),
0.05))</f>
        <v>2.3000000000000003</v>
      </c>
      <c r="K175" s="3" t="str">
        <f>IF(Animals!X175="No","No",
IF(_xlfn.XLOOKUP(_xlfn.XLOOKUP(B175,'Base stats'!B:B,'Base stats'!E:E),Groups!A:A,Groups!BD:BD)=1,
MAX(MROUND(_xlfn.XLOOKUP(B175,'Base stats'!B:B,'Base stats'!BS:BS) * _xlfn.XLOOKUP(B175,'Base stats'!B:B,'Base stats'!BO:BO)^0.9 / 21 *_xlfn.XLOOKUP(B175,'Base stats'!B:B,'Base stats'!BV:BV),0.1),0.05),
MAX(MROUND(((MIN(10,_xlfn.XLOOKUP(B175,'Base stats'!B:B,'Base stats'!W:W)))^0.4*_xlfn.XLOOKUP(B175,'Base stats'!B:B,'Base stats'!BG:BG)^0.73)^0.6 *_xlfn.XLOOKUP(B175,'Base stats'!B:B,'Base stats'!BV:BV),0.1),0.05)
))</f>
        <v>No</v>
      </c>
      <c r="L175" s="11" t="str">
        <f>IF(K175="No","No",
MAX(0.01,MROUND(_xlfn.XLOOKUP(B175,'Base stats'!B:B,'Base stats'!BG:BG) * 0.01 *2, 0.01))
)</f>
        <v>No</v>
      </c>
      <c r="M175" s="5" t="str">
        <f>IF(K175="No","No",IF(_xlfn.XLOOKUP(_xlfn.XLOOKUP(B175,'Base stats'!B:B,'Base stats'!E:E),Groups!A:A,Groups!BD:BD)=1,"No",
MAX(0.01,MROUND(_xlfn.XLOOKUP(B175,'Base stats'!B:B,'Base stats'!BS:BS)/10000,0.01))
))</f>
        <v>No</v>
      </c>
      <c r="N175" s="4" t="str">
        <f>IF(K175="No","No",
MROUND(
  _xlfn.XLOOKUP(B175,'Base stats'!B:B,'Base stats'!BA:BA)^0.25
  / (_xlfn.XLOOKUP(B175,'Base stats'!B:B,'Base stats'!BK:BK)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stats'!BU:BU),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stats'!BH:BH)^0.73)^0.6 *_xlfn.XLOOKUP(B175,'Base stats'!B:B,'Base stats'!BV:BV),0.1),0.05)
)</f>
        <v>12.600000000000001</v>
      </c>
      <c r="P175" s="11">
        <f>IF(O175="No","No",
MAX(0.01,MROUND(_xlfn.XLOOKUP(B175,'Base stats'!B:B,'Base stats'!BH:BH) * 0.01 * 2, 0.01))
)</f>
        <v>5.21</v>
      </c>
      <c r="Q175" s="5">
        <f>IF(O175="No","No",
MAX(0.01,MROUND(_xlfn.XLOOKUP(B175,'Base stats'!B:B,'Base stats'!BT:BT)/10000,0.01))
)</f>
        <v>0.12</v>
      </c>
      <c r="R175" s="4">
        <f>IF(O175="No","No",
MROUND(_xlfn.XLOOKUP(B175,'Base stats'!B:B,'Base stats'!AZ:AZ)^0.25
/((_xlfn.XLOOKUP(B175,'Base stats'!B:B,'Base stats'!BL:BL))*10)*_xlfn.XLOOKUP(_xlfn.XLOOKUP(B175,'Base stats'!B:B,'Base stats'!E:E),Groups!A:A,Groups!Z:Z)*150 + 0.5 + _xlfn.XLOOKUP(B175,'Base stats'!B:B,'Base stats'!BU:BU),
0.05))</f>
        <v>2.75</v>
      </c>
      <c r="S175" s="3" t="str">
        <f>IF(Animals!AI175="No","No",
IF(_xlfn.XLOOKUP(B175,'Base stats'!B:B,'Base stats'!U:U)="No",
MAX(MROUND(_xlfn.XLOOKUP(B175,'Base stats'!B:B,'Base stats'!BR:BR) * _xlfn.XLOOKUP(B175,'Base stats'!B:B,'Base stats'!BN:BN)^0.9 / 21 * _xlfn.XLOOKUP(B175,'Base stats'!B:B,'Base stats'!BV:BV),0.1),0.05),
MAX(MROUND(((MIN(12,_xlfn.XLOOKUP(B175,'Base stats'!B:B,'Base stats'!U:U)))^0.4*_xlfn.XLOOKUP(B175,'Base stats'!B:B,'Base stats'!BF:BF)^0.73)^0.6 * _xlfn.XLOOKUP(B175,'Base stats'!B:B,'Base stats'!BV:BV),0.1),0.05)
))</f>
        <v>No</v>
      </c>
      <c r="T175" s="11" t="str">
        <f>IF(S175="No","No",
MAX(0.01,MROUND(_xlfn.XLOOKUP(B175,'Base stats'!B:B,'Base stats'!BF:BF) * 0.01 * 2, 0.01))
)</f>
        <v>No</v>
      </c>
      <c r="U175" s="5" t="str">
        <f>IF(S175="No","No",IF(_xlfn.XLOOKUP(B175,'Base stats'!B:B,'Base stats'!U:U)="No","No",
MAX(0.01,MROUND(_xlfn.XLOOKUP(B175,'Base stats'!B:B,'Base stats'!BR:BR)/10000,0.01))
))</f>
        <v>No</v>
      </c>
      <c r="V175" s="4" t="str">
        <f>IF(S175="No","No",
MROUND(_xlfn.XLOOKUP(B175,'Base stats'!B:B,'Base stats'!BD:BD)^0.25
/((_xlfn.XLOOKUP(B175,'Base stats'!B:B,'Base stats'!BM:BM))*10)*_xlfn.XLOOKUP(_xlfn.XLOOKUP(B175,'Base stats'!B:B,'Base stats'!E:E),Groups!A:A,Groups!AE:AE)*150 + 0.5 + _xlfn.XLOOKUP(B175,'Base stats'!B:B,'Base stats'!BU:BU),
0.05))</f>
        <v>No</v>
      </c>
      <c r="W175" s="8">
        <f>MROUND(_xlfn.XLOOKUP(_xlfn.XLOOKUP(B175,'Base stats'!B:B,'Base stats'!E:E),Groups!A:A,Groups!BG:BG)*_xlfn.XLOOKUP(B175,'Base stats'!B:B,'Base stats'!C:C)^-0.165,0.01)</f>
        <v>0.28000000000000003</v>
      </c>
      <c r="X175" s="1">
        <f>MROUND(_xlfn.XLOOKUP(_xlfn.XLOOKUP(B175,'Base stats'!B:B,'Base stats'!E:E),Groups!A:A,Groups!BH:BH)*_xlfn.XLOOKUP(B175,'Base stats'!B:B,'Base stats'!C:C)^0.165,0.01)</f>
        <v>0</v>
      </c>
      <c r="Y175" s="8">
        <f>MROUND(_xlfn.XLOOKUP(_xlfn.XLOOKUP(B175,'Base stats'!B:B,'Base stats'!E:E),Groups!A:A,Groups!BI:BI)*_xlfn.XLOOKUP(B175,'Base stats'!B:B,'Base stats'!C:C)^0.165,0.01)</f>
        <v>0</v>
      </c>
      <c r="Z175" s="18">
        <f>ROUND(_xlfn.XLOOKUP(B175,'Base stats'!B:B,'Base stats'!AO:AO)*_xlfn.XLOOKUP(_xlfn.XLOOKUP(B175,'Base stats'!B:B,'Base stats'!E:E),Groups!A:A,Groups!H:H)/1000,2)</f>
        <v>0.06</v>
      </c>
      <c r="AA175" s="18">
        <f>ROUND((1/2)*(_xlfn.XLOOKUP(_xlfn.XLOOKUP(B175,'Base stats'!B:B,'Base stats'!E:E),Groups!A:A,Groups!H:H)*_xlfn.XLOOKUP(_xlfn.XLOOKUP(B175,'Base stats'!B:B,'Base stats'!E:E),Groups!A:A,Groups!I:I))*_xlfn.XLOOKUP(B175,'Base stats'!B:B,'Base stats'!AO:AO)*0.01,2)</f>
        <v>0.35</v>
      </c>
      <c r="AB175" s="18">
        <f>250*(Animals!AO175+Animals!AP175)</f>
        <v>1125</v>
      </c>
      <c r="AC175" s="18" t="str">
        <f>_xlfn.XLOOKUP(_xlfn.XLOOKUP(B175,'Base stats'!B:B,'Base stats'!E:E),Groups!A:A,Groups!BJ:BJ)</f>
        <v>Quadruped</v>
      </c>
    </row>
    <row r="176" spans="1:29" ht="16.5" thickTop="1" thickBot="1" x14ac:dyDescent="0.3">
      <c r="A176" s="16" t="str">
        <f>Animals!A176</f>
        <v>RockhopperPenguin</v>
      </c>
      <c r="B176" s="6" t="str">
        <f>Animals!B176</f>
        <v>Eudyptes chrysocome</v>
      </c>
      <c r="C176" s="1" t="str">
        <f>Animals!C176</f>
        <v>&lt;li&gt;AEXP_RockhopperPenguin&lt;/li&gt;</v>
      </c>
      <c r="D176" s="47">
        <f>MAX(MROUND(_xlfn.XLOOKUP(B176,'Base stats'!B:B,'Base stats'!BQ:BQ) * (_xlfn.XLOOKUP(B176,'Base stats'!B:B,'Base stats'!AM:AM)*5%)^0.9 / 21,0.1),0.05)</f>
        <v>0.2</v>
      </c>
      <c r="E176" s="11">
        <f>MAX(0.01,MROUND(_xlfn.XLOOKUP(B176,'Base stats'!B:B,'Base stats'!BE:BE) * 0.01 * 2, 0.01))</f>
        <v>0.15</v>
      </c>
      <c r="F176" s="7">
        <f>MROUND(_xlfn.XLOOKUP(B176,'Base stats'!B:B,'Base stats'!BB:BB)^0.25 / (_xlfn.XLOOKUP(B176,'Base stats'!B:B,'Base stats'!BI:BI) * 10) * 150 + 0.5 + _xlfn.XLOOKUP(B176,'Base stats'!B:B,'Base stats'!BU:BU), 0.05)</f>
        <v>1.4000000000000001</v>
      </c>
      <c r="G176" s="3" t="str">
        <f>IF(Animals!S176="No","No",
IF(_xlfn.XLOOKUP(B176,'Base stats'!B:B,'Base stats'!U:U)="No",
MAX(MROUND(_xlfn.XLOOKUP(B176,'Base stats'!B:B,'Base stats'!BR:BR) * _xlfn.XLOOKUP(B176,'Base stats'!B:B,'Base stats'!BN:BN)^0.9 / 21 * _xlfn.XLOOKUP(B176,'Base stats'!B:B,'Base stats'!BV:BV),0.1),0.05),
MAX(MROUND(((MIN(10,_xlfn.XLOOKUP(B176,'Base stats'!B:B,'Base stats'!U:U)))^0.4*_xlfn.XLOOKUP(B176,'Base stats'!B:B,'Base stats'!BF:BF)^0.73)^0.6 * _xlfn.XLOOKUP(B176,'Base stats'!B:B,'Base stats'!BV:BV),0.1),0.05)
))</f>
        <v>No</v>
      </c>
      <c r="H176" s="11" t="str">
        <f>IF(G176="No","No",
MAX(0.01,MROUND(_xlfn.XLOOKUP(B176,'Base stats'!B:B,'Base stats'!BF:BF) * 0.01 * 2, 0.01))
)</f>
        <v>No</v>
      </c>
      <c r="I176" s="11" t="str">
        <f>IF(G176="No","No",IF(_xlfn.XLOOKUP(B176,'Base stats'!B:B,'Base stats'!U:U)="No","No",
MAX(0.01,MROUND(_xlfn.XLOOKUP(B176,'Base stats'!B:B,'Base stats'!BR:BR)/10000,0.01))
))</f>
        <v>No</v>
      </c>
      <c r="J176" s="4" t="str">
        <f>IF(G176="No","No",
MROUND(_xlfn.XLOOKUP(B176,'Base stats'!B:B,'Base stats'!BC:BC)^0.25
/((_xlfn.XLOOKUP(B176,'Base stats'!B:B,'Base stats'!BJ:BJ))*10)*_xlfn.XLOOKUP(_xlfn.XLOOKUP(B176,'Base stats'!B:B,'Base stats'!E:E),Groups!A:A,Groups!Q:Q)*150 + 0.5 + _xlfn.XLOOKUP(B176,'Base stats'!B:B,'Base stats'!BU:BU),
0.05))</f>
        <v>No</v>
      </c>
      <c r="K176" s="3" t="str">
        <f>IF(Animals!X176="No","No",
IF(_xlfn.XLOOKUP(_xlfn.XLOOKUP(B176,'Base stats'!B:B,'Base stats'!E:E),Groups!A:A,Groups!BD:BD)=1,
MAX(MROUND(_xlfn.XLOOKUP(B176,'Base stats'!B:B,'Base stats'!BS:BS) * _xlfn.XLOOKUP(B176,'Base stats'!B:B,'Base stats'!BO:BO)^0.9 / 21 *_xlfn.XLOOKUP(B176,'Base stats'!B:B,'Base stats'!BV:BV),0.1),0.05),
MAX(MROUND(((MIN(10,_xlfn.XLOOKUP(B176,'Base stats'!B:B,'Base stats'!W:W)))^0.4*_xlfn.XLOOKUP(B176,'Base stats'!B:B,'Base stats'!BG:BG)^0.73)^0.6 *_xlfn.XLOOKUP(B176,'Base stats'!B:B,'Base stats'!BV:BV),0.1),0.05)
))</f>
        <v>No</v>
      </c>
      <c r="L176" s="11" t="str">
        <f>IF(K176="No","No",
MAX(0.01,MROUND(_xlfn.XLOOKUP(B176,'Base stats'!B:B,'Base stats'!BG:BG) * 0.01 *2, 0.01))
)</f>
        <v>No</v>
      </c>
      <c r="M176" s="5" t="str">
        <f>IF(K176="No","No",IF(_xlfn.XLOOKUP(_xlfn.XLOOKUP(B176,'Base stats'!B:B,'Base stats'!E:E),Groups!A:A,Groups!BD:BD)=1,"No",
MAX(0.01,MROUND(_xlfn.XLOOKUP(B176,'Base stats'!B:B,'Base stats'!BS:BS)/10000,0.01))
))</f>
        <v>No</v>
      </c>
      <c r="N176" s="4" t="str">
        <f>IF(K176="No","No",
MROUND(
  _xlfn.XLOOKUP(B176,'Base stats'!B:B,'Base stats'!BA:BA)^0.25
  / (_xlfn.XLOOKUP(B176,'Base stats'!B:B,'Base stats'!BK:BK)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stats'!BU:BU),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stats'!BH:BH)^0.73)^0.6 *_xlfn.XLOOKUP(B176,'Base stats'!B:B,'Base stats'!BV:BV),0.1),0.05)
)</f>
        <v>1.8</v>
      </c>
      <c r="P176" s="11">
        <f>IF(O176="No","No",
MAX(0.01,MROUND(_xlfn.XLOOKUP(B176,'Base stats'!B:B,'Base stats'!BH:BH) * 0.01 * 2, 0.01))
)</f>
        <v>0.04</v>
      </c>
      <c r="Q176" s="5">
        <f>IF(O176="No","No",
MAX(0.01,MROUND(_xlfn.XLOOKUP(B176,'Base stats'!B:B,'Base stats'!BT:BT)/10000,0.01))
)</f>
        <v>0.01</v>
      </c>
      <c r="R176" s="4">
        <f>IF(O176="No","No",
MROUND(_xlfn.XLOOKUP(B176,'Base stats'!B:B,'Base stats'!AZ:AZ)^0.25
/((_xlfn.XLOOKUP(B176,'Base stats'!B:B,'Base stats'!BL:BL))*10)*_xlfn.XLOOKUP(_xlfn.XLOOKUP(B176,'Base stats'!B:B,'Base stats'!E:E),Groups!A:A,Groups!Z:Z)*150 + 0.5 + _xlfn.XLOOKUP(B176,'Base stats'!B:B,'Base stats'!BU:BU),
0.05))</f>
        <v>1.9000000000000001</v>
      </c>
      <c r="S176" s="3" t="str">
        <f>IF(Animals!AI176="No","No",
IF(_xlfn.XLOOKUP(B176,'Base stats'!B:B,'Base stats'!U:U)="No",
MAX(MROUND(_xlfn.XLOOKUP(B176,'Base stats'!B:B,'Base stats'!BR:BR) * _xlfn.XLOOKUP(B176,'Base stats'!B:B,'Base stats'!BN:BN)^0.9 / 21 * _xlfn.XLOOKUP(B176,'Base stats'!B:B,'Base stats'!BV:BV),0.1),0.05),
MAX(MROUND(((MIN(12,_xlfn.XLOOKUP(B176,'Base stats'!B:B,'Base stats'!U:U)))^0.4*_xlfn.XLOOKUP(B176,'Base stats'!B:B,'Base stats'!BF:BF)^0.73)^0.6 * _xlfn.XLOOKUP(B176,'Base stats'!B:B,'Base stats'!BV:BV),0.1),0.05)
))</f>
        <v>No</v>
      </c>
      <c r="T176" s="11" t="str">
        <f>IF(S176="No","No",
MAX(0.01,MROUND(_xlfn.XLOOKUP(B176,'Base stats'!B:B,'Base stats'!BF:BF) * 0.01 * 2, 0.01))
)</f>
        <v>No</v>
      </c>
      <c r="U176" s="5" t="str">
        <f>IF(S176="No","No",IF(_xlfn.XLOOKUP(B176,'Base stats'!B:B,'Base stats'!U:U)="No","No",
MAX(0.01,MROUND(_xlfn.XLOOKUP(B176,'Base stats'!B:B,'Base stats'!BR:BR)/10000,0.01))
))</f>
        <v>No</v>
      </c>
      <c r="V176" s="4" t="str">
        <f>IF(S176="No","No",
MROUND(_xlfn.XLOOKUP(B176,'Base stats'!B:B,'Base stats'!BD:BD)^0.25
/((_xlfn.XLOOKUP(B176,'Base stats'!B:B,'Base stats'!BM:BM))*10)*_xlfn.XLOOKUP(_xlfn.XLOOKUP(B176,'Base stats'!B:B,'Base stats'!E:E),Groups!A:A,Groups!AE:AE)*150 + 0.5 + _xlfn.XLOOKUP(B176,'Base stats'!B:B,'Base stats'!BU:BU),
0.05))</f>
        <v>No</v>
      </c>
      <c r="W176" s="8">
        <f>MROUND(_xlfn.XLOOKUP(_xlfn.XLOOKUP(B176,'Base stats'!B:B,'Base stats'!E:E),Groups!A:A,Groups!BG:BG)*_xlfn.XLOOKUP(B176,'Base stats'!B:B,'Base stats'!C:C)^-0.165,0.01)</f>
        <v>0.78</v>
      </c>
      <c r="X176" s="1">
        <f>MROUND(_xlfn.XLOOKUP(_xlfn.XLOOKUP(B176,'Base stats'!B:B,'Base stats'!E:E),Groups!A:A,Groups!BH:BH)*_xlfn.XLOOKUP(B176,'Base stats'!B:B,'Base stats'!C:C)^0.165,0.01)</f>
        <v>0</v>
      </c>
      <c r="Y176" s="8">
        <f>MROUND(_xlfn.XLOOKUP(_xlfn.XLOOKUP(B176,'Base stats'!B:B,'Base stats'!E:E),Groups!A:A,Groups!BI:BI)*_xlfn.XLOOKUP(B176,'Base stats'!B:B,'Base stats'!C:C)^0.165,0.01)</f>
        <v>0</v>
      </c>
      <c r="Z176" s="18">
        <f>ROUND(_xlfn.XLOOKUP(B176,'Base stats'!B:B,'Base stats'!AO:AO)*_xlfn.XLOOKUP(_xlfn.XLOOKUP(B176,'Base stats'!B:B,'Base stats'!E:E),Groups!A:A,Groups!H:H)/1000,2)</f>
        <v>0</v>
      </c>
      <c r="AA176" s="18">
        <f>ROUND((1/2)*(_xlfn.XLOOKUP(_xlfn.XLOOKUP(B176,'Base stats'!B:B,'Base stats'!E:E),Groups!A:A,Groups!H:H)*_xlfn.XLOOKUP(_xlfn.XLOOKUP(B176,'Base stats'!B:B,'Base stats'!E:E),Groups!A:A,Groups!I:I))*_xlfn.XLOOKUP(B176,'Base stats'!B:B,'Base stats'!AO:AO)*0.01,2)</f>
        <v>0.01</v>
      </c>
      <c r="AB176" s="18">
        <f>250*(Animals!AO176+Animals!AP176)</f>
        <v>150.00000000000003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TasmanianDevil</v>
      </c>
      <c r="B177" s="6" t="str">
        <f>Animals!B177</f>
        <v>Sarcophilus harrisii</v>
      </c>
      <c r="C177" s="1" t="str">
        <f>Animals!C177</f>
        <v>&lt;li&gt;AEXP_TasmanianDevil&lt;/li&gt;</v>
      </c>
      <c r="D177" s="47">
        <f>MAX(MROUND(_xlfn.XLOOKUP(B177,'Base stats'!B:B,'Base stats'!BQ:BQ) * (_xlfn.XLOOKUP(B177,'Base stats'!B:B,'Base stats'!AM:AM)*5%)^0.9 / 21,0.1),0.05)</f>
        <v>0.30000000000000004</v>
      </c>
      <c r="E177" s="11">
        <f>MAX(0.01,MROUND(_xlfn.XLOOKUP(B177,'Base stats'!B:B,'Base stats'!BE:BE) * 0.01 * 2, 0.01))</f>
        <v>0.2</v>
      </c>
      <c r="F177" s="7">
        <f>MROUND(_xlfn.XLOOKUP(B177,'Base stats'!B:B,'Base stats'!BB:BB)^0.25 / (_xlfn.XLOOKUP(B177,'Base stats'!B:B,'Base stats'!BI:BI) * 10) * 150 + 0.5 + _xlfn.XLOOKUP(B177,'Base stats'!B:B,'Base stats'!BU:BU), 0.05)</f>
        <v>1.4500000000000002</v>
      </c>
      <c r="G177" s="3" t="str">
        <f>IF(Animals!S177="No","No",
IF(_xlfn.XLOOKUP(B177,'Base stats'!B:B,'Base stats'!U:U)="No",
MAX(MROUND(_xlfn.XLOOKUP(B177,'Base stats'!B:B,'Base stats'!BR:BR) * _xlfn.XLOOKUP(B177,'Base stats'!B:B,'Base stats'!BN:BN)^0.9 / 21 * _xlfn.XLOOKUP(B177,'Base stats'!B:B,'Base stats'!BV:BV),0.1),0.05),
MAX(MROUND(((MIN(10,_xlfn.XLOOKUP(B177,'Base stats'!B:B,'Base stats'!U:U)))^0.4*_xlfn.XLOOKUP(B177,'Base stats'!B:B,'Base stats'!BF:BF)^0.73)^0.6 * _xlfn.XLOOKUP(B177,'Base stats'!B:B,'Base stats'!BV:BV),0.1),0.05)
))</f>
        <v>No</v>
      </c>
      <c r="H177" s="11" t="str">
        <f>IF(G177="No","No",
MAX(0.01,MROUND(_xlfn.XLOOKUP(B177,'Base stats'!B:B,'Base stats'!BF:BF) * 0.01 * 2, 0.01))
)</f>
        <v>No</v>
      </c>
      <c r="I177" s="11" t="str">
        <f>IF(G177="No","No",IF(_xlfn.XLOOKUP(B177,'Base stats'!B:B,'Base stats'!U:U)="No","No",
MAX(0.01,MROUND(_xlfn.XLOOKUP(B177,'Base stats'!B:B,'Base stats'!BR:BR)/10000,0.01))
))</f>
        <v>No</v>
      </c>
      <c r="J177" s="4" t="str">
        <f>IF(G177="No","No",
MROUND(_xlfn.XLOOKUP(B177,'Base stats'!B:B,'Base stats'!BC:BC)^0.25
/((_xlfn.XLOOKUP(B177,'Base stats'!B:B,'Base stats'!BJ:BJ))*10)*_xlfn.XLOOKUP(_xlfn.XLOOKUP(B177,'Base stats'!B:B,'Base stats'!E:E),Groups!A:A,Groups!Q:Q)*150 + 0.5 + _xlfn.XLOOKUP(B177,'Base stats'!B:B,'Base stats'!BU:BU),
0.05))</f>
        <v>No</v>
      </c>
      <c r="K177" s="3" t="str">
        <f>IF(Animals!X177="No","No",
IF(_xlfn.XLOOKUP(_xlfn.XLOOKUP(B177,'Base stats'!B:B,'Base stats'!E:E),Groups!A:A,Groups!BD:BD)=1,
MAX(MROUND(_xlfn.XLOOKUP(B177,'Base stats'!B:B,'Base stats'!BS:BS) * _xlfn.XLOOKUP(B177,'Base stats'!B:B,'Base stats'!BO:BO)^0.9 / 21 *_xlfn.XLOOKUP(B177,'Base stats'!B:B,'Base stats'!BV:BV),0.1),0.05),
MAX(MROUND(((MIN(10,_xlfn.XLOOKUP(B177,'Base stats'!B:B,'Base stats'!W:W)))^0.4*_xlfn.XLOOKUP(B177,'Base stats'!B:B,'Base stats'!BG:BG)^0.73)^0.6 *_xlfn.XLOOKUP(B177,'Base stats'!B:B,'Base stats'!BV:BV),0.1),0.05)
))</f>
        <v>No</v>
      </c>
      <c r="L177" s="11" t="str">
        <f>IF(K177="No","No",
MAX(0.01,MROUND(_xlfn.XLOOKUP(B177,'Base stats'!B:B,'Base stats'!BG:BG) * 0.01 *2, 0.01))
)</f>
        <v>No</v>
      </c>
      <c r="M177" s="5" t="str">
        <f>IF(K177="No","No",IF(_xlfn.XLOOKUP(_xlfn.XLOOKUP(B177,'Base stats'!B:B,'Base stats'!E:E),Groups!A:A,Groups!BD:BD)=1,"No",
MAX(0.01,MROUND(_xlfn.XLOOKUP(B177,'Base stats'!B:B,'Base stats'!BS:BS)/10000,0.01))
))</f>
        <v>No</v>
      </c>
      <c r="N177" s="4" t="str">
        <f>IF(K177="No","No",
MROUND(
  _xlfn.XLOOKUP(B177,'Base stats'!B:B,'Base stats'!BA:BA)^0.25
  / (_xlfn.XLOOKUP(B177,'Base stats'!B:B,'Base stats'!BK:BK)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stats'!BU:BU),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stats'!BH:BH)^0.73)^0.6 *_xlfn.XLOOKUP(B177,'Base stats'!B:B,'Base stats'!BV:BV),0.1),0.05)
)</f>
        <v>3.8000000000000003</v>
      </c>
      <c r="P177" s="11">
        <f>IF(O177="No","No",
MAX(0.01,MROUND(_xlfn.XLOOKUP(B177,'Base stats'!B:B,'Base stats'!BH:BH) * 0.01 * 2, 0.01))
)</f>
        <v>0.32</v>
      </c>
      <c r="Q177" s="5">
        <f>IF(O177="No","No",
MAX(0.01,MROUND(_xlfn.XLOOKUP(B177,'Base stats'!B:B,'Base stats'!BT:BT)/10000,0.01))
)</f>
        <v>0.05</v>
      </c>
      <c r="R177" s="4">
        <f>IF(O177="No","No",
MROUND(_xlfn.XLOOKUP(B177,'Base stats'!B:B,'Base stats'!AZ:AZ)^0.25
/((_xlfn.XLOOKUP(B177,'Base stats'!B:B,'Base stats'!BL:BL))*10)*_xlfn.XLOOKUP(_xlfn.XLOOKUP(B177,'Base stats'!B:B,'Base stats'!E:E),Groups!A:A,Groups!Z:Z)*150 + 0.5 + _xlfn.XLOOKUP(B177,'Base stats'!B:B,'Base stats'!BU:BU),
0.05))</f>
        <v>1.75</v>
      </c>
      <c r="S177" s="3">
        <f>IF(Animals!AI177="No","No",
IF(_xlfn.XLOOKUP(B177,'Base stats'!B:B,'Base stats'!U:U)="No",
MAX(MROUND(_xlfn.XLOOKUP(B177,'Base stats'!B:B,'Base stats'!BR:BR) * _xlfn.XLOOKUP(B177,'Base stats'!B:B,'Base stats'!BN:BN)^0.9 / 21 * _xlfn.XLOOKUP(B177,'Base stats'!B:B,'Base stats'!BV:BV),0.1),0.05),
MAX(MROUND(((MIN(12,_xlfn.XLOOKUP(B177,'Base stats'!B:B,'Base stats'!U:U)))^0.4*_xlfn.XLOOKUP(B177,'Base stats'!B:B,'Base stats'!BF:BF)^0.73)^0.6 * _xlfn.XLOOKUP(B177,'Base stats'!B:B,'Base stats'!BV:BV),0.1),0.05)
))</f>
        <v>4.1000000000000005</v>
      </c>
      <c r="T177" s="11">
        <f>IF(S177="No","No",
MAX(0.01,MROUND(_xlfn.XLOOKUP(B177,'Base stats'!B:B,'Base stats'!BF:BF) * 0.01 * 2, 0.01))
)</f>
        <v>0.3</v>
      </c>
      <c r="U177" s="5">
        <f>IF(S177="No","No",IF(_xlfn.XLOOKUP(B177,'Base stats'!B:B,'Base stats'!U:U)="No","No",
MAX(0.01,MROUND(_xlfn.XLOOKUP(B177,'Base stats'!B:B,'Base stats'!BR:BR)/10000,0.01))
))</f>
        <v>0.05</v>
      </c>
      <c r="V177" s="4">
        <f>IF(S177="No","No",
MROUND(_xlfn.XLOOKUP(B177,'Base stats'!B:B,'Base stats'!BD:BD)^0.25
/((_xlfn.XLOOKUP(B177,'Base stats'!B:B,'Base stats'!BM:BM))*10)*_xlfn.XLOOKUP(_xlfn.XLOOKUP(B177,'Base stats'!B:B,'Base stats'!E:E),Groups!A:A,Groups!AE:AE)*150 + 0.5 + _xlfn.XLOOKUP(B177,'Base stats'!B:B,'Base stats'!BU:BU),
0.05))</f>
        <v>1.1000000000000001</v>
      </c>
      <c r="W177" s="8">
        <f>MROUND(_xlfn.XLOOKUP(_xlfn.XLOOKUP(B177,'Base stats'!B:B,'Base stats'!E:E),Groups!A:A,Groups!BG:BG)*_xlfn.XLOOKUP(B177,'Base stats'!B:B,'Base stats'!C:C)^-0.165,0.01)</f>
        <v>0.82000000000000006</v>
      </c>
      <c r="X177" s="1">
        <f>MROUND(_xlfn.XLOOKUP(_xlfn.XLOOKUP(B177,'Base stats'!B:B,'Base stats'!E:E),Groups!A:A,Groups!BH:BH)*_xlfn.XLOOKUP(B177,'Base stats'!B:B,'Base stats'!C:C)^0.165,0.01)</f>
        <v>0.27</v>
      </c>
      <c r="Y177" s="8">
        <f>MROUND(_xlfn.XLOOKUP(_xlfn.XLOOKUP(B177,'Base stats'!B:B,'Base stats'!E:E),Groups!A:A,Groups!BI:BI)*_xlfn.XLOOKUP(B177,'Base stats'!B:B,'Base stats'!C:C)^0.165,0.01)</f>
        <v>0.03</v>
      </c>
      <c r="Z177" s="18">
        <f>ROUND(_xlfn.XLOOKUP(B177,'Base stats'!B:B,'Base stats'!AO:AO)*_xlfn.XLOOKUP(_xlfn.XLOOKUP(B177,'Base stats'!B:B,'Base stats'!E:E),Groups!A:A,Groups!H:H)/1000,2)</f>
        <v>0.04</v>
      </c>
      <c r="AA177" s="18">
        <f>ROUND((1/2)*(_xlfn.XLOOKUP(_xlfn.XLOOKUP(B177,'Base stats'!B:B,'Base stats'!E:E),Groups!A:A,Groups!H:H)*_xlfn.XLOOKUP(_xlfn.XLOOKUP(B177,'Base stats'!B:B,'Base stats'!E:E),Groups!A:A,Groups!I:I))*_xlfn.XLOOKUP(B177,'Base stats'!B:B,'Base stats'!AO:AO)*0.01,2)</f>
        <v>0.32</v>
      </c>
      <c r="AB177" s="18">
        <f>250*(Animals!AO177+Animals!AP177)</f>
        <v>187.5</v>
      </c>
      <c r="AC177" s="18" t="str">
        <f>_xlfn.XLOOKUP(_xlfn.XLOOKUP(B177,'Base stats'!B:B,'Base stats'!E:E),Groups!A:A,Groups!BJ:BJ)</f>
        <v>QuadrupedLow</v>
      </c>
    </row>
    <row r="178" spans="1:29" ht="16.5" thickTop="1" thickBot="1" x14ac:dyDescent="0.3">
      <c r="A178" s="16" t="str">
        <f>Animals!A178</f>
        <v>Thylacine</v>
      </c>
      <c r="B178" s="6" t="str">
        <f>Animals!B178</f>
        <v>Thylacinus cynocephalus</v>
      </c>
      <c r="C178" s="1" t="str">
        <f>Animals!C178</f>
        <v>&lt;li&gt;AEXP_Thylacine&lt;/li&gt;</v>
      </c>
      <c r="D178" s="47">
        <f>MAX(MROUND(_xlfn.XLOOKUP(B178,'Base stats'!B:B,'Base stats'!BQ:BQ) * (_xlfn.XLOOKUP(B178,'Base stats'!B:B,'Base stats'!AM:AM)*5%)^0.9 / 21,0.1),0.05)</f>
        <v>0.70000000000000007</v>
      </c>
      <c r="E178" s="11">
        <f>MAX(0.01,MROUND(_xlfn.XLOOKUP(B178,'Base stats'!B:B,'Base stats'!BE:BE) * 0.01 * 2, 0.01))</f>
        <v>0.51</v>
      </c>
      <c r="F178" s="7">
        <f>MROUND(_xlfn.XLOOKUP(B178,'Base stats'!B:B,'Base stats'!BB:BB)^0.25 / (_xlfn.XLOOKUP(B178,'Base stats'!B:B,'Base stats'!BI:BI) * 10) * 150 + 0.5 + _xlfn.XLOOKUP(B178,'Base stats'!B:B,'Base stats'!BU:BU), 0.05)</f>
        <v>1.6</v>
      </c>
      <c r="G178" s="3" t="str">
        <f>IF(Animals!S178="No","No",
IF(_xlfn.XLOOKUP(B178,'Base stats'!B:B,'Base stats'!U:U)="No",
MAX(MROUND(_xlfn.XLOOKUP(B178,'Base stats'!B:B,'Base stats'!BR:BR) * _xlfn.XLOOKUP(B178,'Base stats'!B:B,'Base stats'!BN:BN)^0.9 / 21 * _xlfn.XLOOKUP(B178,'Base stats'!B:B,'Base stats'!BV:BV),0.1),0.05),
MAX(MROUND(((MIN(10,_xlfn.XLOOKUP(B178,'Base stats'!B:B,'Base stats'!U:U)))^0.4*_xlfn.XLOOKUP(B178,'Base stats'!B:B,'Base stats'!BF:BF)^0.73)^0.6 * _xlfn.XLOOKUP(B178,'Base stats'!B:B,'Base stats'!BV:BV),0.1),0.05)
))</f>
        <v>No</v>
      </c>
      <c r="H178" s="11" t="str">
        <f>IF(G178="No","No",
MAX(0.01,MROUND(_xlfn.XLOOKUP(B178,'Base stats'!B:B,'Base stats'!BF:BF) * 0.01 * 2, 0.01))
)</f>
        <v>No</v>
      </c>
      <c r="I178" s="11" t="str">
        <f>IF(G178="No","No",IF(_xlfn.XLOOKUP(B178,'Base stats'!B:B,'Base stats'!U:U)="No","No",
MAX(0.01,MROUND(_xlfn.XLOOKUP(B178,'Base stats'!B:B,'Base stats'!BR:BR)/10000,0.01))
))</f>
        <v>No</v>
      </c>
      <c r="J178" s="4" t="str">
        <f>IF(G178="No","No",
MROUND(_xlfn.XLOOKUP(B178,'Base stats'!B:B,'Base stats'!BC:BC)^0.25
/((_xlfn.XLOOKUP(B178,'Base stats'!B:B,'Base stats'!BJ:BJ))*10)*_xlfn.XLOOKUP(_xlfn.XLOOKUP(B178,'Base stats'!B:B,'Base stats'!E:E),Groups!A:A,Groups!Q:Q)*150 + 0.5 + _xlfn.XLOOKUP(B178,'Base stats'!B:B,'Base stats'!BU:BU),
0.05))</f>
        <v>No</v>
      </c>
      <c r="K178" s="3" t="str">
        <f>IF(Animals!X178="No","No",
IF(_xlfn.XLOOKUP(_xlfn.XLOOKUP(B178,'Base stats'!B:B,'Base stats'!E:E),Groups!A:A,Groups!BD:BD)=1,
MAX(MROUND(_xlfn.XLOOKUP(B178,'Base stats'!B:B,'Base stats'!BS:BS) * _xlfn.XLOOKUP(B178,'Base stats'!B:B,'Base stats'!BO:BO)^0.9 / 21 *_xlfn.XLOOKUP(B178,'Base stats'!B:B,'Base stats'!BV:BV),0.1),0.05),
MAX(MROUND(((MIN(10,_xlfn.XLOOKUP(B178,'Base stats'!B:B,'Base stats'!W:W)))^0.4*_xlfn.XLOOKUP(B178,'Base stats'!B:B,'Base stats'!BG:BG)^0.73)^0.6 *_xlfn.XLOOKUP(B178,'Base stats'!B:B,'Base stats'!BV:BV),0.1),0.05)
))</f>
        <v>No</v>
      </c>
      <c r="L178" s="11" t="str">
        <f>IF(K178="No","No",
MAX(0.01,MROUND(_xlfn.XLOOKUP(B178,'Base stats'!B:B,'Base stats'!BG:BG) * 0.01 *2, 0.01))
)</f>
        <v>No</v>
      </c>
      <c r="M178" s="5" t="str">
        <f>IF(K178="No","No",IF(_xlfn.XLOOKUP(_xlfn.XLOOKUP(B178,'Base stats'!B:B,'Base stats'!E:E),Groups!A:A,Groups!BD:BD)=1,"No",
MAX(0.01,MROUND(_xlfn.XLOOKUP(B178,'Base stats'!B:B,'Base stats'!BS:BS)/10000,0.01))
))</f>
        <v>No</v>
      </c>
      <c r="N178" s="4" t="str">
        <f>IF(K178="No","No",
MROUND(
  _xlfn.XLOOKUP(B178,'Base stats'!B:B,'Base stats'!BA:BA)^0.25
  / (_xlfn.XLOOKUP(B178,'Base stats'!B:B,'Base stats'!BK:BK)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stats'!BU:BU),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stats'!BH:BH)^0.73)^0.6 *_xlfn.XLOOKUP(B178,'Base stats'!B:B,'Base stats'!BV:BV),0.1),0.05)
)</f>
        <v>8.9</v>
      </c>
      <c r="P178" s="11">
        <f>IF(O178="No","No",
MAX(0.01,MROUND(_xlfn.XLOOKUP(B178,'Base stats'!B:B,'Base stats'!BH:BH) * 0.01 * 2, 0.01))
)</f>
        <v>1.92</v>
      </c>
      <c r="Q178" s="5">
        <f>IF(O178="No","No",
MAX(0.01,MROUND(_xlfn.XLOOKUP(B178,'Base stats'!B:B,'Base stats'!BT:BT)/10000,0.01))
)</f>
        <v>0.21</v>
      </c>
      <c r="R178" s="4">
        <f>IF(O178="No","No",
MROUND(_xlfn.XLOOKUP(B178,'Base stats'!B:B,'Base stats'!AZ:AZ)^0.25
/((_xlfn.XLOOKUP(B178,'Base stats'!B:B,'Base stats'!BL:BL))*10)*_xlfn.XLOOKUP(_xlfn.XLOOKUP(B178,'Base stats'!B:B,'Base stats'!E:E),Groups!A:A,Groups!Z:Z)*150 + 0.5 + _xlfn.XLOOKUP(B178,'Base stats'!B:B,'Base stats'!BU:BU),
0.05))</f>
        <v>2.1</v>
      </c>
      <c r="S178" s="3" t="str">
        <f>IF(Animals!AI178="No","No",
IF(_xlfn.XLOOKUP(B178,'Base stats'!B:B,'Base stats'!U:U)="No",
MAX(MROUND(_xlfn.XLOOKUP(B178,'Base stats'!B:B,'Base stats'!BR:BR) * _xlfn.XLOOKUP(B178,'Base stats'!B:B,'Base stats'!BN:BN)^0.9 / 21 * _xlfn.XLOOKUP(B178,'Base stats'!B:B,'Base stats'!BV:BV),0.1),0.05),
MAX(MROUND(((MIN(12,_xlfn.XLOOKUP(B178,'Base stats'!B:B,'Base stats'!U:U)))^0.4*_xlfn.XLOOKUP(B178,'Base stats'!B:B,'Base stats'!BF:BF)^0.73)^0.6 * _xlfn.XLOOKUP(B178,'Base stats'!B:B,'Base stats'!BV:BV),0.1),0.05)
))</f>
        <v>No</v>
      </c>
      <c r="T178" s="11" t="str">
        <f>IF(S178="No","No",
MAX(0.01,MROUND(_xlfn.XLOOKUP(B178,'Base stats'!B:B,'Base stats'!BF:BF) * 0.01 * 2, 0.01))
)</f>
        <v>No</v>
      </c>
      <c r="U178" s="5" t="str">
        <f>IF(S178="No","No",IF(_xlfn.XLOOKUP(B178,'Base stats'!B:B,'Base stats'!U:U)="No","No",
MAX(0.01,MROUND(_xlfn.XLOOKUP(B178,'Base stats'!B:B,'Base stats'!BR:BR)/10000,0.01))
))</f>
        <v>No</v>
      </c>
      <c r="V178" s="4" t="str">
        <f>IF(S178="No","No",
MROUND(_xlfn.XLOOKUP(B178,'Base stats'!B:B,'Base stats'!BD:BD)^0.25
/((_xlfn.XLOOKUP(B178,'Base stats'!B:B,'Base stats'!BM:BM))*10)*_xlfn.XLOOKUP(_xlfn.XLOOKUP(B178,'Base stats'!B:B,'Base stats'!E:E),Groups!A:A,Groups!AE:AE)*150 + 0.5 + _xlfn.XLOOKUP(B178,'Base stats'!B:B,'Base stats'!BU:BU),
0.05))</f>
        <v>No</v>
      </c>
      <c r="W178" s="8">
        <f>MROUND(_xlfn.XLOOKUP(_xlfn.XLOOKUP(B178,'Base stats'!B:B,'Base stats'!E:E),Groups!A:A,Groups!BG:BG)*_xlfn.XLOOKUP(B178,'Base stats'!B:B,'Base stats'!C:C)^-0.165,0.01)</f>
        <v>0.63</v>
      </c>
      <c r="X178" s="1">
        <f>MROUND(_xlfn.XLOOKUP(_xlfn.XLOOKUP(B178,'Base stats'!B:B,'Base stats'!E:E),Groups!A:A,Groups!BH:BH)*_xlfn.XLOOKUP(B178,'Base stats'!B:B,'Base stats'!C:C)^0.165,0.01)</f>
        <v>0.32</v>
      </c>
      <c r="Y178" s="8">
        <f>MROUND(_xlfn.XLOOKUP(_xlfn.XLOOKUP(B178,'Base stats'!B:B,'Base stats'!E:E),Groups!A:A,Groups!BI:BI)*_xlfn.XLOOKUP(B178,'Base stats'!B:B,'Base stats'!C:C)^0.165,0.01)</f>
        <v>0.04</v>
      </c>
      <c r="Z178" s="18">
        <f>ROUND(_xlfn.XLOOKUP(B178,'Base stats'!B:B,'Base stats'!AO:AO)*_xlfn.XLOOKUP(_xlfn.XLOOKUP(B178,'Base stats'!B:B,'Base stats'!E:E),Groups!A:A,Groups!H:H)/1000,2)</f>
        <v>0.06</v>
      </c>
      <c r="AA178" s="18">
        <f>ROUND((1/2)*(_xlfn.XLOOKUP(_xlfn.XLOOKUP(B178,'Base stats'!B:B,'Base stats'!E:E),Groups!A:A,Groups!H:H)*_xlfn.XLOOKUP(_xlfn.XLOOKUP(B178,'Base stats'!B:B,'Base stats'!E:E),Groups!A:A,Groups!I:I))*_xlfn.XLOOKUP(B178,'Base stats'!B:B,'Base stats'!AO:AO)*0.01,2)</f>
        <v>0.45</v>
      </c>
      <c r="AB178" s="18">
        <f>250*(Animals!AO178+Animals!AP178)</f>
        <v>300.00000000000006</v>
      </c>
      <c r="AC178" s="18" t="str">
        <f>_xlfn.XLOOKUP(_xlfn.XLOOKUP(B178,'Base stats'!B:B,'Base stats'!E:E),Groups!A:A,Groups!BJ:BJ)</f>
        <v>Quadruped</v>
      </c>
    </row>
    <row r="179" spans="1:29" ht="16.5" thickTop="1" thickBot="1" x14ac:dyDescent="0.3">
      <c r="A179" s="16" t="str">
        <f>Animals!A179</f>
        <v>AfricanWildDog</v>
      </c>
      <c r="B179" s="6" t="str">
        <f>Animals!B179</f>
        <v>Lycaon pictus</v>
      </c>
      <c r="C179" s="1" t="str">
        <f>Animals!C179</f>
        <v>&lt;li&gt;AEXP_AfricanWildDog&lt;/li&gt;</v>
      </c>
      <c r="D179" s="47">
        <f>MAX(MROUND(_xlfn.XLOOKUP(B179,'Base stats'!B:B,'Base stats'!BQ:BQ) * (_xlfn.XLOOKUP(B179,'Base stats'!B:B,'Base stats'!AM:AM)*5%)^0.9 / 21,0.1),0.05)</f>
        <v>1</v>
      </c>
      <c r="E179" s="11">
        <f>MAX(0.01,MROUND(_xlfn.XLOOKUP(B179,'Base stats'!B:B,'Base stats'!BE:BE) * 0.01 * 2, 0.01))</f>
        <v>0.77</v>
      </c>
      <c r="F179" s="7">
        <f>MROUND(_xlfn.XLOOKUP(B179,'Base stats'!B:B,'Base stats'!BB:BB)^0.25 / (_xlfn.XLOOKUP(B179,'Base stats'!B:B,'Base stats'!BI:BI) * 10) * 150 + 0.5 + _xlfn.XLOOKUP(B179,'Base stats'!B:B,'Base stats'!BU:BU), 0.05)</f>
        <v>1.7000000000000002</v>
      </c>
      <c r="G179" s="3" t="str">
        <f>IF(Animals!S179="No","No",
IF(_xlfn.XLOOKUP(B179,'Base stats'!B:B,'Base stats'!U:U)="No",
MAX(MROUND(_xlfn.XLOOKUP(B179,'Base stats'!B:B,'Base stats'!BR:BR) * _xlfn.XLOOKUP(B179,'Base stats'!B:B,'Base stats'!BN:BN)^0.9 / 21 * _xlfn.XLOOKUP(B179,'Base stats'!B:B,'Base stats'!BV:BV),0.1),0.05),
MAX(MROUND(((MIN(10,_xlfn.XLOOKUP(B179,'Base stats'!B:B,'Base stats'!U:U)))^0.4*_xlfn.XLOOKUP(B179,'Base stats'!B:B,'Base stats'!BF:BF)^0.73)^0.6 * _xlfn.XLOOKUP(B179,'Base stats'!B:B,'Base stats'!BV:BV),0.1),0.05)
))</f>
        <v>No</v>
      </c>
      <c r="H179" s="11" t="str">
        <f>IF(G179="No","No",
MAX(0.01,MROUND(_xlfn.XLOOKUP(B179,'Base stats'!B:B,'Base stats'!BF:BF) * 0.01 * 2, 0.01))
)</f>
        <v>No</v>
      </c>
      <c r="I179" s="11" t="str">
        <f>IF(G179="No","No",IF(_xlfn.XLOOKUP(B179,'Base stats'!B:B,'Base stats'!U:U)="No","No",
MAX(0.01,MROUND(_xlfn.XLOOKUP(B179,'Base stats'!B:B,'Base stats'!BR:BR)/10000,0.01))
))</f>
        <v>No</v>
      </c>
      <c r="J179" s="4" t="str">
        <f>IF(G179="No","No",
MROUND(_xlfn.XLOOKUP(B179,'Base stats'!B:B,'Base stats'!BC:BC)^0.25
/((_xlfn.XLOOKUP(B179,'Base stats'!B:B,'Base stats'!BJ:BJ))*10)*_xlfn.XLOOKUP(_xlfn.XLOOKUP(B179,'Base stats'!B:B,'Base stats'!E:E),Groups!A:A,Groups!Q:Q)*150 + 0.5 + _xlfn.XLOOKUP(B179,'Base stats'!B:B,'Base stats'!BU:BU),
0.05))</f>
        <v>No</v>
      </c>
      <c r="K179" s="3" t="str">
        <f>IF(Animals!X179="No","No",
IF(_xlfn.XLOOKUP(_xlfn.XLOOKUP(B179,'Base stats'!B:B,'Base stats'!E:E),Groups!A:A,Groups!BD:BD)=1,
MAX(MROUND(_xlfn.XLOOKUP(B179,'Base stats'!B:B,'Base stats'!BS:BS) * _xlfn.XLOOKUP(B179,'Base stats'!B:B,'Base stats'!BO:BO)^0.9 / 21 *_xlfn.XLOOKUP(B179,'Base stats'!B:B,'Base stats'!BV:BV),0.1),0.05),
MAX(MROUND(((MIN(10,_xlfn.XLOOKUP(B179,'Base stats'!B:B,'Base stats'!W:W)))^0.4*_xlfn.XLOOKUP(B179,'Base stats'!B:B,'Base stats'!BG:BG)^0.73)^0.6 *_xlfn.XLOOKUP(B179,'Base stats'!B:B,'Base stats'!BV:BV),0.1),0.05)
))</f>
        <v>No</v>
      </c>
      <c r="L179" s="11" t="str">
        <f>IF(K179="No","No",
MAX(0.01,MROUND(_xlfn.XLOOKUP(B179,'Base stats'!B:B,'Base stats'!BG:BG) * 0.01 *2, 0.01))
)</f>
        <v>No</v>
      </c>
      <c r="M179" s="5" t="str">
        <f>IF(K179="No","No",IF(_xlfn.XLOOKUP(_xlfn.XLOOKUP(B179,'Base stats'!B:B,'Base stats'!E:E),Groups!A:A,Groups!BD:BD)=1,"No",
MAX(0.01,MROUND(_xlfn.XLOOKUP(B179,'Base stats'!B:B,'Base stats'!BS:BS)/10000,0.01))
))</f>
        <v>No</v>
      </c>
      <c r="N179" s="4" t="str">
        <f>IF(K179="No","No",
MROUND(
  _xlfn.XLOOKUP(B179,'Base stats'!B:B,'Base stats'!BA:BA)^0.25
  / (_xlfn.XLOOKUP(B179,'Base stats'!B:B,'Base stats'!BK:BK)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stats'!BU:BU),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stats'!BH:BH)^0.73)^0.6 *_xlfn.XLOOKUP(B179,'Base stats'!B:B,'Base stats'!BV:BV),0.1),0.05)
)</f>
        <v>11.100000000000001</v>
      </c>
      <c r="P179" s="11">
        <f>IF(O179="No","No",
MAX(0.01,MROUND(_xlfn.XLOOKUP(B179,'Base stats'!B:B,'Base stats'!BH:BH) * 0.01 * 2, 0.01))
)</f>
        <v>2.91</v>
      </c>
      <c r="Q179" s="5">
        <f>IF(O179="No","No",
MAX(0.01,MROUND(_xlfn.XLOOKUP(B179,'Base stats'!B:B,'Base stats'!BT:BT)/10000,0.01))
)</f>
        <v>0.26</v>
      </c>
      <c r="R179" s="4">
        <f>IF(O179="No","No",
MROUND(_xlfn.XLOOKUP(B179,'Base stats'!B:B,'Base stats'!AZ:AZ)^0.25
/((_xlfn.XLOOKUP(B179,'Base stats'!B:B,'Base stats'!BL:BL))*10)*_xlfn.XLOOKUP(_xlfn.XLOOKUP(B179,'Base stats'!B:B,'Base stats'!E:E),Groups!A:A,Groups!Z:Z)*150 + 0.5 + _xlfn.XLOOKUP(B179,'Base stats'!B:B,'Base stats'!BU:BU),
0.05))</f>
        <v>2.0500000000000003</v>
      </c>
      <c r="S179" s="3" t="str">
        <f>IF(Animals!AI179="No","No",
IF(_xlfn.XLOOKUP(B179,'Base stats'!B:B,'Base stats'!U:U)="No",
MAX(MROUND(_xlfn.XLOOKUP(B179,'Base stats'!B:B,'Base stats'!BR:BR) * _xlfn.XLOOKUP(B179,'Base stats'!B:B,'Base stats'!BN:BN)^0.9 / 21 * _xlfn.XLOOKUP(B179,'Base stats'!B:B,'Base stats'!BV:BV),0.1),0.05),
MAX(MROUND(((MIN(12,_xlfn.XLOOKUP(B179,'Base stats'!B:B,'Base stats'!U:U)))^0.4*_xlfn.XLOOKUP(B179,'Base stats'!B:B,'Base stats'!BF:BF)^0.73)^0.6 * _xlfn.XLOOKUP(B179,'Base stats'!B:B,'Base stats'!BV:BV),0.1),0.05)
))</f>
        <v>No</v>
      </c>
      <c r="T179" s="11" t="str">
        <f>IF(S179="No","No",
MAX(0.01,MROUND(_xlfn.XLOOKUP(B179,'Base stats'!B:B,'Base stats'!BF:BF) * 0.01 * 2, 0.01))
)</f>
        <v>No</v>
      </c>
      <c r="U179" s="5" t="str">
        <f>IF(S179="No","No",IF(_xlfn.XLOOKUP(B179,'Base stats'!B:B,'Base stats'!U:U)="No","No",
MAX(0.01,MROUND(_xlfn.XLOOKUP(B179,'Base stats'!B:B,'Base stats'!BR:BR)/10000,0.01))
))</f>
        <v>No</v>
      </c>
      <c r="V179" s="4" t="str">
        <f>IF(S179="No","No",
MROUND(_xlfn.XLOOKUP(B179,'Base stats'!B:B,'Base stats'!BD:BD)^0.25
/((_xlfn.XLOOKUP(B179,'Base stats'!B:B,'Base stats'!BM:BM))*10)*_xlfn.XLOOKUP(_xlfn.XLOOKUP(B179,'Base stats'!B:B,'Base stats'!E:E),Groups!A:A,Groups!AE:AE)*150 + 0.5 + _xlfn.XLOOKUP(B179,'Base stats'!B:B,'Base stats'!BU:BU),
0.05))</f>
        <v>No</v>
      </c>
      <c r="W179" s="8">
        <f>MROUND(_xlfn.XLOOKUP(_xlfn.XLOOKUP(B179,'Base stats'!B:B,'Base stats'!E:E),Groups!A:A,Groups!BG:BG)*_xlfn.XLOOKUP(B179,'Base stats'!B:B,'Base stats'!C:C)^-0.165,0.01)</f>
        <v>0.57999999999999996</v>
      </c>
      <c r="X179" s="1">
        <f>MROUND(_xlfn.XLOOKUP(_xlfn.XLOOKUP(B179,'Base stats'!B:B,'Base stats'!E:E),Groups!A:A,Groups!BH:BH)*_xlfn.XLOOKUP(B179,'Base stats'!B:B,'Base stats'!C:C)^0.165,0.01)</f>
        <v>0.34</v>
      </c>
      <c r="Y179" s="8">
        <f>MROUND(_xlfn.XLOOKUP(_xlfn.XLOOKUP(B179,'Base stats'!B:B,'Base stats'!E:E),Groups!A:A,Groups!BI:BI)*_xlfn.XLOOKUP(B179,'Base stats'!B:B,'Base stats'!C:C)^0.165,0.01)</f>
        <v>0.04</v>
      </c>
      <c r="Z179" s="18">
        <f>ROUND(_xlfn.XLOOKUP(B179,'Base stats'!B:B,'Base stats'!AO:AO)*_xlfn.XLOOKUP(_xlfn.XLOOKUP(B179,'Base stats'!B:B,'Base stats'!E:E),Groups!A:A,Groups!H:H)/1000,2)</f>
        <v>7.0000000000000007E-2</v>
      </c>
      <c r="AA179" s="18">
        <f>ROUND((1/2)*(_xlfn.XLOOKUP(_xlfn.XLOOKUP(B179,'Base stats'!B:B,'Base stats'!E:E),Groups!A:A,Groups!H:H)*_xlfn.XLOOKUP(_xlfn.XLOOKUP(B179,'Base stats'!B:B,'Base stats'!E:E),Groups!A:A,Groups!I:I))*_xlfn.XLOOKUP(B179,'Base stats'!B:B,'Base stats'!AO:AO)*0.01,2)</f>
        <v>0.53</v>
      </c>
      <c r="AB179" s="18">
        <f>250*(Animals!AO179+Animals!AP179)</f>
        <v>362.50000000000006</v>
      </c>
      <c r="AC179" s="18" t="str">
        <f>_xlfn.XLOOKUP(_xlfn.XLOOKUP(B179,'Base stats'!B:B,'Base stats'!E:E),Groups!A:A,Groups!BJ:BJ)</f>
        <v>Quadruped</v>
      </c>
    </row>
    <row r="180" spans="1:29" ht="16.5" thickTop="1" thickBot="1" x14ac:dyDescent="0.3">
      <c r="A180" s="16" t="str">
        <f>Animals!A180</f>
        <v>Pangolin</v>
      </c>
      <c r="B180" s="6" t="str">
        <f>Animals!B180</f>
        <v>Manis crassicaudata</v>
      </c>
      <c r="C180" s="1" t="str">
        <f>Animals!C180</f>
        <v>&lt;li&gt;AEXP_Pangolin&lt;/li&gt;</v>
      </c>
      <c r="D180" s="47">
        <f>MAX(MROUND(_xlfn.XLOOKUP(B180,'Base stats'!B:B,'Base stats'!BQ:BQ) * (_xlfn.XLOOKUP(B180,'Base stats'!B:B,'Base stats'!AM:AM)*5%)^0.9 / 21,0.1),0.05)</f>
        <v>0.5</v>
      </c>
      <c r="E180" s="11">
        <f>MAX(0.01,MROUND(_xlfn.XLOOKUP(B180,'Base stats'!B:B,'Base stats'!BE:BE) * 0.01 * 2, 0.01))</f>
        <v>0.41000000000000003</v>
      </c>
      <c r="F180" s="7">
        <f>MROUND(_xlfn.XLOOKUP(B180,'Base stats'!B:B,'Base stats'!BB:BB)^0.25 / (_xlfn.XLOOKUP(B180,'Base stats'!B:B,'Base stats'!BI:BI) * 10) * 150 + 0.5 + _xlfn.XLOOKUP(B180,'Base stats'!B:B,'Base stats'!BU:BU), 0.05)</f>
        <v>1.55</v>
      </c>
      <c r="G180" s="3" t="str">
        <f>IF(Animals!S180="No","No",
IF(_xlfn.XLOOKUP(B180,'Base stats'!B:B,'Base stats'!U:U)="No",
MAX(MROUND(_xlfn.XLOOKUP(B180,'Base stats'!B:B,'Base stats'!BR:BR) * _xlfn.XLOOKUP(B180,'Base stats'!B:B,'Base stats'!BN:BN)^0.9 / 21 * _xlfn.XLOOKUP(B180,'Base stats'!B:B,'Base stats'!BV:BV),0.1),0.05),
MAX(MROUND(((MIN(10,_xlfn.XLOOKUP(B180,'Base stats'!B:B,'Base stats'!U:U)))^0.4*_xlfn.XLOOKUP(B180,'Base stats'!B:B,'Base stats'!BF:BF)^0.73)^0.6 * _xlfn.XLOOKUP(B180,'Base stats'!B:B,'Base stats'!BV:BV),0.1),0.05)
))</f>
        <v>No</v>
      </c>
      <c r="H180" s="11" t="str">
        <f>IF(G180="No","No",
MAX(0.01,MROUND(_xlfn.XLOOKUP(B180,'Base stats'!B:B,'Base stats'!BF:BF) * 0.01 * 2, 0.01))
)</f>
        <v>No</v>
      </c>
      <c r="I180" s="11" t="str">
        <f>IF(G180="No","No",IF(_xlfn.XLOOKUP(B180,'Base stats'!B:B,'Base stats'!U:U)="No","No",
MAX(0.01,MROUND(_xlfn.XLOOKUP(B180,'Base stats'!B:B,'Base stats'!BR:BR)/10000,0.01))
))</f>
        <v>No</v>
      </c>
      <c r="J180" s="4" t="str">
        <f>IF(G180="No","No",
MROUND(_xlfn.XLOOKUP(B180,'Base stats'!B:B,'Base stats'!BC:BC)^0.25
/((_xlfn.XLOOKUP(B180,'Base stats'!B:B,'Base stats'!BJ:BJ))*10)*_xlfn.XLOOKUP(_xlfn.XLOOKUP(B180,'Base stats'!B:B,'Base stats'!E:E),Groups!A:A,Groups!Q:Q)*150 + 0.5 + _xlfn.XLOOKUP(B180,'Base stats'!B:B,'Base stats'!BU:BU),
0.05))</f>
        <v>No</v>
      </c>
      <c r="K180" s="3" t="str">
        <f>IF(Animals!X180="No","No",
IF(_xlfn.XLOOKUP(_xlfn.XLOOKUP(B180,'Base stats'!B:B,'Base stats'!E:E),Groups!A:A,Groups!BD:BD)=1,
MAX(MROUND(_xlfn.XLOOKUP(B180,'Base stats'!B:B,'Base stats'!BS:BS) * _xlfn.XLOOKUP(B180,'Base stats'!B:B,'Base stats'!BO:BO)^0.9 / 21 *_xlfn.XLOOKUP(B180,'Base stats'!B:B,'Base stats'!BV:BV),0.1),0.05),
MAX(MROUND(((MIN(10,_xlfn.XLOOKUP(B180,'Base stats'!B:B,'Base stats'!W:W)))^0.4*_xlfn.XLOOKUP(B180,'Base stats'!B:B,'Base stats'!BG:BG)^0.73)^0.6 *_xlfn.XLOOKUP(B180,'Base stats'!B:B,'Base stats'!BV:BV),0.1),0.05)
))</f>
        <v>No</v>
      </c>
      <c r="L180" s="11" t="str">
        <f>IF(K180="No","No",
MAX(0.01,MROUND(_xlfn.XLOOKUP(B180,'Base stats'!B:B,'Base stats'!BG:BG) * 0.01 *2, 0.01))
)</f>
        <v>No</v>
      </c>
      <c r="M180" s="5" t="str">
        <f>IF(K180="No","No",IF(_xlfn.XLOOKUP(_xlfn.XLOOKUP(B180,'Base stats'!B:B,'Base stats'!E:E),Groups!A:A,Groups!BD:BD)=1,"No",
MAX(0.01,MROUND(_xlfn.XLOOKUP(B180,'Base stats'!B:B,'Base stats'!BS:BS)/10000,0.01))
))</f>
        <v>No</v>
      </c>
      <c r="N180" s="4" t="str">
        <f>IF(K180="No","No",
MROUND(
  _xlfn.XLOOKUP(B180,'Base stats'!B:B,'Base stats'!BA:BA)^0.25
  / (_xlfn.XLOOKUP(B180,'Base stats'!B:B,'Base stats'!BK:BK)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stats'!BU:BU),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stats'!BH:BH)^0.73)^0.6 *_xlfn.XLOOKUP(B180,'Base stats'!B:B,'Base stats'!BV:BV),0.1),0.05)
)</f>
        <v>4.9000000000000004</v>
      </c>
      <c r="P180" s="11">
        <f>IF(O180="No","No",
MAX(0.01,MROUND(_xlfn.XLOOKUP(B180,'Base stats'!B:B,'Base stats'!BH:BH) * 0.01 * 2, 0.01))
)</f>
        <v>0.59</v>
      </c>
      <c r="Q180" s="5">
        <f>IF(O180="No","No",
MAX(0.01,MROUND(_xlfn.XLOOKUP(B180,'Base stats'!B:B,'Base stats'!BT:BT)/10000,0.01))
)</f>
        <v>7.0000000000000007E-2</v>
      </c>
      <c r="R180" s="4">
        <f>IF(O180="No","No",
MROUND(_xlfn.XLOOKUP(B180,'Base stats'!B:B,'Base stats'!AZ:AZ)^0.25
/((_xlfn.XLOOKUP(B180,'Base stats'!B:B,'Base stats'!BL:BL))*10)*_xlfn.XLOOKUP(_xlfn.XLOOKUP(B180,'Base stats'!B:B,'Base stats'!E:E),Groups!A:A,Groups!Z:Z)*150 + 0.5 + _xlfn.XLOOKUP(B180,'Base stats'!B:B,'Base stats'!BU:BU),
0.05))</f>
        <v>2</v>
      </c>
      <c r="S180" s="3" t="str">
        <f>IF(Animals!AI180="No","No",
IF(_xlfn.XLOOKUP(B180,'Base stats'!B:B,'Base stats'!U:U)="No",
MAX(MROUND(_xlfn.XLOOKUP(B180,'Base stats'!B:B,'Base stats'!BR:BR) * _xlfn.XLOOKUP(B180,'Base stats'!B:B,'Base stats'!BN:BN)^0.9 / 21 * _xlfn.XLOOKUP(B180,'Base stats'!B:B,'Base stats'!BV:BV),0.1),0.05),
MAX(MROUND(((MIN(12,_xlfn.XLOOKUP(B180,'Base stats'!B:B,'Base stats'!U:U)))^0.4*_xlfn.XLOOKUP(B180,'Base stats'!B:B,'Base stats'!BF:BF)^0.73)^0.6 * _xlfn.XLOOKUP(B180,'Base stats'!B:B,'Base stats'!BV:BV),0.1),0.05)
))</f>
        <v>No</v>
      </c>
      <c r="T180" s="11" t="str">
        <f>IF(S180="No","No",
MAX(0.01,MROUND(_xlfn.XLOOKUP(B180,'Base stats'!B:B,'Base stats'!BF:BF) * 0.01 * 2, 0.01))
)</f>
        <v>No</v>
      </c>
      <c r="U180" s="5" t="str">
        <f>IF(S180="No","No",IF(_xlfn.XLOOKUP(B180,'Base stats'!B:B,'Base stats'!U:U)="No","No",
MAX(0.01,MROUND(_xlfn.XLOOKUP(B180,'Base stats'!B:B,'Base stats'!BR:BR)/10000,0.01))
))</f>
        <v>No</v>
      </c>
      <c r="V180" s="4" t="str">
        <f>IF(S180="No","No",
MROUND(_xlfn.XLOOKUP(B180,'Base stats'!B:B,'Base stats'!BD:BD)^0.25
/((_xlfn.XLOOKUP(B180,'Base stats'!B:B,'Base stats'!BM:BM))*10)*_xlfn.XLOOKUP(_xlfn.XLOOKUP(B180,'Base stats'!B:B,'Base stats'!E:E),Groups!A:A,Groups!AE:AE)*150 + 0.5 + _xlfn.XLOOKUP(B180,'Base stats'!B:B,'Base stats'!BU:BU),
0.05))</f>
        <v>No</v>
      </c>
      <c r="W180" s="8">
        <f>MROUND(_xlfn.XLOOKUP(_xlfn.XLOOKUP(B180,'Base stats'!B:B,'Base stats'!E:E),Groups!A:A,Groups!BG:BG)*_xlfn.XLOOKUP(B180,'Base stats'!B:B,'Base stats'!C:C)^-0.165,0.01)</f>
        <v>0.33</v>
      </c>
      <c r="X180" s="1">
        <f>MROUND(_xlfn.XLOOKUP(_xlfn.XLOOKUP(B180,'Base stats'!B:B,'Base stats'!E:E),Groups!A:A,Groups!BH:BH)*_xlfn.XLOOKUP(B180,'Base stats'!B:B,'Base stats'!C:C)^0.165,0.01)</f>
        <v>0</v>
      </c>
      <c r="Y180" s="8">
        <f>MROUND(_xlfn.XLOOKUP(_xlfn.XLOOKUP(B180,'Base stats'!B:B,'Base stats'!E:E),Groups!A:A,Groups!BI:BI)*_xlfn.XLOOKUP(B180,'Base stats'!B:B,'Base stats'!C:C)^0.165,0.01)</f>
        <v>0</v>
      </c>
      <c r="Z180" s="18">
        <f>ROUND(_xlfn.XLOOKUP(B180,'Base stats'!B:B,'Base stats'!AO:AO)*_xlfn.XLOOKUP(_xlfn.XLOOKUP(B180,'Base stats'!B:B,'Base stats'!E:E),Groups!A:A,Groups!H:H)/1000,2)</f>
        <v>0.64</v>
      </c>
      <c r="AA180" s="18">
        <f>ROUND((1/2)*(_xlfn.XLOOKUP(_xlfn.XLOOKUP(B180,'Base stats'!B:B,'Base stats'!E:E),Groups!A:A,Groups!H:H)*_xlfn.XLOOKUP(_xlfn.XLOOKUP(B180,'Base stats'!B:B,'Base stats'!E:E),Groups!A:A,Groups!I:I))*_xlfn.XLOOKUP(B180,'Base stats'!B:B,'Base stats'!AO:AO)*0.01,2)</f>
        <v>0.46</v>
      </c>
      <c r="AB180" s="18">
        <f>250*(Animals!AO180+Animals!AP180)</f>
        <v>225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Panda</v>
      </c>
      <c r="B181" s="6" t="str">
        <f>Animals!B181</f>
        <v>Ailuropoda melanoleuca</v>
      </c>
      <c r="C181" s="1" t="str">
        <f>Animals!C181</f>
        <v>&lt;li&gt;AEXP_Panda&lt;/li&gt;</v>
      </c>
      <c r="D181" s="47">
        <f>MAX(MROUND(_xlfn.XLOOKUP(B181,'Base stats'!B:B,'Base stats'!BQ:BQ) * (_xlfn.XLOOKUP(B181,'Base stats'!B:B,'Base stats'!AM:AM)*5%)^0.9 / 21,0.1),0.05)</f>
        <v>3.5</v>
      </c>
      <c r="E181" s="11">
        <f>MAX(0.01,MROUND(_xlfn.XLOOKUP(B181,'Base stats'!B:B,'Base stats'!BE:BE) * 0.01 * 2, 0.01))</f>
        <v>2.99</v>
      </c>
      <c r="F181" s="7">
        <f>MROUND(_xlfn.XLOOKUP(B181,'Base stats'!B:B,'Base stats'!BB:BB)^0.25 / (_xlfn.XLOOKUP(B181,'Base stats'!B:B,'Base stats'!BI:BI) * 10) * 150 + 0.5 + _xlfn.XLOOKUP(B181,'Base stats'!B:B,'Base stats'!BU:BU), 0.05)</f>
        <v>1.6500000000000001</v>
      </c>
      <c r="G181" s="3" t="str">
        <f>IF(Animals!S181="No","No",
IF(_xlfn.XLOOKUP(B181,'Base stats'!B:B,'Base stats'!U:U)="No",
MAX(MROUND(_xlfn.XLOOKUP(B181,'Base stats'!B:B,'Base stats'!BR:BR) * _xlfn.XLOOKUP(B181,'Base stats'!B:B,'Base stats'!BN:BN)^0.9 / 21 * _xlfn.XLOOKUP(B181,'Base stats'!B:B,'Base stats'!BV:BV),0.1),0.05),
MAX(MROUND(((MIN(10,_xlfn.XLOOKUP(B181,'Base stats'!B:B,'Base stats'!U:U)))^0.4*_xlfn.XLOOKUP(B181,'Base stats'!B:B,'Base stats'!BF:BF)^0.73)^0.6 * _xlfn.XLOOKUP(B181,'Base stats'!B:B,'Base stats'!BV:BV),0.1),0.05)
))</f>
        <v>No</v>
      </c>
      <c r="H181" s="11" t="str">
        <f>IF(G181="No","No",
MAX(0.01,MROUND(_xlfn.XLOOKUP(B181,'Base stats'!B:B,'Base stats'!BF:BF) * 0.01 * 2, 0.01))
)</f>
        <v>No</v>
      </c>
      <c r="I181" s="11" t="str">
        <f>IF(G181="No","No",IF(_xlfn.XLOOKUP(B181,'Base stats'!B:B,'Base stats'!U:U)="No","No",
MAX(0.01,MROUND(_xlfn.XLOOKUP(B181,'Base stats'!B:B,'Base stats'!BR:BR)/10000,0.01))
))</f>
        <v>No</v>
      </c>
      <c r="J181" s="4" t="str">
        <f>IF(G181="No","No",
MROUND(_xlfn.XLOOKUP(B181,'Base stats'!B:B,'Base stats'!BC:BC)^0.25
/((_xlfn.XLOOKUP(B181,'Base stats'!B:B,'Base stats'!BJ:BJ))*10)*_xlfn.XLOOKUP(_xlfn.XLOOKUP(B181,'Base stats'!B:B,'Base stats'!E:E),Groups!A:A,Groups!Q:Q)*150 + 0.5 + _xlfn.XLOOKUP(B181,'Base stats'!B:B,'Base stats'!BU:BU),
0.05))</f>
        <v>No</v>
      </c>
      <c r="K181" s="3" t="str">
        <f>IF(Animals!X181="No","No",
IF(_xlfn.XLOOKUP(_xlfn.XLOOKUP(B181,'Base stats'!B:B,'Base stats'!E:E),Groups!A:A,Groups!BD:BD)=1,
MAX(MROUND(_xlfn.XLOOKUP(B181,'Base stats'!B:B,'Base stats'!BS:BS) * _xlfn.XLOOKUP(B181,'Base stats'!B:B,'Base stats'!BO:BO)^0.9 / 21 *_xlfn.XLOOKUP(B181,'Base stats'!B:B,'Base stats'!BV:BV),0.1),0.05),
MAX(MROUND(((MIN(10,_xlfn.XLOOKUP(B181,'Base stats'!B:B,'Base stats'!W:W)))^0.4*_xlfn.XLOOKUP(B181,'Base stats'!B:B,'Base stats'!BG:BG)^0.73)^0.6 *_xlfn.XLOOKUP(B181,'Base stats'!B:B,'Base stats'!BV:BV),0.1),0.05)
))</f>
        <v>No</v>
      </c>
      <c r="L181" s="11" t="str">
        <f>IF(K181="No","No",
MAX(0.01,MROUND(_xlfn.XLOOKUP(B181,'Base stats'!B:B,'Base stats'!BG:BG) * 0.01 *2, 0.01))
)</f>
        <v>No</v>
      </c>
      <c r="M181" s="5" t="str">
        <f>IF(K181="No","No",IF(_xlfn.XLOOKUP(_xlfn.XLOOKUP(B181,'Base stats'!B:B,'Base stats'!E:E),Groups!A:A,Groups!BD:BD)=1,"No",
MAX(0.01,MROUND(_xlfn.XLOOKUP(B181,'Base stats'!B:B,'Base stats'!BS:BS)/10000,0.01))
))</f>
        <v>No</v>
      </c>
      <c r="N181" s="4" t="str">
        <f>IF(K181="No","No",
MROUND(
  _xlfn.XLOOKUP(B181,'Base stats'!B:B,'Base stats'!BA:BA)^0.25
  / (_xlfn.XLOOKUP(B181,'Base stats'!B:B,'Base stats'!BK:BK)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stats'!BU:BU),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stats'!BH:BH)^0.73)^0.6 *_xlfn.XLOOKUP(B181,'Base stats'!B:B,'Base stats'!BV:BV),0.1),0.05)
)</f>
        <v>17</v>
      </c>
      <c r="P181" s="11">
        <f>IF(O181="No","No",
MAX(0.01,MROUND(_xlfn.XLOOKUP(B181,'Base stats'!B:B,'Base stats'!BH:BH) * 0.01 * 2, 0.01))
)</f>
        <v>5.71</v>
      </c>
      <c r="Q181" s="5">
        <f>IF(O181="No","No",
MAX(0.01,MROUND(_xlfn.XLOOKUP(B181,'Base stats'!B:B,'Base stats'!BT:BT)/10000,0.01))
)</f>
        <v>0.28000000000000003</v>
      </c>
      <c r="R181" s="4">
        <f>IF(O181="No","No",
MROUND(_xlfn.XLOOKUP(B181,'Base stats'!B:B,'Base stats'!AZ:AZ)^0.25
/((_xlfn.XLOOKUP(B181,'Base stats'!B:B,'Base stats'!BL:BL))*10)*_xlfn.XLOOKUP(_xlfn.XLOOKUP(B181,'Base stats'!B:B,'Base stats'!E:E),Groups!A:A,Groups!Z:Z)*150 + 0.5 + _xlfn.XLOOKUP(B181,'Base stats'!B:B,'Base stats'!BU:BU),
0.05))</f>
        <v>2.2000000000000002</v>
      </c>
      <c r="S181" s="3">
        <f>IF(Animals!AI181="No","No",
IF(_xlfn.XLOOKUP(B181,'Base stats'!B:B,'Base stats'!U:U)="No",
MAX(MROUND(_xlfn.XLOOKUP(B181,'Base stats'!B:B,'Base stats'!BR:BR) * _xlfn.XLOOKUP(B181,'Base stats'!B:B,'Base stats'!BN:BN)^0.9 / 21 * _xlfn.XLOOKUP(B181,'Base stats'!B:B,'Base stats'!BV:BV),0.1),0.05),
MAX(MROUND(((MIN(12,_xlfn.XLOOKUP(B181,'Base stats'!B:B,'Base stats'!U:U)))^0.4*_xlfn.XLOOKUP(B181,'Base stats'!B:B,'Base stats'!BF:BF)^0.73)^0.6 * _xlfn.XLOOKUP(B181,'Base stats'!B:B,'Base stats'!BV:BV),0.1),0.05)
))</f>
        <v>14.5</v>
      </c>
      <c r="T181" s="11">
        <f>IF(S181="No","No",
MAX(0.01,MROUND(_xlfn.XLOOKUP(B181,'Base stats'!B:B,'Base stats'!BF:BF) * 0.01 * 2, 0.01))
)</f>
        <v>3.73</v>
      </c>
      <c r="U181" s="5">
        <f>IF(S181="No","No",IF(_xlfn.XLOOKUP(B181,'Base stats'!B:B,'Base stats'!U:U)="No","No",
MAX(0.01,MROUND(_xlfn.XLOOKUP(B181,'Base stats'!B:B,'Base stats'!BR:BR)/10000,0.01))
))</f>
        <v>0.18</v>
      </c>
      <c r="V181" s="4">
        <f>IF(S181="No","No",
MROUND(_xlfn.XLOOKUP(B181,'Base stats'!B:B,'Base stats'!BD:BD)^0.25
/((_xlfn.XLOOKUP(B181,'Base stats'!B:B,'Base stats'!BM:BM))*10)*_xlfn.XLOOKUP(_xlfn.XLOOKUP(B181,'Base stats'!B:B,'Base stats'!E:E),Groups!A:A,Groups!AE:AE)*150 + 0.5 + _xlfn.XLOOKUP(B181,'Base stats'!B:B,'Base stats'!BU:BU),
0.05))</f>
        <v>1.5</v>
      </c>
      <c r="W181" s="8">
        <f>MROUND(_xlfn.XLOOKUP(_xlfn.XLOOKUP(B181,'Base stats'!B:B,'Base stats'!E:E),Groups!A:A,Groups!BG:BG)*_xlfn.XLOOKUP(B181,'Base stats'!B:B,'Base stats'!C:C)^-0.165,0.01)</f>
        <v>0.32</v>
      </c>
      <c r="X181" s="1">
        <f>MROUND(_xlfn.XLOOKUP(_xlfn.XLOOKUP(B181,'Base stats'!B:B,'Base stats'!E:E),Groups!A:A,Groups!BH:BH)*_xlfn.XLOOKUP(B181,'Base stats'!B:B,'Base stats'!C:C)^0.165,0.01)</f>
        <v>0.33</v>
      </c>
      <c r="Y181" s="8">
        <f>MROUND(_xlfn.XLOOKUP(_xlfn.XLOOKUP(B181,'Base stats'!B:B,'Base stats'!E:E),Groups!A:A,Groups!BI:BI)*_xlfn.XLOOKUP(B181,'Base stats'!B:B,'Base stats'!C:C)^0.165,0.01)</f>
        <v>0.05</v>
      </c>
      <c r="Z181" s="18">
        <f>ROUND(_xlfn.XLOOKUP(B181,'Base stats'!B:B,'Base stats'!AO:AO)*_xlfn.XLOOKUP(_xlfn.XLOOKUP(B181,'Base stats'!B:B,'Base stats'!E:E),Groups!A:A,Groups!H:H)/1000,2)</f>
        <v>0.12</v>
      </c>
      <c r="AA181" s="18">
        <f>ROUND((1/2)*(_xlfn.XLOOKUP(_xlfn.XLOOKUP(B181,'Base stats'!B:B,'Base stats'!E:E),Groups!A:A,Groups!H:H)*_xlfn.XLOOKUP(_xlfn.XLOOKUP(B181,'Base stats'!B:B,'Base stats'!E:E),Groups!A:A,Groups!I:I))*_xlfn.XLOOKUP(B181,'Base stats'!B:B,'Base stats'!AO:AO)*0.01,2)</f>
        <v>0.89</v>
      </c>
      <c r="AB181" s="18">
        <f>250*(Animals!AO181+Animals!AP181)</f>
        <v>712.5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Quail</v>
      </c>
      <c r="B182" s="6" t="str">
        <f>Animals!B182</f>
        <v>Coturnix coturnix</v>
      </c>
      <c r="C182" s="1" t="str">
        <f>Animals!C182</f>
        <v>&lt;li&gt;VAERoy_Quail&lt;/li&gt;</v>
      </c>
      <c r="D182" s="47">
        <f>MAX(MROUND(_xlfn.XLOOKUP(B182,'Base stats'!B:B,'Base stats'!BQ:BQ) * (_xlfn.XLOOKUP(B182,'Base stats'!B:B,'Base stats'!AM:AM)*5%)^0.9 / 21,0.1),0.05)</f>
        <v>0.05</v>
      </c>
      <c r="E182" s="11">
        <f>MAX(0.01,MROUND(_xlfn.XLOOKUP(B182,'Base stats'!B:B,'Base stats'!BE:BE) * 0.01 * 2, 0.01))</f>
        <v>0.01</v>
      </c>
      <c r="F182" s="7">
        <f>MROUND(_xlfn.XLOOKUP(B182,'Base stats'!B:B,'Base stats'!BB:BB)^0.25 / (_xlfn.XLOOKUP(B182,'Base stats'!B:B,'Base stats'!BI:BI) * 10) * 150 + 0.5 + _xlfn.XLOOKUP(B182,'Base stats'!B:B,'Base stats'!BU:BU), 0.05)</f>
        <v>1.05</v>
      </c>
      <c r="G182" s="3">
        <f>IF(Animals!S182="No","No",
IF(_xlfn.XLOOKUP(B182,'Base stats'!B:B,'Base stats'!U:U)="No",
MAX(MROUND(_xlfn.XLOOKUP(B182,'Base stats'!B:B,'Base stats'!BR:BR) * _xlfn.XLOOKUP(B182,'Base stats'!B:B,'Base stats'!BN:BN)^0.9 / 21 * _xlfn.XLOOKUP(B182,'Base stats'!B:B,'Base stats'!BV:BV),0.1),0.05),
MAX(MROUND(((MIN(10,_xlfn.XLOOKUP(B182,'Base stats'!B:B,'Base stats'!U:U)))^0.4*_xlfn.XLOOKUP(B182,'Base stats'!B:B,'Base stats'!BF:BF)^0.73)^0.6 * _xlfn.XLOOKUP(B182,'Base stats'!B:B,'Base stats'!BV:BV),0.1),0.05)
))</f>
        <v>0.60000000000000009</v>
      </c>
      <c r="H182" s="11">
        <f>IF(G182="No","No",
MAX(0.01,MROUND(_xlfn.XLOOKUP(B182,'Base stats'!B:B,'Base stats'!BF:BF) * 0.01 * 2, 0.01))
)</f>
        <v>0.01</v>
      </c>
      <c r="I182" s="11">
        <f>IF(G182="No","No",IF(_xlfn.XLOOKUP(B182,'Base stats'!B:B,'Base stats'!U:U)="No","No",
MAX(0.01,MROUND(_xlfn.XLOOKUP(B182,'Base stats'!B:B,'Base stats'!BR:BR)/10000,0.01))
))</f>
        <v>0.01</v>
      </c>
      <c r="J182" s="4">
        <f>IF(G182="No","No",
MROUND(_xlfn.XLOOKUP(B182,'Base stats'!B:B,'Base stats'!BC:BC)^0.25
/((_xlfn.XLOOKUP(B182,'Base stats'!B:B,'Base stats'!BJ:BJ))*10)*_xlfn.XLOOKUP(_xlfn.XLOOKUP(B182,'Base stats'!B:B,'Base stats'!E:E),Groups!A:A,Groups!Q:Q)*150 + 0.5 + _xlfn.XLOOKUP(B182,'Base stats'!B:B,'Base stats'!BU:BU),
0.05))</f>
        <v>1.4500000000000002</v>
      </c>
      <c r="K182" s="3" t="str">
        <f>IF(Animals!X182="No","No",
IF(_xlfn.XLOOKUP(_xlfn.XLOOKUP(B182,'Base stats'!B:B,'Base stats'!E:E),Groups!A:A,Groups!BD:BD)=1,
MAX(MROUND(_xlfn.XLOOKUP(B182,'Base stats'!B:B,'Base stats'!BS:BS) * _xlfn.XLOOKUP(B182,'Base stats'!B:B,'Base stats'!BO:BO)^0.9 / 21 *_xlfn.XLOOKUP(B182,'Base stats'!B:B,'Base stats'!BV:BV),0.1),0.05),
MAX(MROUND(((MIN(10,_xlfn.XLOOKUP(B182,'Base stats'!B:B,'Base stats'!W:W)))^0.4*_xlfn.XLOOKUP(B182,'Base stats'!B:B,'Base stats'!BG:BG)^0.73)^0.6 *_xlfn.XLOOKUP(B182,'Base stats'!B:B,'Base stats'!BV:BV),0.1),0.05)
))</f>
        <v>No</v>
      </c>
      <c r="L182" s="11" t="str">
        <f>IF(K182="No","No",
MAX(0.01,MROUND(_xlfn.XLOOKUP(B182,'Base stats'!B:B,'Base stats'!BG:BG) * 0.01 *2, 0.01))
)</f>
        <v>No</v>
      </c>
      <c r="M182" s="5" t="str">
        <f>IF(K182="No","No",IF(_xlfn.XLOOKUP(_xlfn.XLOOKUP(B182,'Base stats'!B:B,'Base stats'!E:E),Groups!A:A,Groups!BD:BD)=1,"No",
MAX(0.01,MROUND(_xlfn.XLOOKUP(B182,'Base stats'!B:B,'Base stats'!BS:BS)/10000,0.01))
))</f>
        <v>No</v>
      </c>
      <c r="N182" s="4" t="str">
        <f>IF(K182="No","No",
MROUND(
  _xlfn.XLOOKUP(B182,'Base stats'!B:B,'Base stats'!BA:BA)^0.25
  / (_xlfn.XLOOKUP(B182,'Base stats'!B:B,'Base stats'!BK:BK)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stats'!BU:BU),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stats'!BH:BH)^0.73)^0.6 *_xlfn.XLOOKUP(B182,'Base stats'!B:B,'Base stats'!BV:BV),0.1),0.05)
)</f>
        <v>0.30000000000000004</v>
      </c>
      <c r="P182" s="11">
        <f>IF(O182="No","No",
MAX(0.01,MROUND(_xlfn.XLOOKUP(B182,'Base stats'!B:B,'Base stats'!BH:BH) * 0.01 * 2, 0.01))
)</f>
        <v>0.01</v>
      </c>
      <c r="Q182" s="5">
        <f>IF(O182="No","No",
MAX(0.01,MROUND(_xlfn.XLOOKUP(B182,'Base stats'!B:B,'Base stats'!BT:BT)/10000,0.01))
)</f>
        <v>0.01</v>
      </c>
      <c r="R182" s="4">
        <f>IF(O182="No","No",
MROUND(_xlfn.XLOOKUP(B182,'Base stats'!B:B,'Base stats'!AZ:AZ)^0.25
/((_xlfn.XLOOKUP(B182,'Base stats'!B:B,'Base stats'!BL:BL))*10)*_xlfn.XLOOKUP(_xlfn.XLOOKUP(B182,'Base stats'!B:B,'Base stats'!E:E),Groups!A:A,Groups!Z:Z)*150 + 0.5 + _xlfn.XLOOKUP(B182,'Base stats'!B:B,'Base stats'!BU:BU),
0.05))</f>
        <v>1.75</v>
      </c>
      <c r="S182" s="3" t="str">
        <f>IF(Animals!AI182="No","No",
IF(_xlfn.XLOOKUP(B182,'Base stats'!B:B,'Base stats'!U:U)="No",
MAX(MROUND(_xlfn.XLOOKUP(B182,'Base stats'!B:B,'Base stats'!BR:BR) * _xlfn.XLOOKUP(B182,'Base stats'!B:B,'Base stats'!BN:BN)^0.9 / 21 * _xlfn.XLOOKUP(B182,'Base stats'!B:B,'Base stats'!BV:BV),0.1),0.05),
MAX(MROUND(((MIN(12,_xlfn.XLOOKUP(B182,'Base stats'!B:B,'Base stats'!U:U)))^0.4*_xlfn.XLOOKUP(B182,'Base stats'!B:B,'Base stats'!BF:BF)^0.73)^0.6 * _xlfn.XLOOKUP(B182,'Base stats'!B:B,'Base stats'!BV:BV),0.1),0.05)
))</f>
        <v>No</v>
      </c>
      <c r="T182" s="11" t="str">
        <f>IF(S182="No","No",
MAX(0.01,MROUND(_xlfn.XLOOKUP(B182,'Base stats'!B:B,'Base stats'!BF:BF) * 0.01 * 2, 0.01))
)</f>
        <v>No</v>
      </c>
      <c r="U182" s="5" t="str">
        <f>IF(S182="No","No",IF(_xlfn.XLOOKUP(B182,'Base stats'!B:B,'Base stats'!U:U)="No","No",
MAX(0.01,MROUND(_xlfn.XLOOKUP(B182,'Base stats'!B:B,'Base stats'!BR:BR)/10000,0.01))
))</f>
        <v>No</v>
      </c>
      <c r="V182" s="4" t="str">
        <f>IF(S182="No","No",
MROUND(_xlfn.XLOOKUP(B182,'Base stats'!B:B,'Base stats'!BD:BD)^0.25
/((_xlfn.XLOOKUP(B182,'Base stats'!B:B,'Base stats'!BM:BM))*10)*_xlfn.XLOOKUP(_xlfn.XLOOKUP(B182,'Base stats'!B:B,'Base stats'!E:E),Groups!A:A,Groups!AE:AE)*150 + 0.5 + _xlfn.XLOOKUP(B182,'Base stats'!B:B,'Base stats'!BU:BU),
0.05))</f>
        <v>No</v>
      </c>
      <c r="W182" s="8">
        <f>MROUND(_xlfn.XLOOKUP(_xlfn.XLOOKUP(B182,'Base stats'!B:B,'Base stats'!E:E),Groups!A:A,Groups!BG:BG)*_xlfn.XLOOKUP(B182,'Base stats'!B:B,'Base stats'!C:C)^-0.165,0.01)</f>
        <v>1.46</v>
      </c>
      <c r="X182" s="1">
        <f>MROUND(_xlfn.XLOOKUP(_xlfn.XLOOKUP(B182,'Base stats'!B:B,'Base stats'!E:E),Groups!A:A,Groups!BH:BH)*_xlfn.XLOOKUP(B182,'Base stats'!B:B,'Base stats'!C:C)^0.165,0.01)</f>
        <v>0</v>
      </c>
      <c r="Y182" s="8">
        <f>MROUND(_xlfn.XLOOKUP(_xlfn.XLOOKUP(B182,'Base stats'!B:B,'Base stats'!E:E),Groups!A:A,Groups!BI:BI)*_xlfn.XLOOKUP(B182,'Base stats'!B:B,'Base stats'!C:C)^0.165,0.01)</f>
        <v>0</v>
      </c>
      <c r="Z182" s="18">
        <f>ROUND(_xlfn.XLOOKUP(B182,'Base stats'!B:B,'Base stats'!AO:AO)*_xlfn.XLOOKUP(_xlfn.XLOOKUP(B182,'Base stats'!B:B,'Base stats'!E:E),Groups!A:A,Groups!H:H)/1000,2)</f>
        <v>0</v>
      </c>
      <c r="AA182" s="18">
        <f>ROUND((1/2)*(_xlfn.XLOOKUP(_xlfn.XLOOKUP(B182,'Base stats'!B:B,'Base stats'!E:E),Groups!A:A,Groups!H:H)*_xlfn.XLOOKUP(_xlfn.XLOOKUP(B182,'Base stats'!B:B,'Base stats'!E:E),Groups!A:A,Groups!I:I))*_xlfn.XLOOKUP(B182,'Base stats'!B:B,'Base stats'!AO:AO)*0.01,2)</f>
        <v>0</v>
      </c>
      <c r="AB182" s="18">
        <f>250*(Animals!AO182+Animals!AP182)</f>
        <v>50</v>
      </c>
      <c r="AC182" s="18" t="str">
        <f>_xlfn.XLOOKUP(_xlfn.XLOOKUP(B182,'Base stats'!B:B,'Base stats'!E:E),Groups!A:A,Groups!BJ:BJ)</f>
        <v>Birdlike</v>
      </c>
    </row>
    <row r="183" spans="1:29" ht="16.5" thickTop="1" thickBot="1" x14ac:dyDescent="0.3">
      <c r="A183" s="16" t="str">
        <f>Animals!A183</f>
        <v>Swan</v>
      </c>
      <c r="B183" s="6" t="str">
        <f>Animals!B183</f>
        <v>Cygnus olor</v>
      </c>
      <c r="C183" s="1" t="str">
        <f>Animals!C183</f>
        <v>&lt;li&gt;VAERoy_Swan&lt;/li&gt;</v>
      </c>
      <c r="D183" s="47">
        <f>MAX(MROUND(_xlfn.XLOOKUP(B183,'Base stats'!B:B,'Base stats'!BQ:BQ) * (_xlfn.XLOOKUP(B183,'Base stats'!B:B,'Base stats'!AM:AM)*5%)^0.9 / 21,0.1),0.05)</f>
        <v>0.4</v>
      </c>
      <c r="E183" s="11">
        <f>MAX(0.01,MROUND(_xlfn.XLOOKUP(B183,'Base stats'!B:B,'Base stats'!BE:BE) * 0.01 * 2, 0.01))</f>
        <v>0.3</v>
      </c>
      <c r="F183" s="7">
        <f>MROUND(_xlfn.XLOOKUP(B183,'Base stats'!B:B,'Base stats'!BB:BB)^0.25 / (_xlfn.XLOOKUP(B183,'Base stats'!B:B,'Base stats'!BI:BI) * 10) * 150 + 0.5 + _xlfn.XLOOKUP(B183,'Base stats'!B:B,'Base stats'!BU:BU), 0.05)</f>
        <v>1.4500000000000002</v>
      </c>
      <c r="G183" s="3" t="str">
        <f>IF(Animals!S183="No","No",
IF(_xlfn.XLOOKUP(B183,'Base stats'!B:B,'Base stats'!U:U)="No",
MAX(MROUND(_xlfn.XLOOKUP(B183,'Base stats'!B:B,'Base stats'!BR:BR) * _xlfn.XLOOKUP(B183,'Base stats'!B:B,'Base stats'!BN:BN)^0.9 / 21 * _xlfn.XLOOKUP(B183,'Base stats'!B:B,'Base stats'!BV:BV),0.1),0.05),
MAX(MROUND(((MIN(10,_xlfn.XLOOKUP(B183,'Base stats'!B:B,'Base stats'!U:U)))^0.4*_xlfn.XLOOKUP(B183,'Base stats'!B:B,'Base stats'!BF:BF)^0.73)^0.6 * _xlfn.XLOOKUP(B183,'Base stats'!B:B,'Base stats'!BV:BV),0.1),0.05)
))</f>
        <v>No</v>
      </c>
      <c r="H183" s="11" t="str">
        <f>IF(G183="No","No",
MAX(0.01,MROUND(_xlfn.XLOOKUP(B183,'Base stats'!B:B,'Base stats'!BF:BF) * 0.01 * 2, 0.01))
)</f>
        <v>No</v>
      </c>
      <c r="I183" s="11" t="str">
        <f>IF(G183="No","No",IF(_xlfn.XLOOKUP(B183,'Base stats'!B:B,'Base stats'!U:U)="No","No",
MAX(0.01,MROUND(_xlfn.XLOOKUP(B183,'Base stats'!B:B,'Base stats'!BR:BR)/10000,0.01))
))</f>
        <v>No</v>
      </c>
      <c r="J183" s="4" t="str">
        <f>IF(G183="No","No",
MROUND(_xlfn.XLOOKUP(B183,'Base stats'!B:B,'Base stats'!BC:BC)^0.25
/((_xlfn.XLOOKUP(B183,'Base stats'!B:B,'Base stats'!BJ:BJ))*10)*_xlfn.XLOOKUP(_xlfn.XLOOKUP(B183,'Base stats'!B:B,'Base stats'!E:E),Groups!A:A,Groups!Q:Q)*150 + 0.5 + _xlfn.XLOOKUP(B183,'Base stats'!B:B,'Base stats'!BU:BU),
0.05))</f>
        <v>No</v>
      </c>
      <c r="K183" s="3" t="str">
        <f>IF(Animals!X183="No","No",
IF(_xlfn.XLOOKUP(_xlfn.XLOOKUP(B183,'Base stats'!B:B,'Base stats'!E:E),Groups!A:A,Groups!BD:BD)=1,
MAX(MROUND(_xlfn.XLOOKUP(B183,'Base stats'!B:B,'Base stats'!BS:BS) * _xlfn.XLOOKUP(B183,'Base stats'!B:B,'Base stats'!BO:BO)^0.9 / 21 *_xlfn.XLOOKUP(B183,'Base stats'!B:B,'Base stats'!BV:BV),0.1),0.05),
MAX(MROUND(((MIN(10,_xlfn.XLOOKUP(B183,'Base stats'!B:B,'Base stats'!W:W)))^0.4*_xlfn.XLOOKUP(B183,'Base stats'!B:B,'Base stats'!BG:BG)^0.73)^0.6 *_xlfn.XLOOKUP(B183,'Base stats'!B:B,'Base stats'!BV:BV),0.1),0.05)
))</f>
        <v>No</v>
      </c>
      <c r="L183" s="11" t="str">
        <f>IF(K183="No","No",
MAX(0.01,MROUND(_xlfn.XLOOKUP(B183,'Base stats'!B:B,'Base stats'!BG:BG) * 0.01 *2, 0.01))
)</f>
        <v>No</v>
      </c>
      <c r="M183" s="5" t="str">
        <f>IF(K183="No","No",IF(_xlfn.XLOOKUP(_xlfn.XLOOKUP(B183,'Base stats'!B:B,'Base stats'!E:E),Groups!A:A,Groups!BD:BD)=1,"No",
MAX(0.01,MROUND(_xlfn.XLOOKUP(B183,'Base stats'!B:B,'Base stats'!BS:BS)/10000,0.01))
))</f>
        <v>No</v>
      </c>
      <c r="N183" s="4" t="str">
        <f>IF(K183="No","No",
MROUND(
  _xlfn.XLOOKUP(B183,'Base stats'!B:B,'Base stats'!BA:BA)^0.25
  / (_xlfn.XLOOKUP(B183,'Base stats'!B:B,'Base stats'!BK:BK)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stats'!BU:BU),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stats'!BH:BH)^0.73)^0.6 *_xlfn.XLOOKUP(B183,'Base stats'!B:B,'Base stats'!BV:BV),0.1),0.05)
)</f>
        <v>2.1</v>
      </c>
      <c r="P183" s="11">
        <f>IF(O183="No","No",
MAX(0.01,MROUND(_xlfn.XLOOKUP(B183,'Base stats'!B:B,'Base stats'!BH:BH) * 0.01 * 2, 0.01))
)</f>
        <v>7.0000000000000007E-2</v>
      </c>
      <c r="Q183" s="5">
        <f>IF(O183="No","No",
MAX(0.01,MROUND(_xlfn.XLOOKUP(B183,'Base stats'!B:B,'Base stats'!BT:BT)/10000,0.01))
)</f>
        <v>0.01</v>
      </c>
      <c r="R183" s="4">
        <f>IF(O183="No","No",
MROUND(_xlfn.XLOOKUP(B183,'Base stats'!B:B,'Base stats'!AZ:AZ)^0.25
/((_xlfn.XLOOKUP(B183,'Base stats'!B:B,'Base stats'!BL:BL))*10)*_xlfn.XLOOKUP(_xlfn.XLOOKUP(B183,'Base stats'!B:B,'Base stats'!E:E),Groups!A:A,Groups!Z:Z)*150 + 0.5 + _xlfn.XLOOKUP(B183,'Base stats'!B:B,'Base stats'!BU:BU),
0.05))</f>
        <v>1.8</v>
      </c>
      <c r="S183" s="3" t="str">
        <f>IF(Animals!AI183="No","No",
IF(_xlfn.XLOOKUP(B183,'Base stats'!B:B,'Base stats'!U:U)="No",
MAX(MROUND(_xlfn.XLOOKUP(B183,'Base stats'!B:B,'Base stats'!BR:BR) * _xlfn.XLOOKUP(B183,'Base stats'!B:B,'Base stats'!BN:BN)^0.9 / 21 * _xlfn.XLOOKUP(B183,'Base stats'!B:B,'Base stats'!BV:BV),0.1),0.05),
MAX(MROUND(((MIN(12,_xlfn.XLOOKUP(B183,'Base stats'!B:B,'Base stats'!U:U)))^0.4*_xlfn.XLOOKUP(B183,'Base stats'!B:B,'Base stats'!BF:BF)^0.73)^0.6 * _xlfn.XLOOKUP(B183,'Base stats'!B:B,'Base stats'!BV:BV),0.1),0.05)
))</f>
        <v>No</v>
      </c>
      <c r="T183" s="11" t="str">
        <f>IF(S183="No","No",
MAX(0.01,MROUND(_xlfn.XLOOKUP(B183,'Base stats'!B:B,'Base stats'!BF:BF) * 0.01 * 2, 0.01))
)</f>
        <v>No</v>
      </c>
      <c r="U183" s="5" t="str">
        <f>IF(S183="No","No",IF(_xlfn.XLOOKUP(B183,'Base stats'!B:B,'Base stats'!U:U)="No","No",
MAX(0.01,MROUND(_xlfn.XLOOKUP(B183,'Base stats'!B:B,'Base stats'!BR:BR)/10000,0.01))
))</f>
        <v>No</v>
      </c>
      <c r="V183" s="4" t="str">
        <f>IF(S183="No","No",
MROUND(_xlfn.XLOOKUP(B183,'Base stats'!B:B,'Base stats'!BD:BD)^0.25
/((_xlfn.XLOOKUP(B183,'Base stats'!B:B,'Base stats'!BM:BM))*10)*_xlfn.XLOOKUP(_xlfn.XLOOKUP(B183,'Base stats'!B:B,'Base stats'!E:E),Groups!A:A,Groups!AE:AE)*150 + 0.5 + _xlfn.XLOOKUP(B183,'Base stats'!B:B,'Base stats'!BU:BU),
0.05))</f>
        <v>No</v>
      </c>
      <c r="W183" s="8">
        <f>MROUND(_xlfn.XLOOKUP(_xlfn.XLOOKUP(B183,'Base stats'!B:B,'Base stats'!E:E),Groups!A:A,Groups!BG:BG)*_xlfn.XLOOKUP(B183,'Base stats'!B:B,'Base stats'!C:C)^-0.165,0.01)</f>
        <v>0.69000000000000006</v>
      </c>
      <c r="X183" s="1">
        <f>MROUND(_xlfn.XLOOKUP(_xlfn.XLOOKUP(B183,'Base stats'!B:B,'Base stats'!E:E),Groups!A:A,Groups!BH:BH)*_xlfn.XLOOKUP(B183,'Base stats'!B:B,'Base stats'!C:C)^0.165,0.01)</f>
        <v>0</v>
      </c>
      <c r="Y183" s="8">
        <f>MROUND(_xlfn.XLOOKUP(_xlfn.XLOOKUP(B183,'Base stats'!B:B,'Base stats'!E:E),Groups!A:A,Groups!BI:BI)*_xlfn.XLOOKUP(B183,'Base stats'!B:B,'Base stats'!C:C)^0.165,0.01)</f>
        <v>0</v>
      </c>
      <c r="Z183" s="18">
        <f>ROUND(_xlfn.XLOOKUP(B183,'Base stats'!B:B,'Base stats'!AO:AO)*_xlfn.XLOOKUP(_xlfn.XLOOKUP(B183,'Base stats'!B:B,'Base stats'!E:E),Groups!A:A,Groups!H:H)/1000,2)</f>
        <v>0</v>
      </c>
      <c r="AA183" s="18">
        <f>ROUND((1/2)*(_xlfn.XLOOKUP(_xlfn.XLOOKUP(B183,'Base stats'!B:B,'Base stats'!E:E),Groups!A:A,Groups!H:H)*_xlfn.XLOOKUP(_xlfn.XLOOKUP(B183,'Base stats'!B:B,'Base stats'!E:E),Groups!A:A,Groups!I:I))*_xlfn.XLOOKUP(B183,'Base stats'!B:B,'Base stats'!AO:AO)*0.01,2)</f>
        <v>0.01</v>
      </c>
      <c r="AB183" s="18">
        <f>250*(Animals!AO183+Animals!AP183)</f>
        <v>200</v>
      </c>
      <c r="AC183" s="18" t="str">
        <f>_xlfn.XLOOKUP(_xlfn.XLOOKUP(B183,'Base stats'!B:B,'Base stats'!E:E),Groups!A:A,Groups!BJ:BJ)</f>
        <v>Birdlike</v>
      </c>
    </row>
    <row r="184" spans="1:29" ht="16.5" thickTop="1" thickBot="1" x14ac:dyDescent="0.3">
      <c r="A184" s="16" t="str">
        <f>Animals!A184</f>
        <v>Peacock</v>
      </c>
      <c r="B184" s="6" t="str">
        <f>Animals!B184</f>
        <v>Pavo cristatus</v>
      </c>
      <c r="C184" s="1" t="str">
        <f>Animals!C184</f>
        <v>&lt;li&gt;VAERoy_Peacock&lt;/li&gt;</v>
      </c>
      <c r="D184" s="47">
        <f>MAX(MROUND(_xlfn.XLOOKUP(B184,'Base stats'!B:B,'Base stats'!BQ:BQ) * (_xlfn.XLOOKUP(B184,'Base stats'!B:B,'Base stats'!AM:AM)*5%)^0.9 / 21,0.1),0.05)</f>
        <v>0.2</v>
      </c>
      <c r="E184" s="11">
        <f>MAX(0.01,MROUND(_xlfn.XLOOKUP(B184,'Base stats'!B:B,'Base stats'!BE:BE) * 0.01 * 2, 0.01))</f>
        <v>0.14000000000000001</v>
      </c>
      <c r="F184" s="7">
        <f>MROUND(_xlfn.XLOOKUP(B184,'Base stats'!B:B,'Base stats'!BB:BB)^0.25 / (_xlfn.XLOOKUP(B184,'Base stats'!B:B,'Base stats'!BI:BI) * 10) * 150 + 0.5 + _xlfn.XLOOKUP(B184,'Base stats'!B:B,'Base stats'!BU:BU), 0.05)</f>
        <v>1.3</v>
      </c>
      <c r="G184" s="3">
        <f>IF(Animals!S184="No","No",
IF(_xlfn.XLOOKUP(B184,'Base stats'!B:B,'Base stats'!U:U)="No",
MAX(MROUND(_xlfn.XLOOKUP(B184,'Base stats'!B:B,'Base stats'!BR:BR) * _xlfn.XLOOKUP(B184,'Base stats'!B:B,'Base stats'!BN:BN)^0.9 / 21 * _xlfn.XLOOKUP(B184,'Base stats'!B:B,'Base stats'!BV:BV),0.1),0.05),
MAX(MROUND(((MIN(10,_xlfn.XLOOKUP(B184,'Base stats'!B:B,'Base stats'!U:U)))^0.4*_xlfn.XLOOKUP(B184,'Base stats'!B:B,'Base stats'!BF:BF)^0.73)^0.6 * _xlfn.XLOOKUP(B184,'Base stats'!B:B,'Base stats'!BV:BV),0.1),0.05)
))</f>
        <v>3.3000000000000003</v>
      </c>
      <c r="H184" s="11">
        <f>IF(G184="No","No",
MAX(0.01,MROUND(_xlfn.XLOOKUP(B184,'Base stats'!B:B,'Base stats'!BF:BF) * 0.01 * 2, 0.01))
)</f>
        <v>0.22</v>
      </c>
      <c r="I184" s="11">
        <f>IF(G184="No","No",IF(_xlfn.XLOOKUP(B184,'Base stats'!B:B,'Base stats'!U:U)="No","No",
MAX(0.01,MROUND(_xlfn.XLOOKUP(B184,'Base stats'!B:B,'Base stats'!BR:BR)/10000,0.01))
))</f>
        <v>0.04</v>
      </c>
      <c r="J184" s="4">
        <f>IF(G184="No","No",
MROUND(_xlfn.XLOOKUP(B184,'Base stats'!B:B,'Base stats'!BC:BC)^0.25
/((_xlfn.XLOOKUP(B184,'Base stats'!B:B,'Base stats'!BJ:BJ))*10)*_xlfn.XLOOKUP(_xlfn.XLOOKUP(B184,'Base stats'!B:B,'Base stats'!E:E),Groups!A:A,Groups!Q:Q)*150 + 0.5 + _xlfn.XLOOKUP(B184,'Base stats'!B:B,'Base stats'!BU:BU),
0.05))</f>
        <v>2.15</v>
      </c>
      <c r="K184" s="3" t="str">
        <f>IF(Animals!X184="No","No",
IF(_xlfn.XLOOKUP(_xlfn.XLOOKUP(B184,'Base stats'!B:B,'Base stats'!E:E),Groups!A:A,Groups!BD:BD)=1,
MAX(MROUND(_xlfn.XLOOKUP(B184,'Base stats'!B:B,'Base stats'!BS:BS) * _xlfn.XLOOKUP(B184,'Base stats'!B:B,'Base stats'!BO:BO)^0.9 / 21 *_xlfn.XLOOKUP(B184,'Base stats'!B:B,'Base stats'!BV:BV),0.1),0.05),
MAX(MROUND(((MIN(10,_xlfn.XLOOKUP(B184,'Base stats'!B:B,'Base stats'!W:W)))^0.4*_xlfn.XLOOKUP(B184,'Base stats'!B:B,'Base stats'!BG:BG)^0.73)^0.6 *_xlfn.XLOOKUP(B184,'Base stats'!B:B,'Base stats'!BV:BV),0.1),0.05)
))</f>
        <v>No</v>
      </c>
      <c r="L184" s="11" t="str">
        <f>IF(K184="No","No",
MAX(0.01,MROUND(_xlfn.XLOOKUP(B184,'Base stats'!B:B,'Base stats'!BG:BG) * 0.01 *2, 0.01))
)</f>
        <v>No</v>
      </c>
      <c r="M184" s="5" t="str">
        <f>IF(K184="No","No",IF(_xlfn.XLOOKUP(_xlfn.XLOOKUP(B184,'Base stats'!B:B,'Base stats'!E:E),Groups!A:A,Groups!BD:BD)=1,"No",
MAX(0.01,MROUND(_xlfn.XLOOKUP(B184,'Base stats'!B:B,'Base stats'!BS:BS)/10000,0.01))
))</f>
        <v>No</v>
      </c>
      <c r="N184" s="4" t="str">
        <f>IF(K184="No","No",
MROUND(
  _xlfn.XLOOKUP(B184,'Base stats'!B:B,'Base stats'!BA:BA)^0.25
  / (_xlfn.XLOOKUP(B184,'Base stats'!B:B,'Base stats'!BK:BK)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stats'!BU:BU),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stats'!BH:BH)^0.73)^0.6 *_xlfn.XLOOKUP(B184,'Base stats'!B:B,'Base stats'!BV:BV),0.1),0.05)
)</f>
        <v>1.1000000000000001</v>
      </c>
      <c r="P184" s="11">
        <f>IF(O184="No","No",
MAX(0.01,MROUND(_xlfn.XLOOKUP(B184,'Base stats'!B:B,'Base stats'!BH:BH) * 0.01 * 2, 0.01))
)</f>
        <v>0.04</v>
      </c>
      <c r="Q184" s="5">
        <f>IF(O184="No","No",
MAX(0.01,MROUND(_xlfn.XLOOKUP(B184,'Base stats'!B:B,'Base stats'!BT:BT)/10000,0.01))
)</f>
        <v>0.01</v>
      </c>
      <c r="R184" s="4">
        <f>IF(O184="No","No",
MROUND(_xlfn.XLOOKUP(B184,'Base stats'!B:B,'Base stats'!AZ:AZ)^0.25
/((_xlfn.XLOOKUP(B184,'Base stats'!B:B,'Base stats'!BL:BL))*10)*_xlfn.XLOOKUP(_xlfn.XLOOKUP(B184,'Base stats'!B:B,'Base stats'!E:E),Groups!A:A,Groups!Z:Z)*150 + 0.5 + _xlfn.XLOOKUP(B184,'Base stats'!B:B,'Base stats'!BU:BU),
0.05))</f>
        <v>2.25</v>
      </c>
      <c r="S184" s="3" t="str">
        <f>IF(Animals!AI184="No","No",
IF(_xlfn.XLOOKUP(B184,'Base stats'!B:B,'Base stats'!U:U)="No",
MAX(MROUND(_xlfn.XLOOKUP(B184,'Base stats'!B:B,'Base stats'!BR:BR) * _xlfn.XLOOKUP(B184,'Base stats'!B:B,'Base stats'!BN:BN)^0.9 / 21 * _xlfn.XLOOKUP(B184,'Base stats'!B:B,'Base stats'!BV:BV),0.1),0.05),
MAX(MROUND(((MIN(12,_xlfn.XLOOKUP(B184,'Base stats'!B:B,'Base stats'!U:U)))^0.4*_xlfn.XLOOKUP(B184,'Base stats'!B:B,'Base stats'!BF:BF)^0.73)^0.6 * _xlfn.XLOOKUP(B184,'Base stats'!B:B,'Base stats'!BV:BV),0.1),0.05)
))</f>
        <v>No</v>
      </c>
      <c r="T184" s="11" t="str">
        <f>IF(S184="No","No",
MAX(0.01,MROUND(_xlfn.XLOOKUP(B184,'Base stats'!B:B,'Base stats'!BF:BF) * 0.01 * 2, 0.01))
)</f>
        <v>No</v>
      </c>
      <c r="U184" s="5" t="str">
        <f>IF(S184="No","No",IF(_xlfn.XLOOKUP(B184,'Base stats'!B:B,'Base stats'!U:U)="No","No",
MAX(0.01,MROUND(_xlfn.XLOOKUP(B184,'Base stats'!B:B,'Base stats'!BR:BR)/10000,0.01))
))</f>
        <v>No</v>
      </c>
      <c r="V184" s="4" t="str">
        <f>IF(S184="No","No",
MROUND(_xlfn.XLOOKUP(B184,'Base stats'!B:B,'Base stats'!BD:BD)^0.25
/((_xlfn.XLOOKUP(B184,'Base stats'!B:B,'Base stats'!BM:BM))*10)*_xlfn.XLOOKUP(_xlfn.XLOOKUP(B184,'Base stats'!B:B,'Base stats'!E:E),Groups!A:A,Groups!AE:AE)*150 + 0.5 + _xlfn.XLOOKUP(B184,'Base stats'!B:B,'Base stats'!BU:BU),
0.05))</f>
        <v>No</v>
      </c>
      <c r="W184" s="8">
        <f>MROUND(_xlfn.XLOOKUP(_xlfn.XLOOKUP(B184,'Base stats'!B:B,'Base stats'!E:E),Groups!A:A,Groups!BG:BG)*_xlfn.XLOOKUP(B184,'Base stats'!B:B,'Base stats'!C:C)^-0.165,0.01)</f>
        <v>0.79</v>
      </c>
      <c r="X184" s="1">
        <f>MROUND(_xlfn.XLOOKUP(_xlfn.XLOOKUP(B184,'Base stats'!B:B,'Base stats'!E:E),Groups!A:A,Groups!BH:BH)*_xlfn.XLOOKUP(B184,'Base stats'!B:B,'Base stats'!C:C)^0.165,0.01)</f>
        <v>0</v>
      </c>
      <c r="Y184" s="8">
        <f>MROUND(_xlfn.XLOOKUP(_xlfn.XLOOKUP(B184,'Base stats'!B:B,'Base stats'!E:E),Groups!A:A,Groups!BI:BI)*_xlfn.XLOOKUP(B184,'Base stats'!B:B,'Base stats'!C:C)^0.165,0.01)</f>
        <v>0</v>
      </c>
      <c r="Z184" s="18">
        <f>ROUND(_xlfn.XLOOKUP(B184,'Base stats'!B:B,'Base stats'!AO:AO)*_xlfn.XLOOKUP(_xlfn.XLOOKUP(B184,'Base stats'!B:B,'Base stats'!E:E),Groups!A:A,Groups!H:H)/1000,2)</f>
        <v>0</v>
      </c>
      <c r="AA184" s="18">
        <f>ROUND((1/2)*(_xlfn.XLOOKUP(_xlfn.XLOOKUP(B184,'Base stats'!B:B,'Base stats'!E:E),Groups!A:A,Groups!H:H)*_xlfn.XLOOKUP(_xlfn.XLOOKUP(B184,'Base stats'!B:B,'Base stats'!E:E),Groups!A:A,Groups!I:I))*_xlfn.XLOOKUP(B184,'Base stats'!B:B,'Base stats'!AO:AO)*0.01,2)</f>
        <v>0.01</v>
      </c>
      <c r="AB184" s="18">
        <f>250*(Animals!AO184+Animals!AP184)</f>
        <v>150.00000000000003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Tiger</v>
      </c>
      <c r="B185" s="6" t="str">
        <f>Animals!B185</f>
        <v>Panthera tigris</v>
      </c>
      <c r="C185" s="1" t="str">
        <f>Animals!C185</f>
        <v>&lt;li&gt;AEXP_Tiger&lt;/li&gt;</v>
      </c>
      <c r="D185" s="47">
        <f>MAX(MROUND(_xlfn.XLOOKUP(B185,'Base stats'!B:B,'Base stats'!BQ:BQ) * (_xlfn.XLOOKUP(B185,'Base stats'!B:B,'Base stats'!AM:AM)*5%)^0.9 / 21,0.1),0.05)</f>
        <v>5</v>
      </c>
      <c r="E185" s="11">
        <f>MAX(0.01,MROUND(_xlfn.XLOOKUP(B185,'Base stats'!B:B,'Base stats'!BE:BE) * 0.01 * 2, 0.01))</f>
        <v>4.42</v>
      </c>
      <c r="F185" s="7">
        <f>MROUND(_xlfn.XLOOKUP(B185,'Base stats'!B:B,'Base stats'!BB:BB)^0.25 / (_xlfn.XLOOKUP(B185,'Base stats'!B:B,'Base stats'!BI:BI) * 10) * 150 + 0.5 + _xlfn.XLOOKUP(B185,'Base stats'!B:B,'Base stats'!BU:BU), 0.05)</f>
        <v>2.15</v>
      </c>
      <c r="G185" s="3" t="str">
        <f>IF(Animals!S185="No","No",
IF(_xlfn.XLOOKUP(B185,'Base stats'!B:B,'Base stats'!U:U)="No",
MAX(MROUND(_xlfn.XLOOKUP(B185,'Base stats'!B:B,'Base stats'!BR:BR) * _xlfn.XLOOKUP(B185,'Base stats'!B:B,'Base stats'!BN:BN)^0.9 / 21 * _xlfn.XLOOKUP(B185,'Base stats'!B:B,'Base stats'!BV:BV),0.1),0.05),
MAX(MROUND(((MIN(10,_xlfn.XLOOKUP(B185,'Base stats'!B:B,'Base stats'!U:U)))^0.4*_xlfn.XLOOKUP(B185,'Base stats'!B:B,'Base stats'!BF:BF)^0.73)^0.6 * _xlfn.XLOOKUP(B185,'Base stats'!B:B,'Base stats'!BV:BV),0.1),0.05)
))</f>
        <v>No</v>
      </c>
      <c r="H185" s="11" t="str">
        <f>IF(G185="No","No",
MAX(0.01,MROUND(_xlfn.XLOOKUP(B185,'Base stats'!B:B,'Base stats'!BF:BF) * 0.01 * 2, 0.01))
)</f>
        <v>No</v>
      </c>
      <c r="I185" s="11" t="str">
        <f>IF(G185="No","No",IF(_xlfn.XLOOKUP(B185,'Base stats'!B:B,'Base stats'!U:U)="No","No",
MAX(0.01,MROUND(_xlfn.XLOOKUP(B185,'Base stats'!B:B,'Base stats'!BR:BR)/10000,0.01))
))</f>
        <v>No</v>
      </c>
      <c r="J185" s="4" t="str">
        <f>IF(G185="No","No",
MROUND(_xlfn.XLOOKUP(B185,'Base stats'!B:B,'Base stats'!BC:BC)^0.25
/((_xlfn.XLOOKUP(B185,'Base stats'!B:B,'Base stats'!BJ:BJ))*10)*_xlfn.XLOOKUP(_xlfn.XLOOKUP(B185,'Base stats'!B:B,'Base stats'!E:E),Groups!A:A,Groups!Q:Q)*150 + 0.5 + _xlfn.XLOOKUP(B185,'Base stats'!B:B,'Base stats'!BU:BU),
0.05))</f>
        <v>No</v>
      </c>
      <c r="K185" s="3" t="str">
        <f>IF(Animals!X185="No","No",
IF(_xlfn.XLOOKUP(_xlfn.XLOOKUP(B185,'Base stats'!B:B,'Base stats'!E:E),Groups!A:A,Groups!BD:BD)=1,
MAX(MROUND(_xlfn.XLOOKUP(B185,'Base stats'!B:B,'Base stats'!BS:BS) * _xlfn.XLOOKUP(B185,'Base stats'!B:B,'Base stats'!BO:BO)^0.9 / 21 *_xlfn.XLOOKUP(B185,'Base stats'!B:B,'Base stats'!BV:BV),0.1),0.05),
MAX(MROUND(((MIN(10,_xlfn.XLOOKUP(B185,'Base stats'!B:B,'Base stats'!W:W)))^0.4*_xlfn.XLOOKUP(B185,'Base stats'!B:B,'Base stats'!BG:BG)^0.73)^0.6 *_xlfn.XLOOKUP(B185,'Base stats'!B:B,'Base stats'!BV:BV),0.1),0.05)
))</f>
        <v>No</v>
      </c>
      <c r="L185" s="11" t="str">
        <f>IF(K185="No","No",
MAX(0.01,MROUND(_xlfn.XLOOKUP(B185,'Base stats'!B:B,'Base stats'!BG:BG) * 0.01 *2, 0.01))
)</f>
        <v>No</v>
      </c>
      <c r="M185" s="5" t="str">
        <f>IF(K185="No","No",IF(_xlfn.XLOOKUP(_xlfn.XLOOKUP(B185,'Base stats'!B:B,'Base stats'!E:E),Groups!A:A,Groups!BD:BD)=1,"No",
MAX(0.01,MROUND(_xlfn.XLOOKUP(B185,'Base stats'!B:B,'Base stats'!BS:BS)/10000,0.01))
))</f>
        <v>No</v>
      </c>
      <c r="N185" s="4" t="str">
        <f>IF(K185="No","No",
MROUND(
  _xlfn.XLOOKUP(B185,'Base stats'!B:B,'Base stats'!BA:BA)^0.25
  / (_xlfn.XLOOKUP(B185,'Base stats'!B:B,'Base stats'!BK:BK)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stats'!BU:BU),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stats'!BH:BH)^0.73)^0.6 *_xlfn.XLOOKUP(B185,'Base stats'!B:B,'Base stats'!BV:BV),0.1),0.05)
)</f>
        <v>27.1</v>
      </c>
      <c r="P185" s="11">
        <f>IF(O185="No","No",
MAX(0.01,MROUND(_xlfn.XLOOKUP(B185,'Base stats'!B:B,'Base stats'!BH:BH) * 0.01 * 2, 0.01))
)</f>
        <v>13.36</v>
      </c>
      <c r="Q185" s="5">
        <f>IF(O185="No","No",
MAX(0.01,MROUND(_xlfn.XLOOKUP(B185,'Base stats'!B:B,'Base stats'!BT:BT)/10000,0.01))
)</f>
        <v>0.55000000000000004</v>
      </c>
      <c r="R185" s="4">
        <f>IF(O185="No","No",
MROUND(_xlfn.XLOOKUP(B185,'Base stats'!B:B,'Base stats'!AZ:AZ)^0.25
/((_xlfn.XLOOKUP(B185,'Base stats'!B:B,'Base stats'!BL:BL))*10)*_xlfn.XLOOKUP(_xlfn.XLOOKUP(B185,'Base stats'!B:B,'Base stats'!E:E),Groups!A:A,Groups!Z:Z)*150 + 0.5 + _xlfn.XLOOKUP(B185,'Base stats'!B:B,'Base stats'!BU:BU),
0.05))</f>
        <v>2</v>
      </c>
      <c r="S185" s="3">
        <f>IF(Animals!AI185="No","No",
IF(_xlfn.XLOOKUP(B185,'Base stats'!B:B,'Base stats'!U:U)="No",
MAX(MROUND(_xlfn.XLOOKUP(B185,'Base stats'!B:B,'Base stats'!BR:BR) * _xlfn.XLOOKUP(B185,'Base stats'!B:B,'Base stats'!BN:BN)^0.9 / 21 * _xlfn.XLOOKUP(B185,'Base stats'!B:B,'Base stats'!BV:BV),0.1),0.05),
MAX(MROUND(((MIN(12,_xlfn.XLOOKUP(B185,'Base stats'!B:B,'Base stats'!U:U)))^0.4*_xlfn.XLOOKUP(B185,'Base stats'!B:B,'Base stats'!BF:BF)^0.73)^0.6 * _xlfn.XLOOKUP(B185,'Base stats'!B:B,'Base stats'!BV:BV),0.1),0.05)
))</f>
        <v>19.200000000000003</v>
      </c>
      <c r="T185" s="11">
        <f>IF(S185="No","No",
MAX(0.01,MROUND(_xlfn.XLOOKUP(B185,'Base stats'!B:B,'Base stats'!BF:BF) * 0.01 * 2, 0.01))
)</f>
        <v>5.38</v>
      </c>
      <c r="U185" s="5">
        <f>IF(S185="No","No",IF(_xlfn.XLOOKUP(B185,'Base stats'!B:B,'Base stats'!U:U)="No","No",
MAX(0.01,MROUND(_xlfn.XLOOKUP(B185,'Base stats'!B:B,'Base stats'!BR:BR)/10000,0.01))
))</f>
        <v>0.22</v>
      </c>
      <c r="V185" s="4">
        <f>IF(S185="No","No",
MROUND(_xlfn.XLOOKUP(B185,'Base stats'!B:B,'Base stats'!BD:BD)^0.25
/((_xlfn.XLOOKUP(B185,'Base stats'!B:B,'Base stats'!BM:BM))*10)*_xlfn.XLOOKUP(_xlfn.XLOOKUP(B185,'Base stats'!B:B,'Base stats'!E:E),Groups!A:A,Groups!AE:AE)*150 + 0.5 + _xlfn.XLOOKUP(B185,'Base stats'!B:B,'Base stats'!BU:BU),
0.05))</f>
        <v>1.5</v>
      </c>
      <c r="W185" s="8">
        <f>MROUND(_xlfn.XLOOKUP(_xlfn.XLOOKUP(B185,'Base stats'!B:B,'Base stats'!E:E),Groups!A:A,Groups!BG:BG)*_xlfn.XLOOKUP(B185,'Base stats'!B:B,'Base stats'!C:C)^-0.165,0.01)</f>
        <v>0.53</v>
      </c>
      <c r="X185" s="1">
        <f>MROUND(_xlfn.XLOOKUP(_xlfn.XLOOKUP(B185,'Base stats'!B:B,'Base stats'!E:E),Groups!A:A,Groups!BH:BH)*_xlfn.XLOOKUP(B185,'Base stats'!B:B,'Base stats'!C:C)^0.165,0.01)</f>
        <v>0.59</v>
      </c>
      <c r="Y185" s="8">
        <f>MROUND(_xlfn.XLOOKUP(_xlfn.XLOOKUP(B185,'Base stats'!B:B,'Base stats'!E:E),Groups!A:A,Groups!BI:BI)*_xlfn.XLOOKUP(B185,'Base stats'!B:B,'Base stats'!C:C)^0.165,0.01)</f>
        <v>0.06</v>
      </c>
      <c r="Z185" s="18">
        <f>ROUND(_xlfn.XLOOKUP(B185,'Base stats'!B:B,'Base stats'!AO:AO)*_xlfn.XLOOKUP(_xlfn.XLOOKUP(B185,'Base stats'!B:B,'Base stats'!E:E),Groups!A:A,Groups!H:H)/1000,2)</f>
        <v>0.14000000000000001</v>
      </c>
      <c r="AA185" s="18">
        <f>ROUND((1/2)*(_xlfn.XLOOKUP(_xlfn.XLOOKUP(B185,'Base stats'!B:B,'Base stats'!E:E),Groups!A:A,Groups!H:H)*_xlfn.XLOOKUP(_xlfn.XLOOKUP(B185,'Base stats'!B:B,'Base stats'!E:E),Groups!A:A,Groups!I:I))*_xlfn.XLOOKUP(B185,'Base stats'!B:B,'Base stats'!AO:AO)*0.01,2)</f>
        <v>1.03</v>
      </c>
      <c r="AB185" s="18">
        <f>250*(Animals!AO185+Animals!AP185)</f>
        <v>937.50000000000011</v>
      </c>
      <c r="AC185" s="18" t="str">
        <f>_xlfn.XLOOKUP(_xlfn.XLOOKUP(B185,'Base stats'!B:B,'Base stats'!E:E),Groups!A:A,Groups!BJ:BJ)</f>
        <v>Quadruped</v>
      </c>
    </row>
    <row r="186" spans="1:29" ht="16.5" thickTop="1" thickBot="1" x14ac:dyDescent="0.3">
      <c r="A186" s="16" t="str">
        <f>Animals!A186</f>
        <v>Alligator</v>
      </c>
      <c r="B186" s="6" t="str">
        <f>Animals!B186</f>
        <v>Alligator mississippiensis</v>
      </c>
      <c r="C186" s="1" t="str">
        <f>Animals!C186</f>
        <v>&lt;li&gt;AEXP_Alligator&lt;/li&gt;</v>
      </c>
      <c r="D186" s="47">
        <f>MAX(MROUND(_xlfn.XLOOKUP(B186,'Base stats'!B:B,'Base stats'!BQ:BQ) * (_xlfn.XLOOKUP(B186,'Base stats'!B:B,'Base stats'!AM:AM)*5%)^0.9 / 21,0.1),0.05)</f>
        <v>4.3</v>
      </c>
      <c r="E186" s="11">
        <f>MAX(0.01,MROUND(_xlfn.XLOOKUP(B186,'Base stats'!B:B,'Base stats'!BE:BE) * 0.01 * 2, 0.01))</f>
        <v>3.7800000000000002</v>
      </c>
      <c r="F186" s="7">
        <f>MROUND(_xlfn.XLOOKUP(B186,'Base stats'!B:B,'Base stats'!BB:BB)^0.25 / (_xlfn.XLOOKUP(B186,'Base stats'!B:B,'Base stats'!BI:BI) * 10) * 150 + 0.5 + _xlfn.XLOOKUP(B186,'Base stats'!B:B,'Base stats'!BU:BU), 0.05)</f>
        <v>2.1</v>
      </c>
      <c r="G186" s="3" t="str">
        <f>IF(Animals!S186="No","No",
IF(_xlfn.XLOOKUP(B186,'Base stats'!B:B,'Base stats'!U:U)="No",
MAX(MROUND(_xlfn.XLOOKUP(B186,'Base stats'!B:B,'Base stats'!BR:BR) * _xlfn.XLOOKUP(B186,'Base stats'!B:B,'Base stats'!BN:BN)^0.9 / 21 * _xlfn.XLOOKUP(B186,'Base stats'!B:B,'Base stats'!BV:BV),0.1),0.05),
MAX(MROUND(((MIN(10,_xlfn.XLOOKUP(B186,'Base stats'!B:B,'Base stats'!U:U)))^0.4*_xlfn.XLOOKUP(B186,'Base stats'!B:B,'Base stats'!BF:BF)^0.73)^0.6 * _xlfn.XLOOKUP(B186,'Base stats'!B:B,'Base stats'!BV:BV),0.1),0.05)
))</f>
        <v>No</v>
      </c>
      <c r="H186" s="11" t="str">
        <f>IF(G186="No","No",
MAX(0.01,MROUND(_xlfn.XLOOKUP(B186,'Base stats'!B:B,'Base stats'!BF:BF) * 0.01 * 2, 0.01))
)</f>
        <v>No</v>
      </c>
      <c r="I186" s="11" t="str">
        <f>IF(G186="No","No",IF(_xlfn.XLOOKUP(B186,'Base stats'!B:B,'Base stats'!U:U)="No","No",
MAX(0.01,MROUND(_xlfn.XLOOKUP(B186,'Base stats'!B:B,'Base stats'!BR:BR)/10000,0.01))
))</f>
        <v>No</v>
      </c>
      <c r="J186" s="4" t="str">
        <f>IF(G186="No","No",
MROUND(_xlfn.XLOOKUP(B186,'Base stats'!B:B,'Base stats'!BC:BC)^0.25
/((_xlfn.XLOOKUP(B186,'Base stats'!B:B,'Base stats'!BJ:BJ))*10)*_xlfn.XLOOKUP(_xlfn.XLOOKUP(B186,'Base stats'!B:B,'Base stats'!E:E),Groups!A:A,Groups!Q:Q)*150 + 0.5 + _xlfn.XLOOKUP(B186,'Base stats'!B:B,'Base stats'!BU:BU),
0.05))</f>
        <v>No</v>
      </c>
      <c r="K186" s="3" t="str">
        <f>IF(Animals!X186="No","No",
IF(_xlfn.XLOOKUP(_xlfn.XLOOKUP(B186,'Base stats'!B:B,'Base stats'!E:E),Groups!A:A,Groups!BD:BD)=1,
MAX(MROUND(_xlfn.XLOOKUP(B186,'Base stats'!B:B,'Base stats'!BS:BS) * _xlfn.XLOOKUP(B186,'Base stats'!B:B,'Base stats'!BO:BO)^0.9 / 21 *_xlfn.XLOOKUP(B186,'Base stats'!B:B,'Base stats'!BV:BV),0.1),0.05),
MAX(MROUND(((MIN(10,_xlfn.XLOOKUP(B186,'Base stats'!B:B,'Base stats'!W:W)))^0.4*_xlfn.XLOOKUP(B186,'Base stats'!B:B,'Base stats'!BG:BG)^0.73)^0.6 *_xlfn.XLOOKUP(B186,'Base stats'!B:B,'Base stats'!BV:BV),0.1),0.05)
))</f>
        <v>No</v>
      </c>
      <c r="L186" s="11" t="str">
        <f>IF(K186="No","No",
MAX(0.01,MROUND(_xlfn.XLOOKUP(B186,'Base stats'!B:B,'Base stats'!BG:BG) * 0.01 *2, 0.01))
)</f>
        <v>No</v>
      </c>
      <c r="M186" s="5" t="str">
        <f>IF(K186="No","No",IF(_xlfn.XLOOKUP(_xlfn.XLOOKUP(B186,'Base stats'!B:B,'Base stats'!E:E),Groups!A:A,Groups!BD:BD)=1,"No",
MAX(0.01,MROUND(_xlfn.XLOOKUP(B186,'Base stats'!B:B,'Base stats'!BS:BS)/10000,0.01))
))</f>
        <v>No</v>
      </c>
      <c r="N186" s="4" t="str">
        <f>IF(K186="No","No",
MROUND(
  _xlfn.XLOOKUP(B186,'Base stats'!B:B,'Base stats'!BA:BA)^0.25
  / (_xlfn.XLOOKUP(B186,'Base stats'!B:B,'Base stats'!BK:BK)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stats'!BU:BU),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stats'!BH:BH)^0.73)^0.6 *_xlfn.XLOOKUP(B186,'Base stats'!B:B,'Base stats'!BV:BV),0.1),0.05)
)</f>
        <v>24.400000000000002</v>
      </c>
      <c r="P186" s="11">
        <f>IF(O186="No","No",
MAX(0.01,MROUND(_xlfn.XLOOKUP(B186,'Base stats'!B:B,'Base stats'!BH:BH) * 0.01 * 2, 0.01))
)</f>
        <v>16.149999999999999</v>
      </c>
      <c r="Q186" s="5">
        <f>IF(O186="No","No",
MAX(0.01,MROUND(_xlfn.XLOOKUP(B186,'Base stats'!B:B,'Base stats'!BT:BT)/10000,0.01))
)</f>
        <v>0.57999999999999996</v>
      </c>
      <c r="R186" s="4">
        <f>IF(O186="No","No",
MROUND(_xlfn.XLOOKUP(B186,'Base stats'!B:B,'Base stats'!AZ:AZ)^0.25
/((_xlfn.XLOOKUP(B186,'Base stats'!B:B,'Base stats'!BL:BL))*10)*_xlfn.XLOOKUP(_xlfn.XLOOKUP(B186,'Base stats'!B:B,'Base stats'!E:E),Groups!A:A,Groups!Z:Z)*150 + 0.5 + _xlfn.XLOOKUP(B186,'Base stats'!B:B,'Base stats'!BU:BU),
0.05))</f>
        <v>2.6500000000000004</v>
      </c>
      <c r="S186" s="3" t="str">
        <f>IF(Animals!AI186="No","No",
IF(_xlfn.XLOOKUP(B186,'Base stats'!B:B,'Base stats'!U:U)="No",
MAX(MROUND(_xlfn.XLOOKUP(B186,'Base stats'!B:B,'Base stats'!BR:BR) * _xlfn.XLOOKUP(B186,'Base stats'!B:B,'Base stats'!BN:BN)^0.9 / 21 * _xlfn.XLOOKUP(B186,'Base stats'!B:B,'Base stats'!BV:BV),0.1),0.05),
MAX(MROUND(((MIN(12,_xlfn.XLOOKUP(B186,'Base stats'!B:B,'Base stats'!U:U)))^0.4*_xlfn.XLOOKUP(B186,'Base stats'!B:B,'Base stats'!BF:BF)^0.73)^0.6 * _xlfn.XLOOKUP(B186,'Base stats'!B:B,'Base stats'!BV:BV),0.1),0.05)
))</f>
        <v>No</v>
      </c>
      <c r="T186" s="11" t="str">
        <f>IF(S186="No","No",
MAX(0.01,MROUND(_xlfn.XLOOKUP(B186,'Base stats'!B:B,'Base stats'!BF:BF) * 0.01 * 2, 0.01))
)</f>
        <v>No</v>
      </c>
      <c r="U186" s="5" t="str">
        <f>IF(S186="No","No",IF(_xlfn.XLOOKUP(B186,'Base stats'!B:B,'Base stats'!U:U)="No","No",
MAX(0.01,MROUND(_xlfn.XLOOKUP(B186,'Base stats'!B:B,'Base stats'!BR:BR)/10000,0.01))
))</f>
        <v>No</v>
      </c>
      <c r="V186" s="4" t="str">
        <f>IF(S186="No","No",
MROUND(_xlfn.XLOOKUP(B186,'Base stats'!B:B,'Base stats'!BD:BD)^0.25
/((_xlfn.XLOOKUP(B186,'Base stats'!B:B,'Base stats'!BM:BM))*10)*_xlfn.XLOOKUP(_xlfn.XLOOKUP(B186,'Base stats'!B:B,'Base stats'!E:E),Groups!A:A,Groups!AE:AE)*150 + 0.5 + _xlfn.XLOOKUP(B186,'Base stats'!B:B,'Base stats'!BU:BU),
0.05))</f>
        <v>No</v>
      </c>
      <c r="W186" s="8">
        <f>MROUND(_xlfn.XLOOKUP(_xlfn.XLOOKUP(B186,'Base stats'!B:B,'Base stats'!E:E),Groups!A:A,Groups!BG:BG)*_xlfn.XLOOKUP(B186,'Base stats'!B:B,'Base stats'!C:C)^-0.165,0.01)</f>
        <v>0.11</v>
      </c>
      <c r="X186" s="1">
        <f>MROUND(_xlfn.XLOOKUP(_xlfn.XLOOKUP(B186,'Base stats'!B:B,'Base stats'!E:E),Groups!A:A,Groups!BH:BH)*_xlfn.XLOOKUP(B186,'Base stats'!B:B,'Base stats'!C:C)^0.165,0.01)</f>
        <v>0.23</v>
      </c>
      <c r="Y186" s="8">
        <f>MROUND(_xlfn.XLOOKUP(_xlfn.XLOOKUP(B186,'Base stats'!B:B,'Base stats'!E:E),Groups!A:A,Groups!BI:BI)*_xlfn.XLOOKUP(B186,'Base stats'!B:B,'Base stats'!C:C)^0.165,0.01)</f>
        <v>0.06</v>
      </c>
      <c r="Z186" s="18">
        <f>ROUND(_xlfn.XLOOKUP(B186,'Base stats'!B:B,'Base stats'!AO:AO)*_xlfn.XLOOKUP(_xlfn.XLOOKUP(B186,'Base stats'!B:B,'Base stats'!E:E),Groups!A:A,Groups!H:H)/1000,2)</f>
        <v>0.31</v>
      </c>
      <c r="AA186" s="18">
        <f>ROUND((1/2)*(_xlfn.XLOOKUP(_xlfn.XLOOKUP(B186,'Base stats'!B:B,'Base stats'!E:E),Groups!A:A,Groups!H:H)*_xlfn.XLOOKUP(_xlfn.XLOOKUP(B186,'Base stats'!B:B,'Base stats'!E:E),Groups!A:A,Groups!I:I))*_xlfn.XLOOKUP(B186,'Base stats'!B:B,'Base stats'!AO:AO)*0.01,2)</f>
        <v>0.35</v>
      </c>
      <c r="AB186" s="18">
        <f>250*(Animals!AO186+Animals!AP186)</f>
        <v>875</v>
      </c>
      <c r="AC186" s="18" t="str">
        <f>_xlfn.XLOOKUP(_xlfn.XLOOKUP(B186,'Base stats'!B:B,'Base stats'!E:E),Groups!A:A,Groups!BJ:BJ)</f>
        <v>QuadrupedLow</v>
      </c>
    </row>
    <row r="187" spans="1:29" ht="16.5" thickTop="1" thickBot="1" x14ac:dyDescent="0.3">
      <c r="A187" s="16" t="str">
        <f>Animals!A187</f>
        <v>Moose</v>
      </c>
      <c r="B187" s="6" t="str">
        <f>Animals!B187</f>
        <v>Alces alces</v>
      </c>
      <c r="C187" s="1" t="str">
        <f>Animals!C187</f>
        <v>&lt;li&gt;AEXP_Moose&lt;/li&gt;</v>
      </c>
      <c r="D187" s="47">
        <f>MAX(MROUND(_xlfn.XLOOKUP(B187,'Base stats'!B:B,'Base stats'!BQ:BQ) * (_xlfn.XLOOKUP(B187,'Base stats'!B:B,'Base stats'!AM:AM)*5%)^0.9 / 21,0.1),0.05)</f>
        <v>9.5</v>
      </c>
      <c r="E187" s="11">
        <f>MAX(0.01,MROUND(_xlfn.XLOOKUP(B187,'Base stats'!B:B,'Base stats'!BE:BE) * 0.01 * 2, 0.01))</f>
        <v>8.82</v>
      </c>
      <c r="F187" s="7">
        <f>MROUND(_xlfn.XLOOKUP(B187,'Base stats'!B:B,'Base stats'!BB:BB)^0.25 / (_xlfn.XLOOKUP(B187,'Base stats'!B:B,'Base stats'!BI:BI) * 10) * 150 + 0.5 + _xlfn.XLOOKUP(B187,'Base stats'!B:B,'Base stats'!BU:BU), 0.05)</f>
        <v>1.85</v>
      </c>
      <c r="G187" s="3">
        <f>IF(Animals!S187="No","No",
IF(_xlfn.XLOOKUP(B187,'Base stats'!B:B,'Base stats'!U:U)="No",
MAX(MROUND(_xlfn.XLOOKUP(B187,'Base stats'!B:B,'Base stats'!BR:BR) * _xlfn.XLOOKUP(B187,'Base stats'!B:B,'Base stats'!BN:BN)^0.9 / 21 * _xlfn.XLOOKUP(B187,'Base stats'!B:B,'Base stats'!BV:BV),0.1),0.05),
MAX(MROUND(((MIN(10,_xlfn.XLOOKUP(B187,'Base stats'!B:B,'Base stats'!U:U)))^0.4*_xlfn.XLOOKUP(B187,'Base stats'!B:B,'Base stats'!BF:BF)^0.73)^0.6 * _xlfn.XLOOKUP(B187,'Base stats'!B:B,'Base stats'!BV:BV),0.1),0.05)
))</f>
        <v>16</v>
      </c>
      <c r="H187" s="11">
        <f>IF(G187="No","No",
MAX(0.01,MROUND(_xlfn.XLOOKUP(B187,'Base stats'!B:B,'Base stats'!BF:BF) * 0.01 * 2, 0.01))
)</f>
        <v>10.3</v>
      </c>
      <c r="I187" s="11" t="str">
        <f>IF(G187="No","No",IF(_xlfn.XLOOKUP(B187,'Base stats'!B:B,'Base stats'!U:U)="No","No",
MAX(0.01,MROUND(_xlfn.XLOOKUP(B187,'Base stats'!B:B,'Base stats'!BR:BR)/10000,0.01))
))</f>
        <v>No</v>
      </c>
      <c r="J187" s="4">
        <f>IF(G187="No","No",
MROUND(_xlfn.XLOOKUP(B187,'Base stats'!B:B,'Base stats'!BC:BC)^0.25
/((_xlfn.XLOOKUP(B187,'Base stats'!B:B,'Base stats'!BJ:BJ))*10)*_xlfn.XLOOKUP(_xlfn.XLOOKUP(B187,'Base stats'!B:B,'Base stats'!E:E),Groups!A:A,Groups!Q:Q)*150 + 0.5 + _xlfn.XLOOKUP(B187,'Base stats'!B:B,'Base stats'!BU:BU),
0.05))</f>
        <v>2.75</v>
      </c>
      <c r="K187" s="3">
        <f>IF(Animals!X187="No","No",
IF(_xlfn.XLOOKUP(_xlfn.XLOOKUP(B187,'Base stats'!B:B,'Base stats'!E:E),Groups!A:A,Groups!BD:BD)=1,
MAX(MROUND(_xlfn.XLOOKUP(B187,'Base stats'!B:B,'Base stats'!BS:BS) * _xlfn.XLOOKUP(B187,'Base stats'!B:B,'Base stats'!BO:BO)^0.9 / 21 *_xlfn.XLOOKUP(B187,'Base stats'!B:B,'Base stats'!BV:BV),0.1),0.05),
MAX(MROUND(((MIN(10,_xlfn.XLOOKUP(B187,'Base stats'!B:B,'Base stats'!W:W)))^0.4*_xlfn.XLOOKUP(B187,'Base stats'!B:B,'Base stats'!BG:BG)^0.73)^0.6 *_xlfn.XLOOKUP(B187,'Base stats'!B:B,'Base stats'!BV:BV),0.1),0.05)
))</f>
        <v>29</v>
      </c>
      <c r="L187" s="11">
        <f>IF(K187="No","No",
MAX(0.01,MROUND(_xlfn.XLOOKUP(B187,'Base stats'!B:B,'Base stats'!BG:BG) * 0.01 *2, 0.01))
)</f>
        <v>12.36</v>
      </c>
      <c r="M187" s="5">
        <f>IF(K187="No","No",IF(_xlfn.XLOOKUP(_xlfn.XLOOKUP(B187,'Base stats'!B:B,'Base stats'!E:E),Groups!A:A,Groups!BD:BD)=1,"No",
MAX(0.01,MROUND(_xlfn.XLOOKUP(B187,'Base stats'!B:B,'Base stats'!BS:BS)/10000,0.01))
))</f>
        <v>0.67</v>
      </c>
      <c r="N187" s="4">
        <f>IF(K187="No","No",
MROUND(
  _xlfn.XLOOKUP(B187,'Base stats'!B:B,'Base stats'!BA:BA)^0.25
  / (_xlfn.XLOOKUP(B187,'Base stats'!B:B,'Base stats'!BK:BK)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stats'!BU:BU),
0.05))</f>
        <v>3.2</v>
      </c>
      <c r="O187" s="3" t="str">
        <f>IF(Animals!AD187="No","No",
MAX(MROUND((MIN(10,_xlfn.XLOOKUP(B187,'Base stats'!B:B,'Base stats'!V:V)*IF(_xlfn.XLOOKUP(_xlfn.XLOOKUP(B187,'Base stats'!B:B,'Base stats'!E:E),Groups!A:A,Groups!O:O)=0,1,0.33))^0.4*_xlfn.XLOOKUP(B187,'Base stats'!B:B,'Base stats'!BH:BH)^0.73)^0.6 *_xlfn.XLOOKUP(B187,'Base stats'!B:B,'Base stats'!BV:BV),0.1),0.05)
)</f>
        <v>No</v>
      </c>
      <c r="P187" s="11" t="str">
        <f>IF(O187="No","No",
MAX(0.01,MROUND(_xlfn.XLOOKUP(B187,'Base stats'!B:B,'Base stats'!BH:BH) * 0.01 * 2, 0.01))
)</f>
        <v>No</v>
      </c>
      <c r="Q187" s="5" t="str">
        <f>IF(O187="No","No",
MAX(0.01,MROUND(_xlfn.XLOOKUP(B187,'Base stats'!B:B,'Base stats'!BT:BT)/10000,0.01))
)</f>
        <v>No</v>
      </c>
      <c r="R187" s="4" t="str">
        <f>IF(O187="No","No",
MROUND(_xlfn.XLOOKUP(B187,'Base stats'!B:B,'Base stats'!AZ:AZ)^0.25
/((_xlfn.XLOOKUP(B187,'Base stats'!B:B,'Base stats'!BL:BL))*10)*_xlfn.XLOOKUP(_xlfn.XLOOKUP(B187,'Base stats'!B:B,'Base stats'!E:E),Groups!A:A,Groups!Z:Z)*150 + 0.5 + _xlfn.XLOOKUP(B187,'Base stats'!B:B,'Base stats'!BU:BU),
0.05))</f>
        <v>No</v>
      </c>
      <c r="S187" s="3" t="str">
        <f>IF(Animals!AI187="No","No",
IF(_xlfn.XLOOKUP(B187,'Base stats'!B:B,'Base stats'!U:U)="No",
MAX(MROUND(_xlfn.XLOOKUP(B187,'Base stats'!B:B,'Base stats'!BR:BR) * _xlfn.XLOOKUP(B187,'Base stats'!B:B,'Base stats'!BN:BN)^0.9 / 21 * _xlfn.XLOOKUP(B187,'Base stats'!B:B,'Base stats'!BV:BV),0.1),0.05),
MAX(MROUND(((MIN(12,_xlfn.XLOOKUP(B187,'Base stats'!B:B,'Base stats'!U:U)))^0.4*_xlfn.XLOOKUP(B187,'Base stats'!B:B,'Base stats'!BF:BF)^0.73)^0.6 * _xlfn.XLOOKUP(B187,'Base stats'!B:B,'Base stats'!BV:BV),0.1),0.05)
))</f>
        <v>No</v>
      </c>
      <c r="T187" s="11" t="str">
        <f>IF(S187="No","No",
MAX(0.01,MROUND(_xlfn.XLOOKUP(B187,'Base stats'!B:B,'Base stats'!BF:BF) * 0.01 * 2, 0.01))
)</f>
        <v>No</v>
      </c>
      <c r="U187" s="5" t="str">
        <f>IF(S187="No","No",IF(_xlfn.XLOOKUP(B187,'Base stats'!B:B,'Base stats'!U:U)="No","No",
MAX(0.01,MROUND(_xlfn.XLOOKUP(B187,'Base stats'!B:B,'Base stats'!BR:BR)/10000,0.01))
))</f>
        <v>No</v>
      </c>
      <c r="V187" s="4" t="str">
        <f>IF(S187="No","No",
MROUND(_xlfn.XLOOKUP(B187,'Base stats'!B:B,'Base stats'!BD:BD)^0.25
/((_xlfn.XLOOKUP(B187,'Base stats'!B:B,'Base stats'!BM:BM))*10)*_xlfn.XLOOKUP(_xlfn.XLOOKUP(B187,'Base stats'!B:B,'Base stats'!E:E),Groups!A:A,Groups!AE:AE)*150 + 0.5 + _xlfn.XLOOKUP(B187,'Base stats'!B:B,'Base stats'!BU:BU),
0.05))</f>
        <v>No</v>
      </c>
      <c r="W187" s="8">
        <f>MROUND(_xlfn.XLOOKUP(_xlfn.XLOOKUP(B187,'Base stats'!B:B,'Base stats'!E:E),Groups!A:A,Groups!BG:BG)*_xlfn.XLOOKUP(B187,'Base stats'!B:B,'Base stats'!C:C)^-0.165,0.01)</f>
        <v>0.19</v>
      </c>
      <c r="X187" s="1">
        <f>MROUND(_xlfn.XLOOKUP(_xlfn.XLOOKUP(B187,'Base stats'!B:B,'Base stats'!E:E),Groups!A:A,Groups!BH:BH)*_xlfn.XLOOKUP(B187,'Base stats'!B:B,'Base stats'!C:C)^0.165,0.01)</f>
        <v>0</v>
      </c>
      <c r="Y187" s="8">
        <f>MROUND(_xlfn.XLOOKUP(_xlfn.XLOOKUP(B187,'Base stats'!B:B,'Base stats'!E:E),Groups!A:A,Groups!BI:BI)*_xlfn.XLOOKUP(B187,'Base stats'!B:B,'Base stats'!C:C)^0.165,0.01)</f>
        <v>0</v>
      </c>
      <c r="Z187" s="18">
        <f>ROUND(_xlfn.XLOOKUP(B187,'Base stats'!B:B,'Base stats'!AO:AO)*_xlfn.XLOOKUP(_xlfn.XLOOKUP(B187,'Base stats'!B:B,'Base stats'!E:E),Groups!A:A,Groups!H:H)/1000,2)</f>
        <v>7.0000000000000007E-2</v>
      </c>
      <c r="AA187" s="18">
        <f>ROUND((1/2)*(_xlfn.XLOOKUP(_xlfn.XLOOKUP(B187,'Base stats'!B:B,'Base stats'!E:E),Groups!A:A,Groups!H:H)*_xlfn.XLOOKUP(_xlfn.XLOOKUP(B187,'Base stats'!B:B,'Base stats'!E:E),Groups!A:A,Groups!I:I))*_xlfn.XLOOKUP(B187,'Base stats'!B:B,'Base stats'!AO:AO)*0.01,2)</f>
        <v>0.38</v>
      </c>
      <c r="AB187" s="18">
        <f>250*(Animals!AO187+Animals!AP187)</f>
        <v>1375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Muskox</v>
      </c>
      <c r="B188" s="6" t="str">
        <f>Animals!B188</f>
        <v>Ovibos moschatus</v>
      </c>
      <c r="C188" s="1" t="str">
        <f>Animals!C188</f>
        <v>&lt;li&gt;AEXP_Muskox&lt;/li&gt;</v>
      </c>
      <c r="D188" s="47">
        <f>MAX(MROUND(_xlfn.XLOOKUP(B188,'Base stats'!B:B,'Base stats'!BQ:BQ) * (_xlfn.XLOOKUP(B188,'Base stats'!B:B,'Base stats'!AM:AM)*5%)^0.9 / 21,0.1),0.05)</f>
        <v>11.3</v>
      </c>
      <c r="E188" s="11">
        <f>MAX(0.01,MROUND(_xlfn.XLOOKUP(B188,'Base stats'!B:B,'Base stats'!BE:BE) * 0.01 * 2, 0.01))</f>
        <v>10.27</v>
      </c>
      <c r="F188" s="7">
        <f>MROUND(_xlfn.XLOOKUP(B188,'Base stats'!B:B,'Base stats'!BB:BB)^0.25 / (_xlfn.XLOOKUP(B188,'Base stats'!B:B,'Base stats'!BI:BI) * 10) * 150 + 0.5 + _xlfn.XLOOKUP(B188,'Base stats'!B:B,'Base stats'!BU:BU), 0.05)</f>
        <v>1.6</v>
      </c>
      <c r="G188" s="3">
        <f>IF(Animals!S188="No","No",
IF(_xlfn.XLOOKUP(B188,'Base stats'!B:B,'Base stats'!U:U)="No",
MAX(MROUND(_xlfn.XLOOKUP(B188,'Base stats'!B:B,'Base stats'!BR:BR) * _xlfn.XLOOKUP(B188,'Base stats'!B:B,'Base stats'!BN:BN)^0.9 / 21 * _xlfn.XLOOKUP(B188,'Base stats'!B:B,'Base stats'!BV:BV),0.1),0.05),
MAX(MROUND(((MIN(10,_xlfn.XLOOKUP(B188,'Base stats'!B:B,'Base stats'!U:U)))^0.4*_xlfn.XLOOKUP(B188,'Base stats'!B:B,'Base stats'!BF:BF)^0.73)^0.6 * _xlfn.XLOOKUP(B188,'Base stats'!B:B,'Base stats'!BV:BV),0.1),0.05)
))</f>
        <v>13.700000000000001</v>
      </c>
      <c r="H188" s="11">
        <f>IF(G188="No","No",
MAX(0.01,MROUND(_xlfn.XLOOKUP(B188,'Base stats'!B:B,'Base stats'!BF:BF) * 0.01 * 2, 0.01))
)</f>
        <v>8.66</v>
      </c>
      <c r="I188" s="11" t="str">
        <f>IF(G188="No","No",IF(_xlfn.XLOOKUP(B188,'Base stats'!B:B,'Base stats'!U:U)="No","No",
MAX(0.01,MROUND(_xlfn.XLOOKUP(B188,'Base stats'!B:B,'Base stats'!BR:BR)/10000,0.01))
))</f>
        <v>No</v>
      </c>
      <c r="J188" s="4">
        <f>IF(G188="No","No",
MROUND(_xlfn.XLOOKUP(B188,'Base stats'!B:B,'Base stats'!BC:BC)^0.25
/((_xlfn.XLOOKUP(B188,'Base stats'!B:B,'Base stats'!BJ:BJ))*10)*_xlfn.XLOOKUP(_xlfn.XLOOKUP(B188,'Base stats'!B:B,'Base stats'!E:E),Groups!A:A,Groups!Q:Q)*150 + 0.5 + _xlfn.XLOOKUP(B188,'Base stats'!B:B,'Base stats'!BU:BU),
0.05))</f>
        <v>2.6500000000000004</v>
      </c>
      <c r="K188" s="3">
        <f>IF(Animals!X188="No","No",
IF(_xlfn.XLOOKUP(_xlfn.XLOOKUP(B188,'Base stats'!B:B,'Base stats'!E:E),Groups!A:A,Groups!BD:BD)=1,
MAX(MROUND(_xlfn.XLOOKUP(B188,'Base stats'!B:B,'Base stats'!BS:BS) * _xlfn.XLOOKUP(B188,'Base stats'!B:B,'Base stats'!BO:BO)^0.9 / 21 *_xlfn.XLOOKUP(B188,'Base stats'!B:B,'Base stats'!BV:BV),0.1),0.05),
MAX(MROUND(((MIN(10,_xlfn.XLOOKUP(B188,'Base stats'!B:B,'Base stats'!W:W)))^0.4*_xlfn.XLOOKUP(B188,'Base stats'!B:B,'Base stats'!BG:BG)^0.73)^0.6 *_xlfn.XLOOKUP(B188,'Base stats'!B:B,'Base stats'!BV:BV),0.1),0.05)
))</f>
        <v>13.5</v>
      </c>
      <c r="L188" s="11">
        <f>IF(K188="No","No",
MAX(0.01,MROUND(_xlfn.XLOOKUP(B188,'Base stats'!B:B,'Base stats'!BG:BG) * 0.01 *2, 0.01))
)</f>
        <v>12.32</v>
      </c>
      <c r="M188" s="5" t="str">
        <f>IF(K188="No","No",IF(_xlfn.XLOOKUP(_xlfn.XLOOKUP(B188,'Base stats'!B:B,'Base stats'!E:E),Groups!A:A,Groups!BD:BD)=1,"No",
MAX(0.01,MROUND(_xlfn.XLOOKUP(B188,'Base stats'!B:B,'Base stats'!BS:BS)/10000,0.01))
))</f>
        <v>No</v>
      </c>
      <c r="N188" s="4">
        <f>IF(K188="No","No",
MROUND(
  _xlfn.XLOOKUP(B188,'Base stats'!B:B,'Base stats'!BA:BA)^0.25
  / (_xlfn.XLOOKUP(B188,'Base stats'!B:B,'Base stats'!BK:BK)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stats'!BU:BU),
0.05))</f>
        <v>2.6</v>
      </c>
      <c r="O188" s="3" t="str">
        <f>IF(Animals!AD188="No","No",
MAX(MROUND((MIN(10,_xlfn.XLOOKUP(B188,'Base stats'!B:B,'Base stats'!V:V)*IF(_xlfn.XLOOKUP(_xlfn.XLOOKUP(B188,'Base stats'!B:B,'Base stats'!E:E),Groups!A:A,Groups!O:O)=0,1,0.33))^0.4*_xlfn.XLOOKUP(B188,'Base stats'!B:B,'Base stats'!BH:BH)^0.73)^0.6 *_xlfn.XLOOKUP(B188,'Base stats'!B:B,'Base stats'!BV:BV),0.1),0.05)
)</f>
        <v>No</v>
      </c>
      <c r="P188" s="11" t="str">
        <f>IF(O188="No","No",
MAX(0.01,MROUND(_xlfn.XLOOKUP(B188,'Base stats'!B:B,'Base stats'!BH:BH) * 0.01 * 2, 0.01))
)</f>
        <v>No</v>
      </c>
      <c r="Q188" s="5" t="str">
        <f>IF(O188="No","No",
MAX(0.01,MROUND(_xlfn.XLOOKUP(B188,'Base stats'!B:B,'Base stats'!BT:BT)/10000,0.01))
)</f>
        <v>No</v>
      </c>
      <c r="R188" s="4" t="str">
        <f>IF(O188="No","No",
MROUND(_xlfn.XLOOKUP(B188,'Base stats'!B:B,'Base stats'!AZ:AZ)^0.25
/((_xlfn.XLOOKUP(B188,'Base stats'!B:B,'Base stats'!BL:BL))*10)*_xlfn.XLOOKUP(_xlfn.XLOOKUP(B188,'Base stats'!B:B,'Base stats'!E:E),Groups!A:A,Groups!Z:Z)*150 + 0.5 + _xlfn.XLOOKUP(B188,'Base stats'!B:B,'Base stats'!BU:BU),
0.05))</f>
        <v>No</v>
      </c>
      <c r="S188" s="3" t="str">
        <f>IF(Animals!AI188="No","No",
IF(_xlfn.XLOOKUP(B188,'Base stats'!B:B,'Base stats'!U:U)="No",
MAX(MROUND(_xlfn.XLOOKUP(B188,'Base stats'!B:B,'Base stats'!BR:BR) * _xlfn.XLOOKUP(B188,'Base stats'!B:B,'Base stats'!BN:BN)^0.9 / 21 * _xlfn.XLOOKUP(B188,'Base stats'!B:B,'Base stats'!BV:BV),0.1),0.05),
MAX(MROUND(((MIN(12,_xlfn.XLOOKUP(B188,'Base stats'!B:B,'Base stats'!U:U)))^0.4*_xlfn.XLOOKUP(B188,'Base stats'!B:B,'Base stats'!BF:BF)^0.73)^0.6 * _xlfn.XLOOKUP(B188,'Base stats'!B:B,'Base stats'!BV:BV),0.1),0.05)
))</f>
        <v>No</v>
      </c>
      <c r="T188" s="11" t="str">
        <f>IF(S188="No","No",
MAX(0.01,MROUND(_xlfn.XLOOKUP(B188,'Base stats'!B:B,'Base stats'!BF:BF) * 0.01 * 2, 0.01))
)</f>
        <v>No</v>
      </c>
      <c r="U188" s="5" t="str">
        <f>IF(S188="No","No",IF(_xlfn.XLOOKUP(B188,'Base stats'!B:B,'Base stats'!U:U)="No","No",
MAX(0.01,MROUND(_xlfn.XLOOKUP(B188,'Base stats'!B:B,'Base stats'!BR:BR)/10000,0.01))
))</f>
        <v>No</v>
      </c>
      <c r="V188" s="4" t="str">
        <f>IF(S188="No","No",
MROUND(_xlfn.XLOOKUP(B188,'Base stats'!B:B,'Base stats'!BD:BD)^0.25
/((_xlfn.XLOOKUP(B188,'Base stats'!B:B,'Base stats'!BM:BM))*10)*_xlfn.XLOOKUP(_xlfn.XLOOKUP(B188,'Base stats'!B:B,'Base stats'!E:E),Groups!A:A,Groups!AE:AE)*150 + 0.5 + _xlfn.XLOOKUP(B188,'Base stats'!B:B,'Base stats'!BU:BU),
0.05))</f>
        <v>No</v>
      </c>
      <c r="W188" s="8">
        <f>MROUND(_xlfn.XLOOKUP(_xlfn.XLOOKUP(B188,'Base stats'!B:B,'Base stats'!E:E),Groups!A:A,Groups!BG:BG)*_xlfn.XLOOKUP(B188,'Base stats'!B:B,'Base stats'!C:C)^-0.165,0.01)</f>
        <v>0.19</v>
      </c>
      <c r="X188" s="1">
        <f>MROUND(_xlfn.XLOOKUP(_xlfn.XLOOKUP(B188,'Base stats'!B:B,'Base stats'!E:E),Groups!A:A,Groups!BH:BH)*_xlfn.XLOOKUP(B188,'Base stats'!B:B,'Base stats'!C:C)^0.165,0.01)</f>
        <v>0</v>
      </c>
      <c r="Y188" s="8">
        <f>MROUND(_xlfn.XLOOKUP(_xlfn.XLOOKUP(B188,'Base stats'!B:B,'Base stats'!E:E),Groups!A:A,Groups!BI:BI)*_xlfn.XLOOKUP(B188,'Base stats'!B:B,'Base stats'!C:C)^0.165,0.01)</f>
        <v>0</v>
      </c>
      <c r="Z188" s="18">
        <f>ROUND(_xlfn.XLOOKUP(B188,'Base stats'!B:B,'Base stats'!AO:AO)*_xlfn.XLOOKUP(_xlfn.XLOOKUP(B188,'Base stats'!B:B,'Base stats'!E:E),Groups!A:A,Groups!H:H)/1000,2)</f>
        <v>7.0000000000000007E-2</v>
      </c>
      <c r="AA188" s="18">
        <f>ROUND((1/2)*(_xlfn.XLOOKUP(_xlfn.XLOOKUP(B188,'Base stats'!B:B,'Base stats'!E:E),Groups!A:A,Groups!H:H)*_xlfn.XLOOKUP(_xlfn.XLOOKUP(B188,'Base stats'!B:B,'Base stats'!E:E),Groups!A:A,Groups!I:I))*_xlfn.XLOOKUP(B188,'Base stats'!B:B,'Base stats'!AO:AO)*0.01,2)</f>
        <v>0.36</v>
      </c>
      <c r="AB188" s="18">
        <f>250*(Animals!AO188+Animals!AP188)</f>
        <v>1125</v>
      </c>
      <c r="AC188" s="18" t="str">
        <f>_xlfn.XLOOKUP(_xlfn.XLOOKUP(B188,'Base stats'!B:B,'Base stats'!E:E),Groups!A:A,Groups!BJ:BJ)</f>
        <v>Quadruped</v>
      </c>
    </row>
    <row r="189" spans="1:29" ht="16.5" thickTop="1" thickBot="1" x14ac:dyDescent="0.3">
      <c r="A189" s="16" t="str">
        <f>Animals!A189</f>
        <v>Badger</v>
      </c>
      <c r="B189" s="6" t="str">
        <f>Animals!B189</f>
        <v>Meles meles</v>
      </c>
      <c r="C189" s="1" t="str">
        <f>Animals!C189</f>
        <v>&lt;li&gt;AEXP_Badger&lt;/li&gt;</v>
      </c>
      <c r="D189" s="47">
        <f>MAX(MROUND(_xlfn.XLOOKUP(B189,'Base stats'!B:B,'Base stats'!BQ:BQ) * (_xlfn.XLOOKUP(B189,'Base stats'!B:B,'Base stats'!AM:AM)*5%)^0.9 / 21,0.1),0.05)</f>
        <v>0.5</v>
      </c>
      <c r="E189" s="11">
        <f>MAX(0.01,MROUND(_xlfn.XLOOKUP(B189,'Base stats'!B:B,'Base stats'!BE:BE) * 0.01 * 2, 0.01))</f>
        <v>0.4</v>
      </c>
      <c r="F189" s="7">
        <f>MROUND(_xlfn.XLOOKUP(B189,'Base stats'!B:B,'Base stats'!BB:BB)^0.25 / (_xlfn.XLOOKUP(B189,'Base stats'!B:B,'Base stats'!BI:BI) * 10) * 150 + 0.5 + _xlfn.XLOOKUP(B189,'Base stats'!B:B,'Base stats'!BU:BU), 0.05)</f>
        <v>1.4000000000000001</v>
      </c>
      <c r="G189" s="3" t="str">
        <f>IF(Animals!S189="No","No",
IF(_xlfn.XLOOKUP(B189,'Base stats'!B:B,'Base stats'!U:U)="No",
MAX(MROUND(_xlfn.XLOOKUP(B189,'Base stats'!B:B,'Base stats'!BR:BR) * _xlfn.XLOOKUP(B189,'Base stats'!B:B,'Base stats'!BN:BN)^0.9 / 21 * _xlfn.XLOOKUP(B189,'Base stats'!B:B,'Base stats'!BV:BV),0.1),0.05),
MAX(MROUND(((MIN(10,_xlfn.XLOOKUP(B189,'Base stats'!B:B,'Base stats'!U:U)))^0.4*_xlfn.XLOOKUP(B189,'Base stats'!B:B,'Base stats'!BF:BF)^0.73)^0.6 * _xlfn.XLOOKUP(B189,'Base stats'!B:B,'Base stats'!BV:BV),0.1),0.05)
))</f>
        <v>No</v>
      </c>
      <c r="H189" s="11" t="str">
        <f>IF(G189="No","No",
MAX(0.01,MROUND(_xlfn.XLOOKUP(B189,'Base stats'!B:B,'Base stats'!BF:BF) * 0.01 * 2, 0.01))
)</f>
        <v>No</v>
      </c>
      <c r="I189" s="11" t="str">
        <f>IF(G189="No","No",IF(_xlfn.XLOOKUP(B189,'Base stats'!B:B,'Base stats'!U:U)="No","No",
MAX(0.01,MROUND(_xlfn.XLOOKUP(B189,'Base stats'!B:B,'Base stats'!BR:BR)/10000,0.01))
))</f>
        <v>No</v>
      </c>
      <c r="J189" s="4" t="str">
        <f>IF(G189="No","No",
MROUND(_xlfn.XLOOKUP(B189,'Base stats'!B:B,'Base stats'!BC:BC)^0.25
/((_xlfn.XLOOKUP(B189,'Base stats'!B:B,'Base stats'!BJ:BJ))*10)*_xlfn.XLOOKUP(_xlfn.XLOOKUP(B189,'Base stats'!B:B,'Base stats'!E:E),Groups!A:A,Groups!Q:Q)*150 + 0.5 + _xlfn.XLOOKUP(B189,'Base stats'!B:B,'Base stats'!BU:BU),
0.05))</f>
        <v>No</v>
      </c>
      <c r="K189" s="3" t="str">
        <f>IF(Animals!X189="No","No",
IF(_xlfn.XLOOKUP(_xlfn.XLOOKUP(B189,'Base stats'!B:B,'Base stats'!E:E),Groups!A:A,Groups!BD:BD)=1,
MAX(MROUND(_xlfn.XLOOKUP(B189,'Base stats'!B:B,'Base stats'!BS:BS) * _xlfn.XLOOKUP(B189,'Base stats'!B:B,'Base stats'!BO:BO)^0.9 / 21 *_xlfn.XLOOKUP(B189,'Base stats'!B:B,'Base stats'!BV:BV),0.1),0.05),
MAX(MROUND(((MIN(10,_xlfn.XLOOKUP(B189,'Base stats'!B:B,'Base stats'!W:W)))^0.4*_xlfn.XLOOKUP(B189,'Base stats'!B:B,'Base stats'!BG:BG)^0.73)^0.6 *_xlfn.XLOOKUP(B189,'Base stats'!B:B,'Base stats'!BV:BV),0.1),0.05)
))</f>
        <v>No</v>
      </c>
      <c r="L189" s="11" t="str">
        <f>IF(K189="No","No",
MAX(0.01,MROUND(_xlfn.XLOOKUP(B189,'Base stats'!B:B,'Base stats'!BG:BG) * 0.01 *2, 0.01))
)</f>
        <v>No</v>
      </c>
      <c r="M189" s="5" t="str">
        <f>IF(K189="No","No",IF(_xlfn.XLOOKUP(_xlfn.XLOOKUP(B189,'Base stats'!B:B,'Base stats'!E:E),Groups!A:A,Groups!BD:BD)=1,"No",
MAX(0.01,MROUND(_xlfn.XLOOKUP(B189,'Base stats'!B:B,'Base stats'!BS:BS)/10000,0.01))
))</f>
        <v>No</v>
      </c>
      <c r="N189" s="4" t="str">
        <f>IF(K189="No","No",
MROUND(
  _xlfn.XLOOKUP(B189,'Base stats'!B:B,'Base stats'!BA:BA)^0.25
  / (_xlfn.XLOOKUP(B189,'Base stats'!B:B,'Base stats'!BK:BK)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stats'!BU:BU),
0.05))</f>
        <v>No</v>
      </c>
      <c r="O189" s="3">
        <f>IF(Animals!AD189="No","No",
MAX(MROUND((MIN(10,_xlfn.XLOOKUP(B189,'Base stats'!B:B,'Base stats'!V:V)*IF(_xlfn.XLOOKUP(_xlfn.XLOOKUP(B189,'Base stats'!B:B,'Base stats'!E:E),Groups!A:A,Groups!O:O)=0,1,0.33))^0.4*_xlfn.XLOOKUP(B189,'Base stats'!B:B,'Base stats'!BH:BH)^0.73)^0.6 *_xlfn.XLOOKUP(B189,'Base stats'!B:B,'Base stats'!BV:BV),0.1),0.05)
)</f>
        <v>5.2</v>
      </c>
      <c r="P189" s="11">
        <f>IF(O189="No","No",
MAX(0.01,MROUND(_xlfn.XLOOKUP(B189,'Base stats'!B:B,'Base stats'!BH:BH) * 0.01 * 2, 0.01))
)</f>
        <v>0.59</v>
      </c>
      <c r="Q189" s="5">
        <f>IF(O189="No","No",
MAX(0.01,MROUND(_xlfn.XLOOKUP(B189,'Base stats'!B:B,'Base stats'!BT:BT)/10000,0.01))
)</f>
        <v>7.0000000000000007E-2</v>
      </c>
      <c r="R189" s="4">
        <f>IF(O189="No","No",
MROUND(_xlfn.XLOOKUP(B189,'Base stats'!B:B,'Base stats'!AZ:AZ)^0.25
/((_xlfn.XLOOKUP(B189,'Base stats'!B:B,'Base stats'!BL:BL))*10)*_xlfn.XLOOKUP(_xlfn.XLOOKUP(B189,'Base stats'!B:B,'Base stats'!E:E),Groups!A:A,Groups!Z:Z)*150 + 0.5 + _xlfn.XLOOKUP(B189,'Base stats'!B:B,'Base stats'!BU:BU),
0.05))</f>
        <v>1.9000000000000001</v>
      </c>
      <c r="S189" s="3">
        <f>IF(Animals!AI189="No","No",
IF(_xlfn.XLOOKUP(B189,'Base stats'!B:B,'Base stats'!U:U)="No",
MAX(MROUND(_xlfn.XLOOKUP(B189,'Base stats'!B:B,'Base stats'!BR:BR) * _xlfn.XLOOKUP(B189,'Base stats'!B:B,'Base stats'!BN:BN)^0.9 / 21 * _xlfn.XLOOKUP(B189,'Base stats'!B:B,'Base stats'!BV:BV),0.1),0.05),
MAX(MROUND(((MIN(12,_xlfn.XLOOKUP(B189,'Base stats'!B:B,'Base stats'!U:U)))^0.4*_xlfn.XLOOKUP(B189,'Base stats'!B:B,'Base stats'!BF:BF)^0.73)^0.6 * _xlfn.XLOOKUP(B189,'Base stats'!B:B,'Base stats'!BV:BV),0.1),0.05)
))</f>
        <v>5.9</v>
      </c>
      <c r="T189" s="11">
        <f>IF(S189="No","No",
MAX(0.01,MROUND(_xlfn.XLOOKUP(B189,'Base stats'!B:B,'Base stats'!BF:BF) * 0.01 * 2, 0.01))
)</f>
        <v>0.57000000000000006</v>
      </c>
      <c r="U189" s="5">
        <f>IF(S189="No","No",IF(_xlfn.XLOOKUP(B189,'Base stats'!B:B,'Base stats'!U:U)="No","No",
MAX(0.01,MROUND(_xlfn.XLOOKUP(B189,'Base stats'!B:B,'Base stats'!BR:BR)/10000,0.01))
))</f>
        <v>7.0000000000000007E-2</v>
      </c>
      <c r="V189" s="4">
        <f>IF(S189="No","No",
MROUND(_xlfn.XLOOKUP(B189,'Base stats'!B:B,'Base stats'!BD:BD)^0.25
/((_xlfn.XLOOKUP(B189,'Base stats'!B:B,'Base stats'!BM:BM))*10)*_xlfn.XLOOKUP(_xlfn.XLOOKUP(B189,'Base stats'!B:B,'Base stats'!E:E),Groups!A:A,Groups!AE:AE)*150 + 0.5 + _xlfn.XLOOKUP(B189,'Base stats'!B:B,'Base stats'!BU:BU),
0.05))</f>
        <v>1.2000000000000002</v>
      </c>
      <c r="W189" s="8">
        <f>MROUND(_xlfn.XLOOKUP(_xlfn.XLOOKUP(B189,'Base stats'!B:B,'Base stats'!E:E),Groups!A:A,Groups!BG:BG)*_xlfn.XLOOKUP(B189,'Base stats'!B:B,'Base stats'!C:C)^-0.165,0.01)</f>
        <v>0.72</v>
      </c>
      <c r="X189" s="1">
        <f>MROUND(_xlfn.XLOOKUP(_xlfn.XLOOKUP(B189,'Base stats'!B:B,'Base stats'!E:E),Groups!A:A,Groups!BH:BH)*_xlfn.XLOOKUP(B189,'Base stats'!B:B,'Base stats'!C:C)^0.165,0.01)</f>
        <v>0.31</v>
      </c>
      <c r="Y189" s="8">
        <f>MROUND(_xlfn.XLOOKUP(_xlfn.XLOOKUP(B189,'Base stats'!B:B,'Base stats'!E:E),Groups!A:A,Groups!BI:BI)*_xlfn.XLOOKUP(B189,'Base stats'!B:B,'Base stats'!C:C)^0.165,0.01)</f>
        <v>0.04</v>
      </c>
      <c r="Z189" s="18">
        <f>ROUND(_xlfn.XLOOKUP(B189,'Base stats'!B:B,'Base stats'!AO:AO)*_xlfn.XLOOKUP(_xlfn.XLOOKUP(B189,'Base stats'!B:B,'Base stats'!E:E),Groups!A:A,Groups!H:H)/1000,2)</f>
        <v>0.05</v>
      </c>
      <c r="AA189" s="18">
        <f>ROUND((1/2)*(_xlfn.XLOOKUP(_xlfn.XLOOKUP(B189,'Base stats'!B:B,'Base stats'!E:E),Groups!A:A,Groups!H:H)*_xlfn.XLOOKUP(_xlfn.XLOOKUP(B189,'Base stats'!B:B,'Base stats'!E:E),Groups!A:A,Groups!I:I))*_xlfn.XLOOKUP(B189,'Base stats'!B:B,'Base stats'!AO:AO)*0.01,2)</f>
        <v>0.41</v>
      </c>
      <c r="AB189" s="18">
        <f>250*(Animals!AO189+Animals!AP189)</f>
        <v>250</v>
      </c>
      <c r="AC189" s="18" t="str">
        <f>_xlfn.XLOOKUP(_xlfn.XLOOKUP(B189,'Base stats'!B:B,'Base stats'!E:E),Groups!A:A,Groups!BJ:BJ)</f>
        <v>QuadrupedLow</v>
      </c>
    </row>
    <row r="190" spans="1:29" ht="16.5" thickTop="1" thickBot="1" x14ac:dyDescent="0.3">
      <c r="A190" s="16" t="str">
        <f>Animals!A190</f>
        <v>Gorilla</v>
      </c>
      <c r="B190" s="6" t="str">
        <f>Animals!B190</f>
        <v>Gorilla gorilla</v>
      </c>
      <c r="C190" s="1" t="str">
        <f>Animals!C190</f>
        <v>&lt;li&gt;AEXP_Gorilla&lt;/li&gt;</v>
      </c>
      <c r="D190" s="47">
        <f>MAX(MROUND(_xlfn.XLOOKUP(B190,'Base stats'!B:B,'Base stats'!BQ:BQ) * (_xlfn.XLOOKUP(B190,'Base stats'!B:B,'Base stats'!AM:AM)*5%)^0.9 / 21,0.1),0.05)</f>
        <v>4.3</v>
      </c>
      <c r="E190" s="11">
        <f>MAX(0.01,MROUND(_xlfn.XLOOKUP(B190,'Base stats'!B:B,'Base stats'!BE:BE) * 0.01 * 2, 0.01))</f>
        <v>3.74</v>
      </c>
      <c r="F190" s="7">
        <f>MROUND(_xlfn.XLOOKUP(B190,'Base stats'!B:B,'Base stats'!BB:BB)^0.25 / (_xlfn.XLOOKUP(B190,'Base stats'!B:B,'Base stats'!BI:BI) * 10) * 150 + 0.5 + _xlfn.XLOOKUP(B190,'Base stats'!B:B,'Base stats'!BU:BU), 0.05)</f>
        <v>1.75</v>
      </c>
      <c r="G190" s="3" t="str">
        <f>IF(Animals!S190="No","No",
IF(_xlfn.XLOOKUP(B190,'Base stats'!B:B,'Base stats'!U:U)="No",
MAX(MROUND(_xlfn.XLOOKUP(B190,'Base stats'!B:B,'Base stats'!BR:BR) * _xlfn.XLOOKUP(B190,'Base stats'!B:B,'Base stats'!BN:BN)^0.9 / 21 * _xlfn.XLOOKUP(B190,'Base stats'!B:B,'Base stats'!BV:BV),0.1),0.05),
MAX(MROUND(((MIN(10,_xlfn.XLOOKUP(B190,'Base stats'!B:B,'Base stats'!U:U)))^0.4*_xlfn.XLOOKUP(B190,'Base stats'!B:B,'Base stats'!BF:BF)^0.73)^0.6 * _xlfn.XLOOKUP(B190,'Base stats'!B:B,'Base stats'!BV:BV),0.1),0.05)
))</f>
        <v>No</v>
      </c>
      <c r="H190" s="11" t="str">
        <f>IF(G190="No","No",
MAX(0.01,MROUND(_xlfn.XLOOKUP(B190,'Base stats'!B:B,'Base stats'!BF:BF) * 0.01 * 2, 0.01))
)</f>
        <v>No</v>
      </c>
      <c r="I190" s="11" t="str">
        <f>IF(G190="No","No",IF(_xlfn.XLOOKUP(B190,'Base stats'!B:B,'Base stats'!U:U)="No","No",
MAX(0.01,MROUND(_xlfn.XLOOKUP(B190,'Base stats'!B:B,'Base stats'!BR:BR)/10000,0.01))
))</f>
        <v>No</v>
      </c>
      <c r="J190" s="4" t="str">
        <f>IF(G190="No","No",
MROUND(_xlfn.XLOOKUP(B190,'Base stats'!B:B,'Base stats'!BC:BC)^0.25
/((_xlfn.XLOOKUP(B190,'Base stats'!B:B,'Base stats'!BJ:BJ))*10)*_xlfn.XLOOKUP(_xlfn.XLOOKUP(B190,'Base stats'!B:B,'Base stats'!E:E),Groups!A:A,Groups!Q:Q)*150 + 0.5 + _xlfn.XLOOKUP(B190,'Base stats'!B:B,'Base stats'!BU:BU),
0.05))</f>
        <v>No</v>
      </c>
      <c r="K190" s="3" t="str">
        <f>IF(Animals!X190="No","No",
IF(_xlfn.XLOOKUP(_xlfn.XLOOKUP(B190,'Base stats'!B:B,'Base stats'!E:E),Groups!A:A,Groups!BD:BD)=1,
MAX(MROUND(_xlfn.XLOOKUP(B190,'Base stats'!B:B,'Base stats'!BS:BS) * _xlfn.XLOOKUP(B190,'Base stats'!B:B,'Base stats'!BO:BO)^0.9 / 21 *_xlfn.XLOOKUP(B190,'Base stats'!B:B,'Base stats'!BV:BV),0.1),0.05),
MAX(MROUND(((MIN(10,_xlfn.XLOOKUP(B190,'Base stats'!B:B,'Base stats'!W:W)))^0.4*_xlfn.XLOOKUP(B190,'Base stats'!B:B,'Base stats'!BG:BG)^0.73)^0.6 *_xlfn.XLOOKUP(B190,'Base stats'!B:B,'Base stats'!BV:BV),0.1),0.05)
))</f>
        <v>No</v>
      </c>
      <c r="L190" s="11" t="str">
        <f>IF(K190="No","No",
MAX(0.01,MROUND(_xlfn.XLOOKUP(B190,'Base stats'!B:B,'Base stats'!BG:BG) * 0.01 *2, 0.01))
)</f>
        <v>No</v>
      </c>
      <c r="M190" s="5" t="str">
        <f>IF(K190="No","No",IF(_xlfn.XLOOKUP(_xlfn.XLOOKUP(B190,'Base stats'!B:B,'Base stats'!E:E),Groups!A:A,Groups!BD:BD)=1,"No",
MAX(0.01,MROUND(_xlfn.XLOOKUP(B190,'Base stats'!B:B,'Base stats'!BS:BS)/10000,0.01))
))</f>
        <v>No</v>
      </c>
      <c r="N190" s="4" t="str">
        <f>IF(K190="No","No",
MROUND(
  _xlfn.XLOOKUP(B190,'Base stats'!B:B,'Base stats'!BA:BA)^0.25
  / (_xlfn.XLOOKUP(B190,'Base stats'!B:B,'Base stats'!BK:BK)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stats'!BU:BU),
0.05))</f>
        <v>No</v>
      </c>
      <c r="O190" s="3">
        <f>IF(Animals!AD190="No","No",
MAX(MROUND((MIN(10,_xlfn.XLOOKUP(B190,'Base stats'!B:B,'Base stats'!V:V)*IF(_xlfn.XLOOKUP(_xlfn.XLOOKUP(B190,'Base stats'!B:B,'Base stats'!E:E),Groups!A:A,Groups!O:O)=0,1,0.33))^0.4*_xlfn.XLOOKUP(B190,'Base stats'!B:B,'Base stats'!BH:BH)^0.73)^0.6 *_xlfn.XLOOKUP(B190,'Base stats'!B:B,'Base stats'!BV:BV),0.1),0.05)
)</f>
        <v>11.5</v>
      </c>
      <c r="P190" s="11">
        <f>IF(O190="No","No",
MAX(0.01,MROUND(_xlfn.XLOOKUP(B190,'Base stats'!B:B,'Base stats'!BH:BH) * 0.01 * 2, 0.01))
)</f>
        <v>2.79</v>
      </c>
      <c r="Q190" s="5">
        <f>IF(O190="No","No",
MAX(0.01,MROUND(_xlfn.XLOOKUP(B190,'Base stats'!B:B,'Base stats'!BT:BT)/10000,0.01))
)</f>
        <v>0.12</v>
      </c>
      <c r="R190" s="4">
        <f>IF(O190="No","No",
MROUND(_xlfn.XLOOKUP(B190,'Base stats'!B:B,'Base stats'!AZ:AZ)^0.25
/((_xlfn.XLOOKUP(B190,'Base stats'!B:B,'Base stats'!BL:BL))*10)*_xlfn.XLOOKUP(_xlfn.XLOOKUP(B190,'Base stats'!B:B,'Base stats'!E:E),Groups!A:A,Groups!Z:Z)*150 + 0.5 + _xlfn.XLOOKUP(B190,'Base stats'!B:B,'Base stats'!BU:BU),
0.05))</f>
        <v>2.1</v>
      </c>
      <c r="S190" s="3">
        <f>IF(Animals!AI190="No","No",
IF(_xlfn.XLOOKUP(B190,'Base stats'!B:B,'Base stats'!U:U)="No",
MAX(MROUND(_xlfn.XLOOKUP(B190,'Base stats'!B:B,'Base stats'!BR:BR) * _xlfn.XLOOKUP(B190,'Base stats'!B:B,'Base stats'!BN:BN)^0.9 / 21 * _xlfn.XLOOKUP(B190,'Base stats'!B:B,'Base stats'!BV:BV),0.1),0.05),
MAX(MROUND(((MIN(12,_xlfn.XLOOKUP(B190,'Base stats'!B:B,'Base stats'!U:U)))^0.4*_xlfn.XLOOKUP(B190,'Base stats'!B:B,'Base stats'!BF:BF)^0.73)^0.6 * _xlfn.XLOOKUP(B190,'Base stats'!B:B,'Base stats'!BV:BV),0.1),0.05)
))</f>
        <v>9.2000000000000011</v>
      </c>
      <c r="T190" s="11">
        <f>IF(S190="No","No",
MAX(0.01,MROUND(_xlfn.XLOOKUP(B190,'Base stats'!B:B,'Base stats'!BF:BF) * 0.01 * 2, 0.01))
)</f>
        <v>4.6000000000000005</v>
      </c>
      <c r="U190" s="5" t="str">
        <f>IF(S190="No","No",IF(_xlfn.XLOOKUP(B190,'Base stats'!B:B,'Base stats'!U:U)="No","No",
MAX(0.01,MROUND(_xlfn.XLOOKUP(B190,'Base stats'!B:B,'Base stats'!BR:BR)/10000,0.01))
))</f>
        <v>No</v>
      </c>
      <c r="V190" s="4">
        <f>IF(S190="No","No",
MROUND(_xlfn.XLOOKUP(B190,'Base stats'!B:B,'Base stats'!BD:BD)^0.25
/((_xlfn.XLOOKUP(B190,'Base stats'!B:B,'Base stats'!BM:BM))*10)*_xlfn.XLOOKUP(_xlfn.XLOOKUP(B190,'Base stats'!B:B,'Base stats'!E:E),Groups!A:A,Groups!AE:AE)*150 + 0.5 + _xlfn.XLOOKUP(B190,'Base stats'!B:B,'Base stats'!BU:BU),
0.05))</f>
        <v>1.4500000000000002</v>
      </c>
      <c r="W190" s="8">
        <f>MROUND(_xlfn.XLOOKUP(_xlfn.XLOOKUP(B190,'Base stats'!B:B,'Base stats'!E:E),Groups!A:A,Groups!BG:BG)*_xlfn.XLOOKUP(B190,'Base stats'!B:B,'Base stats'!C:C)^-0.165,0.01)</f>
        <v>0.44</v>
      </c>
      <c r="X190" s="1">
        <f>MROUND(_xlfn.XLOOKUP(_xlfn.XLOOKUP(B190,'Base stats'!B:B,'Base stats'!E:E),Groups!A:A,Groups!BH:BH)*_xlfn.XLOOKUP(B190,'Base stats'!B:B,'Base stats'!C:C)^0.165,0.01)</f>
        <v>0.23</v>
      </c>
      <c r="Y190" s="8">
        <f>MROUND(_xlfn.XLOOKUP(_xlfn.XLOOKUP(B190,'Base stats'!B:B,'Base stats'!E:E),Groups!A:A,Groups!BI:BI)*_xlfn.XLOOKUP(B190,'Base stats'!B:B,'Base stats'!C:C)^0.165,0.01)</f>
        <v>0.11</v>
      </c>
      <c r="Z190" s="18">
        <f>ROUND(_xlfn.XLOOKUP(B190,'Base stats'!B:B,'Base stats'!AO:AO)*_xlfn.XLOOKUP(_xlfn.XLOOKUP(B190,'Base stats'!B:B,'Base stats'!E:E),Groups!A:A,Groups!H:H)/1000,2)</f>
        <v>0.05</v>
      </c>
      <c r="AA190" s="18">
        <f>ROUND((1/2)*(_xlfn.XLOOKUP(_xlfn.XLOOKUP(B190,'Base stats'!B:B,'Base stats'!E:E),Groups!A:A,Groups!H:H)*_xlfn.XLOOKUP(_xlfn.XLOOKUP(B190,'Base stats'!B:B,'Base stats'!E:E),Groups!A:A,Groups!I:I))*_xlfn.XLOOKUP(B190,'Base stats'!B:B,'Base stats'!AO:AO)*0.01,2)</f>
        <v>0.28999999999999998</v>
      </c>
      <c r="AB190" s="18">
        <f>250*(Animals!AO190+Animals!AP190)</f>
        <v>750</v>
      </c>
      <c r="AC190" s="18" t="str">
        <f>_xlfn.XLOOKUP(_xlfn.XLOOKUP(B190,'Base stats'!B:B,'Base stats'!E:E),Groups!A:A,Groups!BJ:BJ)</f>
        <v>HumanoidWide</v>
      </c>
    </row>
    <row r="191" spans="1:29" ht="16.5" thickTop="1" thickBot="1" x14ac:dyDescent="0.3">
      <c r="A191" s="16" t="str">
        <f>Animals!A191</f>
        <v>Penguin</v>
      </c>
      <c r="B191" s="6" t="str">
        <f>Animals!B191</f>
        <v>Aptenodytes forsteri</v>
      </c>
      <c r="C191" s="1" t="str">
        <f>Animals!C191</f>
        <v>&lt;li&gt;AEXP_Penguin&lt;/li&gt;</v>
      </c>
      <c r="D191" s="47">
        <f>MAX(MROUND(_xlfn.XLOOKUP(B191,'Base stats'!B:B,'Base stats'!BQ:BQ) * (_xlfn.XLOOKUP(B191,'Base stats'!B:B,'Base stats'!AM:AM)*5%)^0.9 / 21,0.1),0.05)</f>
        <v>1.1000000000000001</v>
      </c>
      <c r="E191" s="11">
        <f>MAX(0.01,MROUND(_xlfn.XLOOKUP(B191,'Base stats'!B:B,'Base stats'!BE:BE) * 0.01 * 2, 0.01))</f>
        <v>0.85</v>
      </c>
      <c r="F191" s="7">
        <f>MROUND(_xlfn.XLOOKUP(B191,'Base stats'!B:B,'Base stats'!BB:BB)^0.25 / (_xlfn.XLOOKUP(B191,'Base stats'!B:B,'Base stats'!BI:BI) * 10) * 150 + 0.5 + _xlfn.XLOOKUP(B191,'Base stats'!B:B,'Base stats'!BU:BU), 0.05)</f>
        <v>1.75</v>
      </c>
      <c r="G191" s="3" t="str">
        <f>IF(Animals!S191="No","No",
IF(_xlfn.XLOOKUP(B191,'Base stats'!B:B,'Base stats'!U:U)="No",
MAX(MROUND(_xlfn.XLOOKUP(B191,'Base stats'!B:B,'Base stats'!BR:BR) * _xlfn.XLOOKUP(B191,'Base stats'!B:B,'Base stats'!BN:BN)^0.9 / 21 * _xlfn.XLOOKUP(B191,'Base stats'!B:B,'Base stats'!BV:BV),0.1),0.05),
MAX(MROUND(((MIN(10,_xlfn.XLOOKUP(B191,'Base stats'!B:B,'Base stats'!U:U)))^0.4*_xlfn.XLOOKUP(B191,'Base stats'!B:B,'Base stats'!BF:BF)^0.73)^0.6 * _xlfn.XLOOKUP(B191,'Base stats'!B:B,'Base stats'!BV:BV),0.1),0.05)
))</f>
        <v>No</v>
      </c>
      <c r="H191" s="11" t="str">
        <f>IF(G191="No","No",
MAX(0.01,MROUND(_xlfn.XLOOKUP(B191,'Base stats'!B:B,'Base stats'!BF:BF) * 0.01 * 2, 0.01))
)</f>
        <v>No</v>
      </c>
      <c r="I191" s="11" t="str">
        <f>IF(G191="No","No",IF(_xlfn.XLOOKUP(B191,'Base stats'!B:B,'Base stats'!U:U)="No","No",
MAX(0.01,MROUND(_xlfn.XLOOKUP(B191,'Base stats'!B:B,'Base stats'!BR:BR)/10000,0.01))
))</f>
        <v>No</v>
      </c>
      <c r="J191" s="4" t="str">
        <f>IF(G191="No","No",
MROUND(_xlfn.XLOOKUP(B191,'Base stats'!B:B,'Base stats'!BC:BC)^0.25
/((_xlfn.XLOOKUP(B191,'Base stats'!B:B,'Base stats'!BJ:BJ))*10)*_xlfn.XLOOKUP(_xlfn.XLOOKUP(B191,'Base stats'!B:B,'Base stats'!E:E),Groups!A:A,Groups!Q:Q)*150 + 0.5 + _xlfn.XLOOKUP(B191,'Base stats'!B:B,'Base stats'!BU:BU),
0.05))</f>
        <v>No</v>
      </c>
      <c r="K191" s="3" t="str">
        <f>IF(Animals!X191="No","No",
IF(_xlfn.XLOOKUP(_xlfn.XLOOKUP(B191,'Base stats'!B:B,'Base stats'!E:E),Groups!A:A,Groups!BD:BD)=1,
MAX(MROUND(_xlfn.XLOOKUP(B191,'Base stats'!B:B,'Base stats'!BS:BS) * _xlfn.XLOOKUP(B191,'Base stats'!B:B,'Base stats'!BO:BO)^0.9 / 21 *_xlfn.XLOOKUP(B191,'Base stats'!B:B,'Base stats'!BV:BV),0.1),0.05),
MAX(MROUND(((MIN(10,_xlfn.XLOOKUP(B191,'Base stats'!B:B,'Base stats'!W:W)))^0.4*_xlfn.XLOOKUP(B191,'Base stats'!B:B,'Base stats'!BG:BG)^0.73)^0.6 *_xlfn.XLOOKUP(B191,'Base stats'!B:B,'Base stats'!BV:BV),0.1),0.05)
))</f>
        <v>No</v>
      </c>
      <c r="L191" s="11" t="str">
        <f>IF(K191="No","No",
MAX(0.01,MROUND(_xlfn.XLOOKUP(B191,'Base stats'!B:B,'Base stats'!BG:BG) * 0.01 *2, 0.01))
)</f>
        <v>No</v>
      </c>
      <c r="M191" s="5" t="str">
        <f>IF(K191="No","No",IF(_xlfn.XLOOKUP(_xlfn.XLOOKUP(B191,'Base stats'!B:B,'Base stats'!E:E),Groups!A:A,Groups!BD:BD)=1,"No",
MAX(0.01,MROUND(_xlfn.XLOOKUP(B191,'Base stats'!B:B,'Base stats'!BS:BS)/10000,0.01))
))</f>
        <v>No</v>
      </c>
      <c r="N191" s="4" t="str">
        <f>IF(K191="No","No",
MROUND(
  _xlfn.XLOOKUP(B191,'Base stats'!B:B,'Base stats'!BA:BA)^0.25
  / (_xlfn.XLOOKUP(B191,'Base stats'!B:B,'Base stats'!BK:BK)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stats'!BU:BU),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stats'!BH:BH)^0.73)^0.6 *_xlfn.XLOOKUP(B191,'Base stats'!B:B,'Base stats'!BV:BV),0.1),0.05)
)</f>
        <v>3.2</v>
      </c>
      <c r="P191" s="11">
        <f>IF(O191="No","No",
MAX(0.01,MROUND(_xlfn.XLOOKUP(B191,'Base stats'!B:B,'Base stats'!BH:BH) * 0.01 * 2, 0.01))
)</f>
        <v>0.17</v>
      </c>
      <c r="Q191" s="5">
        <f>IF(O191="No","No",
MAX(0.01,MROUND(_xlfn.XLOOKUP(B191,'Base stats'!B:B,'Base stats'!BT:BT)/10000,0.01))
)</f>
        <v>0.01</v>
      </c>
      <c r="R191" s="4">
        <f>IF(O191="No","No",
MROUND(_xlfn.XLOOKUP(B191,'Base stats'!B:B,'Base stats'!AZ:AZ)^0.25
/((_xlfn.XLOOKUP(B191,'Base stats'!B:B,'Base stats'!BL:BL))*10)*_xlfn.XLOOKUP(_xlfn.XLOOKUP(B191,'Base stats'!B:B,'Base stats'!E:E),Groups!A:A,Groups!Z:Z)*150 + 0.5 + _xlfn.XLOOKUP(B191,'Base stats'!B:B,'Base stats'!BU:BU),
0.05))</f>
        <v>2.1</v>
      </c>
      <c r="S191" s="3" t="str">
        <f>IF(Animals!AI191="No","No",
IF(_xlfn.XLOOKUP(B191,'Base stats'!B:B,'Base stats'!U:U)="No",
MAX(MROUND(_xlfn.XLOOKUP(B191,'Base stats'!B:B,'Base stats'!BR:BR) * _xlfn.XLOOKUP(B191,'Base stats'!B:B,'Base stats'!BN:BN)^0.9 / 21 * _xlfn.XLOOKUP(B191,'Base stats'!B:B,'Base stats'!BV:BV),0.1),0.05),
MAX(MROUND(((MIN(12,_xlfn.XLOOKUP(B191,'Base stats'!B:B,'Base stats'!U:U)))^0.4*_xlfn.XLOOKUP(B191,'Base stats'!B:B,'Base stats'!BF:BF)^0.73)^0.6 * _xlfn.XLOOKUP(B191,'Base stats'!B:B,'Base stats'!BV:BV),0.1),0.05)
))</f>
        <v>No</v>
      </c>
      <c r="T191" s="11" t="str">
        <f>IF(S191="No","No",
MAX(0.01,MROUND(_xlfn.XLOOKUP(B191,'Base stats'!B:B,'Base stats'!BF:BF) * 0.01 * 2, 0.01))
)</f>
        <v>No</v>
      </c>
      <c r="U191" s="5" t="str">
        <f>IF(S191="No","No",IF(_xlfn.XLOOKUP(B191,'Base stats'!B:B,'Base stats'!U:U)="No","No",
MAX(0.01,MROUND(_xlfn.XLOOKUP(B191,'Base stats'!B:B,'Base stats'!BR:BR)/10000,0.01))
))</f>
        <v>No</v>
      </c>
      <c r="V191" s="4" t="str">
        <f>IF(S191="No","No",
MROUND(_xlfn.XLOOKUP(B191,'Base stats'!B:B,'Base stats'!BD:BD)^0.25
/((_xlfn.XLOOKUP(B191,'Base stats'!B:B,'Base stats'!BM:BM))*10)*_xlfn.XLOOKUP(_xlfn.XLOOKUP(B191,'Base stats'!B:B,'Base stats'!E:E),Groups!A:A,Groups!AE:AE)*150 + 0.5 + _xlfn.XLOOKUP(B191,'Base stats'!B:B,'Base stats'!BU:BU),
0.05))</f>
        <v>No</v>
      </c>
      <c r="W191" s="8">
        <f>MROUND(_xlfn.XLOOKUP(_xlfn.XLOOKUP(B191,'Base stats'!B:B,'Base stats'!E:E),Groups!A:A,Groups!BG:BG)*_xlfn.XLOOKUP(B191,'Base stats'!B:B,'Base stats'!C:C)^-0.165,0.01)</f>
        <v>0.57000000000000006</v>
      </c>
      <c r="X191" s="1">
        <f>MROUND(_xlfn.XLOOKUP(_xlfn.XLOOKUP(B191,'Base stats'!B:B,'Base stats'!E:E),Groups!A:A,Groups!BH:BH)*_xlfn.XLOOKUP(B191,'Base stats'!B:B,'Base stats'!C:C)^0.165,0.01)</f>
        <v>0</v>
      </c>
      <c r="Y191" s="8">
        <f>MROUND(_xlfn.XLOOKUP(_xlfn.XLOOKUP(B191,'Base stats'!B:B,'Base stats'!E:E),Groups!A:A,Groups!BI:BI)*_xlfn.XLOOKUP(B191,'Base stats'!B:B,'Base stats'!C:C)^0.165,0.01)</f>
        <v>0</v>
      </c>
      <c r="Z191" s="18">
        <f>ROUND(_xlfn.XLOOKUP(B191,'Base stats'!B:B,'Base stats'!AO:AO)*_xlfn.XLOOKUP(_xlfn.XLOOKUP(B191,'Base stats'!B:B,'Base stats'!E:E),Groups!A:A,Groups!H:H)/1000,2)</f>
        <v>0</v>
      </c>
      <c r="AA191" s="18">
        <f>ROUND((1/2)*(_xlfn.XLOOKUP(_xlfn.XLOOKUP(B191,'Base stats'!B:B,'Base stats'!E:E),Groups!A:A,Groups!H:H)*_xlfn.XLOOKUP(_xlfn.XLOOKUP(B191,'Base stats'!B:B,'Base stats'!E:E),Groups!A:A,Groups!I:I))*_xlfn.XLOOKUP(B191,'Base stats'!B:B,'Base stats'!AO:AO)*0.01,2)</f>
        <v>0.01</v>
      </c>
      <c r="AB191" s="18">
        <f>250*(Animals!AO191+Animals!AP191)</f>
        <v>350.00000000000006</v>
      </c>
      <c r="AC191" s="18" t="str">
        <f>_xlfn.XLOOKUP(_xlfn.XLOOKUP(B191,'Base stats'!B:B,'Base stats'!E:E),Groups!A:A,Groups!BJ:BJ)</f>
        <v>Birdlike</v>
      </c>
    </row>
    <row r="192" spans="1:29" ht="16.5" thickTop="1" thickBot="1" x14ac:dyDescent="0.3">
      <c r="A192" s="16" t="str">
        <f>Animals!A192</f>
        <v>Hippo</v>
      </c>
      <c r="B192" s="6" t="str">
        <f>Animals!B192</f>
        <v>Hippopotamus amphibius</v>
      </c>
      <c r="C192" s="1" t="str">
        <f>Animals!C192</f>
        <v>&lt;li&gt;AEXP_Hippopotamus&lt;/li&gt;</v>
      </c>
      <c r="D192" s="47">
        <f>MAX(MROUND(_xlfn.XLOOKUP(B192,'Base stats'!B:B,'Base stats'!BQ:BQ) * (_xlfn.XLOOKUP(B192,'Base stats'!B:B,'Base stats'!AM:AM)*5%)^0.9 / 21,0.1),0.05)</f>
        <v>27.200000000000003</v>
      </c>
      <c r="E192" s="11">
        <f>MAX(0.01,MROUND(_xlfn.XLOOKUP(B192,'Base stats'!B:B,'Base stats'!BE:BE) * 0.01 * 2, 0.01))</f>
        <v>27.26</v>
      </c>
      <c r="F192" s="7">
        <f>MROUND(_xlfn.XLOOKUP(B192,'Base stats'!B:B,'Base stats'!BB:BB)^0.25 / (_xlfn.XLOOKUP(B192,'Base stats'!B:B,'Base stats'!BI:BI) * 10) * 150 + 0.5 + _xlfn.XLOOKUP(B192,'Base stats'!B:B,'Base stats'!BU:BU), 0.05)</f>
        <v>2</v>
      </c>
      <c r="G192" s="3" t="str">
        <f>IF(Animals!S192="No","No",
IF(_xlfn.XLOOKUP(B192,'Base stats'!B:B,'Base stats'!U:U)="No",
MAX(MROUND(_xlfn.XLOOKUP(B192,'Base stats'!B:B,'Base stats'!BR:BR) * _xlfn.XLOOKUP(B192,'Base stats'!B:B,'Base stats'!BN:BN)^0.9 / 21 * _xlfn.XLOOKUP(B192,'Base stats'!B:B,'Base stats'!BV:BV),0.1),0.05),
MAX(MROUND(((MIN(10,_xlfn.XLOOKUP(B192,'Base stats'!B:B,'Base stats'!U:U)))^0.4*_xlfn.XLOOKUP(B192,'Base stats'!B:B,'Base stats'!BF:BF)^0.73)^0.6 * _xlfn.XLOOKUP(B192,'Base stats'!B:B,'Base stats'!BV:BV),0.1),0.05)
))</f>
        <v>No</v>
      </c>
      <c r="H192" s="11" t="str">
        <f>IF(G192="No","No",
MAX(0.01,MROUND(_xlfn.XLOOKUP(B192,'Base stats'!B:B,'Base stats'!BF:BF) * 0.01 * 2, 0.01))
)</f>
        <v>No</v>
      </c>
      <c r="I192" s="11" t="str">
        <f>IF(G192="No","No",IF(_xlfn.XLOOKUP(B192,'Base stats'!B:B,'Base stats'!U:U)="No","No",
MAX(0.01,MROUND(_xlfn.XLOOKUP(B192,'Base stats'!B:B,'Base stats'!BR:BR)/10000,0.01))
))</f>
        <v>No</v>
      </c>
      <c r="J192" s="4" t="str">
        <f>IF(G192="No","No",
MROUND(_xlfn.XLOOKUP(B192,'Base stats'!B:B,'Base stats'!BC:BC)^0.25
/((_xlfn.XLOOKUP(B192,'Base stats'!B:B,'Base stats'!BJ:BJ))*10)*_xlfn.XLOOKUP(_xlfn.XLOOKUP(B192,'Base stats'!B:B,'Base stats'!E:E),Groups!A:A,Groups!Q:Q)*150 + 0.5 + _xlfn.XLOOKUP(B192,'Base stats'!B:B,'Base stats'!BU:BU),
0.05))</f>
        <v>No</v>
      </c>
      <c r="K192" s="3" t="str">
        <f>IF(Animals!X192="No","No",
IF(_xlfn.XLOOKUP(_xlfn.XLOOKUP(B192,'Base stats'!B:B,'Base stats'!E:E),Groups!A:A,Groups!BD:BD)=1,
MAX(MROUND(_xlfn.XLOOKUP(B192,'Base stats'!B:B,'Base stats'!BS:BS) * _xlfn.XLOOKUP(B192,'Base stats'!B:B,'Base stats'!BO:BO)^0.9 / 21 *_xlfn.XLOOKUP(B192,'Base stats'!B:B,'Base stats'!BV:BV),0.1),0.05),
MAX(MROUND(((MIN(10,_xlfn.XLOOKUP(B192,'Base stats'!B:B,'Base stats'!W:W)))^0.4*_xlfn.XLOOKUP(B192,'Base stats'!B:B,'Base stats'!BG:BG)^0.73)^0.6 *_xlfn.XLOOKUP(B192,'Base stats'!B:B,'Base stats'!BV:BV),0.1),0.05)
))</f>
        <v>No</v>
      </c>
      <c r="L192" s="11" t="str">
        <f>IF(K192="No","No",
MAX(0.01,MROUND(_xlfn.XLOOKUP(B192,'Base stats'!B:B,'Base stats'!BG:BG) * 0.01 *2, 0.01))
)</f>
        <v>No</v>
      </c>
      <c r="M192" s="5" t="str">
        <f>IF(K192="No","No",IF(_xlfn.XLOOKUP(_xlfn.XLOOKUP(B192,'Base stats'!B:B,'Base stats'!E:E),Groups!A:A,Groups!BD:BD)=1,"No",
MAX(0.01,MROUND(_xlfn.XLOOKUP(B192,'Base stats'!B:B,'Base stats'!BS:BS)/10000,0.01))
))</f>
        <v>No</v>
      </c>
      <c r="N192" s="4" t="str">
        <f>IF(K192="No","No",
MROUND(
  _xlfn.XLOOKUP(B192,'Base stats'!B:B,'Base stats'!BA:BA)^0.25
  / (_xlfn.XLOOKUP(B192,'Base stats'!B:B,'Base stats'!BK:BK)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stats'!BU:BU),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stats'!BH:BH)^0.73)^0.6 *_xlfn.XLOOKUP(B192,'Base stats'!B:B,'Base stats'!BV:BV),0.1),0.05)
)</f>
        <v>33.4</v>
      </c>
      <c r="P192" s="11">
        <f>IF(O192="No","No",
MAX(0.01,MROUND(_xlfn.XLOOKUP(B192,'Base stats'!B:B,'Base stats'!BH:BH) * 0.01 * 2, 0.01))
)</f>
        <v>17.059999999999999</v>
      </c>
      <c r="Q192" s="5">
        <f>IF(O192="No","No",
MAX(0.01,MROUND(_xlfn.XLOOKUP(B192,'Base stats'!B:B,'Base stats'!BT:BT)/10000,0.01))
)</f>
        <v>0.1</v>
      </c>
      <c r="R192" s="4">
        <f>IF(O192="No","No",
MROUND(_xlfn.XLOOKUP(B192,'Base stats'!B:B,'Base stats'!AZ:AZ)^0.25
/((_xlfn.XLOOKUP(B192,'Base stats'!B:B,'Base stats'!BL:BL))*10)*_xlfn.XLOOKUP(_xlfn.XLOOKUP(B192,'Base stats'!B:B,'Base stats'!E:E),Groups!A:A,Groups!Z:Z)*150 + 0.5 + _xlfn.XLOOKUP(B192,'Base stats'!B:B,'Base stats'!BU:BU),
0.05))</f>
        <v>2.7</v>
      </c>
      <c r="S192" s="3" t="str">
        <f>IF(Animals!AI192="No","No",
IF(_xlfn.XLOOKUP(B192,'Base stats'!B:B,'Base stats'!U:U)="No",
MAX(MROUND(_xlfn.XLOOKUP(B192,'Base stats'!B:B,'Base stats'!BR:BR) * _xlfn.XLOOKUP(B192,'Base stats'!B:B,'Base stats'!BN:BN)^0.9 / 21 * _xlfn.XLOOKUP(B192,'Base stats'!B:B,'Base stats'!BV:BV),0.1),0.05),
MAX(MROUND(((MIN(12,_xlfn.XLOOKUP(B192,'Base stats'!B:B,'Base stats'!U:U)))^0.4*_xlfn.XLOOKUP(B192,'Base stats'!B:B,'Base stats'!BF:BF)^0.73)^0.6 * _xlfn.XLOOKUP(B192,'Base stats'!B:B,'Base stats'!BV:BV),0.1),0.05)
))</f>
        <v>No</v>
      </c>
      <c r="T192" s="11" t="str">
        <f>IF(S192="No","No",
MAX(0.01,MROUND(_xlfn.XLOOKUP(B192,'Base stats'!B:B,'Base stats'!BF:BF) * 0.01 * 2, 0.01))
)</f>
        <v>No</v>
      </c>
      <c r="U192" s="5" t="str">
        <f>IF(S192="No","No",IF(_xlfn.XLOOKUP(B192,'Base stats'!B:B,'Base stats'!U:U)="No","No",
MAX(0.01,MROUND(_xlfn.XLOOKUP(B192,'Base stats'!B:B,'Base stats'!BR:BR)/10000,0.01))
))</f>
        <v>No</v>
      </c>
      <c r="V192" s="4" t="str">
        <f>IF(S192="No","No",
MROUND(_xlfn.XLOOKUP(B192,'Base stats'!B:B,'Base stats'!BD:BD)^0.25
/((_xlfn.XLOOKUP(B192,'Base stats'!B:B,'Base stats'!BM:BM))*10)*_xlfn.XLOOKUP(_xlfn.XLOOKUP(B192,'Base stats'!B:B,'Base stats'!E:E),Groups!A:A,Groups!AE:AE)*150 + 0.5 + _xlfn.XLOOKUP(B192,'Base stats'!B:B,'Base stats'!BU:BU),
0.05))</f>
        <v>No</v>
      </c>
      <c r="W192" s="8">
        <f>MROUND(_xlfn.XLOOKUP(_xlfn.XLOOKUP(B192,'Base stats'!B:B,'Base stats'!E:E),Groups!A:A,Groups!BG:BG)*_xlfn.XLOOKUP(B192,'Base stats'!B:B,'Base stats'!C:C)^-0.165,0.01)</f>
        <v>0.08</v>
      </c>
      <c r="X192" s="1">
        <f>MROUND(_xlfn.XLOOKUP(_xlfn.XLOOKUP(B192,'Base stats'!B:B,'Base stats'!E:E),Groups!A:A,Groups!BH:BH)*_xlfn.XLOOKUP(B192,'Base stats'!B:B,'Base stats'!C:C)^0.165,0.01)</f>
        <v>0.33</v>
      </c>
      <c r="Y192" s="8">
        <f>MROUND(_xlfn.XLOOKUP(_xlfn.XLOOKUP(B192,'Base stats'!B:B,'Base stats'!E:E),Groups!A:A,Groups!BI:BI)*_xlfn.XLOOKUP(B192,'Base stats'!B:B,'Base stats'!C:C)^0.165,0.01)</f>
        <v>0.08</v>
      </c>
      <c r="Z192" s="18">
        <f>ROUND(_xlfn.XLOOKUP(B192,'Base stats'!B:B,'Base stats'!AO:AO)*_xlfn.XLOOKUP(_xlfn.XLOOKUP(B192,'Base stats'!B:B,'Base stats'!E:E),Groups!A:A,Groups!H:H)/1000,2)</f>
        <v>0.4</v>
      </c>
      <c r="AA192" s="18">
        <f>ROUND((1/2)*(_xlfn.XLOOKUP(_xlfn.XLOOKUP(B192,'Base stats'!B:B,'Base stats'!E:E),Groups!A:A,Groups!H:H)*_xlfn.XLOOKUP(_xlfn.XLOOKUP(B192,'Base stats'!B:B,'Base stats'!E:E),Groups!A:A,Groups!I:I))*_xlfn.XLOOKUP(B192,'Base stats'!B:B,'Base stats'!AO:AO)*0.01,2)</f>
        <v>2.19</v>
      </c>
      <c r="AB192" s="18">
        <f>250*(Animals!AO192+Animals!AP192)</f>
        <v>2062.5</v>
      </c>
      <c r="AC192" s="18" t="str">
        <f>_xlfn.XLOOKUP(_xlfn.XLOOKUP(B192,'Base stats'!B:B,'Base stats'!E:E),Groups!A:A,Groups!BJ:BJ)</f>
        <v>Quadruped</v>
      </c>
    </row>
    <row r="193" spans="1:29" ht="16.5" thickTop="1" thickBot="1" x14ac:dyDescent="0.3">
      <c r="A193" s="16" t="str">
        <f>Animals!A193</f>
        <v>Otter</v>
      </c>
      <c r="B193" s="6" t="str">
        <f>Animals!B193</f>
        <v>Lutra lutra</v>
      </c>
      <c r="C193" s="1" t="str">
        <f>Animals!C193</f>
        <v>&lt;li&gt;AEXP_Otter&lt;/li&gt;</v>
      </c>
      <c r="D193" s="47">
        <f>MAX(MROUND(_xlfn.XLOOKUP(B193,'Base stats'!B:B,'Base stats'!BQ:BQ) * (_xlfn.XLOOKUP(B193,'Base stats'!B:B,'Base stats'!AM:AM)*5%)^0.9 / 21,0.1),0.05)</f>
        <v>0.5</v>
      </c>
      <c r="E193" s="11">
        <f>MAX(0.01,MROUND(_xlfn.XLOOKUP(B193,'Base stats'!B:B,'Base stats'!BE:BE) * 0.01 * 2, 0.01))</f>
        <v>0.35000000000000003</v>
      </c>
      <c r="F193" s="7">
        <f>MROUND(_xlfn.XLOOKUP(B193,'Base stats'!B:B,'Base stats'!BB:BB)^0.25 / (_xlfn.XLOOKUP(B193,'Base stats'!B:B,'Base stats'!BI:BI) * 10) * 150 + 0.5 + _xlfn.XLOOKUP(B193,'Base stats'!B:B,'Base stats'!BU:BU), 0.05)</f>
        <v>1.6</v>
      </c>
      <c r="G193" s="3" t="str">
        <f>IF(Animals!S193="No","No",
IF(_xlfn.XLOOKUP(B193,'Base stats'!B:B,'Base stats'!U:U)="No",
MAX(MROUND(_xlfn.XLOOKUP(B193,'Base stats'!B:B,'Base stats'!BR:BR) * _xlfn.XLOOKUP(B193,'Base stats'!B:B,'Base stats'!BN:BN)^0.9 / 21 * _xlfn.XLOOKUP(B193,'Base stats'!B:B,'Base stats'!BV:BV),0.1),0.05),
MAX(MROUND(((MIN(10,_xlfn.XLOOKUP(B193,'Base stats'!B:B,'Base stats'!U:U)))^0.4*_xlfn.XLOOKUP(B193,'Base stats'!B:B,'Base stats'!BF:BF)^0.73)^0.6 * _xlfn.XLOOKUP(B193,'Base stats'!B:B,'Base stats'!BV:BV),0.1),0.05)
))</f>
        <v>No</v>
      </c>
      <c r="H193" s="11" t="str">
        <f>IF(G193="No","No",
MAX(0.01,MROUND(_xlfn.XLOOKUP(B193,'Base stats'!B:B,'Base stats'!BF:BF) * 0.01 * 2, 0.01))
)</f>
        <v>No</v>
      </c>
      <c r="I193" s="11" t="str">
        <f>IF(G193="No","No",IF(_xlfn.XLOOKUP(B193,'Base stats'!B:B,'Base stats'!U:U)="No","No",
MAX(0.01,MROUND(_xlfn.XLOOKUP(B193,'Base stats'!B:B,'Base stats'!BR:BR)/10000,0.01))
))</f>
        <v>No</v>
      </c>
      <c r="J193" s="4" t="str">
        <f>IF(G193="No","No",
MROUND(_xlfn.XLOOKUP(B193,'Base stats'!B:B,'Base stats'!BC:BC)^0.25
/((_xlfn.XLOOKUP(B193,'Base stats'!B:B,'Base stats'!BJ:BJ))*10)*_xlfn.XLOOKUP(_xlfn.XLOOKUP(B193,'Base stats'!B:B,'Base stats'!E:E),Groups!A:A,Groups!Q:Q)*150 + 0.5 + _xlfn.XLOOKUP(B193,'Base stats'!B:B,'Base stats'!BU:BU),
0.05))</f>
        <v>No</v>
      </c>
      <c r="K193" s="3" t="str">
        <f>IF(Animals!X193="No","No",
IF(_xlfn.XLOOKUP(_xlfn.XLOOKUP(B193,'Base stats'!B:B,'Base stats'!E:E),Groups!A:A,Groups!BD:BD)=1,
MAX(MROUND(_xlfn.XLOOKUP(B193,'Base stats'!B:B,'Base stats'!BS:BS) * _xlfn.XLOOKUP(B193,'Base stats'!B:B,'Base stats'!BO:BO)^0.9 / 21 *_xlfn.XLOOKUP(B193,'Base stats'!B:B,'Base stats'!BV:BV),0.1),0.05),
MAX(MROUND(((MIN(10,_xlfn.XLOOKUP(B193,'Base stats'!B:B,'Base stats'!W:W)))^0.4*_xlfn.XLOOKUP(B193,'Base stats'!B:B,'Base stats'!BG:BG)^0.73)^0.6 *_xlfn.XLOOKUP(B193,'Base stats'!B:B,'Base stats'!BV:BV),0.1),0.05)
))</f>
        <v>No</v>
      </c>
      <c r="L193" s="11" t="str">
        <f>IF(K193="No","No",
MAX(0.01,MROUND(_xlfn.XLOOKUP(B193,'Base stats'!B:B,'Base stats'!BG:BG) * 0.01 *2, 0.01))
)</f>
        <v>No</v>
      </c>
      <c r="M193" s="5" t="str">
        <f>IF(K193="No","No",IF(_xlfn.XLOOKUP(_xlfn.XLOOKUP(B193,'Base stats'!B:B,'Base stats'!E:E),Groups!A:A,Groups!BD:BD)=1,"No",
MAX(0.01,MROUND(_xlfn.XLOOKUP(B193,'Base stats'!B:B,'Base stats'!BS:BS)/10000,0.01))
))</f>
        <v>No</v>
      </c>
      <c r="N193" s="4" t="str">
        <f>IF(K193="No","No",
MROUND(
  _xlfn.XLOOKUP(B193,'Base stats'!B:B,'Base stats'!BA:BA)^0.25
  / (_xlfn.XLOOKUP(B193,'Base stats'!B:B,'Base stats'!BK:BK)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stats'!BU:BU),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stats'!BH:BH)^0.73)^0.6 *_xlfn.XLOOKUP(B193,'Base stats'!B:B,'Base stats'!BV:BV),0.1),0.05)
)</f>
        <v>4.5</v>
      </c>
      <c r="P193" s="11">
        <f>IF(O193="No","No",
MAX(0.01,MROUND(_xlfn.XLOOKUP(B193,'Base stats'!B:B,'Base stats'!BH:BH) * 0.01 * 2, 0.01))
)</f>
        <v>0.52</v>
      </c>
      <c r="Q193" s="5">
        <f>IF(O193="No","No",
MAX(0.01,MROUND(_xlfn.XLOOKUP(B193,'Base stats'!B:B,'Base stats'!BT:BT)/10000,0.01))
)</f>
        <v>7.0000000000000007E-2</v>
      </c>
      <c r="R193" s="4">
        <f>IF(O193="No","No",
MROUND(_xlfn.XLOOKUP(B193,'Base stats'!B:B,'Base stats'!AZ:AZ)^0.25
/((_xlfn.XLOOKUP(B193,'Base stats'!B:B,'Base stats'!BL:BL))*10)*_xlfn.XLOOKUP(_xlfn.XLOOKUP(B193,'Base stats'!B:B,'Base stats'!E:E),Groups!A:A,Groups!Z:Z)*150 + 0.5 + _xlfn.XLOOKUP(B193,'Base stats'!B:B,'Base stats'!BU:BU),
0.05))</f>
        <v>1.9000000000000001</v>
      </c>
      <c r="S193" s="3">
        <f>IF(Animals!AI193="No","No",
IF(_xlfn.XLOOKUP(B193,'Base stats'!B:B,'Base stats'!U:U)="No",
MAX(MROUND(_xlfn.XLOOKUP(B193,'Base stats'!B:B,'Base stats'!BR:BR) * _xlfn.XLOOKUP(B193,'Base stats'!B:B,'Base stats'!BN:BN)^0.9 / 21 * _xlfn.XLOOKUP(B193,'Base stats'!B:B,'Base stats'!BV:BV),0.1),0.05),
MAX(MROUND(((MIN(12,_xlfn.XLOOKUP(B193,'Base stats'!B:B,'Base stats'!U:U)))^0.4*_xlfn.XLOOKUP(B193,'Base stats'!B:B,'Base stats'!BF:BF)^0.73)^0.6 * _xlfn.XLOOKUP(B193,'Base stats'!B:B,'Base stats'!BV:BV),0.1),0.05)
))</f>
        <v>4.1000000000000005</v>
      </c>
      <c r="T193" s="11">
        <f>IF(S193="No","No",
MAX(0.01,MROUND(_xlfn.XLOOKUP(B193,'Base stats'!B:B,'Base stats'!BF:BF) * 0.01 * 2, 0.01))
)</f>
        <v>0.5</v>
      </c>
      <c r="U193" s="5">
        <f>IF(S193="No","No",IF(_xlfn.XLOOKUP(B193,'Base stats'!B:B,'Base stats'!U:U)="No","No",
MAX(0.01,MROUND(_xlfn.XLOOKUP(B193,'Base stats'!B:B,'Base stats'!BR:BR)/10000,0.01))
))</f>
        <v>0.06</v>
      </c>
      <c r="V193" s="4">
        <f>IF(S193="No","No",
MROUND(_xlfn.XLOOKUP(B193,'Base stats'!B:B,'Base stats'!BD:BD)^0.25
/((_xlfn.XLOOKUP(B193,'Base stats'!B:B,'Base stats'!BM:BM))*10)*_xlfn.XLOOKUP(_xlfn.XLOOKUP(B193,'Base stats'!B:B,'Base stats'!E:E),Groups!A:A,Groups!AE:AE)*150 + 0.5 + _xlfn.XLOOKUP(B193,'Base stats'!B:B,'Base stats'!BU:BU),
0.05))</f>
        <v>1.2000000000000002</v>
      </c>
      <c r="W193" s="8">
        <f>MROUND(_xlfn.XLOOKUP(_xlfn.XLOOKUP(B193,'Base stats'!B:B,'Base stats'!E:E),Groups!A:A,Groups!BG:BG)*_xlfn.XLOOKUP(B193,'Base stats'!B:B,'Base stats'!C:C)^-0.165,0.01)</f>
        <v>0.74</v>
      </c>
      <c r="X193" s="1">
        <f>MROUND(_xlfn.XLOOKUP(_xlfn.XLOOKUP(B193,'Base stats'!B:B,'Base stats'!E:E),Groups!A:A,Groups!BH:BH)*_xlfn.XLOOKUP(B193,'Base stats'!B:B,'Base stats'!C:C)^0.165,0.01)</f>
        <v>0.3</v>
      </c>
      <c r="Y193" s="8">
        <f>MROUND(_xlfn.XLOOKUP(_xlfn.XLOOKUP(B193,'Base stats'!B:B,'Base stats'!E:E),Groups!A:A,Groups!BI:BI)*_xlfn.XLOOKUP(B193,'Base stats'!B:B,'Base stats'!C:C)^0.165,0.01)</f>
        <v>0.04</v>
      </c>
      <c r="Z193" s="18">
        <f>ROUND(_xlfn.XLOOKUP(B193,'Base stats'!B:B,'Base stats'!AO:AO)*_xlfn.XLOOKUP(_xlfn.XLOOKUP(B193,'Base stats'!B:B,'Base stats'!E:E),Groups!A:A,Groups!H:H)/1000,2)</f>
        <v>0.05</v>
      </c>
      <c r="AA193" s="18">
        <f>ROUND((1/2)*(_xlfn.XLOOKUP(_xlfn.XLOOKUP(B193,'Base stats'!B:B,'Base stats'!E:E),Groups!A:A,Groups!H:H)*_xlfn.XLOOKUP(_xlfn.XLOOKUP(B193,'Base stats'!B:B,'Base stats'!E:E),Groups!A:A,Groups!I:I))*_xlfn.XLOOKUP(B193,'Base stats'!B:B,'Base stats'!AO:AO)*0.01,2)</f>
        <v>0.39</v>
      </c>
      <c r="AB193" s="18">
        <f>250*(Animals!AO193+Animals!AP193)</f>
        <v>250</v>
      </c>
      <c r="AC193" s="18" t="str">
        <f>_xlfn.XLOOKUP(_xlfn.XLOOKUP(B193,'Base stats'!B:B,'Base stats'!E:E),Groups!A:A,Groups!BJ:BJ)</f>
        <v>QuadrupedLow</v>
      </c>
    </row>
    <row r="194" spans="1:29" ht="16.5" thickTop="1" thickBot="1" x14ac:dyDescent="0.3">
      <c r="A194" s="16" t="str">
        <f>Animals!A194</f>
        <v>Seal</v>
      </c>
      <c r="B194" s="6" t="str">
        <f>Animals!B194</f>
        <v>Phoca vitulina</v>
      </c>
      <c r="C194" s="1" t="str">
        <f>Animals!C194</f>
        <v>&lt;li&gt;AEXP_Seal&lt;/li&gt;</v>
      </c>
      <c r="D194" s="47">
        <f>MAX(MROUND(_xlfn.XLOOKUP(B194,'Base stats'!B:B,'Base stats'!BQ:BQ) * (_xlfn.XLOOKUP(B194,'Base stats'!B:B,'Base stats'!AM:AM)*5%)^0.9 / 21,0.1),0.05)</f>
        <v>3.4000000000000004</v>
      </c>
      <c r="E194" s="11">
        <f>MAX(0.01,MROUND(_xlfn.XLOOKUP(B194,'Base stats'!B:B,'Base stats'!BE:BE) * 0.01 * 2, 0.01))</f>
        <v>2.94</v>
      </c>
      <c r="F194" s="7">
        <f>MROUND(_xlfn.XLOOKUP(B194,'Base stats'!B:B,'Base stats'!BB:BB)^0.25 / (_xlfn.XLOOKUP(B194,'Base stats'!B:B,'Base stats'!BI:BI) * 10) * 150 + 0.5 + _xlfn.XLOOKUP(B194,'Base stats'!B:B,'Base stats'!BU:BU), 0.05)</f>
        <v>2</v>
      </c>
      <c r="G194" s="3" t="str">
        <f>IF(Animals!S194="No","No",
IF(_xlfn.XLOOKUP(B194,'Base stats'!B:B,'Base stats'!U:U)="No",
MAX(MROUND(_xlfn.XLOOKUP(B194,'Base stats'!B:B,'Base stats'!BR:BR) * _xlfn.XLOOKUP(B194,'Base stats'!B:B,'Base stats'!BN:BN)^0.9 / 21 * _xlfn.XLOOKUP(B194,'Base stats'!B:B,'Base stats'!BV:BV),0.1),0.05),
MAX(MROUND(((MIN(10,_xlfn.XLOOKUP(B194,'Base stats'!B:B,'Base stats'!U:U)))^0.4*_xlfn.XLOOKUP(B194,'Base stats'!B:B,'Base stats'!BF:BF)^0.73)^0.6 * _xlfn.XLOOKUP(B194,'Base stats'!B:B,'Base stats'!BV:BV),0.1),0.05)
))</f>
        <v>No</v>
      </c>
      <c r="H194" s="11" t="str">
        <f>IF(G194="No","No",
MAX(0.01,MROUND(_xlfn.XLOOKUP(B194,'Base stats'!B:B,'Base stats'!BF:BF) * 0.01 * 2, 0.01))
)</f>
        <v>No</v>
      </c>
      <c r="I194" s="11" t="str">
        <f>IF(G194="No","No",IF(_xlfn.XLOOKUP(B194,'Base stats'!B:B,'Base stats'!U:U)="No","No",
MAX(0.01,MROUND(_xlfn.XLOOKUP(B194,'Base stats'!B:B,'Base stats'!BR:BR)/10000,0.01))
))</f>
        <v>No</v>
      </c>
      <c r="J194" s="4" t="str">
        <f>IF(G194="No","No",
MROUND(_xlfn.XLOOKUP(B194,'Base stats'!B:B,'Base stats'!BC:BC)^0.25
/((_xlfn.XLOOKUP(B194,'Base stats'!B:B,'Base stats'!BJ:BJ))*10)*_xlfn.XLOOKUP(_xlfn.XLOOKUP(B194,'Base stats'!B:B,'Base stats'!E:E),Groups!A:A,Groups!Q:Q)*150 + 0.5 + _xlfn.XLOOKUP(B194,'Base stats'!B:B,'Base stats'!BU:BU),
0.05))</f>
        <v>No</v>
      </c>
      <c r="K194" s="3" t="str">
        <f>IF(Animals!X194="No","No",
IF(_xlfn.XLOOKUP(_xlfn.XLOOKUP(B194,'Base stats'!B:B,'Base stats'!E:E),Groups!A:A,Groups!BD:BD)=1,
MAX(MROUND(_xlfn.XLOOKUP(B194,'Base stats'!B:B,'Base stats'!BS:BS) * _xlfn.XLOOKUP(B194,'Base stats'!B:B,'Base stats'!BO:BO)^0.9 / 21 *_xlfn.XLOOKUP(B194,'Base stats'!B:B,'Base stats'!BV:BV),0.1),0.05),
MAX(MROUND(((MIN(10,_xlfn.XLOOKUP(B194,'Base stats'!B:B,'Base stats'!W:W)))^0.4*_xlfn.XLOOKUP(B194,'Base stats'!B:B,'Base stats'!BG:BG)^0.73)^0.6 *_xlfn.XLOOKUP(B194,'Base stats'!B:B,'Base stats'!BV:BV),0.1),0.05)
))</f>
        <v>No</v>
      </c>
      <c r="L194" s="11" t="str">
        <f>IF(K194="No","No",
MAX(0.01,MROUND(_xlfn.XLOOKUP(B194,'Base stats'!B:B,'Base stats'!BG:BG) * 0.01 *2, 0.01))
)</f>
        <v>No</v>
      </c>
      <c r="M194" s="5" t="str">
        <f>IF(K194="No","No",IF(_xlfn.XLOOKUP(_xlfn.XLOOKUP(B194,'Base stats'!B:B,'Base stats'!E:E),Groups!A:A,Groups!BD:BD)=1,"No",
MAX(0.01,MROUND(_xlfn.XLOOKUP(B194,'Base stats'!B:B,'Base stats'!BS:BS)/10000,0.01))
))</f>
        <v>No</v>
      </c>
      <c r="N194" s="4" t="str">
        <f>IF(K194="No","No",
MROUND(
  _xlfn.XLOOKUP(B194,'Base stats'!B:B,'Base stats'!BA:BA)^0.25
  / (_xlfn.XLOOKUP(B194,'Base stats'!B:B,'Base stats'!BK:BK)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stats'!BU:BU),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stats'!BH:BH)^0.73)^0.6 *_xlfn.XLOOKUP(B194,'Base stats'!B:B,'Base stats'!BV:BV),0.1),0.05)
)</f>
        <v>13.600000000000001</v>
      </c>
      <c r="P194" s="11">
        <f>IF(O194="No","No",
MAX(0.01,MROUND(_xlfn.XLOOKUP(B194,'Base stats'!B:B,'Base stats'!BH:BH) * 0.01 * 2, 0.01))
)</f>
        <v>3.43</v>
      </c>
      <c r="Q194" s="5">
        <f>IF(O194="No","No",
MAX(0.01,MROUND(_xlfn.XLOOKUP(B194,'Base stats'!B:B,'Base stats'!BT:BT)/10000,0.01))
)</f>
        <v>0.17</v>
      </c>
      <c r="R194" s="4">
        <f>IF(O194="No","No",
MROUND(_xlfn.XLOOKUP(B194,'Base stats'!B:B,'Base stats'!AZ:AZ)^0.25
/((_xlfn.XLOOKUP(B194,'Base stats'!B:B,'Base stats'!BL:BL))*10)*_xlfn.XLOOKUP(_xlfn.XLOOKUP(B194,'Base stats'!B:B,'Base stats'!E:E),Groups!A:A,Groups!Z:Z)*150 + 0.5 + _xlfn.XLOOKUP(B194,'Base stats'!B:B,'Base stats'!BU:BU),
0.05))</f>
        <v>2.2000000000000002</v>
      </c>
      <c r="S194" s="3" t="str">
        <f>IF(Animals!AI194="No","No",
IF(_xlfn.XLOOKUP(B194,'Base stats'!B:B,'Base stats'!U:U)="No",
MAX(MROUND(_xlfn.XLOOKUP(B194,'Base stats'!B:B,'Base stats'!BR:BR) * _xlfn.XLOOKUP(B194,'Base stats'!B:B,'Base stats'!BN:BN)^0.9 / 21 * _xlfn.XLOOKUP(B194,'Base stats'!B:B,'Base stats'!BV:BV),0.1),0.05),
MAX(MROUND(((MIN(12,_xlfn.XLOOKUP(B194,'Base stats'!B:B,'Base stats'!U:U)))^0.4*_xlfn.XLOOKUP(B194,'Base stats'!B:B,'Base stats'!BF:BF)^0.73)^0.6 * _xlfn.XLOOKUP(B194,'Base stats'!B:B,'Base stats'!BV:BV),0.1),0.05)
))</f>
        <v>No</v>
      </c>
      <c r="T194" s="11" t="str">
        <f>IF(S194="No","No",
MAX(0.01,MROUND(_xlfn.XLOOKUP(B194,'Base stats'!B:B,'Base stats'!BF:BF) * 0.01 * 2, 0.01))
)</f>
        <v>No</v>
      </c>
      <c r="U194" s="5" t="str">
        <f>IF(S194="No","No",IF(_xlfn.XLOOKUP(B194,'Base stats'!B:B,'Base stats'!U:U)="No","No",
MAX(0.01,MROUND(_xlfn.XLOOKUP(B194,'Base stats'!B:B,'Base stats'!BR:BR)/10000,0.01))
))</f>
        <v>No</v>
      </c>
      <c r="V194" s="4" t="str">
        <f>IF(S194="No","No",
MROUND(_xlfn.XLOOKUP(B194,'Base stats'!B:B,'Base stats'!BD:BD)^0.25
/((_xlfn.XLOOKUP(B194,'Base stats'!B:B,'Base stats'!BM:BM))*10)*_xlfn.XLOOKUP(_xlfn.XLOOKUP(B194,'Base stats'!B:B,'Base stats'!E:E),Groups!A:A,Groups!AE:AE)*150 + 0.5 + _xlfn.XLOOKUP(B194,'Base stats'!B:B,'Base stats'!BU:BU),
0.05))</f>
        <v>No</v>
      </c>
      <c r="W194" s="8">
        <f>MROUND(_xlfn.XLOOKUP(_xlfn.XLOOKUP(B194,'Base stats'!B:B,'Base stats'!E:E),Groups!A:A,Groups!BG:BG)*_xlfn.XLOOKUP(B194,'Base stats'!B:B,'Base stats'!C:C)^-0.165,0.01)</f>
        <v>0.32</v>
      </c>
      <c r="X194" s="1">
        <f>MROUND(_xlfn.XLOOKUP(_xlfn.XLOOKUP(B194,'Base stats'!B:B,'Base stats'!E:E),Groups!A:A,Groups!BH:BH)*_xlfn.XLOOKUP(B194,'Base stats'!B:B,'Base stats'!C:C)^0.165,0.01)</f>
        <v>0.22</v>
      </c>
      <c r="Y194" s="8">
        <f>MROUND(_xlfn.XLOOKUP(_xlfn.XLOOKUP(B194,'Base stats'!B:B,'Base stats'!E:E),Groups!A:A,Groups!BI:BI)*_xlfn.XLOOKUP(B194,'Base stats'!B:B,'Base stats'!C:C)^0.165,0.01)</f>
        <v>0.05</v>
      </c>
      <c r="Z194" s="18">
        <f>ROUND(_xlfn.XLOOKUP(B194,'Base stats'!B:B,'Base stats'!AO:AO)*_xlfn.XLOOKUP(_xlfn.XLOOKUP(B194,'Base stats'!B:B,'Base stats'!E:E),Groups!A:A,Groups!H:H)/1000,2)</f>
        <v>0.12</v>
      </c>
      <c r="AA194" s="18">
        <f>ROUND((1/2)*(_xlfn.XLOOKUP(_xlfn.XLOOKUP(B194,'Base stats'!B:B,'Base stats'!E:E),Groups!A:A,Groups!H:H)*_xlfn.XLOOKUP(_xlfn.XLOOKUP(B194,'Base stats'!B:B,'Base stats'!E:E),Groups!A:A,Groups!I:I))*_xlfn.XLOOKUP(B194,'Base stats'!B:B,'Base stats'!AO:AO)*0.01,2)</f>
        <v>0.64</v>
      </c>
      <c r="AB194" s="18">
        <f>250*(Animals!AO194+Animals!AP194)</f>
        <v>712.5</v>
      </c>
      <c r="AC194" s="18" t="str">
        <f>_xlfn.XLOOKUP(_xlfn.XLOOKUP(B194,'Base stats'!B:B,'Base stats'!E:E),Groups!A:A,Groups!BJ:BJ)</f>
        <v>QuadrupedLow</v>
      </c>
    </row>
    <row r="195" spans="1:29" ht="16.5" thickTop="1" thickBot="1" x14ac:dyDescent="0.3">
      <c r="A195" s="16" t="str">
        <f>Animals!A195</f>
        <v>Walrus</v>
      </c>
      <c r="B195" s="6" t="str">
        <f>Animals!B195</f>
        <v>Odobenus rosmarus</v>
      </c>
      <c r="C195" s="1" t="str">
        <f>Animals!C195</f>
        <v>&lt;li&gt;AEXP_Walrus&lt;/li&gt;</v>
      </c>
      <c r="D195" s="47">
        <f>MAX(MROUND(_xlfn.XLOOKUP(B195,'Base stats'!B:B,'Base stats'!BQ:BQ) * (_xlfn.XLOOKUP(B195,'Base stats'!B:B,'Base stats'!AM:AM)*5%)^0.9 / 21,0.1),0.05)</f>
        <v>21.5</v>
      </c>
      <c r="E195" s="11">
        <f>MAX(0.01,MROUND(_xlfn.XLOOKUP(B195,'Base stats'!B:B,'Base stats'!BE:BE) * 0.01 * 2, 0.01))</f>
        <v>21.2</v>
      </c>
      <c r="F195" s="7">
        <f>MROUND(_xlfn.XLOOKUP(B195,'Base stats'!B:B,'Base stats'!BB:BB)^0.25 / (_xlfn.XLOOKUP(B195,'Base stats'!B:B,'Base stats'!BI:BI) * 10) * 150 + 0.5 + _xlfn.XLOOKUP(B195,'Base stats'!B:B,'Base stats'!BU:BU), 0.05)</f>
        <v>2.6500000000000004</v>
      </c>
      <c r="G195" s="3" t="str">
        <f>IF(Animals!S195="No","No",
IF(_xlfn.XLOOKUP(B195,'Base stats'!B:B,'Base stats'!U:U)="No",
MAX(MROUND(_xlfn.XLOOKUP(B195,'Base stats'!B:B,'Base stats'!BR:BR) * _xlfn.XLOOKUP(B195,'Base stats'!B:B,'Base stats'!BN:BN)^0.9 / 21 * _xlfn.XLOOKUP(B195,'Base stats'!B:B,'Base stats'!BV:BV),0.1),0.05),
MAX(MROUND(((MIN(10,_xlfn.XLOOKUP(B195,'Base stats'!B:B,'Base stats'!U:U)))^0.4*_xlfn.XLOOKUP(B195,'Base stats'!B:B,'Base stats'!BF:BF)^0.73)^0.6 * _xlfn.XLOOKUP(B195,'Base stats'!B:B,'Base stats'!BV:BV),0.1),0.05)
))</f>
        <v>No</v>
      </c>
      <c r="H195" s="11" t="str">
        <f>IF(G195="No","No",
MAX(0.01,MROUND(_xlfn.XLOOKUP(B195,'Base stats'!B:B,'Base stats'!BF:BF) * 0.01 * 2, 0.01))
)</f>
        <v>No</v>
      </c>
      <c r="I195" s="11" t="str">
        <f>IF(G195="No","No",IF(_xlfn.XLOOKUP(B195,'Base stats'!B:B,'Base stats'!U:U)="No","No",
MAX(0.01,MROUND(_xlfn.XLOOKUP(B195,'Base stats'!B:B,'Base stats'!BR:BR)/10000,0.01))
))</f>
        <v>No</v>
      </c>
      <c r="J195" s="4" t="str">
        <f>IF(G195="No","No",
MROUND(_xlfn.XLOOKUP(B195,'Base stats'!B:B,'Base stats'!BC:BC)^0.25
/((_xlfn.XLOOKUP(B195,'Base stats'!B:B,'Base stats'!BJ:BJ))*10)*_xlfn.XLOOKUP(_xlfn.XLOOKUP(B195,'Base stats'!B:B,'Base stats'!E:E),Groups!A:A,Groups!Q:Q)*150 + 0.5 + _xlfn.XLOOKUP(B195,'Base stats'!B:B,'Base stats'!BU:BU),
0.05))</f>
        <v>No</v>
      </c>
      <c r="K195" s="3">
        <f>IF(Animals!X195="No","No",
IF(_xlfn.XLOOKUP(_xlfn.XLOOKUP(B195,'Base stats'!B:B,'Base stats'!E:E),Groups!A:A,Groups!BD:BD)=1,
MAX(MROUND(_xlfn.XLOOKUP(B195,'Base stats'!B:B,'Base stats'!BS:BS) * _xlfn.XLOOKUP(B195,'Base stats'!B:B,'Base stats'!BO:BO)^0.9 / 21 *_xlfn.XLOOKUP(B195,'Base stats'!B:B,'Base stats'!BV:BV),0.1),0.05),
MAX(MROUND(((MIN(10,_xlfn.XLOOKUP(B195,'Base stats'!B:B,'Base stats'!W:W)))^0.4*_xlfn.XLOOKUP(B195,'Base stats'!B:B,'Base stats'!BG:BG)^0.73)^0.6 *_xlfn.XLOOKUP(B195,'Base stats'!B:B,'Base stats'!BV:BV),0.1),0.05)
))</f>
        <v>41.6</v>
      </c>
      <c r="L195" s="11">
        <f>IF(K195="No","No",
MAX(0.01,MROUND(_xlfn.XLOOKUP(B195,'Base stats'!B:B,'Base stats'!BG:BG) * 0.01 *2, 0.01))
)</f>
        <v>28.14</v>
      </c>
      <c r="M195" s="5">
        <f>IF(K195="No","No",IF(_xlfn.XLOOKUP(_xlfn.XLOOKUP(B195,'Base stats'!B:B,'Base stats'!E:E),Groups!A:A,Groups!BD:BD)=1,"No",
MAX(0.01,MROUND(_xlfn.XLOOKUP(B195,'Base stats'!B:B,'Base stats'!BS:BS)/10000,0.01))
))</f>
        <v>1.3900000000000001</v>
      </c>
      <c r="N195" s="4">
        <f>IF(K195="No","No",
MROUND(
  _xlfn.XLOOKUP(B195,'Base stats'!B:B,'Base stats'!BA:BA)^0.25
  / (_xlfn.XLOOKUP(B195,'Base stats'!B:B,'Base stats'!BK:BK)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stats'!BU:BU),
0.05))</f>
        <v>3.1500000000000004</v>
      </c>
      <c r="O195" s="3" t="str">
        <f>IF(Animals!AD195="No","No",
MAX(MROUND((MIN(10,_xlfn.XLOOKUP(B195,'Base stats'!B:B,'Base stats'!V:V)*IF(_xlfn.XLOOKUP(_xlfn.XLOOKUP(B195,'Base stats'!B:B,'Base stats'!E:E),Groups!A:A,Groups!O:O)=0,1,0.33))^0.4*_xlfn.XLOOKUP(B195,'Base stats'!B:B,'Base stats'!BH:BH)^0.73)^0.6 *_xlfn.XLOOKUP(B195,'Base stats'!B:B,'Base stats'!BV:BV),0.1),0.05)
)</f>
        <v>No</v>
      </c>
      <c r="P195" s="11" t="str">
        <f>IF(O195="No","No",
MAX(0.01,MROUND(_xlfn.XLOOKUP(B195,'Base stats'!B:B,'Base stats'!BH:BH) * 0.01 * 2, 0.01))
)</f>
        <v>No</v>
      </c>
      <c r="Q195" s="5" t="str">
        <f>IF(O195="No","No",
MAX(0.01,MROUND(_xlfn.XLOOKUP(B195,'Base stats'!B:B,'Base stats'!BT:BT)/10000,0.01))
)</f>
        <v>No</v>
      </c>
      <c r="R195" s="4" t="str">
        <f>IF(O195="No","No",
MROUND(_xlfn.XLOOKUP(B195,'Base stats'!B:B,'Base stats'!AZ:AZ)^0.25
/((_xlfn.XLOOKUP(B195,'Base stats'!B:B,'Base stats'!BL:BL))*10)*_xlfn.XLOOKUP(_xlfn.XLOOKUP(B195,'Base stats'!B:B,'Base stats'!E:E),Groups!A:A,Groups!Z:Z)*150 + 0.5 + _xlfn.XLOOKUP(B195,'Base stats'!B:B,'Base stats'!BU:BU),
0.05))</f>
        <v>No</v>
      </c>
      <c r="S195" s="3" t="str">
        <f>IF(Animals!AI195="No","No",
IF(_xlfn.XLOOKUP(B195,'Base stats'!B:B,'Base stats'!U:U)="No",
MAX(MROUND(_xlfn.XLOOKUP(B195,'Base stats'!B:B,'Base stats'!BR:BR) * _xlfn.XLOOKUP(B195,'Base stats'!B:B,'Base stats'!BN:BN)^0.9 / 21 * _xlfn.XLOOKUP(B195,'Base stats'!B:B,'Base stats'!BV:BV),0.1),0.05),
MAX(MROUND(((MIN(12,_xlfn.XLOOKUP(B195,'Base stats'!B:B,'Base stats'!U:U)))^0.4*_xlfn.XLOOKUP(B195,'Base stats'!B:B,'Base stats'!BF:BF)^0.73)^0.6 * _xlfn.XLOOKUP(B195,'Base stats'!B:B,'Base stats'!BV:BV),0.1),0.05)
))</f>
        <v>No</v>
      </c>
      <c r="T195" s="11" t="str">
        <f>IF(S195="No","No",
MAX(0.01,MROUND(_xlfn.XLOOKUP(B195,'Base stats'!B:B,'Base stats'!BF:BF) * 0.01 * 2, 0.01))
)</f>
        <v>No</v>
      </c>
      <c r="U195" s="5" t="str">
        <f>IF(S195="No","No",IF(_xlfn.XLOOKUP(B195,'Base stats'!B:B,'Base stats'!U:U)="No","No",
MAX(0.01,MROUND(_xlfn.XLOOKUP(B195,'Base stats'!B:B,'Base stats'!BR:BR)/10000,0.01))
))</f>
        <v>No</v>
      </c>
      <c r="V195" s="4" t="str">
        <f>IF(S195="No","No",
MROUND(_xlfn.XLOOKUP(B195,'Base stats'!B:B,'Base stats'!BD:BD)^0.25
/((_xlfn.XLOOKUP(B195,'Base stats'!B:B,'Base stats'!BM:BM))*10)*_xlfn.XLOOKUP(_xlfn.XLOOKUP(B195,'Base stats'!B:B,'Base stats'!E:E),Groups!A:A,Groups!AE:AE)*150 + 0.5 + _xlfn.XLOOKUP(B195,'Base stats'!B:B,'Base stats'!BU:BU),
0.05))</f>
        <v>No</v>
      </c>
      <c r="W195" s="8">
        <f>MROUND(_xlfn.XLOOKUP(_xlfn.XLOOKUP(B195,'Base stats'!B:B,'Base stats'!E:E),Groups!A:A,Groups!BG:BG)*_xlfn.XLOOKUP(B195,'Base stats'!B:B,'Base stats'!C:C)^-0.165,0.01)</f>
        <v>0.22</v>
      </c>
      <c r="X195" s="1">
        <f>MROUND(_xlfn.XLOOKUP(_xlfn.XLOOKUP(B195,'Base stats'!B:B,'Base stats'!E:E),Groups!A:A,Groups!BH:BH)*_xlfn.XLOOKUP(B195,'Base stats'!B:B,'Base stats'!C:C)^0.165,0.01)</f>
        <v>0.31</v>
      </c>
      <c r="Y195" s="8">
        <f>MROUND(_xlfn.XLOOKUP(_xlfn.XLOOKUP(B195,'Base stats'!B:B,'Base stats'!E:E),Groups!A:A,Groups!BI:BI)*_xlfn.XLOOKUP(B195,'Base stats'!B:B,'Base stats'!C:C)^0.165,0.01)</f>
        <v>0.08</v>
      </c>
      <c r="Z195" s="18">
        <f>ROUND(_xlfn.XLOOKUP(B195,'Base stats'!B:B,'Base stats'!AO:AO)*_xlfn.XLOOKUP(_xlfn.XLOOKUP(B195,'Base stats'!B:B,'Base stats'!E:E),Groups!A:A,Groups!H:H)/1000,2)</f>
        <v>0.25</v>
      </c>
      <c r="AA195" s="18">
        <f>ROUND((1/2)*(_xlfn.XLOOKUP(_xlfn.XLOOKUP(B195,'Base stats'!B:B,'Base stats'!E:E),Groups!A:A,Groups!H:H)*_xlfn.XLOOKUP(_xlfn.XLOOKUP(B195,'Base stats'!B:B,'Base stats'!E:E),Groups!A:A,Groups!I:I))*_xlfn.XLOOKUP(B195,'Base stats'!B:B,'Base stats'!AO:AO)*0.01,2)</f>
        <v>1.38</v>
      </c>
      <c r="AB195" s="18">
        <f>250*(Animals!AO195+Animals!AP195)</f>
        <v>1925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Porcupine</v>
      </c>
      <c r="B196" s="6" t="str">
        <f>Animals!B196</f>
        <v>Erethizon dorsatum</v>
      </c>
      <c r="C196" s="1" t="str">
        <f>Animals!C196</f>
        <v>&lt;li&gt;AEXP_Porcupine&lt;/li&gt;</v>
      </c>
      <c r="D196" s="47">
        <f>MAX(MROUND(_xlfn.XLOOKUP(B196,'Base stats'!B:B,'Base stats'!BQ:BQ) * (_xlfn.XLOOKUP(B196,'Base stats'!B:B,'Base stats'!AM:AM)*5%)^0.9 / 21,0.1),0.05)</f>
        <v>0.60000000000000009</v>
      </c>
      <c r="E196" s="11">
        <f>MAX(0.01,MROUND(_xlfn.XLOOKUP(B196,'Base stats'!B:B,'Base stats'!BE:BE) * 0.01 * 2, 0.01))</f>
        <v>0.46</v>
      </c>
      <c r="F196" s="7">
        <f>MROUND(_xlfn.XLOOKUP(B196,'Base stats'!B:B,'Base stats'!BB:BB)^0.25 / (_xlfn.XLOOKUP(B196,'Base stats'!B:B,'Base stats'!BI:BI) * 10) * 150 + 0.5 + _xlfn.XLOOKUP(B196,'Base stats'!B:B,'Base stats'!BU:BU), 0.05)</f>
        <v>1.4500000000000002</v>
      </c>
      <c r="G196" s="3" t="str">
        <f>IF(Animals!S196="No","No",
IF(_xlfn.XLOOKUP(B196,'Base stats'!B:B,'Base stats'!U:U)="No",
MAX(MROUND(_xlfn.XLOOKUP(B196,'Base stats'!B:B,'Base stats'!BR:BR) * _xlfn.XLOOKUP(B196,'Base stats'!B:B,'Base stats'!BN:BN)^0.9 / 21 * _xlfn.XLOOKUP(B196,'Base stats'!B:B,'Base stats'!BV:BV),0.1),0.05),
MAX(MROUND(((MIN(10,_xlfn.XLOOKUP(B196,'Base stats'!B:B,'Base stats'!U:U)))^0.4*_xlfn.XLOOKUP(B196,'Base stats'!B:B,'Base stats'!BF:BF)^0.73)^0.6 * _xlfn.XLOOKUP(B196,'Base stats'!B:B,'Base stats'!BV:BV),0.1),0.05)
))</f>
        <v>No</v>
      </c>
      <c r="H196" s="11" t="str">
        <f>IF(G196="No","No",
MAX(0.01,MROUND(_xlfn.XLOOKUP(B196,'Base stats'!B:B,'Base stats'!BF:BF) * 0.01 * 2, 0.01))
)</f>
        <v>No</v>
      </c>
      <c r="I196" s="11" t="str">
        <f>IF(G196="No","No",IF(_xlfn.XLOOKUP(B196,'Base stats'!B:B,'Base stats'!U:U)="No","No",
MAX(0.01,MROUND(_xlfn.XLOOKUP(B196,'Base stats'!B:B,'Base stats'!BR:BR)/10000,0.01))
))</f>
        <v>No</v>
      </c>
      <c r="J196" s="4" t="str">
        <f>IF(G196="No","No",
MROUND(_xlfn.XLOOKUP(B196,'Base stats'!B:B,'Base stats'!BC:BC)^0.25
/((_xlfn.XLOOKUP(B196,'Base stats'!B:B,'Base stats'!BJ:BJ))*10)*_xlfn.XLOOKUP(_xlfn.XLOOKUP(B196,'Base stats'!B:B,'Base stats'!E:E),Groups!A:A,Groups!Q:Q)*150 + 0.5 + _xlfn.XLOOKUP(B196,'Base stats'!B:B,'Base stats'!BU:BU),
0.05))</f>
        <v>No</v>
      </c>
      <c r="K196" s="3" t="str">
        <f>IF(Animals!X196="No","No",
IF(_xlfn.XLOOKUP(_xlfn.XLOOKUP(B196,'Base stats'!B:B,'Base stats'!E:E),Groups!A:A,Groups!BD:BD)=1,
MAX(MROUND(_xlfn.XLOOKUP(B196,'Base stats'!B:B,'Base stats'!BS:BS) * _xlfn.XLOOKUP(B196,'Base stats'!B:B,'Base stats'!BO:BO)^0.9 / 21 *_xlfn.XLOOKUP(B196,'Base stats'!B:B,'Base stats'!BV:BV),0.1),0.05),
MAX(MROUND(((MIN(10,_xlfn.XLOOKUP(B196,'Base stats'!B:B,'Base stats'!W:W)))^0.4*_xlfn.XLOOKUP(B196,'Base stats'!B:B,'Base stats'!BG:BG)^0.73)^0.6 *_xlfn.XLOOKUP(B196,'Base stats'!B:B,'Base stats'!BV:BV),0.1),0.05)
))</f>
        <v>No</v>
      </c>
      <c r="L196" s="11" t="str">
        <f>IF(K196="No","No",
MAX(0.01,MROUND(_xlfn.XLOOKUP(B196,'Base stats'!B:B,'Base stats'!BG:BG) * 0.01 *2, 0.01))
)</f>
        <v>No</v>
      </c>
      <c r="M196" s="5" t="str">
        <f>IF(K196="No","No",IF(_xlfn.XLOOKUP(_xlfn.XLOOKUP(B196,'Base stats'!B:B,'Base stats'!E:E),Groups!A:A,Groups!BD:BD)=1,"No",
MAX(0.01,MROUND(_xlfn.XLOOKUP(B196,'Base stats'!B:B,'Base stats'!BS:BS)/10000,0.01))
))</f>
        <v>No</v>
      </c>
      <c r="N196" s="4" t="str">
        <f>IF(K196="No","No",
MROUND(
  _xlfn.XLOOKUP(B196,'Base stats'!B:B,'Base stats'!BA:BA)^0.25
  / (_xlfn.XLOOKUP(B196,'Base stats'!B:B,'Base stats'!BK:BK)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stats'!BU:BU),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stats'!BH:BH)^0.73)^0.6 *_xlfn.XLOOKUP(B196,'Base stats'!B:B,'Base stats'!BV:BV),0.1),0.05)
)</f>
        <v>4.9000000000000004</v>
      </c>
      <c r="P196" s="11">
        <f>IF(O196="No","No",
MAX(0.01,MROUND(_xlfn.XLOOKUP(B196,'Base stats'!B:B,'Base stats'!BH:BH) * 0.01 * 2, 0.01))
)</f>
        <v>0.42</v>
      </c>
      <c r="Q196" s="5">
        <f>IF(O196="No","No",
MAX(0.01,MROUND(_xlfn.XLOOKUP(B196,'Base stats'!B:B,'Base stats'!BT:BT)/10000,0.01))
)</f>
        <v>0.05</v>
      </c>
      <c r="R196" s="4">
        <f>IF(O196="No","No",
MROUND(_xlfn.XLOOKUP(B196,'Base stats'!B:B,'Base stats'!AZ:AZ)^0.25
/((_xlfn.XLOOKUP(B196,'Base stats'!B:B,'Base stats'!BL:BL))*10)*_xlfn.XLOOKUP(_xlfn.XLOOKUP(B196,'Base stats'!B:B,'Base stats'!E:E),Groups!A:A,Groups!Z:Z)*150 + 0.5 + _xlfn.XLOOKUP(B196,'Base stats'!B:B,'Base stats'!BU:BU),
0.05))</f>
        <v>2.0500000000000003</v>
      </c>
      <c r="S196" s="3" t="str">
        <f>IF(Animals!AI196="No","No",
IF(_xlfn.XLOOKUP(B196,'Base stats'!B:B,'Base stats'!U:U)="No",
MAX(MROUND(_xlfn.XLOOKUP(B196,'Base stats'!B:B,'Base stats'!BR:BR) * _xlfn.XLOOKUP(B196,'Base stats'!B:B,'Base stats'!BN:BN)^0.9 / 21 * _xlfn.XLOOKUP(B196,'Base stats'!B:B,'Base stats'!BV:BV),0.1),0.05),
MAX(MROUND(((MIN(12,_xlfn.XLOOKUP(B196,'Base stats'!B:B,'Base stats'!U:U)))^0.4*_xlfn.XLOOKUP(B196,'Base stats'!B:B,'Base stats'!BF:BF)^0.73)^0.6 * _xlfn.XLOOKUP(B196,'Base stats'!B:B,'Base stats'!BV:BV),0.1),0.05)
))</f>
        <v>No</v>
      </c>
      <c r="T196" s="11" t="str">
        <f>IF(S196="No","No",
MAX(0.01,MROUND(_xlfn.XLOOKUP(B196,'Base stats'!B:B,'Base stats'!BF:BF) * 0.01 * 2, 0.01))
)</f>
        <v>No</v>
      </c>
      <c r="U196" s="5" t="str">
        <f>IF(S196="No","No",IF(_xlfn.XLOOKUP(B196,'Base stats'!B:B,'Base stats'!U:U)="No","No",
MAX(0.01,MROUND(_xlfn.XLOOKUP(B196,'Base stats'!B:B,'Base stats'!BR:BR)/10000,0.01))
))</f>
        <v>No</v>
      </c>
      <c r="V196" s="4" t="str">
        <f>IF(S196="No","No",
MROUND(_xlfn.XLOOKUP(B196,'Base stats'!B:B,'Base stats'!BD:BD)^0.25
/((_xlfn.XLOOKUP(B196,'Base stats'!B:B,'Base stats'!BM:BM))*10)*_xlfn.XLOOKUP(_xlfn.XLOOKUP(B196,'Base stats'!B:B,'Base stats'!E:E),Groups!A:A,Groups!AE:AE)*150 + 0.5 + _xlfn.XLOOKUP(B196,'Base stats'!B:B,'Base stats'!BU:BU),
0.05))</f>
        <v>No</v>
      </c>
      <c r="W196" s="8">
        <f>MROUND(_xlfn.XLOOKUP(_xlfn.XLOOKUP(B196,'Base stats'!B:B,'Base stats'!E:E),Groups!A:A,Groups!BG:BG)*_xlfn.XLOOKUP(B196,'Base stats'!B:B,'Base stats'!C:C)^-0.165,0.01)</f>
        <v>0.45</v>
      </c>
      <c r="X196" s="1">
        <f>MROUND(_xlfn.XLOOKUP(_xlfn.XLOOKUP(B196,'Base stats'!B:B,'Base stats'!E:E),Groups!A:A,Groups!BH:BH)*_xlfn.XLOOKUP(B196,'Base stats'!B:B,'Base stats'!C:C)^0.165,0.01)</f>
        <v>0</v>
      </c>
      <c r="Y196" s="8">
        <f>MROUND(_xlfn.XLOOKUP(_xlfn.XLOOKUP(B196,'Base stats'!B:B,'Base stats'!E:E),Groups!A:A,Groups!BI:BI)*_xlfn.XLOOKUP(B196,'Base stats'!B:B,'Base stats'!C:C)^0.165,0.01)</f>
        <v>0</v>
      </c>
      <c r="Z196" s="18">
        <f>ROUND(_xlfn.XLOOKUP(B196,'Base stats'!B:B,'Base stats'!AO:AO)*_xlfn.XLOOKUP(_xlfn.XLOOKUP(B196,'Base stats'!B:B,'Base stats'!E:E),Groups!A:A,Groups!H:H)/1000,2)</f>
        <v>0.03</v>
      </c>
      <c r="AA196" s="18">
        <f>ROUND((1/2)*(_xlfn.XLOOKUP(_xlfn.XLOOKUP(B196,'Base stats'!B:B,'Base stats'!E:E),Groups!A:A,Groups!H:H)*_xlfn.XLOOKUP(_xlfn.XLOOKUP(B196,'Base stats'!B:B,'Base stats'!E:E),Groups!A:A,Groups!I:I))*_xlfn.XLOOKUP(B196,'Base stats'!B:B,'Base stats'!AO:AO)*0.01,2)</f>
        <v>0.15</v>
      </c>
      <c r="AB196" s="18">
        <f>250*(Animals!AO196+Animals!AP196)</f>
        <v>250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VasteHydra</v>
      </c>
      <c r="B197" s="6" t="str">
        <f>Animals!B197</f>
        <v>Hydra toxifera</v>
      </c>
      <c r="C197" s="1" t="str">
        <f>Animals!C197</f>
        <v>&lt;li&gt;VAEWaste_Hydra&lt;/li&gt;</v>
      </c>
      <c r="D197" s="47">
        <f>MAX(MROUND(_xlfn.XLOOKUP(B197,'Base stats'!B:B,'Base stats'!BQ:BQ) * (_xlfn.XLOOKUP(B197,'Base stats'!B:B,'Base stats'!AM:AM)*5%)^0.9 / 21,0.1),0.05)</f>
        <v>0.4</v>
      </c>
      <c r="E197" s="11">
        <f>MAX(0.01,MROUND(_xlfn.XLOOKUP(B197,'Base stats'!B:B,'Base stats'!BE:BE) * 0.01 * 2, 0.01))</f>
        <v>0.26</v>
      </c>
      <c r="F197" s="7">
        <f>MROUND(_xlfn.XLOOKUP(B197,'Base stats'!B:B,'Base stats'!BB:BB)^0.25 / (_xlfn.XLOOKUP(B197,'Base stats'!B:B,'Base stats'!BI:BI) * 10) * 150 + 0.5 + _xlfn.XLOOKUP(B197,'Base stats'!B:B,'Base stats'!BU:BU), 0.05)</f>
        <v>1.55</v>
      </c>
      <c r="G197" s="3" t="str">
        <f>IF(Animals!S197="No","No",
IF(_xlfn.XLOOKUP(B197,'Base stats'!B:B,'Base stats'!U:U)="No",
MAX(MROUND(_xlfn.XLOOKUP(B197,'Base stats'!B:B,'Base stats'!BR:BR) * _xlfn.XLOOKUP(B197,'Base stats'!B:B,'Base stats'!BN:BN)^0.9 / 21 * _xlfn.XLOOKUP(B197,'Base stats'!B:B,'Base stats'!BV:BV),0.1),0.05),
MAX(MROUND(((MIN(10,_xlfn.XLOOKUP(B197,'Base stats'!B:B,'Base stats'!U:U)))^0.4*_xlfn.XLOOKUP(B197,'Base stats'!B:B,'Base stats'!BF:BF)^0.73)^0.6 * _xlfn.XLOOKUP(B197,'Base stats'!B:B,'Base stats'!BV:BV),0.1),0.05)
))</f>
        <v>No</v>
      </c>
      <c r="H197" s="11" t="str">
        <f>IF(G197="No","No",
MAX(0.01,MROUND(_xlfn.XLOOKUP(B197,'Base stats'!B:B,'Base stats'!BF:BF) * 0.01 * 2, 0.01))
)</f>
        <v>No</v>
      </c>
      <c r="I197" s="11" t="str">
        <f>IF(G197="No","No",IF(_xlfn.XLOOKUP(B197,'Base stats'!B:B,'Base stats'!U:U)="No","No",
MAX(0.01,MROUND(_xlfn.XLOOKUP(B197,'Base stats'!B:B,'Base stats'!BR:BR)/10000,0.01))
))</f>
        <v>No</v>
      </c>
      <c r="J197" s="4" t="str">
        <f>IF(G197="No","No",
MROUND(_xlfn.XLOOKUP(B197,'Base stats'!B:B,'Base stats'!BC:BC)^0.25
/((_xlfn.XLOOKUP(B197,'Base stats'!B:B,'Base stats'!BJ:BJ))*10)*_xlfn.XLOOKUP(_xlfn.XLOOKUP(B197,'Base stats'!B:B,'Base stats'!E:E),Groups!A:A,Groups!Q:Q)*150 + 0.5 + _xlfn.XLOOKUP(B197,'Base stats'!B:B,'Base stats'!BU:BU),
0.05))</f>
        <v>No</v>
      </c>
      <c r="K197" s="3" t="str">
        <f>IF(Animals!X197="No","No",
IF(_xlfn.XLOOKUP(_xlfn.XLOOKUP(B197,'Base stats'!B:B,'Base stats'!E:E),Groups!A:A,Groups!BD:BD)=1,
MAX(MROUND(_xlfn.XLOOKUP(B197,'Base stats'!B:B,'Base stats'!BS:BS) * _xlfn.XLOOKUP(B197,'Base stats'!B:B,'Base stats'!BO:BO)^0.9 / 21 *_xlfn.XLOOKUP(B197,'Base stats'!B:B,'Base stats'!BV:BV),0.1),0.05),
MAX(MROUND(((MIN(10,_xlfn.XLOOKUP(B197,'Base stats'!B:B,'Base stats'!W:W)))^0.4*_xlfn.XLOOKUP(B197,'Base stats'!B:B,'Base stats'!BG:BG)^0.73)^0.6 *_xlfn.XLOOKUP(B197,'Base stats'!B:B,'Base stats'!BV:BV),0.1),0.05)
))</f>
        <v>No</v>
      </c>
      <c r="L197" s="11" t="str">
        <f>IF(K197="No","No",
MAX(0.01,MROUND(_xlfn.XLOOKUP(B197,'Base stats'!B:B,'Base stats'!BG:BG) * 0.01 *2, 0.01))
)</f>
        <v>No</v>
      </c>
      <c r="M197" s="5" t="str">
        <f>IF(K197="No","No",IF(_xlfn.XLOOKUP(_xlfn.XLOOKUP(B197,'Base stats'!B:B,'Base stats'!E:E),Groups!A:A,Groups!BD:BD)=1,"No",
MAX(0.01,MROUND(_xlfn.XLOOKUP(B197,'Base stats'!B:B,'Base stats'!BS:BS)/10000,0.01))
))</f>
        <v>No</v>
      </c>
      <c r="N197" s="4" t="str">
        <f>IF(K197="No","No",
MROUND(
  _xlfn.XLOOKUP(B197,'Base stats'!B:B,'Base stats'!BA:BA)^0.25
  / (_xlfn.XLOOKUP(B197,'Base stats'!B:B,'Base stats'!BK:BK)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stats'!BU:BU),
0.05))</f>
        <v>No</v>
      </c>
      <c r="O197" s="3">
        <f>IF(Animals!AD197="No","No",
MAX(MROUND((MIN(10,_xlfn.XLOOKUP(B197,'Base stats'!B:B,'Base stats'!V:V)*IF(_xlfn.XLOOKUP(_xlfn.XLOOKUP(B197,'Base stats'!B:B,'Base stats'!E:E),Groups!A:A,Groups!O:O)=0,1,0.33))^0.4*_xlfn.XLOOKUP(B197,'Base stats'!B:B,'Base stats'!BH:BH)^0.73)^0.6 *_xlfn.XLOOKUP(B197,'Base stats'!B:B,'Base stats'!BV:BV),0.1),0.05)
)</f>
        <v>3.1</v>
      </c>
      <c r="P197" s="11">
        <f>IF(O197="No","No",
MAX(0.01,MROUND(_xlfn.XLOOKUP(B197,'Base stats'!B:B,'Base stats'!BH:BH) * 0.01 * 2, 0.01))
)</f>
        <v>0.24</v>
      </c>
      <c r="Q197" s="5">
        <f>IF(O197="No","No",
MAX(0.01,MROUND(_xlfn.XLOOKUP(B197,'Base stats'!B:B,'Base stats'!BT:BT)/10000,0.01))
)</f>
        <v>0.03</v>
      </c>
      <c r="R197" s="4">
        <f>IF(O197="No","No",
MROUND(_xlfn.XLOOKUP(B197,'Base stats'!B:B,'Base stats'!AZ:AZ)^0.25
/((_xlfn.XLOOKUP(B197,'Base stats'!B:B,'Base stats'!BL:BL))*10)*_xlfn.XLOOKUP(_xlfn.XLOOKUP(B197,'Base stats'!B:B,'Base stats'!E:E),Groups!A:A,Groups!Z:Z)*150 + 0.5 + _xlfn.XLOOKUP(B197,'Base stats'!B:B,'Base stats'!BU:BU),
0.05))</f>
        <v>1</v>
      </c>
      <c r="S197" s="3" t="str">
        <f>IF(Animals!AI197="No","No",
IF(_xlfn.XLOOKUP(B197,'Base stats'!B:B,'Base stats'!U:U)="No",
MAX(MROUND(_xlfn.XLOOKUP(B197,'Base stats'!B:B,'Base stats'!BR:BR) * _xlfn.XLOOKUP(B197,'Base stats'!B:B,'Base stats'!BN:BN)^0.9 / 21 * _xlfn.XLOOKUP(B197,'Base stats'!B:B,'Base stats'!BV:BV),0.1),0.05),
MAX(MROUND(((MIN(12,_xlfn.XLOOKUP(B197,'Base stats'!B:B,'Base stats'!U:U)))^0.4*_xlfn.XLOOKUP(B197,'Base stats'!B:B,'Base stats'!BF:BF)^0.73)^0.6 * _xlfn.XLOOKUP(B197,'Base stats'!B:B,'Base stats'!BV:BV),0.1),0.05)
))</f>
        <v>No</v>
      </c>
      <c r="T197" s="11" t="str">
        <f>IF(S197="No","No",
MAX(0.01,MROUND(_xlfn.XLOOKUP(B197,'Base stats'!B:B,'Base stats'!BF:BF) * 0.01 * 2, 0.01))
)</f>
        <v>No</v>
      </c>
      <c r="U197" s="5" t="str">
        <f>IF(S197="No","No",IF(_xlfn.XLOOKUP(B197,'Base stats'!B:B,'Base stats'!U:U)="No","No",
MAX(0.01,MROUND(_xlfn.XLOOKUP(B197,'Base stats'!B:B,'Base stats'!BR:BR)/10000,0.01))
))</f>
        <v>No</v>
      </c>
      <c r="V197" s="4" t="str">
        <f>IF(S197="No","No",
MROUND(_xlfn.XLOOKUP(B197,'Base stats'!B:B,'Base stats'!BD:BD)^0.25
/((_xlfn.XLOOKUP(B197,'Base stats'!B:B,'Base stats'!BM:BM))*10)*_xlfn.XLOOKUP(_xlfn.XLOOKUP(B197,'Base stats'!B:B,'Base stats'!E:E),Groups!A:A,Groups!AE:AE)*150 + 0.5 + _xlfn.XLOOKUP(B197,'Base stats'!B:B,'Base stats'!BU:BU),
0.05))</f>
        <v>No</v>
      </c>
      <c r="W197" s="8">
        <f>MROUND(_xlfn.XLOOKUP(_xlfn.XLOOKUP(B197,'Base stats'!B:B,'Base stats'!E:E),Groups!A:A,Groups!BG:BG)*_xlfn.XLOOKUP(B197,'Base stats'!B:B,'Base stats'!C:C)^-0.165,0.01)</f>
        <v>0.35000000000000003</v>
      </c>
      <c r="X197" s="1">
        <f>MROUND(_xlfn.XLOOKUP(_xlfn.XLOOKUP(B197,'Base stats'!B:B,'Base stats'!E:E),Groups!A:A,Groups!BH:BH)*_xlfn.XLOOKUP(B197,'Base stats'!B:B,'Base stats'!C:C)^0.165,0.01)</f>
        <v>0.14000000000000001</v>
      </c>
      <c r="Y197" s="8">
        <f>MROUND(_xlfn.XLOOKUP(_xlfn.XLOOKUP(B197,'Base stats'!B:B,'Base stats'!E:E),Groups!A:A,Groups!BI:BI)*_xlfn.XLOOKUP(B197,'Base stats'!B:B,'Base stats'!C:C)^0.165,0.01)</f>
        <v>0.04</v>
      </c>
      <c r="Z197" s="18">
        <f>ROUND(_xlfn.XLOOKUP(B197,'Base stats'!B:B,'Base stats'!AO:AO)*_xlfn.XLOOKUP(_xlfn.XLOOKUP(B197,'Base stats'!B:B,'Base stats'!E:E),Groups!A:A,Groups!H:H)/1000,2)</f>
        <v>0.03</v>
      </c>
      <c r="AA197" s="18">
        <f>ROUND((1/2)*(_xlfn.XLOOKUP(_xlfn.XLOOKUP(B197,'Base stats'!B:B,'Base stats'!E:E),Groups!A:A,Groups!H:H)*_xlfn.XLOOKUP(_xlfn.XLOOKUP(B197,'Base stats'!B:B,'Base stats'!E:E),Groups!A:A,Groups!I:I))*_xlfn.XLOOKUP(B197,'Base stats'!B:B,'Base stats'!AO:AO)*0.01,2)</f>
        <v>0.14000000000000001</v>
      </c>
      <c r="AB197" s="18">
        <f>250*(Animals!AO197+Animals!AP197)</f>
        <v>200</v>
      </c>
      <c r="AC197" s="18" t="str">
        <f>_xlfn.XLOOKUP(_xlfn.XLOOKUP(B197,'Base stats'!B:B,'Base stats'!E:E),Groups!A:A,Groups!BJ:BJ)</f>
        <v>Serpentine</v>
      </c>
    </row>
    <row r="198" spans="1:29" ht="16.5" thickTop="1" thickBot="1" x14ac:dyDescent="0.3">
      <c r="A198" s="16" t="str">
        <f>Animals!A198</f>
        <v>Megatardi</v>
      </c>
      <c r="B198" s="6" t="str">
        <f>Animals!B198</f>
        <v>Megatardi gigantea</v>
      </c>
      <c r="C198" s="1" t="str">
        <f>Animals!C198</f>
        <v>&lt;li&gt;VAEWaste_Megatardi&lt;/li&gt;</v>
      </c>
      <c r="D198" s="47">
        <f>MAX(MROUND(_xlfn.XLOOKUP(B198,'Base stats'!B:B,'Base stats'!BQ:BQ) * (_xlfn.XLOOKUP(B198,'Base stats'!B:B,'Base stats'!AM:AM)*5%)^0.9 / 21,0.1),0.05)</f>
        <v>3.3000000000000003</v>
      </c>
      <c r="E198" s="11">
        <f>MAX(0.01,MROUND(_xlfn.XLOOKUP(B198,'Base stats'!B:B,'Base stats'!BE:BE) * 0.01 * 2, 0.01))</f>
        <v>2.97</v>
      </c>
      <c r="F198" s="7">
        <f>MROUND(_xlfn.XLOOKUP(B198,'Base stats'!B:B,'Base stats'!BB:BB)^0.25 / (_xlfn.XLOOKUP(B198,'Base stats'!B:B,'Base stats'!BI:BI) * 10) * 150 + 0.5 + _xlfn.XLOOKUP(B198,'Base stats'!B:B,'Base stats'!BU:BU), 0.05)</f>
        <v>2.4000000000000004</v>
      </c>
      <c r="G198" s="3" t="str">
        <f>IF(Animals!S198="No","No",
IF(_xlfn.XLOOKUP(B198,'Base stats'!B:B,'Base stats'!U:U)="No",
MAX(MROUND(_xlfn.XLOOKUP(B198,'Base stats'!B:B,'Base stats'!BR:BR) * _xlfn.XLOOKUP(B198,'Base stats'!B:B,'Base stats'!BN:BN)^0.9 / 21 * _xlfn.XLOOKUP(B198,'Base stats'!B:B,'Base stats'!BV:BV),0.1),0.05),
MAX(MROUND(((MIN(10,_xlfn.XLOOKUP(B198,'Base stats'!B:B,'Base stats'!U:U)))^0.4*_xlfn.XLOOKUP(B198,'Base stats'!B:B,'Base stats'!BF:BF)^0.73)^0.6 * _xlfn.XLOOKUP(B198,'Base stats'!B:B,'Base stats'!BV:BV),0.1),0.05)
))</f>
        <v>No</v>
      </c>
      <c r="H198" s="11" t="str">
        <f>IF(G198="No","No",
MAX(0.01,MROUND(_xlfn.XLOOKUP(B198,'Base stats'!B:B,'Base stats'!BF:BF) * 0.01 * 2, 0.01))
)</f>
        <v>No</v>
      </c>
      <c r="I198" s="11" t="str">
        <f>IF(G198="No","No",IF(_xlfn.XLOOKUP(B198,'Base stats'!B:B,'Base stats'!U:U)="No","No",
MAX(0.01,MROUND(_xlfn.XLOOKUP(B198,'Base stats'!B:B,'Base stats'!BR:BR)/10000,0.01))
))</f>
        <v>No</v>
      </c>
      <c r="J198" s="4" t="str">
        <f>IF(G198="No","No",
MROUND(_xlfn.XLOOKUP(B198,'Base stats'!B:B,'Base stats'!BC:BC)^0.25
/((_xlfn.XLOOKUP(B198,'Base stats'!B:B,'Base stats'!BJ:BJ))*10)*_xlfn.XLOOKUP(_xlfn.XLOOKUP(B198,'Base stats'!B:B,'Base stats'!E:E),Groups!A:A,Groups!Q:Q)*150 + 0.5 + _xlfn.XLOOKUP(B198,'Base stats'!B:B,'Base stats'!BU:BU),
0.05))</f>
        <v>No</v>
      </c>
      <c r="K198" s="3" t="str">
        <f>IF(Animals!X198="No","No",
IF(_xlfn.XLOOKUP(_xlfn.XLOOKUP(B198,'Base stats'!B:B,'Base stats'!E:E),Groups!A:A,Groups!BD:BD)=1,
MAX(MROUND(_xlfn.XLOOKUP(B198,'Base stats'!B:B,'Base stats'!BS:BS) * _xlfn.XLOOKUP(B198,'Base stats'!B:B,'Base stats'!BO:BO)^0.9 / 21 *_xlfn.XLOOKUP(B198,'Base stats'!B:B,'Base stats'!BV:BV),0.1),0.05),
MAX(MROUND(((MIN(10,_xlfn.XLOOKUP(B198,'Base stats'!B:B,'Base stats'!W:W)))^0.4*_xlfn.XLOOKUP(B198,'Base stats'!B:B,'Base stats'!BG:BG)^0.73)^0.6 *_xlfn.XLOOKUP(B198,'Base stats'!B:B,'Base stats'!BV:BV),0.1),0.05)
))</f>
        <v>No</v>
      </c>
      <c r="L198" s="11" t="str">
        <f>IF(K198="No","No",
MAX(0.01,MROUND(_xlfn.XLOOKUP(B198,'Base stats'!B:B,'Base stats'!BG:BG) * 0.01 *2, 0.01))
)</f>
        <v>No</v>
      </c>
      <c r="M198" s="5" t="str">
        <f>IF(K198="No","No",IF(_xlfn.XLOOKUP(_xlfn.XLOOKUP(B198,'Base stats'!B:B,'Base stats'!E:E),Groups!A:A,Groups!BD:BD)=1,"No",
MAX(0.01,MROUND(_xlfn.XLOOKUP(B198,'Base stats'!B:B,'Base stats'!BS:BS)/10000,0.01))
))</f>
        <v>No</v>
      </c>
      <c r="N198" s="4" t="str">
        <f>IF(K198="No","No",
MROUND(
  _xlfn.XLOOKUP(B198,'Base stats'!B:B,'Base stats'!BA:BA)^0.25
  / (_xlfn.XLOOKUP(B198,'Base stats'!B:B,'Base stats'!BK:BK)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stats'!BU:BU),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stats'!BH:BH)^0.73)^0.6 *_xlfn.XLOOKUP(B198,'Base stats'!B:B,'Base stats'!BV:BV),0.1),0.05)
)</f>
        <v>21</v>
      </c>
      <c r="P198" s="11">
        <f>IF(O198="No","No",
MAX(0.01,MROUND(_xlfn.XLOOKUP(B198,'Base stats'!B:B,'Base stats'!BH:BH) * 0.01 * 2, 0.01))
)</f>
        <v>20.900000000000002</v>
      </c>
      <c r="Q198" s="5">
        <f>IF(O198="No","No",
MAX(0.01,MROUND(_xlfn.XLOOKUP(B198,'Base stats'!B:B,'Base stats'!BT:BT)/10000,0.01))
)</f>
        <v>0.75</v>
      </c>
      <c r="R198" s="4">
        <f>IF(O198="No","No",
MROUND(_xlfn.XLOOKUP(B198,'Base stats'!B:B,'Base stats'!AZ:AZ)^0.25
/((_xlfn.XLOOKUP(B198,'Base stats'!B:B,'Base stats'!BL:BL))*10)*_xlfn.XLOOKUP(_xlfn.XLOOKUP(B198,'Base stats'!B:B,'Base stats'!E:E),Groups!A:A,Groups!Z:Z)*150 + 0.5 + _xlfn.XLOOKUP(B198,'Base stats'!B:B,'Base stats'!BU:BU),
0.05))</f>
        <v>2.1</v>
      </c>
      <c r="S198" s="3" t="str">
        <f>IF(Animals!AI198="No","No",
IF(_xlfn.XLOOKUP(B198,'Base stats'!B:B,'Base stats'!U:U)="No",
MAX(MROUND(_xlfn.XLOOKUP(B198,'Base stats'!B:B,'Base stats'!BR:BR) * _xlfn.XLOOKUP(B198,'Base stats'!B:B,'Base stats'!BN:BN)^0.9 / 21 * _xlfn.XLOOKUP(B198,'Base stats'!B:B,'Base stats'!BV:BV),0.1),0.05),
MAX(MROUND(((MIN(12,_xlfn.XLOOKUP(B198,'Base stats'!B:B,'Base stats'!U:U)))^0.4*_xlfn.XLOOKUP(B198,'Base stats'!B:B,'Base stats'!BF:BF)^0.73)^0.6 * _xlfn.XLOOKUP(B198,'Base stats'!B:B,'Base stats'!BV:BV),0.1),0.05)
))</f>
        <v>No</v>
      </c>
      <c r="T198" s="11" t="str">
        <f>IF(S198="No","No",
MAX(0.01,MROUND(_xlfn.XLOOKUP(B198,'Base stats'!B:B,'Base stats'!BF:BF) * 0.01 * 2, 0.01))
)</f>
        <v>No</v>
      </c>
      <c r="U198" s="5" t="str">
        <f>IF(S198="No","No",IF(_xlfn.XLOOKUP(B198,'Base stats'!B:B,'Base stats'!U:U)="No","No",
MAX(0.01,MROUND(_xlfn.XLOOKUP(B198,'Base stats'!B:B,'Base stats'!BR:BR)/10000,0.01))
))</f>
        <v>No</v>
      </c>
      <c r="V198" s="4" t="str">
        <f>IF(S198="No","No",
MROUND(_xlfn.XLOOKUP(B198,'Base stats'!B:B,'Base stats'!BD:BD)^0.25
/((_xlfn.XLOOKUP(B198,'Base stats'!B:B,'Base stats'!BM:BM))*10)*_xlfn.XLOOKUP(_xlfn.XLOOKUP(B198,'Base stats'!B:B,'Base stats'!E:E),Groups!A:A,Groups!AE:AE)*150 + 0.5 + _xlfn.XLOOKUP(B198,'Base stats'!B:B,'Base stats'!BU:BU),
0.05))</f>
        <v>No</v>
      </c>
      <c r="W198" s="8">
        <f>MROUND(_xlfn.XLOOKUP(_xlfn.XLOOKUP(B198,'Base stats'!B:B,'Base stats'!E:E),Groups!A:A,Groups!BG:BG)*_xlfn.XLOOKUP(B198,'Base stats'!B:B,'Base stats'!C:C)^-0.165,0.01)</f>
        <v>0.1</v>
      </c>
      <c r="X198" s="1">
        <f>MROUND(_xlfn.XLOOKUP(_xlfn.XLOOKUP(B198,'Base stats'!B:B,'Base stats'!E:E),Groups!A:A,Groups!BH:BH)*_xlfn.XLOOKUP(B198,'Base stats'!B:B,'Base stats'!C:C)^0.165,0.01)</f>
        <v>0.25</v>
      </c>
      <c r="Y198" s="8">
        <f>MROUND(_xlfn.XLOOKUP(_xlfn.XLOOKUP(B198,'Base stats'!B:B,'Base stats'!E:E),Groups!A:A,Groups!BI:BI)*_xlfn.XLOOKUP(B198,'Base stats'!B:B,'Base stats'!C:C)^0.165,0.01)</f>
        <v>0.06</v>
      </c>
      <c r="Z198" s="18">
        <f>ROUND(_xlfn.XLOOKUP(B198,'Base stats'!B:B,'Base stats'!AO:AO)*_xlfn.XLOOKUP(_xlfn.XLOOKUP(B198,'Base stats'!B:B,'Base stats'!E:E),Groups!A:A,Groups!H:H)/1000,2)</f>
        <v>1.58</v>
      </c>
      <c r="AA198" s="18">
        <f>ROUND((1/2)*(_xlfn.XLOOKUP(_xlfn.XLOOKUP(B198,'Base stats'!B:B,'Base stats'!E:E),Groups!A:A,Groups!H:H)*_xlfn.XLOOKUP(_xlfn.XLOOKUP(B198,'Base stats'!B:B,'Base stats'!E:E),Groups!A:A,Groups!I:I))*_xlfn.XLOOKUP(B198,'Base stats'!B:B,'Base stats'!AO:AO)*0.01,2)</f>
        <v>0.11</v>
      </c>
      <c r="AB198" s="18">
        <f>250*(Animals!AO198+Animals!AP198)</f>
        <v>1050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Pestigator</v>
      </c>
      <c r="B199" s="6" t="str">
        <f>Animals!B199</f>
        <v>Pestigator ferox</v>
      </c>
      <c r="C199" s="1" t="str">
        <f>Animals!C199</f>
        <v>&lt;li&gt;VAEWaste_Pestigator&lt;/li&gt;</v>
      </c>
      <c r="D199" s="47">
        <f>MAX(MROUND(_xlfn.XLOOKUP(B199,'Base stats'!B:B,'Base stats'!BQ:BQ) * (_xlfn.XLOOKUP(B199,'Base stats'!B:B,'Base stats'!AM:AM)*5%)^0.9 / 21,0.1),0.05)</f>
        <v>21.3</v>
      </c>
      <c r="E199" s="11">
        <f>MAX(0.01,MROUND(_xlfn.XLOOKUP(B199,'Base stats'!B:B,'Base stats'!BE:BE) * 0.01 * 2, 0.01))</f>
        <v>20.96</v>
      </c>
      <c r="F199" s="7">
        <f>MROUND(_xlfn.XLOOKUP(B199,'Base stats'!B:B,'Base stats'!BB:BB)^0.25 / (_xlfn.XLOOKUP(B199,'Base stats'!B:B,'Base stats'!BI:BI) * 10) * 150 + 0.5 + _xlfn.XLOOKUP(B199,'Base stats'!B:B,'Base stats'!BU:BU), 0.05)</f>
        <v>2.6500000000000004</v>
      </c>
      <c r="G199" s="3" t="str">
        <f>IF(Animals!S199="No","No",
IF(_xlfn.XLOOKUP(B199,'Base stats'!B:B,'Base stats'!U:U)="No",
MAX(MROUND(_xlfn.XLOOKUP(B199,'Base stats'!B:B,'Base stats'!BR:BR) * _xlfn.XLOOKUP(B199,'Base stats'!B:B,'Base stats'!BN:BN)^0.9 / 21 * _xlfn.XLOOKUP(B199,'Base stats'!B:B,'Base stats'!BV:BV),0.1),0.05),
MAX(MROUND(((MIN(10,_xlfn.XLOOKUP(B199,'Base stats'!B:B,'Base stats'!U:U)))^0.4*_xlfn.XLOOKUP(B199,'Base stats'!B:B,'Base stats'!BF:BF)^0.73)^0.6 * _xlfn.XLOOKUP(B199,'Base stats'!B:B,'Base stats'!BV:BV),0.1),0.05)
))</f>
        <v>No</v>
      </c>
      <c r="H199" s="11" t="str">
        <f>IF(G199="No","No",
MAX(0.01,MROUND(_xlfn.XLOOKUP(B199,'Base stats'!B:B,'Base stats'!BF:BF) * 0.01 * 2, 0.01))
)</f>
        <v>No</v>
      </c>
      <c r="I199" s="11" t="str">
        <f>IF(G199="No","No",IF(_xlfn.XLOOKUP(B199,'Base stats'!B:B,'Base stats'!U:U)="No","No",
MAX(0.01,MROUND(_xlfn.XLOOKUP(B199,'Base stats'!B:B,'Base stats'!BR:BR)/10000,0.01))
))</f>
        <v>No</v>
      </c>
      <c r="J199" s="4" t="str">
        <f>IF(G199="No","No",
MROUND(_xlfn.XLOOKUP(B199,'Base stats'!B:B,'Base stats'!BC:BC)^0.25
/((_xlfn.XLOOKUP(B199,'Base stats'!B:B,'Base stats'!BJ:BJ))*10)*_xlfn.XLOOKUP(_xlfn.XLOOKUP(B199,'Base stats'!B:B,'Base stats'!E:E),Groups!A:A,Groups!Q:Q)*150 + 0.5 + _xlfn.XLOOKUP(B199,'Base stats'!B:B,'Base stats'!BU:BU),
0.05))</f>
        <v>No</v>
      </c>
      <c r="K199" s="3" t="str">
        <f>IF(Animals!X199="No","No",
IF(_xlfn.XLOOKUP(_xlfn.XLOOKUP(B199,'Base stats'!B:B,'Base stats'!E:E),Groups!A:A,Groups!BD:BD)=1,
MAX(MROUND(_xlfn.XLOOKUP(B199,'Base stats'!B:B,'Base stats'!BS:BS) * _xlfn.XLOOKUP(B199,'Base stats'!B:B,'Base stats'!BO:BO)^0.9 / 21 *_xlfn.XLOOKUP(B199,'Base stats'!B:B,'Base stats'!BV:BV),0.1),0.05),
MAX(MROUND(((MIN(10,_xlfn.XLOOKUP(B199,'Base stats'!B:B,'Base stats'!W:W)))^0.4*_xlfn.XLOOKUP(B199,'Base stats'!B:B,'Base stats'!BG:BG)^0.73)^0.6 *_xlfn.XLOOKUP(B199,'Base stats'!B:B,'Base stats'!BV:BV),0.1),0.05)
))</f>
        <v>No</v>
      </c>
      <c r="L199" s="11" t="str">
        <f>IF(K199="No","No",
MAX(0.01,MROUND(_xlfn.XLOOKUP(B199,'Base stats'!B:B,'Base stats'!BG:BG) * 0.01 *2, 0.01))
)</f>
        <v>No</v>
      </c>
      <c r="M199" s="5" t="str">
        <f>IF(K199="No","No",IF(_xlfn.XLOOKUP(_xlfn.XLOOKUP(B199,'Base stats'!B:B,'Base stats'!E:E),Groups!A:A,Groups!BD:BD)=1,"No",
MAX(0.01,MROUND(_xlfn.XLOOKUP(B199,'Base stats'!B:B,'Base stats'!BS:BS)/10000,0.01))
))</f>
        <v>No</v>
      </c>
      <c r="N199" s="4" t="str">
        <f>IF(K199="No","No",
MROUND(
  _xlfn.XLOOKUP(B199,'Base stats'!B:B,'Base stats'!BA:BA)^0.25
  / (_xlfn.XLOOKUP(B199,'Base stats'!B:B,'Base stats'!BK:BK)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stats'!BU:BU),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stats'!BH:BH)^0.73)^0.6 *_xlfn.XLOOKUP(B199,'Base stats'!B:B,'Base stats'!BV:BV),0.1),0.05)
)</f>
        <v>49.7</v>
      </c>
      <c r="P199" s="11">
        <f>IF(O199="No","No",
MAX(0.01,MROUND(_xlfn.XLOOKUP(B199,'Base stats'!B:B,'Base stats'!BH:BH) * 0.01 * 2, 0.01))
)</f>
        <v>51.5</v>
      </c>
      <c r="Q199" s="5">
        <f>IF(O199="No","No",
MAX(0.01,MROUND(_xlfn.XLOOKUP(B199,'Base stats'!B:B,'Base stats'!BT:BT)/10000,0.01))
)</f>
        <v>0.38</v>
      </c>
      <c r="R199" s="4">
        <f>IF(O199="No","No",
MROUND(_xlfn.XLOOKUP(B199,'Base stats'!B:B,'Base stats'!AZ:AZ)^0.25
/((_xlfn.XLOOKUP(B199,'Base stats'!B:B,'Base stats'!BL:BL))*10)*_xlfn.XLOOKUP(_xlfn.XLOOKUP(B199,'Base stats'!B:B,'Base stats'!E:E),Groups!A:A,Groups!Z:Z)*150 + 0.5 + _xlfn.XLOOKUP(B199,'Base stats'!B:B,'Base stats'!BU:BU),
0.05))</f>
        <v>2.8000000000000003</v>
      </c>
      <c r="S199" s="3" t="str">
        <f>IF(Animals!AI199="No","No",
IF(_xlfn.XLOOKUP(B199,'Base stats'!B:B,'Base stats'!U:U)="No",
MAX(MROUND(_xlfn.XLOOKUP(B199,'Base stats'!B:B,'Base stats'!BR:BR) * _xlfn.XLOOKUP(B199,'Base stats'!B:B,'Base stats'!BN:BN)^0.9 / 21 * _xlfn.XLOOKUP(B199,'Base stats'!B:B,'Base stats'!BV:BV),0.1),0.05),
MAX(MROUND(((MIN(12,_xlfn.XLOOKUP(B199,'Base stats'!B:B,'Base stats'!U:U)))^0.4*_xlfn.XLOOKUP(B199,'Base stats'!B:B,'Base stats'!BF:BF)^0.73)^0.6 * _xlfn.XLOOKUP(B199,'Base stats'!B:B,'Base stats'!BV:BV),0.1),0.05)
))</f>
        <v>No</v>
      </c>
      <c r="T199" s="11" t="str">
        <f>IF(S199="No","No",
MAX(0.01,MROUND(_xlfn.XLOOKUP(B199,'Base stats'!B:B,'Base stats'!BF:BF) * 0.01 * 2, 0.01))
)</f>
        <v>No</v>
      </c>
      <c r="U199" s="5" t="str">
        <f>IF(S199="No","No",IF(_xlfn.XLOOKUP(B199,'Base stats'!B:B,'Base stats'!U:U)="No","No",
MAX(0.01,MROUND(_xlfn.XLOOKUP(B199,'Base stats'!B:B,'Base stats'!BR:BR)/10000,0.01))
))</f>
        <v>No</v>
      </c>
      <c r="V199" s="4" t="str">
        <f>IF(S199="No","No",
MROUND(_xlfn.XLOOKUP(B199,'Base stats'!B:B,'Base stats'!BD:BD)^0.25
/((_xlfn.XLOOKUP(B199,'Base stats'!B:B,'Base stats'!BM:BM))*10)*_xlfn.XLOOKUP(_xlfn.XLOOKUP(B199,'Base stats'!B:B,'Base stats'!E:E),Groups!A:A,Groups!AE:AE)*150 + 0.5 + _xlfn.XLOOKUP(B199,'Base stats'!B:B,'Base stats'!BU:BU),
0.05))</f>
        <v>No</v>
      </c>
      <c r="W199" s="8">
        <f>MROUND(_xlfn.XLOOKUP(_xlfn.XLOOKUP(B199,'Base stats'!B:B,'Base stats'!E:E),Groups!A:A,Groups!BG:BG)*_xlfn.XLOOKUP(B199,'Base stats'!B:B,'Base stats'!C:C)^-0.165,0.01)</f>
        <v>0.08</v>
      </c>
      <c r="X199" s="1">
        <f>MROUND(_xlfn.XLOOKUP(_xlfn.XLOOKUP(B199,'Base stats'!B:B,'Base stats'!E:E),Groups!A:A,Groups!BH:BH)*_xlfn.XLOOKUP(B199,'Base stats'!B:B,'Base stats'!C:C)^0.165,0.01)</f>
        <v>0.31</v>
      </c>
      <c r="Y199" s="8">
        <f>MROUND(_xlfn.XLOOKUP(_xlfn.XLOOKUP(B199,'Base stats'!B:B,'Base stats'!E:E),Groups!A:A,Groups!BI:BI)*_xlfn.XLOOKUP(B199,'Base stats'!B:B,'Base stats'!C:C)^0.165,0.01)</f>
        <v>0.08</v>
      </c>
      <c r="Z199" s="18">
        <f>ROUND(_xlfn.XLOOKUP(B199,'Base stats'!B:B,'Base stats'!AO:AO)*_xlfn.XLOOKUP(_xlfn.XLOOKUP(B199,'Base stats'!B:B,'Base stats'!E:E),Groups!A:A,Groups!H:H)/1000,2)</f>
        <v>0.6</v>
      </c>
      <c r="AA199" s="18">
        <f>ROUND((1/2)*(_xlfn.XLOOKUP(_xlfn.XLOOKUP(B199,'Base stats'!B:B,'Base stats'!E:E),Groups!A:A,Groups!H:H)*_xlfn.XLOOKUP(_xlfn.XLOOKUP(B199,'Base stats'!B:B,'Base stats'!E:E),Groups!A:A,Groups!I:I))*_xlfn.XLOOKUP(B199,'Base stats'!B:B,'Base stats'!AO:AO)*0.01,2)</f>
        <v>0.68</v>
      </c>
      <c r="AB199" s="18">
        <f>250*(Animals!AO199+Animals!AP199)</f>
        <v>1925</v>
      </c>
      <c r="AC199" s="18" t="str">
        <f>_xlfn.XLOOKUP(_xlfn.XLOOKUP(B199,'Base stats'!B:B,'Base stats'!E:E),Groups!A:A,Groups!BJ:BJ)</f>
        <v>QuadrupedLow</v>
      </c>
    </row>
    <row r="200" spans="1:29" ht="16.5" thickTop="1" thickBot="1" x14ac:dyDescent="0.3">
      <c r="A200" s="16" t="str">
        <f>Animals!A200</f>
        <v>Toxafox</v>
      </c>
      <c r="B200" s="6" t="str">
        <f>Animals!B200</f>
        <v>Vulpes toxifera</v>
      </c>
      <c r="C200" s="1" t="str">
        <f>Animals!C200</f>
        <v>&lt;li&gt;VAEWaste_Toxafox&lt;/li&gt;</v>
      </c>
      <c r="D200" s="47">
        <f>MAX(MROUND(_xlfn.XLOOKUP(B200,'Base stats'!B:B,'Base stats'!BQ:BQ) * (_xlfn.XLOOKUP(B200,'Base stats'!B:B,'Base stats'!AM:AM)*5%)^0.9 / 21,0.1),0.05)</f>
        <v>0.30000000000000004</v>
      </c>
      <c r="E200" s="11">
        <f>MAX(0.01,MROUND(_xlfn.XLOOKUP(B200,'Base stats'!B:B,'Base stats'!BE:BE) * 0.01 * 2, 0.01))</f>
        <v>0.2</v>
      </c>
      <c r="F200" s="7">
        <f>MROUND(_xlfn.XLOOKUP(B200,'Base stats'!B:B,'Base stats'!BB:BB)^0.25 / (_xlfn.XLOOKUP(B200,'Base stats'!B:B,'Base stats'!BI:BI) * 10) * 150 + 0.5 + _xlfn.XLOOKUP(B200,'Base stats'!B:B,'Base stats'!BU:BU), 0.05)</f>
        <v>1.4500000000000002</v>
      </c>
      <c r="G200" s="3" t="str">
        <f>IF(Animals!S200="No","No",
IF(_xlfn.XLOOKUP(B200,'Base stats'!B:B,'Base stats'!U:U)="No",
MAX(MROUND(_xlfn.XLOOKUP(B200,'Base stats'!B:B,'Base stats'!BR:BR) * _xlfn.XLOOKUP(B200,'Base stats'!B:B,'Base stats'!BN:BN)^0.9 / 21 * _xlfn.XLOOKUP(B200,'Base stats'!B:B,'Base stats'!BV:BV),0.1),0.05),
MAX(MROUND(((MIN(10,_xlfn.XLOOKUP(B200,'Base stats'!B:B,'Base stats'!U:U)))^0.4*_xlfn.XLOOKUP(B200,'Base stats'!B:B,'Base stats'!BF:BF)^0.73)^0.6 * _xlfn.XLOOKUP(B200,'Base stats'!B:B,'Base stats'!BV:BV),0.1),0.05)
))</f>
        <v>No</v>
      </c>
      <c r="H200" s="11" t="str">
        <f>IF(G200="No","No",
MAX(0.01,MROUND(_xlfn.XLOOKUP(B200,'Base stats'!B:B,'Base stats'!BF:BF) * 0.01 * 2, 0.01))
)</f>
        <v>No</v>
      </c>
      <c r="I200" s="11" t="str">
        <f>IF(G200="No","No",IF(_xlfn.XLOOKUP(B200,'Base stats'!B:B,'Base stats'!U:U)="No","No",
MAX(0.01,MROUND(_xlfn.XLOOKUP(B200,'Base stats'!B:B,'Base stats'!BR:BR)/10000,0.01))
))</f>
        <v>No</v>
      </c>
      <c r="J200" s="4" t="str">
        <f>IF(G200="No","No",
MROUND(_xlfn.XLOOKUP(B200,'Base stats'!B:B,'Base stats'!BC:BC)^0.25
/((_xlfn.XLOOKUP(B200,'Base stats'!B:B,'Base stats'!BJ:BJ))*10)*_xlfn.XLOOKUP(_xlfn.XLOOKUP(B200,'Base stats'!B:B,'Base stats'!E:E),Groups!A:A,Groups!Q:Q)*150 + 0.5 + _xlfn.XLOOKUP(B200,'Base stats'!B:B,'Base stats'!BU:BU),
0.05))</f>
        <v>No</v>
      </c>
      <c r="K200" s="3" t="str">
        <f>IF(Animals!X200="No","No",
IF(_xlfn.XLOOKUP(_xlfn.XLOOKUP(B200,'Base stats'!B:B,'Base stats'!E:E),Groups!A:A,Groups!BD:BD)=1,
MAX(MROUND(_xlfn.XLOOKUP(B200,'Base stats'!B:B,'Base stats'!BS:BS) * _xlfn.XLOOKUP(B200,'Base stats'!B:B,'Base stats'!BO:BO)^0.9 / 21 *_xlfn.XLOOKUP(B200,'Base stats'!B:B,'Base stats'!BV:BV),0.1),0.05),
MAX(MROUND(((MIN(10,_xlfn.XLOOKUP(B200,'Base stats'!B:B,'Base stats'!W:W)))^0.4*_xlfn.XLOOKUP(B200,'Base stats'!B:B,'Base stats'!BG:BG)^0.73)^0.6 *_xlfn.XLOOKUP(B200,'Base stats'!B:B,'Base stats'!BV:BV),0.1),0.05)
))</f>
        <v>No</v>
      </c>
      <c r="L200" s="11" t="str">
        <f>IF(K200="No","No",
MAX(0.01,MROUND(_xlfn.XLOOKUP(B200,'Base stats'!B:B,'Base stats'!BG:BG) * 0.01 *2, 0.01))
)</f>
        <v>No</v>
      </c>
      <c r="M200" s="5" t="str">
        <f>IF(K200="No","No",IF(_xlfn.XLOOKUP(_xlfn.XLOOKUP(B200,'Base stats'!B:B,'Base stats'!E:E),Groups!A:A,Groups!BD:BD)=1,"No",
MAX(0.01,MROUND(_xlfn.XLOOKUP(B200,'Base stats'!B:B,'Base stats'!BS:BS)/10000,0.01))
))</f>
        <v>No</v>
      </c>
      <c r="N200" s="4" t="str">
        <f>IF(K200="No","No",
MROUND(
  _xlfn.XLOOKUP(B200,'Base stats'!B:B,'Base stats'!BA:BA)^0.25
  / (_xlfn.XLOOKUP(B200,'Base stats'!B:B,'Base stats'!BK:BK)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stats'!BU:BU),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stats'!BH:BH)^0.73)^0.6 *_xlfn.XLOOKUP(B200,'Base stats'!B:B,'Base stats'!BV:BV),0.1),0.05)
)</f>
        <v>5.4</v>
      </c>
      <c r="P200" s="11">
        <f>IF(O200="No","No",
MAX(0.01,MROUND(_xlfn.XLOOKUP(B200,'Base stats'!B:B,'Base stats'!BH:BH) * 0.01 * 2, 0.01))
)</f>
        <v>0.76</v>
      </c>
      <c r="Q200" s="5">
        <f>IF(O200="No","No",
MAX(0.01,MROUND(_xlfn.XLOOKUP(B200,'Base stats'!B:B,'Base stats'!BT:BT)/10000,0.01))
)</f>
        <v>0.12</v>
      </c>
      <c r="R200" s="4">
        <f>IF(O200="No","No",
MROUND(_xlfn.XLOOKUP(B200,'Base stats'!B:B,'Base stats'!AZ:AZ)^0.25
/((_xlfn.XLOOKUP(B200,'Base stats'!B:B,'Base stats'!BL:BL))*10)*_xlfn.XLOOKUP(_xlfn.XLOOKUP(B200,'Base stats'!B:B,'Base stats'!E:E),Groups!A:A,Groups!Z:Z)*150 + 0.5 + _xlfn.XLOOKUP(B200,'Base stats'!B:B,'Base stats'!BU:BU),
0.05))</f>
        <v>2</v>
      </c>
      <c r="S200" s="3" t="str">
        <f>IF(Animals!AI200="No","No",
IF(_xlfn.XLOOKUP(B200,'Base stats'!B:B,'Base stats'!U:U)="No",
MAX(MROUND(_xlfn.XLOOKUP(B200,'Base stats'!B:B,'Base stats'!BR:BR) * _xlfn.XLOOKUP(B200,'Base stats'!B:B,'Base stats'!BN:BN)^0.9 / 21 * _xlfn.XLOOKUP(B200,'Base stats'!B:B,'Base stats'!BV:BV),0.1),0.05),
MAX(MROUND(((MIN(12,_xlfn.XLOOKUP(B200,'Base stats'!B:B,'Base stats'!U:U)))^0.4*_xlfn.XLOOKUP(B200,'Base stats'!B:B,'Base stats'!BF:BF)^0.73)^0.6 * _xlfn.XLOOKUP(B200,'Base stats'!B:B,'Base stats'!BV:BV),0.1),0.05)
))</f>
        <v>No</v>
      </c>
      <c r="T200" s="11" t="str">
        <f>IF(S200="No","No",
MAX(0.01,MROUND(_xlfn.XLOOKUP(B200,'Base stats'!B:B,'Base stats'!BF:BF) * 0.01 * 2, 0.01))
)</f>
        <v>No</v>
      </c>
      <c r="U200" s="5" t="str">
        <f>IF(S200="No","No",IF(_xlfn.XLOOKUP(B200,'Base stats'!B:B,'Base stats'!U:U)="No","No",
MAX(0.01,MROUND(_xlfn.XLOOKUP(B200,'Base stats'!B:B,'Base stats'!BR:BR)/10000,0.01))
))</f>
        <v>No</v>
      </c>
      <c r="V200" s="4" t="str">
        <f>IF(S200="No","No",
MROUND(_xlfn.XLOOKUP(B200,'Base stats'!B:B,'Base stats'!BD:BD)^0.25
/((_xlfn.XLOOKUP(B200,'Base stats'!B:B,'Base stats'!BM:BM))*10)*_xlfn.XLOOKUP(_xlfn.XLOOKUP(B200,'Base stats'!B:B,'Base stats'!E:E),Groups!A:A,Groups!AE:AE)*150 + 0.5 + _xlfn.XLOOKUP(B200,'Base stats'!B:B,'Base stats'!BU:BU),
0.05))</f>
        <v>No</v>
      </c>
      <c r="W200" s="8">
        <f>MROUND(_xlfn.XLOOKUP(_xlfn.XLOOKUP(B200,'Base stats'!B:B,'Base stats'!E:E),Groups!A:A,Groups!BG:BG)*_xlfn.XLOOKUP(B200,'Base stats'!B:B,'Base stats'!C:C)^-0.165,0.01)</f>
        <v>0.74</v>
      </c>
      <c r="X200" s="1">
        <f>MROUND(_xlfn.XLOOKUP(_xlfn.XLOOKUP(B200,'Base stats'!B:B,'Base stats'!E:E),Groups!A:A,Groups!BH:BH)*_xlfn.XLOOKUP(B200,'Base stats'!B:B,'Base stats'!C:C)^0.165,0.01)</f>
        <v>0.27</v>
      </c>
      <c r="Y200" s="8">
        <f>MROUND(_xlfn.XLOOKUP(_xlfn.XLOOKUP(B200,'Base stats'!B:B,'Base stats'!E:E),Groups!A:A,Groups!BI:BI)*_xlfn.XLOOKUP(B200,'Base stats'!B:B,'Base stats'!C:C)^0.165,0.01)</f>
        <v>0.03</v>
      </c>
      <c r="Z200" s="18">
        <f>ROUND(_xlfn.XLOOKUP(B200,'Base stats'!B:B,'Base stats'!AO:AO)*_xlfn.XLOOKUP(_xlfn.XLOOKUP(B200,'Base stats'!B:B,'Base stats'!E:E),Groups!A:A,Groups!H:H)/1000,2)</f>
        <v>0.04</v>
      </c>
      <c r="AA200" s="18">
        <f>ROUND((1/2)*(_xlfn.XLOOKUP(_xlfn.XLOOKUP(B200,'Base stats'!B:B,'Base stats'!E:E),Groups!A:A,Groups!H:H)*_xlfn.XLOOKUP(_xlfn.XLOOKUP(B200,'Base stats'!B:B,'Base stats'!E:E),Groups!A:A,Groups!I:I))*_xlfn.XLOOKUP(B200,'Base stats'!B:B,'Base stats'!AO:AO)*0.01,2)</f>
        <v>0.31</v>
      </c>
      <c r="AB200" s="18">
        <f>250*(Animals!AO200+Animals!AP200)</f>
        <v>187.5</v>
      </c>
      <c r="AC200" s="18" t="str">
        <f>_xlfn.XLOOKUP(_xlfn.XLOOKUP(B200,'Base stats'!B:B,'Base stats'!E:E),Groups!A:A,Groups!BJ:BJ)</f>
        <v>Quadruped</v>
      </c>
    </row>
    <row r="201" spans="1:29" ht="16.5" thickTop="1" thickBot="1" x14ac:dyDescent="0.3">
      <c r="A201" s="16" t="str">
        <f>Animals!A201</f>
        <v>Toxbear</v>
      </c>
      <c r="B201" s="6" t="str">
        <f>Animals!B201</f>
        <v>Ursus toxus</v>
      </c>
      <c r="C201" s="1" t="str">
        <f>Animals!C201</f>
        <v>&lt;li&gt;VAEWaste_Toxbear&lt;/li&gt;</v>
      </c>
      <c r="D201" s="47">
        <f>MAX(MROUND(_xlfn.XLOOKUP(B201,'Base stats'!B:B,'Base stats'!BQ:BQ) * (_xlfn.XLOOKUP(B201,'Base stats'!B:B,'Base stats'!AM:AM)*5%)^0.9 / 21,0.1),0.05)</f>
        <v>38.300000000000004</v>
      </c>
      <c r="E201" s="11">
        <f>MAX(0.01,MROUND(_xlfn.XLOOKUP(B201,'Base stats'!B:B,'Base stats'!BE:BE) * 0.01 * 2, 0.01))</f>
        <v>39.36</v>
      </c>
      <c r="F201" s="7">
        <f>MROUND(_xlfn.XLOOKUP(B201,'Base stats'!B:B,'Base stats'!BB:BB)^0.25 / (_xlfn.XLOOKUP(B201,'Base stats'!B:B,'Base stats'!BI:BI) * 10) * 150 + 0.5 + _xlfn.XLOOKUP(B201,'Base stats'!B:B,'Base stats'!BU:BU), 0.05)</f>
        <v>3</v>
      </c>
      <c r="G201" s="3" t="str">
        <f>IF(Animals!S201="No","No",
IF(_xlfn.XLOOKUP(B201,'Base stats'!B:B,'Base stats'!U:U)="No",
MAX(MROUND(_xlfn.XLOOKUP(B201,'Base stats'!B:B,'Base stats'!BR:BR) * _xlfn.XLOOKUP(B201,'Base stats'!B:B,'Base stats'!BN:BN)^0.9 / 21 * _xlfn.XLOOKUP(B201,'Base stats'!B:B,'Base stats'!BV:BV),0.1),0.05),
MAX(MROUND(((MIN(10,_xlfn.XLOOKUP(B201,'Base stats'!B:B,'Base stats'!U:U)))^0.4*_xlfn.XLOOKUP(B201,'Base stats'!B:B,'Base stats'!BF:BF)^0.73)^0.6 * _xlfn.XLOOKUP(B201,'Base stats'!B:B,'Base stats'!BV:BV),0.1),0.05)
))</f>
        <v>No</v>
      </c>
      <c r="H201" s="11" t="str">
        <f>IF(G201="No","No",
MAX(0.01,MROUND(_xlfn.XLOOKUP(B201,'Base stats'!B:B,'Base stats'!BF:BF) * 0.01 * 2, 0.01))
)</f>
        <v>No</v>
      </c>
      <c r="I201" s="11" t="str">
        <f>IF(G201="No","No",IF(_xlfn.XLOOKUP(B201,'Base stats'!B:B,'Base stats'!U:U)="No","No",
MAX(0.01,MROUND(_xlfn.XLOOKUP(B201,'Base stats'!B:B,'Base stats'!BR:BR)/10000,0.01))
))</f>
        <v>No</v>
      </c>
      <c r="J201" s="4" t="str">
        <f>IF(G201="No","No",
MROUND(_xlfn.XLOOKUP(B201,'Base stats'!B:B,'Base stats'!BC:BC)^0.25
/((_xlfn.XLOOKUP(B201,'Base stats'!B:B,'Base stats'!BJ:BJ))*10)*_xlfn.XLOOKUP(_xlfn.XLOOKUP(B201,'Base stats'!B:B,'Base stats'!E:E),Groups!A:A,Groups!Q:Q)*150 + 0.5 + _xlfn.XLOOKUP(B201,'Base stats'!B:B,'Base stats'!BU:BU),
0.05))</f>
        <v>No</v>
      </c>
      <c r="K201" s="3" t="str">
        <f>IF(Animals!X201="No","No",
IF(_xlfn.XLOOKUP(_xlfn.XLOOKUP(B201,'Base stats'!B:B,'Base stats'!E:E),Groups!A:A,Groups!BD:BD)=1,
MAX(MROUND(_xlfn.XLOOKUP(B201,'Base stats'!B:B,'Base stats'!BS:BS) * _xlfn.XLOOKUP(B201,'Base stats'!B:B,'Base stats'!BO:BO)^0.9 / 21 *_xlfn.XLOOKUP(B201,'Base stats'!B:B,'Base stats'!BV:BV),0.1),0.05),
MAX(MROUND(((MIN(10,_xlfn.XLOOKUP(B201,'Base stats'!B:B,'Base stats'!W:W)))^0.4*_xlfn.XLOOKUP(B201,'Base stats'!B:B,'Base stats'!BG:BG)^0.73)^0.6 *_xlfn.XLOOKUP(B201,'Base stats'!B:B,'Base stats'!BV:BV),0.1),0.05)
))</f>
        <v>No</v>
      </c>
      <c r="L201" s="11" t="str">
        <f>IF(K201="No","No",
MAX(0.01,MROUND(_xlfn.XLOOKUP(B201,'Base stats'!B:B,'Base stats'!BG:BG) * 0.01 *2, 0.01))
)</f>
        <v>No</v>
      </c>
      <c r="M201" s="5" t="str">
        <f>IF(K201="No","No",IF(_xlfn.XLOOKUP(_xlfn.XLOOKUP(B201,'Base stats'!B:B,'Base stats'!E:E),Groups!A:A,Groups!BD:BD)=1,"No",
MAX(0.01,MROUND(_xlfn.XLOOKUP(B201,'Base stats'!B:B,'Base stats'!BS:BS)/10000,0.01))
))</f>
        <v>No</v>
      </c>
      <c r="N201" s="4" t="str">
        <f>IF(K201="No","No",
MROUND(
  _xlfn.XLOOKUP(B201,'Base stats'!B:B,'Base stats'!BA:BA)^0.25
  / (_xlfn.XLOOKUP(B201,'Base stats'!B:B,'Base stats'!BK:BK)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stats'!BU:BU),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stats'!BH:BH)^0.73)^0.6 *_xlfn.XLOOKUP(B201,'Base stats'!B:B,'Base stats'!BV:BV),0.1),0.05)
)</f>
        <v>45.300000000000004</v>
      </c>
      <c r="P201" s="11">
        <f>IF(O201="No","No",
MAX(0.01,MROUND(_xlfn.XLOOKUP(B201,'Base stats'!B:B,'Base stats'!BH:BH) * 0.01 * 2, 0.01))
)</f>
        <v>34.26</v>
      </c>
      <c r="Q201" s="5">
        <f>IF(O201="No","No",
MAX(0.01,MROUND(_xlfn.XLOOKUP(B201,'Base stats'!B:B,'Base stats'!BT:BT)/10000,0.01))
)</f>
        <v>0.52</v>
      </c>
      <c r="R201" s="4">
        <f>IF(O201="No","No",
MROUND(_xlfn.XLOOKUP(B201,'Base stats'!B:B,'Base stats'!AZ:AZ)^0.25
/((_xlfn.XLOOKUP(B201,'Base stats'!B:B,'Base stats'!BL:BL))*10)*_xlfn.XLOOKUP(_xlfn.XLOOKUP(B201,'Base stats'!B:B,'Base stats'!E:E),Groups!A:A,Groups!Z:Z)*150 + 0.5 + _xlfn.XLOOKUP(B201,'Base stats'!B:B,'Base stats'!BU:BU),
0.05))</f>
        <v>2.5500000000000003</v>
      </c>
      <c r="S201" s="3">
        <f>IF(Animals!AI201="No","No",
IF(_xlfn.XLOOKUP(B201,'Base stats'!B:B,'Base stats'!U:U)="No",
MAX(MROUND(_xlfn.XLOOKUP(B201,'Base stats'!B:B,'Base stats'!BR:BR) * _xlfn.XLOOKUP(B201,'Base stats'!B:B,'Base stats'!BN:BN)^0.9 / 21 * _xlfn.XLOOKUP(B201,'Base stats'!B:B,'Base stats'!BV:BV),0.1),0.05),
MAX(MROUND(((MIN(12,_xlfn.XLOOKUP(B201,'Base stats'!B:B,'Base stats'!U:U)))^0.4*_xlfn.XLOOKUP(B201,'Base stats'!B:B,'Base stats'!BF:BF)^0.73)^0.6 * _xlfn.XLOOKUP(B201,'Base stats'!B:B,'Base stats'!BV:BV),0.1),0.05)
))</f>
        <v>49.5</v>
      </c>
      <c r="T201" s="11">
        <f>IF(S201="No","No",
MAX(0.01,MROUND(_xlfn.XLOOKUP(B201,'Base stats'!B:B,'Base stats'!BF:BF) * 0.01 * 2, 0.01))
)</f>
        <v>41.9</v>
      </c>
      <c r="U201" s="5">
        <f>IF(S201="No","No",IF(_xlfn.XLOOKUP(B201,'Base stats'!B:B,'Base stats'!U:U)="No","No",
MAX(0.01,MROUND(_xlfn.XLOOKUP(B201,'Base stats'!B:B,'Base stats'!BR:BR)/10000,0.01))
))</f>
        <v>0.64</v>
      </c>
      <c r="V201" s="4">
        <f>IF(S201="No","No",
MROUND(_xlfn.XLOOKUP(B201,'Base stats'!B:B,'Base stats'!BD:BD)^0.25
/((_xlfn.XLOOKUP(B201,'Base stats'!B:B,'Base stats'!BM:BM))*10)*_xlfn.XLOOKUP(_xlfn.XLOOKUP(B201,'Base stats'!B:B,'Base stats'!E:E),Groups!A:A,Groups!AE:AE)*150 + 0.5 + _xlfn.XLOOKUP(B201,'Base stats'!B:B,'Base stats'!BU:BU),
0.05))</f>
        <v>1.9500000000000002</v>
      </c>
      <c r="W201" s="8">
        <f>MROUND(_xlfn.XLOOKUP(_xlfn.XLOOKUP(B201,'Base stats'!B:B,'Base stats'!E:E),Groups!A:A,Groups!BG:BG)*_xlfn.XLOOKUP(B201,'Base stats'!B:B,'Base stats'!C:C)^-0.165,0.01)</f>
        <v>0.2</v>
      </c>
      <c r="X201" s="1">
        <f>MROUND(_xlfn.XLOOKUP(_xlfn.XLOOKUP(B201,'Base stats'!B:B,'Base stats'!E:E),Groups!A:A,Groups!BH:BH)*_xlfn.XLOOKUP(B201,'Base stats'!B:B,'Base stats'!C:C)^0.165,0.01)</f>
        <v>0.53</v>
      </c>
      <c r="Y201" s="8">
        <f>MROUND(_xlfn.XLOOKUP(_xlfn.XLOOKUP(B201,'Base stats'!B:B,'Base stats'!E:E),Groups!A:A,Groups!BI:BI)*_xlfn.XLOOKUP(B201,'Base stats'!B:B,'Base stats'!C:C)^0.165,0.01)</f>
        <v>0.09</v>
      </c>
      <c r="Z201" s="18">
        <f>ROUND(_xlfn.XLOOKUP(B201,'Base stats'!B:B,'Base stats'!AO:AO)*_xlfn.XLOOKUP(_xlfn.XLOOKUP(B201,'Base stats'!B:B,'Base stats'!E:E),Groups!A:A,Groups!H:H)/1000,2)</f>
        <v>0.32</v>
      </c>
      <c r="AA201" s="18">
        <f>ROUND((1/2)*(_xlfn.XLOOKUP(_xlfn.XLOOKUP(B201,'Base stats'!B:B,'Base stats'!E:E),Groups!A:A,Groups!H:H)*_xlfn.XLOOKUP(_xlfn.XLOOKUP(B201,'Base stats'!B:B,'Base stats'!E:E),Groups!A:A,Groups!I:I))*_xlfn.XLOOKUP(B201,'Base stats'!B:B,'Base stats'!AO:AO)*0.01,2)</f>
        <v>2.39</v>
      </c>
      <c r="AB201" s="18">
        <f>250*(Animals!AO201+Animals!AP201)</f>
        <v>2200</v>
      </c>
      <c r="AC201" s="18" t="str">
        <f>_xlfn.XLOOKUP(_xlfn.XLOOKUP(B201,'Base stats'!B:B,'Base stats'!E:E),Groups!A:A,Groups!BJ:BJ)</f>
        <v>Quadruped</v>
      </c>
    </row>
    <row r="202" spans="1:29" ht="16.5" thickTop="1" thickBot="1" x14ac:dyDescent="0.3">
      <c r="A202" s="16" t="str">
        <f>Animals!A202</f>
        <v>Toxiguana</v>
      </c>
      <c r="B202" s="6" t="str">
        <f>Animals!B202</f>
        <v>Iguana toxifera</v>
      </c>
      <c r="C202" s="1" t="str">
        <f>Animals!C202</f>
        <v>&lt;li&gt;VAEWaste_Toxiguana&lt;/li&gt;</v>
      </c>
      <c r="D202" s="47">
        <f>MAX(MROUND(_xlfn.XLOOKUP(B202,'Base stats'!B:B,'Base stats'!BQ:BQ) * (_xlfn.XLOOKUP(B202,'Base stats'!B:B,'Base stats'!AM:AM)*5%)^0.9 / 21,0.1),0.05)</f>
        <v>0.2</v>
      </c>
      <c r="E202" s="11">
        <f>MAX(0.01,MROUND(_xlfn.XLOOKUP(B202,'Base stats'!B:B,'Base stats'!BE:BE) * 0.01 * 2, 0.01))</f>
        <v>0.11</v>
      </c>
      <c r="F202" s="7">
        <f>MROUND(_xlfn.XLOOKUP(B202,'Base stats'!B:B,'Base stats'!BB:BB)^0.25 / (_xlfn.XLOOKUP(B202,'Base stats'!B:B,'Base stats'!BI:BI) * 10) * 150 + 0.5 + _xlfn.XLOOKUP(B202,'Base stats'!B:B,'Base stats'!BU:BU), 0.05)</f>
        <v>1.3</v>
      </c>
      <c r="G202" s="3" t="str">
        <f>IF(Animals!S202="No","No",
IF(_xlfn.XLOOKUP(B202,'Base stats'!B:B,'Base stats'!U:U)="No",
MAX(MROUND(_xlfn.XLOOKUP(B202,'Base stats'!B:B,'Base stats'!BR:BR) * _xlfn.XLOOKUP(B202,'Base stats'!B:B,'Base stats'!BN:BN)^0.9 / 21 * _xlfn.XLOOKUP(B202,'Base stats'!B:B,'Base stats'!BV:BV),0.1),0.05),
MAX(MROUND(((MIN(10,_xlfn.XLOOKUP(B202,'Base stats'!B:B,'Base stats'!U:U)))^0.4*_xlfn.XLOOKUP(B202,'Base stats'!B:B,'Base stats'!BF:BF)^0.73)^0.6 * _xlfn.XLOOKUP(B202,'Base stats'!B:B,'Base stats'!BV:BV),0.1),0.05)
))</f>
        <v>No</v>
      </c>
      <c r="H202" s="11" t="str">
        <f>IF(G202="No","No",
MAX(0.01,MROUND(_xlfn.XLOOKUP(B202,'Base stats'!B:B,'Base stats'!BF:BF) * 0.01 * 2, 0.01))
)</f>
        <v>No</v>
      </c>
      <c r="I202" s="11" t="str">
        <f>IF(G202="No","No",IF(_xlfn.XLOOKUP(B202,'Base stats'!B:B,'Base stats'!U:U)="No","No",
MAX(0.01,MROUND(_xlfn.XLOOKUP(B202,'Base stats'!B:B,'Base stats'!BR:BR)/10000,0.01))
))</f>
        <v>No</v>
      </c>
      <c r="J202" s="4" t="str">
        <f>IF(G202="No","No",
MROUND(_xlfn.XLOOKUP(B202,'Base stats'!B:B,'Base stats'!BC:BC)^0.25
/((_xlfn.XLOOKUP(B202,'Base stats'!B:B,'Base stats'!BJ:BJ))*10)*_xlfn.XLOOKUP(_xlfn.XLOOKUP(B202,'Base stats'!B:B,'Base stats'!E:E),Groups!A:A,Groups!Q:Q)*150 + 0.5 + _xlfn.XLOOKUP(B202,'Base stats'!B:B,'Base stats'!BU:BU),
0.05))</f>
        <v>No</v>
      </c>
      <c r="K202" s="3" t="str">
        <f>IF(Animals!X202="No","No",
IF(_xlfn.XLOOKUP(_xlfn.XLOOKUP(B202,'Base stats'!B:B,'Base stats'!E:E),Groups!A:A,Groups!BD:BD)=1,
MAX(MROUND(_xlfn.XLOOKUP(B202,'Base stats'!B:B,'Base stats'!BS:BS) * _xlfn.XLOOKUP(B202,'Base stats'!B:B,'Base stats'!BO:BO)^0.9 / 21 *_xlfn.XLOOKUP(B202,'Base stats'!B:B,'Base stats'!BV:BV),0.1),0.05),
MAX(MROUND(((MIN(10,_xlfn.XLOOKUP(B202,'Base stats'!B:B,'Base stats'!W:W)))^0.4*_xlfn.XLOOKUP(B202,'Base stats'!B:B,'Base stats'!BG:BG)^0.73)^0.6 *_xlfn.XLOOKUP(B202,'Base stats'!B:B,'Base stats'!BV:BV),0.1),0.05)
))</f>
        <v>No</v>
      </c>
      <c r="L202" s="11" t="str">
        <f>IF(K202="No","No",
MAX(0.01,MROUND(_xlfn.XLOOKUP(B202,'Base stats'!B:B,'Base stats'!BG:BG) * 0.01 *2, 0.01))
)</f>
        <v>No</v>
      </c>
      <c r="M202" s="5" t="str">
        <f>IF(K202="No","No",IF(_xlfn.XLOOKUP(_xlfn.XLOOKUP(B202,'Base stats'!B:B,'Base stats'!E:E),Groups!A:A,Groups!BD:BD)=1,"No",
MAX(0.01,MROUND(_xlfn.XLOOKUP(B202,'Base stats'!B:B,'Base stats'!BS:BS)/10000,0.01))
))</f>
        <v>No</v>
      </c>
      <c r="N202" s="4" t="str">
        <f>IF(K202="No","No",
MROUND(
  _xlfn.XLOOKUP(B202,'Base stats'!B:B,'Base stats'!BA:BA)^0.25
  / (_xlfn.XLOOKUP(B202,'Base stats'!B:B,'Base stats'!BK:BK)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stats'!BU:BU),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stats'!BH:BH)^0.73)^0.6 *_xlfn.XLOOKUP(B202,'Base stats'!B:B,'Base stats'!BV:BV),0.1),0.05)
)</f>
        <v>4.9000000000000004</v>
      </c>
      <c r="P202" s="11">
        <f>IF(O202="No","No",
MAX(0.01,MROUND(_xlfn.XLOOKUP(B202,'Base stats'!B:B,'Base stats'!BH:BH) * 0.01 * 2, 0.01))
)</f>
        <v>0.77</v>
      </c>
      <c r="Q202" s="5">
        <f>IF(O202="No","No",
MAX(0.01,MROUND(_xlfn.XLOOKUP(B202,'Base stats'!B:B,'Base stats'!BT:BT)/10000,0.01))
)</f>
        <v>0.17</v>
      </c>
      <c r="R202" s="4">
        <f>IF(O202="No","No",
MROUND(_xlfn.XLOOKUP(B202,'Base stats'!B:B,'Base stats'!AZ:AZ)^0.25
/((_xlfn.XLOOKUP(B202,'Base stats'!B:B,'Base stats'!BL:BL))*10)*_xlfn.XLOOKUP(_xlfn.XLOOKUP(B202,'Base stats'!B:B,'Base stats'!E:E),Groups!A:A,Groups!Z:Z)*150 + 0.5 + _xlfn.XLOOKUP(B202,'Base stats'!B:B,'Base stats'!BU:BU),
0.05))</f>
        <v>2.2000000000000002</v>
      </c>
      <c r="S202" s="3">
        <f>IF(Animals!AI202="No","No",
IF(_xlfn.XLOOKUP(B202,'Base stats'!B:B,'Base stats'!U:U)="No",
MAX(MROUND(_xlfn.XLOOKUP(B202,'Base stats'!B:B,'Base stats'!BR:BR) * _xlfn.XLOOKUP(B202,'Base stats'!B:B,'Base stats'!BN:BN)^0.9 / 21 * _xlfn.XLOOKUP(B202,'Base stats'!B:B,'Base stats'!BV:BV),0.1),0.05),
MAX(MROUND(((MIN(12,_xlfn.XLOOKUP(B202,'Base stats'!B:B,'Base stats'!U:U)))^0.4*_xlfn.XLOOKUP(B202,'Base stats'!B:B,'Base stats'!BF:BF)^0.73)^0.6 * _xlfn.XLOOKUP(B202,'Base stats'!B:B,'Base stats'!BV:BV),0.1),0.05)
))</f>
        <v>2.8000000000000003</v>
      </c>
      <c r="T202" s="11">
        <f>IF(S202="No","No",
MAX(0.01,MROUND(_xlfn.XLOOKUP(B202,'Base stats'!B:B,'Base stats'!BF:BF) * 0.01 * 2, 0.01))
)</f>
        <v>0.16</v>
      </c>
      <c r="U202" s="5">
        <f>IF(S202="No","No",IF(_xlfn.XLOOKUP(B202,'Base stats'!B:B,'Base stats'!U:U)="No","No",
MAX(0.01,MROUND(_xlfn.XLOOKUP(B202,'Base stats'!B:B,'Base stats'!BR:BR)/10000,0.01))
))</f>
        <v>0.04</v>
      </c>
      <c r="V202" s="4">
        <f>IF(S202="No","No",
MROUND(_xlfn.XLOOKUP(B202,'Base stats'!B:B,'Base stats'!BD:BD)^0.25
/((_xlfn.XLOOKUP(B202,'Base stats'!B:B,'Base stats'!BM:BM))*10)*_xlfn.XLOOKUP(_xlfn.XLOOKUP(B202,'Base stats'!B:B,'Base stats'!E:E),Groups!A:A,Groups!AE:AE)*150 + 0.5 + _xlfn.XLOOKUP(B202,'Base stats'!B:B,'Base stats'!BU:BU),
0.05))</f>
        <v>1.1500000000000001</v>
      </c>
      <c r="W202" s="8">
        <f>MROUND(_xlfn.XLOOKUP(_xlfn.XLOOKUP(B202,'Base stats'!B:B,'Base stats'!E:E),Groups!A:A,Groups!BG:BG)*_xlfn.XLOOKUP(B202,'Base stats'!B:B,'Base stats'!C:C)^-0.165,0.01)</f>
        <v>0.42</v>
      </c>
      <c r="X202" s="1">
        <f>MROUND(_xlfn.XLOOKUP(_xlfn.XLOOKUP(B202,'Base stats'!B:B,'Base stats'!E:E),Groups!A:A,Groups!BH:BH)*_xlfn.XLOOKUP(B202,'Base stats'!B:B,'Base stats'!C:C)^0.165,0.01)</f>
        <v>0</v>
      </c>
      <c r="Y202" s="8">
        <f>MROUND(_xlfn.XLOOKUP(_xlfn.XLOOKUP(B202,'Base stats'!B:B,'Base stats'!E:E),Groups!A:A,Groups!BI:BI)*_xlfn.XLOOKUP(B202,'Base stats'!B:B,'Base stats'!C:C)^0.165,0.01)</f>
        <v>0</v>
      </c>
      <c r="Z202" s="18">
        <f>ROUND(_xlfn.XLOOKUP(B202,'Base stats'!B:B,'Base stats'!AO:AO)*_xlfn.XLOOKUP(_xlfn.XLOOKUP(B202,'Base stats'!B:B,'Base stats'!E:E),Groups!A:A,Groups!H:H)/1000,2)</f>
        <v>0.03</v>
      </c>
      <c r="AA202" s="18">
        <f>ROUND((1/2)*(_xlfn.XLOOKUP(_xlfn.XLOOKUP(B202,'Base stats'!B:B,'Base stats'!E:E),Groups!A:A,Groups!H:H)*_xlfn.XLOOKUP(_xlfn.XLOOKUP(B202,'Base stats'!B:B,'Base stats'!E:E),Groups!A:A,Groups!I:I))*_xlfn.XLOOKUP(B202,'Base stats'!B:B,'Base stats'!AO:AO)*0.01,2)</f>
        <v>0.11</v>
      </c>
      <c r="AB202" s="18">
        <f>250*(Animals!AO202+Animals!AP202)</f>
        <v>137.5</v>
      </c>
      <c r="AC202" s="18" t="str">
        <f>_xlfn.XLOOKUP(_xlfn.XLOOKUP(B202,'Base stats'!B:B,'Base stats'!E:E),Groups!A:A,Groups!BJ:BJ)</f>
        <v>QuadrupedLow</v>
      </c>
    </row>
    <row r="203" spans="1:29" ht="16.5" thickTop="1" thickBot="1" x14ac:dyDescent="0.3">
      <c r="A203" s="16" t="str">
        <f>Animals!A203</f>
        <v>Toxlion</v>
      </c>
      <c r="B203" s="6" t="str">
        <f>Animals!B203</f>
        <v>Panthera toxileo</v>
      </c>
      <c r="C203" s="1" t="str">
        <f>Animals!C203</f>
        <v>&lt;li&gt;VAEWaste_Toxlion&lt;/li&gt;</v>
      </c>
      <c r="D203" s="47">
        <f>MAX(MROUND(_xlfn.XLOOKUP(B203,'Base stats'!B:B,'Base stats'!BQ:BQ) * (_xlfn.XLOOKUP(B203,'Base stats'!B:B,'Base stats'!AM:AM)*5%)^0.9 / 21,0.1),0.05)</f>
        <v>4.5</v>
      </c>
      <c r="E203" s="11">
        <f>MAX(0.01,MROUND(_xlfn.XLOOKUP(B203,'Base stats'!B:B,'Base stats'!BE:BE) * 0.01 * 2, 0.01))</f>
        <v>3.96</v>
      </c>
      <c r="F203" s="7">
        <f>MROUND(_xlfn.XLOOKUP(B203,'Base stats'!B:B,'Base stats'!BB:BB)^0.25 / (_xlfn.XLOOKUP(B203,'Base stats'!B:B,'Base stats'!BI:BI) * 10) * 150 + 0.5 + _xlfn.XLOOKUP(B203,'Base stats'!B:B,'Base stats'!BU:BU), 0.05)</f>
        <v>2.1</v>
      </c>
      <c r="G203" s="3" t="str">
        <f>IF(Animals!S203="No","No",
IF(_xlfn.XLOOKUP(B203,'Base stats'!B:B,'Base stats'!U:U)="No",
MAX(MROUND(_xlfn.XLOOKUP(B203,'Base stats'!B:B,'Base stats'!BR:BR) * _xlfn.XLOOKUP(B203,'Base stats'!B:B,'Base stats'!BN:BN)^0.9 / 21 * _xlfn.XLOOKUP(B203,'Base stats'!B:B,'Base stats'!BV:BV),0.1),0.05),
MAX(MROUND(((MIN(10,_xlfn.XLOOKUP(B203,'Base stats'!B:B,'Base stats'!U:U)))^0.4*_xlfn.XLOOKUP(B203,'Base stats'!B:B,'Base stats'!BF:BF)^0.73)^0.6 * _xlfn.XLOOKUP(B203,'Base stats'!B:B,'Base stats'!BV:BV),0.1),0.05)
))</f>
        <v>No</v>
      </c>
      <c r="H203" s="11" t="str">
        <f>IF(G203="No","No",
MAX(0.01,MROUND(_xlfn.XLOOKUP(B203,'Base stats'!B:B,'Base stats'!BF:BF) * 0.01 * 2, 0.01))
)</f>
        <v>No</v>
      </c>
      <c r="I203" s="11" t="str">
        <f>IF(G203="No","No",IF(_xlfn.XLOOKUP(B203,'Base stats'!B:B,'Base stats'!U:U)="No","No",
MAX(0.01,MROUND(_xlfn.XLOOKUP(B203,'Base stats'!B:B,'Base stats'!BR:BR)/10000,0.01))
))</f>
        <v>No</v>
      </c>
      <c r="J203" s="4" t="str">
        <f>IF(G203="No","No",
MROUND(_xlfn.XLOOKUP(B203,'Base stats'!B:B,'Base stats'!BC:BC)^0.25
/((_xlfn.XLOOKUP(B203,'Base stats'!B:B,'Base stats'!BJ:BJ))*10)*_xlfn.XLOOKUP(_xlfn.XLOOKUP(B203,'Base stats'!B:B,'Base stats'!E:E),Groups!A:A,Groups!Q:Q)*150 + 0.5 + _xlfn.XLOOKUP(B203,'Base stats'!B:B,'Base stats'!BU:BU),
0.05))</f>
        <v>No</v>
      </c>
      <c r="K203" s="3" t="str">
        <f>IF(Animals!X203="No","No",
IF(_xlfn.XLOOKUP(_xlfn.XLOOKUP(B203,'Base stats'!B:B,'Base stats'!E:E),Groups!A:A,Groups!BD:BD)=1,
MAX(MROUND(_xlfn.XLOOKUP(B203,'Base stats'!B:B,'Base stats'!BS:BS) * _xlfn.XLOOKUP(B203,'Base stats'!B:B,'Base stats'!BO:BO)^0.9 / 21 *_xlfn.XLOOKUP(B203,'Base stats'!B:B,'Base stats'!BV:BV),0.1),0.05),
MAX(MROUND(((MIN(10,_xlfn.XLOOKUP(B203,'Base stats'!B:B,'Base stats'!W:W)))^0.4*_xlfn.XLOOKUP(B203,'Base stats'!B:B,'Base stats'!BG:BG)^0.73)^0.6 *_xlfn.XLOOKUP(B203,'Base stats'!B:B,'Base stats'!BV:BV),0.1),0.05)
))</f>
        <v>No</v>
      </c>
      <c r="L203" s="11" t="str">
        <f>IF(K203="No","No",
MAX(0.01,MROUND(_xlfn.XLOOKUP(B203,'Base stats'!B:B,'Base stats'!BG:BG) * 0.01 *2, 0.01))
)</f>
        <v>No</v>
      </c>
      <c r="M203" s="5" t="str">
        <f>IF(K203="No","No",IF(_xlfn.XLOOKUP(_xlfn.XLOOKUP(B203,'Base stats'!B:B,'Base stats'!E:E),Groups!A:A,Groups!BD:BD)=1,"No",
MAX(0.01,MROUND(_xlfn.XLOOKUP(B203,'Base stats'!B:B,'Base stats'!BS:BS)/10000,0.01))
))</f>
        <v>No</v>
      </c>
      <c r="N203" s="4" t="str">
        <f>IF(K203="No","No",
MROUND(
  _xlfn.XLOOKUP(B203,'Base stats'!B:B,'Base stats'!BA:BA)^0.25
  / (_xlfn.XLOOKUP(B203,'Base stats'!B:B,'Base stats'!BK:BK)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stats'!BU:BU),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stats'!BH:BH)^0.73)^0.6 *_xlfn.XLOOKUP(B203,'Base stats'!B:B,'Base stats'!BV:BV),0.1),0.05)
)</f>
        <v>21.5</v>
      </c>
      <c r="P203" s="11">
        <f>IF(O203="No","No",
MAX(0.01,MROUND(_xlfn.XLOOKUP(B203,'Base stats'!B:B,'Base stats'!BH:BH) * 0.01 * 2, 0.01))
)</f>
        <v>9.19</v>
      </c>
      <c r="Q203" s="5">
        <f>IF(O203="No","No",
MAX(0.01,MROUND(_xlfn.XLOOKUP(B203,'Base stats'!B:B,'Base stats'!BT:BT)/10000,0.01))
)</f>
        <v>0.39</v>
      </c>
      <c r="R203" s="4">
        <f>IF(O203="No","No",
MROUND(_xlfn.XLOOKUP(B203,'Base stats'!B:B,'Base stats'!AZ:AZ)^0.25
/((_xlfn.XLOOKUP(B203,'Base stats'!B:B,'Base stats'!BL:BL))*10)*_xlfn.XLOOKUP(_xlfn.XLOOKUP(B203,'Base stats'!B:B,'Base stats'!E:E),Groups!A:A,Groups!Z:Z)*150 + 0.5 + _xlfn.XLOOKUP(B203,'Base stats'!B:B,'Base stats'!BU:BU),
0.05))</f>
        <v>2.0500000000000003</v>
      </c>
      <c r="S203" s="3">
        <f>IF(Animals!AI203="No","No",
IF(_xlfn.XLOOKUP(B203,'Base stats'!B:B,'Base stats'!U:U)="No",
MAX(MROUND(_xlfn.XLOOKUP(B203,'Base stats'!B:B,'Base stats'!BR:BR) * _xlfn.XLOOKUP(B203,'Base stats'!B:B,'Base stats'!BN:BN)^0.9 / 21 * _xlfn.XLOOKUP(B203,'Base stats'!B:B,'Base stats'!BV:BV),0.1),0.05),
MAX(MROUND(((MIN(12,_xlfn.XLOOKUP(B203,'Base stats'!B:B,'Base stats'!U:U)))^0.4*_xlfn.XLOOKUP(B203,'Base stats'!B:B,'Base stats'!BF:BF)^0.73)^0.6 * _xlfn.XLOOKUP(B203,'Base stats'!B:B,'Base stats'!BV:BV),0.1),0.05)
))</f>
        <v>17.7</v>
      </c>
      <c r="T203" s="11">
        <f>IF(S203="No","No",
MAX(0.01,MROUND(_xlfn.XLOOKUP(B203,'Base stats'!B:B,'Base stats'!BF:BF) * 0.01 * 2, 0.01))
)</f>
        <v>4.8600000000000003</v>
      </c>
      <c r="U203" s="5">
        <f>IF(S203="No","No",IF(_xlfn.XLOOKUP(B203,'Base stats'!B:B,'Base stats'!U:U)="No","No",
MAX(0.01,MROUND(_xlfn.XLOOKUP(B203,'Base stats'!B:B,'Base stats'!BR:BR)/10000,0.01))
))</f>
        <v>0.21</v>
      </c>
      <c r="V203" s="4">
        <f>IF(S203="No","No",
MROUND(_xlfn.XLOOKUP(B203,'Base stats'!B:B,'Base stats'!BD:BD)^0.25
/((_xlfn.XLOOKUP(B203,'Base stats'!B:B,'Base stats'!BM:BM))*10)*_xlfn.XLOOKUP(_xlfn.XLOOKUP(B203,'Base stats'!B:B,'Base stats'!E:E),Groups!A:A,Groups!AE:AE)*150 + 0.5 + _xlfn.XLOOKUP(B203,'Base stats'!B:B,'Base stats'!BU:BU),
0.05))</f>
        <v>1.4500000000000002</v>
      </c>
      <c r="W203" s="8">
        <f>MROUND(_xlfn.XLOOKUP(_xlfn.XLOOKUP(B203,'Base stats'!B:B,'Base stats'!E:E),Groups!A:A,Groups!BG:BG)*_xlfn.XLOOKUP(B203,'Base stats'!B:B,'Base stats'!C:C)^-0.165,0.01)</f>
        <v>0.54</v>
      </c>
      <c r="X203" s="1">
        <f>MROUND(_xlfn.XLOOKUP(_xlfn.XLOOKUP(B203,'Base stats'!B:B,'Base stats'!E:E),Groups!A:A,Groups!BH:BH)*_xlfn.XLOOKUP(B203,'Base stats'!B:B,'Base stats'!C:C)^0.165,0.01)</f>
        <v>0.57999999999999996</v>
      </c>
      <c r="Y203" s="8">
        <f>MROUND(_xlfn.XLOOKUP(_xlfn.XLOOKUP(B203,'Base stats'!B:B,'Base stats'!E:E),Groups!A:A,Groups!BI:BI)*_xlfn.XLOOKUP(B203,'Base stats'!B:B,'Base stats'!C:C)^0.165,0.01)</f>
        <v>0.06</v>
      </c>
      <c r="Z203" s="18">
        <f>ROUND(_xlfn.XLOOKUP(B203,'Base stats'!B:B,'Base stats'!AO:AO)*_xlfn.XLOOKUP(_xlfn.XLOOKUP(B203,'Base stats'!B:B,'Base stats'!E:E),Groups!A:A,Groups!H:H)/1000,2)</f>
        <v>0.13</v>
      </c>
      <c r="AA203" s="18">
        <f>ROUND((1/2)*(_xlfn.XLOOKUP(_xlfn.XLOOKUP(B203,'Base stats'!B:B,'Base stats'!E:E),Groups!A:A,Groups!H:H)*_xlfn.XLOOKUP(_xlfn.XLOOKUP(B203,'Base stats'!B:B,'Base stats'!E:E),Groups!A:A,Groups!I:I))*_xlfn.XLOOKUP(B203,'Base stats'!B:B,'Base stats'!AO:AO)*0.01,2)</f>
        <v>0.99</v>
      </c>
      <c r="AB203" s="18">
        <f>250*(Animals!AO203+Animals!AP203)</f>
        <v>875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Toxscorpion</v>
      </c>
      <c r="B204" s="6" t="str">
        <f>Animals!B204</f>
        <v>Toxoscorpio bellator</v>
      </c>
      <c r="C204" s="1" t="str">
        <f>Animals!C204</f>
        <v>&lt;li&gt;VAEWaste_Toxscorpion&lt;/li&gt;</v>
      </c>
      <c r="D204" s="47">
        <f>MAX(MROUND(_xlfn.XLOOKUP(B204,'Base stats'!B:B,'Base stats'!BQ:BQ) * (_xlfn.XLOOKUP(B204,'Base stats'!B:B,'Base stats'!AM:AM)*5%)^0.9 / 21,0.1),0.05)</f>
        <v>4.9000000000000004</v>
      </c>
      <c r="E204" s="11">
        <f>MAX(0.01,MROUND(_xlfn.XLOOKUP(B204,'Base stats'!B:B,'Base stats'!BE:BE) * 0.01 * 2, 0.01))</f>
        <v>4.5600000000000005</v>
      </c>
      <c r="F204" s="7">
        <f>MROUND(_xlfn.XLOOKUP(B204,'Base stats'!B:B,'Base stats'!BB:BB)^0.25 / (_xlfn.XLOOKUP(B204,'Base stats'!B:B,'Base stats'!BI:BI) * 10) * 150 + 0.5 + _xlfn.XLOOKUP(B204,'Base stats'!B:B,'Base stats'!BU:BU), 0.05)</f>
        <v>3.4000000000000004</v>
      </c>
      <c r="G204" s="3" t="str">
        <f>IF(Animals!S204="No","No",
IF(_xlfn.XLOOKUP(B204,'Base stats'!B:B,'Base stats'!U:U)="No",
MAX(MROUND(_xlfn.XLOOKUP(B204,'Base stats'!B:B,'Base stats'!BR:BR) * _xlfn.XLOOKUP(B204,'Base stats'!B:B,'Base stats'!BN:BN)^0.9 / 21 * _xlfn.XLOOKUP(B204,'Base stats'!B:B,'Base stats'!BV:BV),0.1),0.05),
MAX(MROUND(((MIN(10,_xlfn.XLOOKUP(B204,'Base stats'!B:B,'Base stats'!U:U)))^0.4*_xlfn.XLOOKUP(B204,'Base stats'!B:B,'Base stats'!BF:BF)^0.73)^0.6 * _xlfn.XLOOKUP(B204,'Base stats'!B:B,'Base stats'!BV:BV),0.1),0.05)
))</f>
        <v>No</v>
      </c>
      <c r="H204" s="11" t="str">
        <f>IF(G204="No","No",
MAX(0.01,MROUND(_xlfn.XLOOKUP(B204,'Base stats'!B:B,'Base stats'!BF:BF) * 0.01 * 2, 0.01))
)</f>
        <v>No</v>
      </c>
      <c r="I204" s="11" t="str">
        <f>IF(G204="No","No",IF(_xlfn.XLOOKUP(B204,'Base stats'!B:B,'Base stats'!U:U)="No","No",
MAX(0.01,MROUND(_xlfn.XLOOKUP(B204,'Base stats'!B:B,'Base stats'!BR:BR)/10000,0.01))
))</f>
        <v>No</v>
      </c>
      <c r="J204" s="4" t="str">
        <f>IF(G204="No","No",
MROUND(_xlfn.XLOOKUP(B204,'Base stats'!B:B,'Base stats'!BC:BC)^0.25
/((_xlfn.XLOOKUP(B204,'Base stats'!B:B,'Base stats'!BJ:BJ))*10)*_xlfn.XLOOKUP(_xlfn.XLOOKUP(B204,'Base stats'!B:B,'Base stats'!E:E),Groups!A:A,Groups!Q:Q)*150 + 0.5 + _xlfn.XLOOKUP(B204,'Base stats'!B:B,'Base stats'!BU:BU),
0.05))</f>
        <v>No</v>
      </c>
      <c r="K204" s="3">
        <f>IF(Animals!X204="No","No",
IF(_xlfn.XLOOKUP(_xlfn.XLOOKUP(B204,'Base stats'!B:B,'Base stats'!E:E),Groups!A:A,Groups!BD:BD)=1,
MAX(MROUND(_xlfn.XLOOKUP(B204,'Base stats'!B:B,'Base stats'!BS:BS) * _xlfn.XLOOKUP(B204,'Base stats'!B:B,'Base stats'!BO:BO)^0.9 / 21 *_xlfn.XLOOKUP(B204,'Base stats'!B:B,'Base stats'!BV:BV),0.1),0.05),
MAX(MROUND(((MIN(10,_xlfn.XLOOKUP(B204,'Base stats'!B:B,'Base stats'!W:W)))^0.4*_xlfn.XLOOKUP(B204,'Base stats'!B:B,'Base stats'!BG:BG)^0.73)^0.6 *_xlfn.XLOOKUP(B204,'Base stats'!B:B,'Base stats'!BV:BV),0.1),0.05)
))</f>
        <v>41.2</v>
      </c>
      <c r="L204" s="11">
        <f>IF(K204="No","No",
MAX(0.01,MROUND(_xlfn.XLOOKUP(B204,'Base stats'!B:B,'Base stats'!BG:BG) * 0.01 *2, 0.01))
)</f>
        <v>29.23</v>
      </c>
      <c r="M204" s="5">
        <f>IF(K204="No","No",IF(_xlfn.XLOOKUP(_xlfn.XLOOKUP(B204,'Base stats'!B:B,'Base stats'!E:E),Groups!A:A,Groups!BD:BD)=1,"No",
MAX(0.01,MROUND(_xlfn.XLOOKUP(B204,'Base stats'!B:B,'Base stats'!BS:BS)/10000,0.01))
))</f>
        <v>1.59</v>
      </c>
      <c r="N204" s="4">
        <f>IF(K204="No","No",
MROUND(
  _xlfn.XLOOKUP(B204,'Base stats'!B:B,'Base stats'!BA:BA)^0.25
  / (_xlfn.XLOOKUP(B204,'Base stats'!B:B,'Base stats'!BK:BK)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stats'!BU:BU),
0.05))</f>
        <v>5.1000000000000005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stats'!BH:BH)^0.73)^0.6 *_xlfn.XLOOKUP(B204,'Base stats'!B:B,'Base stats'!BV:BV),0.1),0.05)
)</f>
        <v>38.1</v>
      </c>
      <c r="P204" s="11">
        <f>IF(O204="No","No",
MAX(0.01,MROUND(_xlfn.XLOOKUP(B204,'Base stats'!B:B,'Base stats'!BH:BH) * 0.01 * 2, 0.01))
)</f>
        <v>30.45</v>
      </c>
      <c r="Q204" s="5">
        <f>IF(O204="No","No",
MAX(0.01,MROUND(_xlfn.XLOOKUP(B204,'Base stats'!B:B,'Base stats'!BT:BT)/10000,0.01))
)</f>
        <v>0.9</v>
      </c>
      <c r="R204" s="4">
        <f>IF(O204="No","No",
MROUND(_xlfn.XLOOKUP(B204,'Base stats'!B:B,'Base stats'!AZ:AZ)^0.25
/((_xlfn.XLOOKUP(B204,'Base stats'!B:B,'Base stats'!BL:BL))*10)*_xlfn.XLOOKUP(_xlfn.XLOOKUP(B204,'Base stats'!B:B,'Base stats'!E:E),Groups!A:A,Groups!Z:Z)*150 + 0.5 + _xlfn.XLOOKUP(B204,'Base stats'!B:B,'Base stats'!BU:BU),
0.05))</f>
        <v>3</v>
      </c>
      <c r="S204" s="3">
        <f>IF(Animals!AI204="No","No",
IF(_xlfn.XLOOKUP(B204,'Base stats'!B:B,'Base stats'!U:U)="No",
MAX(MROUND(_xlfn.XLOOKUP(B204,'Base stats'!B:B,'Base stats'!BR:BR) * _xlfn.XLOOKUP(B204,'Base stats'!B:B,'Base stats'!BN:BN)^0.9 / 21 * _xlfn.XLOOKUP(B204,'Base stats'!B:B,'Base stats'!BV:BV),0.1),0.05),
MAX(MROUND(((MIN(12,_xlfn.XLOOKUP(B204,'Base stats'!B:B,'Base stats'!U:U)))^0.4*_xlfn.XLOOKUP(B204,'Base stats'!B:B,'Base stats'!BF:BF)^0.73)^0.6 * _xlfn.XLOOKUP(B204,'Base stats'!B:B,'Base stats'!BV:BV),0.1),0.05)
))</f>
        <v>40.800000000000004</v>
      </c>
      <c r="T204" s="11">
        <f>IF(S204="No","No",
MAX(0.01,MROUND(_xlfn.XLOOKUP(B204,'Base stats'!B:B,'Base stats'!BF:BF) * 0.01 * 2, 0.01))
)</f>
        <v>24.36</v>
      </c>
      <c r="U204" s="5">
        <f>IF(S204="No","No",IF(_xlfn.XLOOKUP(B204,'Base stats'!B:B,'Base stats'!U:U)="No","No",
MAX(0.01,MROUND(_xlfn.XLOOKUP(B204,'Base stats'!B:B,'Base stats'!BR:BR)/10000,0.01))
))</f>
        <v>7.19</v>
      </c>
      <c r="V204" s="4">
        <f>IF(S204="No","No",
MROUND(_xlfn.XLOOKUP(B204,'Base stats'!B:B,'Base stats'!BD:BD)^0.25
/((_xlfn.XLOOKUP(B204,'Base stats'!B:B,'Base stats'!BM:BM))*10)*_xlfn.XLOOKUP(_xlfn.XLOOKUP(B204,'Base stats'!B:B,'Base stats'!E:E),Groups!A:A,Groups!AE:AE)*150 + 0.5 + _xlfn.XLOOKUP(B204,'Base stats'!B:B,'Base stats'!BU:BU),
0.05))</f>
        <v>3.6</v>
      </c>
      <c r="W204" s="8">
        <f>MROUND(_xlfn.XLOOKUP(_xlfn.XLOOKUP(B204,'Base stats'!B:B,'Base stats'!E:E),Groups!A:A,Groups!BG:BG)*_xlfn.XLOOKUP(B204,'Base stats'!B:B,'Base stats'!C:C)^-0.165,0.01)</f>
        <v>0.09</v>
      </c>
      <c r="X204" s="1">
        <f>MROUND(_xlfn.XLOOKUP(_xlfn.XLOOKUP(B204,'Base stats'!B:B,'Base stats'!E:E),Groups!A:A,Groups!BH:BH)*_xlfn.XLOOKUP(B204,'Base stats'!B:B,'Base stats'!C:C)^0.165,0.01)</f>
        <v>0.27</v>
      </c>
      <c r="Y204" s="8">
        <f>MROUND(_xlfn.XLOOKUP(_xlfn.XLOOKUP(B204,'Base stats'!B:B,'Base stats'!E:E),Groups!A:A,Groups!BI:BI)*_xlfn.XLOOKUP(B204,'Base stats'!B:B,'Base stats'!C:C)^0.165,0.01)</f>
        <v>7.0000000000000007E-2</v>
      </c>
      <c r="Z204" s="18">
        <f>ROUND(_xlfn.XLOOKUP(B204,'Base stats'!B:B,'Base stats'!AO:AO)*_xlfn.XLOOKUP(_xlfn.XLOOKUP(B204,'Base stats'!B:B,'Base stats'!E:E),Groups!A:A,Groups!H:H)/1000,2)</f>
        <v>1.86</v>
      </c>
      <c r="AA204" s="18">
        <f>ROUND((1/2)*(_xlfn.XLOOKUP(_xlfn.XLOOKUP(B204,'Base stats'!B:B,'Base stats'!E:E),Groups!A:A,Groups!H:H)*_xlfn.XLOOKUP(_xlfn.XLOOKUP(B204,'Base stats'!B:B,'Base stats'!E:E),Groups!A:A,Groups!I:I))*_xlfn.XLOOKUP(B204,'Base stats'!B:B,'Base stats'!AO:AO)*0.01,2)</f>
        <v>0.13</v>
      </c>
      <c r="AB204" s="18">
        <f>250*(Animals!AO204+Animals!AP204)</f>
        <v>1375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Wasteboar</v>
      </c>
      <c r="B205" s="6" t="str">
        <f>Animals!B205</f>
        <v>Sus toxiscrofa</v>
      </c>
      <c r="C205" s="1" t="str">
        <f>Animals!C205</f>
        <v>&lt;li&gt;VAEWaste_Wasteboar&lt;/li&gt;</v>
      </c>
      <c r="D205" s="47">
        <f>MAX(MROUND(_xlfn.XLOOKUP(B205,'Base stats'!B:B,'Base stats'!BQ:BQ) * (_xlfn.XLOOKUP(B205,'Base stats'!B:B,'Base stats'!AM:AM)*5%)^0.9 / 21,0.1),0.05)</f>
        <v>4.3</v>
      </c>
      <c r="E205" s="11">
        <f>MAX(0.01,MROUND(_xlfn.XLOOKUP(B205,'Base stats'!B:B,'Base stats'!BE:BE) * 0.01 * 2, 0.01))</f>
        <v>3.74</v>
      </c>
      <c r="F205" s="7">
        <f>MROUND(_xlfn.XLOOKUP(B205,'Base stats'!B:B,'Base stats'!BB:BB)^0.25 / (_xlfn.XLOOKUP(B205,'Base stats'!B:B,'Base stats'!BI:BI) * 10) * 150 + 0.5 + _xlfn.XLOOKUP(B205,'Base stats'!B:B,'Base stats'!BU:BU), 0.05)</f>
        <v>1.75</v>
      </c>
      <c r="G205" s="3" t="str">
        <f>IF(Animals!S205="No","No",
IF(_xlfn.XLOOKUP(B205,'Base stats'!B:B,'Base stats'!U:U)="No",
MAX(MROUND(_xlfn.XLOOKUP(B205,'Base stats'!B:B,'Base stats'!BR:BR) * _xlfn.XLOOKUP(B205,'Base stats'!B:B,'Base stats'!BN:BN)^0.9 / 21 * _xlfn.XLOOKUP(B205,'Base stats'!B:B,'Base stats'!BV:BV),0.1),0.05),
MAX(MROUND(((MIN(10,_xlfn.XLOOKUP(B205,'Base stats'!B:B,'Base stats'!U:U)))^0.4*_xlfn.XLOOKUP(B205,'Base stats'!B:B,'Base stats'!BF:BF)^0.73)^0.6 * _xlfn.XLOOKUP(B205,'Base stats'!B:B,'Base stats'!BV:BV),0.1),0.05)
))</f>
        <v>No</v>
      </c>
      <c r="H205" s="11" t="str">
        <f>IF(G205="No","No",
MAX(0.01,MROUND(_xlfn.XLOOKUP(B205,'Base stats'!B:B,'Base stats'!BF:BF) * 0.01 * 2, 0.01))
)</f>
        <v>No</v>
      </c>
      <c r="I205" s="11" t="str">
        <f>IF(G205="No","No",IF(_xlfn.XLOOKUP(B205,'Base stats'!B:B,'Base stats'!U:U)="No","No",
MAX(0.01,MROUND(_xlfn.XLOOKUP(B205,'Base stats'!B:B,'Base stats'!BR:BR)/10000,0.01))
))</f>
        <v>No</v>
      </c>
      <c r="J205" s="4" t="str">
        <f>IF(G205="No","No",
MROUND(_xlfn.XLOOKUP(B205,'Base stats'!B:B,'Base stats'!BC:BC)^0.25
/((_xlfn.XLOOKUP(B205,'Base stats'!B:B,'Base stats'!BJ:BJ))*10)*_xlfn.XLOOKUP(_xlfn.XLOOKUP(B205,'Base stats'!B:B,'Base stats'!E:E),Groups!A:A,Groups!Q:Q)*150 + 0.5 + _xlfn.XLOOKUP(B205,'Base stats'!B:B,'Base stats'!BU:BU),
0.05))</f>
        <v>No</v>
      </c>
      <c r="K205" s="3">
        <f>IF(Animals!X205="No","No",
IF(_xlfn.XLOOKUP(_xlfn.XLOOKUP(B205,'Base stats'!B:B,'Base stats'!E:E),Groups!A:A,Groups!BD:BD)=1,
MAX(MROUND(_xlfn.XLOOKUP(B205,'Base stats'!B:B,'Base stats'!BS:BS) * _xlfn.XLOOKUP(B205,'Base stats'!B:B,'Base stats'!BO:BO)^0.9 / 21 *_xlfn.XLOOKUP(B205,'Base stats'!B:B,'Base stats'!BV:BV),0.1),0.05),
MAX(MROUND(((MIN(10,_xlfn.XLOOKUP(B205,'Base stats'!B:B,'Base stats'!W:W)))^0.4*_xlfn.XLOOKUP(B205,'Base stats'!B:B,'Base stats'!BG:BG)^0.73)^0.6 *_xlfn.XLOOKUP(B205,'Base stats'!B:B,'Base stats'!BV:BV),0.1),0.05)
))</f>
        <v>25.400000000000002</v>
      </c>
      <c r="L205" s="11">
        <f>IF(K205="No","No",
MAX(0.01,MROUND(_xlfn.XLOOKUP(B205,'Base stats'!B:B,'Base stats'!BG:BG) * 0.01 *2, 0.01))
)</f>
        <v>9.120000000000001</v>
      </c>
      <c r="M205" s="5">
        <f>IF(K205="No","No",IF(_xlfn.XLOOKUP(_xlfn.XLOOKUP(B205,'Base stats'!B:B,'Base stats'!E:E),Groups!A:A,Groups!BD:BD)=1,"No",
MAX(0.01,MROUND(_xlfn.XLOOKUP(B205,'Base stats'!B:B,'Base stats'!BS:BS)/10000,0.01))
))</f>
        <v>0.55000000000000004</v>
      </c>
      <c r="N205" s="4">
        <f>IF(K205="No","No",
MROUND(
  _xlfn.XLOOKUP(B205,'Base stats'!B:B,'Base stats'!BA:BA)^0.25
  / (_xlfn.XLOOKUP(B205,'Base stats'!B:B,'Base stats'!BK:BK)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stats'!BU:BU),
0.05))</f>
        <v>3.3000000000000003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stats'!BH:BH)^0.73)^0.6 *_xlfn.XLOOKUP(B205,'Base stats'!B:B,'Base stats'!BV:BV),0.1),0.05)
)</f>
        <v>23.3</v>
      </c>
      <c r="P205" s="11">
        <f>IF(O205="No","No",
MAX(0.01,MROUND(_xlfn.XLOOKUP(B205,'Base stats'!B:B,'Base stats'!BH:BH) * 0.01 * 2, 0.01))
)</f>
        <v>7.6000000000000005</v>
      </c>
      <c r="Q205" s="5">
        <f>IF(O205="No","No",
MAX(0.01,MROUND(_xlfn.XLOOKUP(B205,'Base stats'!B:B,'Base stats'!BT:BT)/10000,0.01))
)</f>
        <v>0.33</v>
      </c>
      <c r="R205" s="4">
        <f>IF(O205="No","No",
MROUND(_xlfn.XLOOKUP(B205,'Base stats'!B:B,'Base stats'!AZ:AZ)^0.25
/((_xlfn.XLOOKUP(B205,'Base stats'!B:B,'Base stats'!BL:BL))*10)*_xlfn.XLOOKUP(_xlfn.XLOOKUP(B205,'Base stats'!B:B,'Base stats'!E:E),Groups!A:A,Groups!Z:Z)*150 + 0.5 + _xlfn.XLOOKUP(B205,'Base stats'!B:B,'Base stats'!BU:BU),
0.05))</f>
        <v>2.85</v>
      </c>
      <c r="S205" s="3" t="str">
        <f>IF(Animals!AI205="No","No",
IF(_xlfn.XLOOKUP(B205,'Base stats'!B:B,'Base stats'!U:U)="No",
MAX(MROUND(_xlfn.XLOOKUP(B205,'Base stats'!B:B,'Base stats'!BR:BR) * _xlfn.XLOOKUP(B205,'Base stats'!B:B,'Base stats'!BN:BN)^0.9 / 21 * _xlfn.XLOOKUP(B205,'Base stats'!B:B,'Base stats'!BV:BV),0.1),0.05),
MAX(MROUND(((MIN(12,_xlfn.XLOOKUP(B205,'Base stats'!B:B,'Base stats'!U:U)))^0.4*_xlfn.XLOOKUP(B205,'Base stats'!B:B,'Base stats'!BF:BF)^0.73)^0.6 * _xlfn.XLOOKUP(B205,'Base stats'!B:B,'Base stats'!BV:BV),0.1),0.05)
))</f>
        <v>No</v>
      </c>
      <c r="T205" s="11" t="str">
        <f>IF(S205="No","No",
MAX(0.01,MROUND(_xlfn.XLOOKUP(B205,'Base stats'!B:B,'Base stats'!BF:BF) * 0.01 * 2, 0.01))
)</f>
        <v>No</v>
      </c>
      <c r="U205" s="5" t="str">
        <f>IF(S205="No","No",IF(_xlfn.XLOOKUP(B205,'Base stats'!B:B,'Base stats'!U:U)="No","No",
MAX(0.01,MROUND(_xlfn.XLOOKUP(B205,'Base stats'!B:B,'Base stats'!BR:BR)/10000,0.01))
))</f>
        <v>No</v>
      </c>
      <c r="V205" s="4" t="str">
        <f>IF(S205="No","No",
MROUND(_xlfn.XLOOKUP(B205,'Base stats'!B:B,'Base stats'!BD:BD)^0.25
/((_xlfn.XLOOKUP(B205,'Base stats'!B:B,'Base stats'!BM:BM))*10)*_xlfn.XLOOKUP(_xlfn.XLOOKUP(B205,'Base stats'!B:B,'Base stats'!E:E),Groups!A:A,Groups!AE:AE)*150 + 0.5 + _xlfn.XLOOKUP(B205,'Base stats'!B:B,'Base stats'!BU:BU),
0.05))</f>
        <v>No</v>
      </c>
      <c r="W205" s="8">
        <f>MROUND(_xlfn.XLOOKUP(_xlfn.XLOOKUP(B205,'Base stats'!B:B,'Base stats'!E:E),Groups!A:A,Groups!BG:BG)*_xlfn.XLOOKUP(B205,'Base stats'!B:B,'Base stats'!C:C)^-0.165,0.01)</f>
        <v>0.22</v>
      </c>
      <c r="X205" s="1">
        <f>MROUND(_xlfn.XLOOKUP(_xlfn.XLOOKUP(B205,'Base stats'!B:B,'Base stats'!E:E),Groups!A:A,Groups!BH:BH)*_xlfn.XLOOKUP(B205,'Base stats'!B:B,'Base stats'!C:C)^0.165,0.01)</f>
        <v>0.23</v>
      </c>
      <c r="Y205" s="8">
        <f>MROUND(_xlfn.XLOOKUP(_xlfn.XLOOKUP(B205,'Base stats'!B:B,'Base stats'!E:E),Groups!A:A,Groups!BI:BI)*_xlfn.XLOOKUP(B205,'Base stats'!B:B,'Base stats'!C:C)^0.165,0.01)</f>
        <v>0.06</v>
      </c>
      <c r="Z205" s="18">
        <f>ROUND(_xlfn.XLOOKUP(B205,'Base stats'!B:B,'Base stats'!AO:AO)*_xlfn.XLOOKUP(_xlfn.XLOOKUP(B205,'Base stats'!B:B,'Base stats'!E:E),Groups!A:A,Groups!H:H)/1000,2)</f>
        <v>0.05</v>
      </c>
      <c r="AA205" s="18">
        <f>ROUND((1/2)*(_xlfn.XLOOKUP(_xlfn.XLOOKUP(B205,'Base stats'!B:B,'Base stats'!E:E),Groups!A:A,Groups!H:H)*_xlfn.XLOOKUP(_xlfn.XLOOKUP(B205,'Base stats'!B:B,'Base stats'!E:E),Groups!A:A,Groups!I:I))*_xlfn.XLOOKUP(B205,'Base stats'!B:B,'Base stats'!AO:AO)*0.01,2)</f>
        <v>0.28999999999999998</v>
      </c>
      <c r="AB205" s="18">
        <f>250*(Animals!AO205+Animals!AP205)</f>
        <v>750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Wastedeer</v>
      </c>
      <c r="B206" s="6" t="str">
        <f>Animals!B206</f>
        <v>Odocoileus toxus</v>
      </c>
      <c r="C206" s="1" t="str">
        <f>Animals!C206</f>
        <v>&lt;li&gt;VAEWaste_Wastedeer&lt;/li&gt;</v>
      </c>
      <c r="D206" s="47">
        <f>MAX(MROUND(_xlfn.XLOOKUP(B206,'Base stats'!B:B,'Base stats'!BQ:BQ) * (_xlfn.XLOOKUP(B206,'Base stats'!B:B,'Base stats'!AM:AM)*5%)^0.9 / 21,0.1),0.05)</f>
        <v>2.3000000000000003</v>
      </c>
      <c r="E206" s="11">
        <f>MAX(0.01,MROUND(_xlfn.XLOOKUP(B206,'Base stats'!B:B,'Base stats'!BE:BE) * 0.01 * 2, 0.01))</f>
        <v>1.87</v>
      </c>
      <c r="F206" s="7">
        <f>MROUND(_xlfn.XLOOKUP(B206,'Base stats'!B:B,'Base stats'!BB:BB)^0.25 / (_xlfn.XLOOKUP(B206,'Base stats'!B:B,'Base stats'!BI:BI) * 10) * 150 + 0.5 + _xlfn.XLOOKUP(B206,'Base stats'!B:B,'Base stats'!BU:BU), 0.05)</f>
        <v>1.6500000000000001</v>
      </c>
      <c r="G206" s="3">
        <f>IF(Animals!S206="No","No",
IF(_xlfn.XLOOKUP(B206,'Base stats'!B:B,'Base stats'!U:U)="No",
MAX(MROUND(_xlfn.XLOOKUP(B206,'Base stats'!B:B,'Base stats'!BR:BR) * _xlfn.XLOOKUP(B206,'Base stats'!B:B,'Base stats'!BN:BN)^0.9 / 21 * _xlfn.XLOOKUP(B206,'Base stats'!B:B,'Base stats'!BV:BV),0.1),0.05),
MAX(MROUND(((MIN(10,_xlfn.XLOOKUP(B206,'Base stats'!B:B,'Base stats'!U:U)))^0.4*_xlfn.XLOOKUP(B206,'Base stats'!B:B,'Base stats'!BF:BF)^0.73)^0.6 * _xlfn.XLOOKUP(B206,'Base stats'!B:B,'Base stats'!BV:BV),0.1),0.05)
))</f>
        <v>4.3</v>
      </c>
      <c r="H206" s="11">
        <f>IF(G206="No","No",
MAX(0.01,MROUND(_xlfn.XLOOKUP(B206,'Base stats'!B:B,'Base stats'!BF:BF) * 0.01 * 2, 0.01))
)</f>
        <v>2.4</v>
      </c>
      <c r="I206" s="11" t="str">
        <f>IF(G206="No","No",IF(_xlfn.XLOOKUP(B206,'Base stats'!B:B,'Base stats'!U:U)="No","No",
MAX(0.01,MROUND(_xlfn.XLOOKUP(B206,'Base stats'!B:B,'Base stats'!BR:BR)/10000,0.01))
))</f>
        <v>No</v>
      </c>
      <c r="J206" s="4">
        <f>IF(G206="No","No",
MROUND(_xlfn.XLOOKUP(B206,'Base stats'!B:B,'Base stats'!BC:BC)^0.25
/((_xlfn.XLOOKUP(B206,'Base stats'!B:B,'Base stats'!BJ:BJ))*10)*_xlfn.XLOOKUP(_xlfn.XLOOKUP(B206,'Base stats'!B:B,'Base stats'!E:E),Groups!A:A,Groups!Q:Q)*150 + 0.5 + _xlfn.XLOOKUP(B206,'Base stats'!B:B,'Base stats'!BU:BU),
0.05))</f>
        <v>2.1</v>
      </c>
      <c r="K206" s="3">
        <f>IF(Animals!X206="No","No",
IF(_xlfn.XLOOKUP(_xlfn.XLOOKUP(B206,'Base stats'!B:B,'Base stats'!E:E),Groups!A:A,Groups!BD:BD)=1,
MAX(MROUND(_xlfn.XLOOKUP(B206,'Base stats'!B:B,'Base stats'!BS:BS) * _xlfn.XLOOKUP(B206,'Base stats'!B:B,'Base stats'!BO:BO)^0.9 / 21 *_xlfn.XLOOKUP(B206,'Base stats'!B:B,'Base stats'!BV:BV),0.1),0.05),
MAX(MROUND(((MIN(10,_xlfn.XLOOKUP(B206,'Base stats'!B:B,'Base stats'!W:W)))^0.4*_xlfn.XLOOKUP(B206,'Base stats'!B:B,'Base stats'!BG:BG)^0.73)^0.6 *_xlfn.XLOOKUP(B206,'Base stats'!B:B,'Base stats'!BV:BV),0.1),0.05)
))</f>
        <v>15.3</v>
      </c>
      <c r="L206" s="11">
        <f>IF(K206="No","No",
MAX(0.01,MROUND(_xlfn.XLOOKUP(B206,'Base stats'!B:B,'Base stats'!BG:BG) * 0.01 *2, 0.01))
)</f>
        <v>2.88</v>
      </c>
      <c r="M206" s="5">
        <f>IF(K206="No","No",IF(_xlfn.XLOOKUP(_xlfn.XLOOKUP(B206,'Base stats'!B:B,'Base stats'!E:E),Groups!A:A,Groups!BD:BD)=1,"No",
MAX(0.01,MROUND(_xlfn.XLOOKUP(B206,'Base stats'!B:B,'Base stats'!BS:BS)/10000,0.01))
))</f>
        <v>0.19</v>
      </c>
      <c r="N206" s="4">
        <f>IF(K206="No","No",
MROUND(
  _xlfn.XLOOKUP(B206,'Base stats'!B:B,'Base stats'!BA:BA)^0.25
  / (_xlfn.XLOOKUP(B206,'Base stats'!B:B,'Base stats'!BK:BK)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stats'!BU:BU),
0.05))</f>
        <v>2.85</v>
      </c>
      <c r="O206" s="3" t="str">
        <f>IF(Animals!AD206="No","No",
MAX(MROUND((MIN(10,_xlfn.XLOOKUP(B206,'Base stats'!B:B,'Base stats'!V:V)*IF(_xlfn.XLOOKUP(_xlfn.XLOOKUP(B206,'Base stats'!B:B,'Base stats'!E:E),Groups!A:A,Groups!O:O)=0,1,0.33))^0.4*_xlfn.XLOOKUP(B206,'Base stats'!B:B,'Base stats'!BH:BH)^0.73)^0.6 *_xlfn.XLOOKUP(B206,'Base stats'!B:B,'Base stats'!BV:BV),0.1),0.05)
)</f>
        <v>No</v>
      </c>
      <c r="P206" s="11" t="str">
        <f>IF(O206="No","No",
MAX(0.01,MROUND(_xlfn.XLOOKUP(B206,'Base stats'!B:B,'Base stats'!BH:BH) * 0.01 * 2, 0.01))
)</f>
        <v>No</v>
      </c>
      <c r="Q206" s="5" t="str">
        <f>IF(O206="No","No",
MAX(0.01,MROUND(_xlfn.XLOOKUP(B206,'Base stats'!B:B,'Base stats'!BT:BT)/10000,0.01))
)</f>
        <v>No</v>
      </c>
      <c r="R206" s="4" t="str">
        <f>IF(O206="No","No",
MROUND(_xlfn.XLOOKUP(B206,'Base stats'!B:B,'Base stats'!AZ:AZ)^0.25
/((_xlfn.XLOOKUP(B206,'Base stats'!B:B,'Base stats'!BL:BL))*10)*_xlfn.XLOOKUP(_xlfn.XLOOKUP(B206,'Base stats'!B:B,'Base stats'!E:E),Groups!A:A,Groups!Z:Z)*150 + 0.5 + _xlfn.XLOOKUP(B206,'Base stats'!B:B,'Base stats'!BU:BU),
0.05))</f>
        <v>No</v>
      </c>
      <c r="S206" s="3" t="str">
        <f>IF(Animals!AI206="No","No",
IF(_xlfn.XLOOKUP(B206,'Base stats'!B:B,'Base stats'!U:U)="No",
MAX(MROUND(_xlfn.XLOOKUP(B206,'Base stats'!B:B,'Base stats'!BR:BR) * _xlfn.XLOOKUP(B206,'Base stats'!B:B,'Base stats'!BN:BN)^0.9 / 21 * _xlfn.XLOOKUP(B206,'Base stats'!B:B,'Base stats'!BV:BV),0.1),0.05),
MAX(MROUND(((MIN(12,_xlfn.XLOOKUP(B206,'Base stats'!B:B,'Base stats'!U:U)))^0.4*_xlfn.XLOOKUP(B206,'Base stats'!B:B,'Base stats'!BF:BF)^0.73)^0.6 * _xlfn.XLOOKUP(B206,'Base stats'!B:B,'Base stats'!BV:BV),0.1),0.05)
))</f>
        <v>No</v>
      </c>
      <c r="T206" s="11" t="str">
        <f>IF(S206="No","No",
MAX(0.01,MROUND(_xlfn.XLOOKUP(B206,'Base stats'!B:B,'Base stats'!BF:BF) * 0.01 * 2, 0.01))
)</f>
        <v>No</v>
      </c>
      <c r="U206" s="5" t="str">
        <f>IF(S206="No","No",IF(_xlfn.XLOOKUP(B206,'Base stats'!B:B,'Base stats'!U:U)="No","No",
MAX(0.01,MROUND(_xlfn.XLOOKUP(B206,'Base stats'!B:B,'Base stats'!BR:BR)/10000,0.01))
))</f>
        <v>No</v>
      </c>
      <c r="V206" s="4" t="str">
        <f>IF(S206="No","No",
MROUND(_xlfn.XLOOKUP(B206,'Base stats'!B:B,'Base stats'!BD:BD)^0.25
/((_xlfn.XLOOKUP(B206,'Base stats'!B:B,'Base stats'!BM:BM))*10)*_xlfn.XLOOKUP(_xlfn.XLOOKUP(B206,'Base stats'!B:B,'Base stats'!E:E),Groups!A:A,Groups!AE:AE)*150 + 0.5 + _xlfn.XLOOKUP(B206,'Base stats'!B:B,'Base stats'!BU:BU),
0.05))</f>
        <v>No</v>
      </c>
      <c r="W206" s="8">
        <f>MROUND(_xlfn.XLOOKUP(_xlfn.XLOOKUP(B206,'Base stats'!B:B,'Base stats'!E:E),Groups!A:A,Groups!BG:BG)*_xlfn.XLOOKUP(B206,'Base stats'!B:B,'Base stats'!C:C)^-0.165,0.01)</f>
        <v>0.25</v>
      </c>
      <c r="X206" s="1">
        <f>MROUND(_xlfn.XLOOKUP(_xlfn.XLOOKUP(B206,'Base stats'!B:B,'Base stats'!E:E),Groups!A:A,Groups!BH:BH)*_xlfn.XLOOKUP(B206,'Base stats'!B:B,'Base stats'!C:C)^0.165,0.01)</f>
        <v>0</v>
      </c>
      <c r="Y206" s="8">
        <f>MROUND(_xlfn.XLOOKUP(_xlfn.XLOOKUP(B206,'Base stats'!B:B,'Base stats'!E:E),Groups!A:A,Groups!BI:BI)*_xlfn.XLOOKUP(B206,'Base stats'!B:B,'Base stats'!C:C)^0.165,0.01)</f>
        <v>0</v>
      </c>
      <c r="Z206" s="18">
        <f>ROUND(_xlfn.XLOOKUP(B206,'Base stats'!B:B,'Base stats'!AO:AO)*_xlfn.XLOOKUP(_xlfn.XLOOKUP(B206,'Base stats'!B:B,'Base stats'!E:E),Groups!A:A,Groups!H:H)/1000,2)</f>
        <v>0.04</v>
      </c>
      <c r="AA206" s="18">
        <f>ROUND((1/2)*(_xlfn.XLOOKUP(_xlfn.XLOOKUP(B206,'Base stats'!B:B,'Base stats'!E:E),Groups!A:A,Groups!H:H)*_xlfn.XLOOKUP(_xlfn.XLOOKUP(B206,'Base stats'!B:B,'Base stats'!E:E),Groups!A:A,Groups!I:I))*_xlfn.XLOOKUP(B206,'Base stats'!B:B,'Base stats'!AO:AO)*0.01,2)</f>
        <v>0.23</v>
      </c>
      <c r="AB206" s="18">
        <f>250*(Animals!AO206+Animals!AP206)</f>
        <v>500</v>
      </c>
      <c r="AC206" s="18" t="str">
        <f>_xlfn.XLOOKUP(_xlfn.XLOOKUP(B206,'Base stats'!B:B,'Base stats'!E:E),Groups!A:A,Groups!BJ:BJ)</f>
        <v>Quadruped</v>
      </c>
    </row>
    <row r="207" spans="1:29" ht="16.5" thickTop="1" thickBot="1" x14ac:dyDescent="0.3">
      <c r="A207" s="16" t="str">
        <f>Animals!A207</f>
        <v>Wasteffalo</v>
      </c>
      <c r="B207" s="6" t="str">
        <f>Animals!B207</f>
        <v>Pseudobison toxus</v>
      </c>
      <c r="C207" s="1" t="str">
        <f>Animals!C207</f>
        <v>&lt;li&gt;VAEWaste_Wasteffalo&lt;/li&gt;</v>
      </c>
      <c r="D207" s="47">
        <f>MAX(MROUND(_xlfn.XLOOKUP(B207,'Base stats'!B:B,'Base stats'!BQ:BQ) * (_xlfn.XLOOKUP(B207,'Base stats'!B:B,'Base stats'!AM:AM)*5%)^0.9 / 21,0.1),0.05)</f>
        <v>9.8000000000000007</v>
      </c>
      <c r="E207" s="11">
        <f>MAX(0.01,MROUND(_xlfn.XLOOKUP(B207,'Base stats'!B:B,'Base stats'!BE:BE) * 0.01 * 2, 0.01))</f>
        <v>9.11</v>
      </c>
      <c r="F207" s="7">
        <f>MROUND(_xlfn.XLOOKUP(B207,'Base stats'!B:B,'Base stats'!BB:BB)^0.25 / (_xlfn.XLOOKUP(B207,'Base stats'!B:B,'Base stats'!BI:BI) * 10) * 150 + 0.5 + _xlfn.XLOOKUP(B207,'Base stats'!B:B,'Base stats'!BU:BU), 0.05)</f>
        <v>1.9000000000000001</v>
      </c>
      <c r="G207" s="3">
        <f>IF(Animals!S207="No","No",
IF(_xlfn.XLOOKUP(B207,'Base stats'!B:B,'Base stats'!U:U)="No",
MAX(MROUND(_xlfn.XLOOKUP(B207,'Base stats'!B:B,'Base stats'!BR:BR) * _xlfn.XLOOKUP(B207,'Base stats'!B:B,'Base stats'!BN:BN)^0.9 / 21 * _xlfn.XLOOKUP(B207,'Base stats'!B:B,'Base stats'!BV:BV),0.1),0.05),
MAX(MROUND(((MIN(10,_xlfn.XLOOKUP(B207,'Base stats'!B:B,'Base stats'!U:U)))^0.4*_xlfn.XLOOKUP(B207,'Base stats'!B:B,'Base stats'!BF:BF)^0.73)^0.6 * _xlfn.XLOOKUP(B207,'Base stats'!B:B,'Base stats'!BV:BV),0.1),0.05)
))</f>
        <v>16.5</v>
      </c>
      <c r="H207" s="11">
        <f>IF(G207="No","No",
MAX(0.01,MROUND(_xlfn.XLOOKUP(B207,'Base stats'!B:B,'Base stats'!BF:BF) * 0.01 * 2, 0.01))
)</f>
        <v>10.620000000000001</v>
      </c>
      <c r="I207" s="11" t="str">
        <f>IF(G207="No","No",IF(_xlfn.XLOOKUP(B207,'Base stats'!B:B,'Base stats'!U:U)="No","No",
MAX(0.01,MROUND(_xlfn.XLOOKUP(B207,'Base stats'!B:B,'Base stats'!BR:BR)/10000,0.01))
))</f>
        <v>No</v>
      </c>
      <c r="J207" s="4">
        <f>IF(G207="No","No",
MROUND(_xlfn.XLOOKUP(B207,'Base stats'!B:B,'Base stats'!BC:BC)^0.25
/((_xlfn.XLOOKUP(B207,'Base stats'!B:B,'Base stats'!BJ:BJ))*10)*_xlfn.XLOOKUP(_xlfn.XLOOKUP(B207,'Base stats'!B:B,'Base stats'!E:E),Groups!A:A,Groups!Q:Q)*150 + 0.5 + _xlfn.XLOOKUP(B207,'Base stats'!B:B,'Base stats'!BU:BU),
0.05))</f>
        <v>2.75</v>
      </c>
      <c r="K207" s="3">
        <f>IF(Animals!X207="No","No",
IF(_xlfn.XLOOKUP(_xlfn.XLOOKUP(B207,'Base stats'!B:B,'Base stats'!E:E),Groups!A:A,Groups!BD:BD)=1,
MAX(MROUND(_xlfn.XLOOKUP(B207,'Base stats'!B:B,'Base stats'!BS:BS) * _xlfn.XLOOKUP(B207,'Base stats'!B:B,'Base stats'!BO:BO)^0.9 / 21 *_xlfn.XLOOKUP(B207,'Base stats'!B:B,'Base stats'!BV:BV),0.1),0.05),
MAX(MROUND(((MIN(10,_xlfn.XLOOKUP(B207,'Base stats'!B:B,'Base stats'!W:W)))^0.4*_xlfn.XLOOKUP(B207,'Base stats'!B:B,'Base stats'!BG:BG)^0.73)^0.6 *_xlfn.XLOOKUP(B207,'Base stats'!B:B,'Base stats'!BV:BV),0.1),0.05)
))</f>
        <v>29.400000000000002</v>
      </c>
      <c r="L207" s="11">
        <f>IF(K207="No","No",
MAX(0.01,MROUND(_xlfn.XLOOKUP(B207,'Base stats'!B:B,'Base stats'!BG:BG) * 0.01 *2, 0.01))
)</f>
        <v>12.74</v>
      </c>
      <c r="M207" s="5">
        <f>IF(K207="No","No",IF(_xlfn.XLOOKUP(_xlfn.XLOOKUP(B207,'Base stats'!B:B,'Base stats'!E:E),Groups!A:A,Groups!BD:BD)=1,"No",
MAX(0.01,MROUND(_xlfn.XLOOKUP(B207,'Base stats'!B:B,'Base stats'!BS:BS)/10000,0.01))
))</f>
        <v>0.69000000000000006</v>
      </c>
      <c r="N207" s="4">
        <f>IF(K207="No","No",
MROUND(
  _xlfn.XLOOKUP(B207,'Base stats'!B:B,'Base stats'!BA:BA)^0.25
  / (_xlfn.XLOOKUP(B207,'Base stats'!B:B,'Base stats'!BK:BK)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stats'!BU:BU),
0.05))</f>
        <v>3.2</v>
      </c>
      <c r="O207" s="3" t="str">
        <f>IF(Animals!AD207="No","No",
MAX(MROUND((MIN(10,_xlfn.XLOOKUP(B207,'Base stats'!B:B,'Base stats'!V:V)*IF(_xlfn.XLOOKUP(_xlfn.XLOOKUP(B207,'Base stats'!B:B,'Base stats'!E:E),Groups!A:A,Groups!O:O)=0,1,0.33))^0.4*_xlfn.XLOOKUP(B207,'Base stats'!B:B,'Base stats'!BH:BH)^0.73)^0.6 *_xlfn.XLOOKUP(B207,'Base stats'!B:B,'Base stats'!BV:BV),0.1),0.05)
)</f>
        <v>No</v>
      </c>
      <c r="P207" s="11" t="str">
        <f>IF(O207="No","No",
MAX(0.01,MROUND(_xlfn.XLOOKUP(B207,'Base stats'!B:B,'Base stats'!BH:BH) * 0.01 * 2, 0.01))
)</f>
        <v>No</v>
      </c>
      <c r="Q207" s="5" t="str">
        <f>IF(O207="No","No",
MAX(0.01,MROUND(_xlfn.XLOOKUP(B207,'Base stats'!B:B,'Base stats'!BT:BT)/10000,0.01))
)</f>
        <v>No</v>
      </c>
      <c r="R207" s="4" t="str">
        <f>IF(O207="No","No",
MROUND(_xlfn.XLOOKUP(B207,'Base stats'!B:B,'Base stats'!AZ:AZ)^0.25
/((_xlfn.XLOOKUP(B207,'Base stats'!B:B,'Base stats'!BL:BL))*10)*_xlfn.XLOOKUP(_xlfn.XLOOKUP(B207,'Base stats'!B:B,'Base stats'!E:E),Groups!A:A,Groups!Z:Z)*150 + 0.5 + _xlfn.XLOOKUP(B207,'Base stats'!B:B,'Base stats'!BU:BU),
0.05))</f>
        <v>No</v>
      </c>
      <c r="S207" s="3" t="str">
        <f>IF(Animals!AI207="No","No",
IF(_xlfn.XLOOKUP(B207,'Base stats'!B:B,'Base stats'!U:U)="No",
MAX(MROUND(_xlfn.XLOOKUP(B207,'Base stats'!B:B,'Base stats'!BR:BR) * _xlfn.XLOOKUP(B207,'Base stats'!B:B,'Base stats'!BN:BN)^0.9 / 21 * _xlfn.XLOOKUP(B207,'Base stats'!B:B,'Base stats'!BV:BV),0.1),0.05),
MAX(MROUND(((MIN(12,_xlfn.XLOOKUP(B207,'Base stats'!B:B,'Base stats'!U:U)))^0.4*_xlfn.XLOOKUP(B207,'Base stats'!B:B,'Base stats'!BF:BF)^0.73)^0.6 * _xlfn.XLOOKUP(B207,'Base stats'!B:B,'Base stats'!BV:BV),0.1),0.05)
))</f>
        <v>No</v>
      </c>
      <c r="T207" s="11" t="str">
        <f>IF(S207="No","No",
MAX(0.01,MROUND(_xlfn.XLOOKUP(B207,'Base stats'!B:B,'Base stats'!BF:BF) * 0.01 * 2, 0.01))
)</f>
        <v>No</v>
      </c>
      <c r="U207" s="5" t="str">
        <f>IF(S207="No","No",IF(_xlfn.XLOOKUP(B207,'Base stats'!B:B,'Base stats'!U:U)="No","No",
MAX(0.01,MROUND(_xlfn.XLOOKUP(B207,'Base stats'!B:B,'Base stats'!BR:BR)/10000,0.01))
))</f>
        <v>No</v>
      </c>
      <c r="V207" s="4" t="str">
        <f>IF(S207="No","No",
MROUND(_xlfn.XLOOKUP(B207,'Base stats'!B:B,'Base stats'!BD:BD)^0.25
/((_xlfn.XLOOKUP(B207,'Base stats'!B:B,'Base stats'!BM:BM))*10)*_xlfn.XLOOKUP(_xlfn.XLOOKUP(B207,'Base stats'!B:B,'Base stats'!E:E),Groups!A:A,Groups!AE:AE)*150 + 0.5 + _xlfn.XLOOKUP(B207,'Base stats'!B:B,'Base stats'!BU:BU),
0.05))</f>
        <v>No</v>
      </c>
      <c r="W207" s="8">
        <f>MROUND(_xlfn.XLOOKUP(_xlfn.XLOOKUP(B207,'Base stats'!B:B,'Base stats'!E:E),Groups!A:A,Groups!BG:BG)*_xlfn.XLOOKUP(B207,'Base stats'!B:B,'Base stats'!C:C)^-0.165,0.01)</f>
        <v>0.19</v>
      </c>
      <c r="X207" s="1">
        <f>MROUND(_xlfn.XLOOKUP(_xlfn.XLOOKUP(B207,'Base stats'!B:B,'Base stats'!E:E),Groups!A:A,Groups!BH:BH)*_xlfn.XLOOKUP(B207,'Base stats'!B:B,'Base stats'!C:C)^0.165,0.01)</f>
        <v>0</v>
      </c>
      <c r="Y207" s="8">
        <f>MROUND(_xlfn.XLOOKUP(_xlfn.XLOOKUP(B207,'Base stats'!B:B,'Base stats'!E:E),Groups!A:A,Groups!BI:BI)*_xlfn.XLOOKUP(B207,'Base stats'!B:B,'Base stats'!C:C)^0.165,0.01)</f>
        <v>0</v>
      </c>
      <c r="Z207" s="18">
        <f>ROUND(_xlfn.XLOOKUP(B207,'Base stats'!B:B,'Base stats'!AO:AO)*_xlfn.XLOOKUP(_xlfn.XLOOKUP(B207,'Base stats'!B:B,'Base stats'!E:E),Groups!A:A,Groups!H:H)/1000,2)</f>
        <v>7.0000000000000007E-2</v>
      </c>
      <c r="AA207" s="18">
        <f>ROUND((1/2)*(_xlfn.XLOOKUP(_xlfn.XLOOKUP(B207,'Base stats'!B:B,'Base stats'!E:E),Groups!A:A,Groups!H:H)*_xlfn.XLOOKUP(_xlfn.XLOOKUP(B207,'Base stats'!B:B,'Base stats'!E:E),Groups!A:A,Groups!I:I))*_xlfn.XLOOKUP(B207,'Base stats'!B:B,'Base stats'!AO:AO)*0.01,2)</f>
        <v>0.39</v>
      </c>
      <c r="AB207" s="18">
        <f>250*(Animals!AO207+Animals!AP207)</f>
        <v>1375</v>
      </c>
      <c r="AC207" s="18" t="str">
        <f>_xlfn.XLOOKUP(_xlfn.XLOOKUP(B207,'Base stats'!B:B,'Base stats'!E:E),Groups!A:A,Groups!BJ:BJ)</f>
        <v>Quadruped</v>
      </c>
    </row>
    <row r="208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60"/>
  <sheetViews>
    <sheetView topLeftCell="K16" zoomScale="85" zoomScaleNormal="85" workbookViewId="0">
      <selection activeCell="R40" sqref="R40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7" width="30.7109375" bestFit="1" customWidth="1"/>
    <col min="18" max="18" width="29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864</v>
      </c>
      <c r="C1" t="s">
        <v>863</v>
      </c>
      <c r="D1" s="16" t="s">
        <v>680</v>
      </c>
      <c r="E1" t="s">
        <v>877</v>
      </c>
      <c r="F1" t="s">
        <v>865</v>
      </c>
      <c r="G1" t="s">
        <v>866</v>
      </c>
      <c r="H1" s="16" t="s">
        <v>867</v>
      </c>
      <c r="I1" t="s">
        <v>868</v>
      </c>
      <c r="J1" t="s">
        <v>869</v>
      </c>
      <c r="K1" t="s">
        <v>874</v>
      </c>
      <c r="L1" t="s">
        <v>876</v>
      </c>
      <c r="M1" t="s">
        <v>870</v>
      </c>
      <c r="N1" t="s">
        <v>871</v>
      </c>
      <c r="O1" t="s">
        <v>872</v>
      </c>
      <c r="P1" t="s">
        <v>873</v>
      </c>
      <c r="Q1" t="s">
        <v>875</v>
      </c>
      <c r="R1" t="s">
        <v>878</v>
      </c>
      <c r="S1" t="s">
        <v>1148</v>
      </c>
      <c r="T1" t="s">
        <v>1149</v>
      </c>
      <c r="U1" t="s">
        <v>1150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Animals!C63</f>
        <v>&lt;li&gt;Sparrow&lt;/li&gt;</v>
      </c>
      <c r="E2" t="str">
        <f>Animals!C63</f>
        <v>&lt;li&gt;Sparrow&lt;/li&gt;</v>
      </c>
      <c r="F2" s="16" t="str">
        <f>Animals!C63</f>
        <v>&lt;li&gt;Sparrow&lt;/li&gt;</v>
      </c>
      <c r="G2" t="str">
        <f>Animals!C63</f>
        <v>&lt;li&gt;Sparrow&lt;/li&gt;</v>
      </c>
      <c r="H2" s="16" t="str">
        <f>Animals!C63</f>
        <v>&lt;li&gt;Sparrow&lt;/li&gt;</v>
      </c>
      <c r="I2" t="str">
        <f>Animals!C63</f>
        <v>&lt;li&gt;Sparrow&lt;/li&gt;</v>
      </c>
      <c r="J2" t="str">
        <f>Animals!C63</f>
        <v>&lt;li&gt;Sparrow&lt;/li&gt;</v>
      </c>
      <c r="K2" t="str">
        <f>Animals!C63</f>
        <v>&lt;li&gt;Sparrow&lt;/li&gt;</v>
      </c>
      <c r="L2" t="str">
        <f>Animals!C63</f>
        <v>&lt;li&gt;Sparrow&lt;/li&gt;</v>
      </c>
      <c r="M2" t="str">
        <f>Animals!C63</f>
        <v>&lt;li&gt;Sparrow&lt;/li&gt;</v>
      </c>
      <c r="N2" t="str">
        <f>Animals!C73</f>
        <v>&lt;li&gt;Vulture&lt;/li&gt;</v>
      </c>
      <c r="O2" t="str">
        <f>Animals!C63</f>
        <v>&lt;li&gt;Sparrow&lt;/li&gt;</v>
      </c>
      <c r="P2" t="str">
        <f>Animals!C63</f>
        <v>&lt;li&gt;Sparrow&lt;/li&gt;</v>
      </c>
      <c r="Q2" t="str">
        <f>Animals!C63</f>
        <v>&lt;li&gt;Sparrow&lt;/li&gt;</v>
      </c>
      <c r="R2" t="str">
        <f>Animals!C63</f>
        <v>&lt;li&gt;Sparrow&lt;/li&gt;</v>
      </c>
      <c r="S2" t="str">
        <f>Animals!C50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Animals!C65</f>
        <v>&lt;li&gt;Crow&lt;/li&gt;</v>
      </c>
      <c r="E3" t="str">
        <f>Animals!C64</f>
        <v>&lt;li&gt;Bluebird&lt;/li&gt;</v>
      </c>
      <c r="F3" t="str">
        <f>Animals!C64</f>
        <v>&lt;li&gt;Bluebird&lt;/li&gt;</v>
      </c>
      <c r="G3" t="str">
        <f>Animals!C64</f>
        <v>&lt;li&gt;Bluebird&lt;/li&gt;</v>
      </c>
      <c r="H3" s="16" t="str">
        <f>Animals!C64</f>
        <v>&lt;li&gt;Bluebird&lt;/li&gt;</v>
      </c>
      <c r="I3" t="str">
        <f>Animals!C64</f>
        <v>&lt;li&gt;Bluebird&lt;/li&gt;</v>
      </c>
      <c r="J3" t="str">
        <f>Animals!C67</f>
        <v>&lt;li&gt;Quail&lt;/li&gt;</v>
      </c>
      <c r="K3" t="str">
        <f>Animals!C67</f>
        <v>&lt;li&gt;Quail&lt;/li&gt;</v>
      </c>
      <c r="L3" t="str">
        <f>Animals!C67</f>
        <v>&lt;li&gt;Quail&lt;/li&gt;</v>
      </c>
      <c r="M3" t="str">
        <f>Animals!C35</f>
        <v>&lt;li&gt;Rat&lt;/li&gt;</v>
      </c>
      <c r="N3" t="str">
        <f>Animals!C81</f>
        <v>&lt;li&gt;Armadillo&lt;/li&gt;</v>
      </c>
      <c r="O3" t="str">
        <f>Animals!C35</f>
        <v>&lt;li&gt;Rat&lt;/li&gt;</v>
      </c>
      <c r="P3" t="str">
        <f>Animals!C35</f>
        <v>&lt;li&gt;Rat&lt;/li&gt;</v>
      </c>
      <c r="Q3" t="str">
        <f>Animals!C35</f>
        <v>&lt;li&gt;Rat&lt;/li&gt;</v>
      </c>
      <c r="R3" t="str">
        <f>Animals!C35</f>
        <v>&lt;li&gt;Rat&lt;/li&gt;</v>
      </c>
      <c r="S3" t="str">
        <f>Animals!C45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Animals!C36</f>
        <v>&lt;li&gt;Squirrel&lt;/li&gt;</v>
      </c>
      <c r="F4" s="16" t="str">
        <f>Animals!C35</f>
        <v>&lt;li&gt;Rat&lt;/li&gt;</v>
      </c>
      <c r="G4" t="str">
        <f>Animals!C35</f>
        <v>&lt;li&gt;Rat&lt;/li&gt;</v>
      </c>
      <c r="H4" s="16" t="str">
        <f>Animals!C67</f>
        <v>&lt;li&gt;Quail&lt;/li&gt;</v>
      </c>
      <c r="I4" t="str">
        <f>Animals!C67</f>
        <v>&lt;li&gt;Quail&lt;/li&gt;</v>
      </c>
      <c r="J4" t="str">
        <f>Animals!C35</f>
        <v>&lt;li&gt;Rat&lt;/li&gt;</v>
      </c>
      <c r="K4" t="str">
        <f>Animals!C35</f>
        <v>&lt;li&gt;Rat&lt;/li&gt;</v>
      </c>
      <c r="L4" t="str">
        <f>Animals!C35</f>
        <v>&lt;li&gt;Rat&lt;/li&gt;</v>
      </c>
      <c r="M4" t="str">
        <f>Animals!C65</f>
        <v>&lt;li&gt;Crow&lt;/li&gt;</v>
      </c>
      <c r="N4" t="str">
        <f>Animals!C41</f>
        <v>&lt;li&gt;Boomrat&lt;/li&gt;</v>
      </c>
      <c r="O4" s="16" t="str">
        <f>Animals!C37</f>
        <v>&lt;li&gt;GuineaPig&lt;/li&gt;</v>
      </c>
      <c r="P4" t="str">
        <f>Animals!C37</f>
        <v>&lt;li&gt;GuineaPig&lt;/li&gt;</v>
      </c>
      <c r="Q4" t="str">
        <f>Animals!C37</f>
        <v>&lt;li&gt;GuineaPig&lt;/li&gt;</v>
      </c>
      <c r="R4" t="str">
        <f>Animals!C65</f>
        <v>&lt;li&gt;Crow&lt;/li&gt;</v>
      </c>
      <c r="S4" t="str">
        <f>Animals!C125</f>
        <v>&lt;li&gt;AEXP_Camel&lt;/li&gt;</v>
      </c>
    </row>
    <row r="5" spans="2:21" x14ac:dyDescent="0.25">
      <c r="B5" t="str">
        <f>Animals!C86</f>
        <v>&lt;li&gt;SeaLion&lt;/li&gt;</v>
      </c>
      <c r="C5" s="16" t="str">
        <f>Animals!C86</f>
        <v>&lt;li&gt;SeaLion&lt;/li&gt;</v>
      </c>
      <c r="D5" s="16" t="str">
        <f>Animals!$C$49</f>
        <v>&lt;li&gt;Caribou&lt;/li&gt;</v>
      </c>
      <c r="E5" t="str">
        <f>Animals!C65</f>
        <v>&lt;li&gt;Crow&lt;/li&gt;</v>
      </c>
      <c r="F5" t="str">
        <f>Animals!C36</f>
        <v>&lt;li&gt;Squirrel&lt;/li&gt;</v>
      </c>
      <c r="G5" t="str">
        <f>Animals!C36</f>
        <v>&lt;li&gt;Squirrel&lt;/li&gt;</v>
      </c>
      <c r="H5" s="16" t="str">
        <f>Animals!C35</f>
        <v>&lt;li&gt;Rat&lt;/li&gt;</v>
      </c>
      <c r="I5" t="str">
        <f>Animals!C35</f>
        <v>&lt;li&gt;Rat&lt;/li&gt;</v>
      </c>
      <c r="J5" t="str">
        <f>Animals!C65</f>
        <v>&lt;li&gt;Crow&lt;/li&gt;</v>
      </c>
      <c r="K5" t="str">
        <f>Animals!C93</f>
        <v>&lt;li&gt;PrairieDog&lt;/li&gt;</v>
      </c>
      <c r="L5" t="str">
        <f>Animals!C65</f>
        <v>&lt;li&gt;Crow&lt;/li&gt;</v>
      </c>
      <c r="M5" t="str">
        <f>Animals!C23</f>
        <v>&lt;li&gt;Hare&lt;/li&gt;</v>
      </c>
      <c r="N5" t="str">
        <f>Animals!C115</f>
        <v>&lt;li&gt;AEXP_Boombat&lt;/li&gt;</v>
      </c>
      <c r="O5" t="str">
        <f>Animals!C38</f>
        <v>&lt;li&gt;Chinchilla&lt;/li&gt;</v>
      </c>
      <c r="P5" t="str">
        <f>Animals!C38</f>
        <v>&lt;li&gt;Chinchilla&lt;/li&gt;</v>
      </c>
      <c r="Q5" t="str">
        <f>Animals!C38</f>
        <v>&lt;li&gt;Chinchilla&lt;/li&gt;</v>
      </c>
      <c r="R5" t="str">
        <f>Animals!C4</f>
        <v>&lt;li&gt;Raccoon&lt;/li&gt;</v>
      </c>
      <c r="S5" t="str">
        <f>Animals!C61</f>
        <v>&lt;li&gt;WasteRat&lt;/li&gt;</v>
      </c>
    </row>
    <row r="6" spans="2:21" x14ac:dyDescent="0.25">
      <c r="B6" s="16" t="str">
        <f>Animals!C87</f>
        <v>&lt;li&gt;Seal&lt;/li&gt;</v>
      </c>
      <c r="C6" s="16" t="str">
        <f>Animals!C87</f>
        <v>&lt;li&gt;Seal&lt;/li&gt;</v>
      </c>
      <c r="D6" s="16" t="str">
        <f>Animals!$C$97</f>
        <v>&lt;li&gt;Muskox&lt;/li&gt;</v>
      </c>
      <c r="E6" t="str">
        <f>Animals!C23</f>
        <v>&lt;li&gt;Hare&lt;/li&gt;</v>
      </c>
      <c r="F6" s="16" t="str">
        <f>Animals!C65</f>
        <v>&lt;li&gt;Crow&lt;/li&gt;</v>
      </c>
      <c r="G6" t="str">
        <f>Animals!C65</f>
        <v>&lt;li&gt;Crow&lt;/li&gt;</v>
      </c>
      <c r="H6" s="16" t="str">
        <f>Animals!C36</f>
        <v>&lt;li&gt;Squirrel&lt;/li&gt;</v>
      </c>
      <c r="I6" t="str">
        <f>Animals!C36</f>
        <v>&lt;li&gt;Squirrel&lt;/li&gt;</v>
      </c>
      <c r="J6" t="str">
        <f>Animals!C23</f>
        <v>&lt;li&gt;Hare&lt;/li&gt;</v>
      </c>
      <c r="K6" t="str">
        <f>Animals!C65</f>
        <v>&lt;li&gt;Crow&lt;/li&gt;</v>
      </c>
      <c r="L6" t="str">
        <f>Animals!C23</f>
        <v>&lt;li&gt;Hare&lt;/li&gt;</v>
      </c>
      <c r="M6" t="str">
        <f>Animals!C73</f>
        <v>&lt;li&gt;Vulture&lt;/li&gt;</v>
      </c>
      <c r="N6" t="str">
        <f>Animals!C122</f>
        <v>&lt;li&gt;AEXP_DesertTortoise&lt;/li&gt;</v>
      </c>
      <c r="O6" s="16" t="str">
        <f>Animals!C65</f>
        <v>&lt;li&gt;Crow&lt;/li&gt;</v>
      </c>
      <c r="P6" t="str">
        <f>Animals!C65</f>
        <v>&lt;li&gt;Crow&lt;/li&gt;</v>
      </c>
      <c r="Q6" t="str">
        <f>Animals!C65</f>
        <v>&lt;li&gt;Crow&lt;/li&gt;</v>
      </c>
      <c r="R6" t="str">
        <f>Animals!C41</f>
        <v>&lt;li&gt;Boomrat&lt;/li&gt;</v>
      </c>
    </row>
    <row r="7" spans="2:21" x14ac:dyDescent="0.25">
      <c r="B7" s="16" t="str">
        <f>Animals!C88</f>
        <v>&lt;li&gt;Walrus&lt;/li&gt;</v>
      </c>
      <c r="C7" s="16" t="str">
        <f>Animals!C88</f>
        <v>&lt;li&gt;Walrus&lt;/li&gt;</v>
      </c>
      <c r="D7" s="16" t="str">
        <f>Animals!$C$44</f>
        <v>&lt;li&gt;Muffalo&lt;/li&gt;</v>
      </c>
      <c r="E7" t="str">
        <f>Animals!C4</f>
        <v>&lt;li&gt;Raccoon&lt;/li&gt;</v>
      </c>
      <c r="F7" t="str">
        <f>Animals!C23</f>
        <v>&lt;li&gt;Hare&lt;/li&gt;</v>
      </c>
      <c r="G7" t="str">
        <f>Animals!C23</f>
        <v>&lt;li&gt;Hare&lt;/li&gt;</v>
      </c>
      <c r="H7" s="16" t="str">
        <f>Animals!C131</f>
        <v>&lt;li&gt;AEXP_Hedgehog&lt;/li&gt;</v>
      </c>
      <c r="I7" t="str">
        <f>Animals!C131</f>
        <v>&lt;li&gt;AEXP_Hedgehog&lt;/li&gt;</v>
      </c>
      <c r="J7" t="str">
        <f>Animals!C73</f>
        <v>&lt;li&gt;Vulture&lt;/li&gt;</v>
      </c>
      <c r="K7" t="str">
        <f>Animals!C23</f>
        <v>&lt;li&gt;Hare&lt;/li&gt;</v>
      </c>
      <c r="L7" t="str">
        <f>Animals!C73</f>
        <v>&lt;li&gt;Vulture&lt;/li&gt;</v>
      </c>
      <c r="M7" t="str">
        <f>Animals!C81</f>
        <v>&lt;li&gt;Armadillo&lt;/li&gt;</v>
      </c>
      <c r="N7" t="str">
        <f>Animals!C22</f>
        <v>&lt;li&gt;Donkey&lt;/li&gt;</v>
      </c>
      <c r="O7" s="16" t="str">
        <f>Animals!C66</f>
        <v>&lt;li&gt;Macaw&lt;/li&gt;</v>
      </c>
      <c r="P7" t="str">
        <f>Animals!C66</f>
        <v>&lt;li&gt;Macaw&lt;/li&gt;</v>
      </c>
      <c r="Q7" t="str">
        <f>Animals!C133</f>
        <v>&lt;li&gt;AEXP_Lemur&lt;/li&gt;</v>
      </c>
      <c r="R7" t="str">
        <f>Animals!C29</f>
        <v>&lt;li&gt;WildBoar&lt;/li&gt;</v>
      </c>
    </row>
    <row r="8" spans="2:21" x14ac:dyDescent="0.25">
      <c r="B8" t="str">
        <f>Animals!C71</f>
        <v>&lt;li&gt;Penguin&lt;/li&gt;</v>
      </c>
      <c r="C8" s="16" t="str">
        <f>Animals!C71</f>
        <v>&lt;li&gt;Penguin&lt;/li&gt;</v>
      </c>
      <c r="D8" s="16" t="str">
        <f>Animals!$C$96</f>
        <v>&lt;li&gt;Moose&lt;/li&gt;</v>
      </c>
      <c r="E8" t="str">
        <f>Animals!C94</f>
        <v>&lt;li&gt;Porcupine&lt;/li&gt;</v>
      </c>
      <c r="F8" t="str">
        <f>Animals!C4</f>
        <v>&lt;li&gt;Raccoon&lt;/li&gt;</v>
      </c>
      <c r="G8" t="str">
        <f>Animals!C4</f>
        <v>&lt;li&gt;Raccoon&lt;/li&gt;</v>
      </c>
      <c r="H8" s="16" t="str">
        <f>Animals!C65</f>
        <v>&lt;li&gt;Crow&lt;/li&gt;</v>
      </c>
      <c r="I8" t="str">
        <f>Animals!C65</f>
        <v>&lt;li&gt;Crow&lt;/li&gt;</v>
      </c>
      <c r="J8" t="str">
        <f>Animals!C81</f>
        <v>&lt;li&gt;Armadillo&lt;/li&gt;</v>
      </c>
      <c r="K8" t="str">
        <f>Animals!C73</f>
        <v>&lt;li&gt;Vulture&lt;/li&gt;</v>
      </c>
      <c r="L8" t="str">
        <f>Animals!C81</f>
        <v>&lt;li&gt;Armadillo&lt;/li&gt;</v>
      </c>
      <c r="M8" t="str">
        <f>Animals!C41</f>
        <v>&lt;li&gt;Boomrat&lt;/li&gt;</v>
      </c>
      <c r="N8" t="str">
        <f>Animals!C12</f>
        <v>&lt;li&gt;Dromedary&lt;/li&gt;</v>
      </c>
      <c r="O8" s="16" t="str">
        <f>Animals!C133</f>
        <v>&lt;li&gt;AEXP_Lemur&lt;/li&gt;</v>
      </c>
      <c r="P8" t="str">
        <f>Animals!C133</f>
        <v>&lt;li&gt;AEXP_Lemur&lt;/li&gt;</v>
      </c>
      <c r="Q8" t="str">
        <f>Animals!C31</f>
        <v>&lt;li&gt;Monkey&lt;/li&gt;</v>
      </c>
      <c r="R8" t="str">
        <f>Animals!C30</f>
        <v>&lt;li&gt;Pig&lt;/li&gt;</v>
      </c>
    </row>
    <row r="9" spans="2:21" x14ac:dyDescent="0.25">
      <c r="B9" t="str">
        <f>Animals!C176</f>
        <v>&lt;li&gt;AEXP_RockhopperPenguin&lt;/li&gt;</v>
      </c>
      <c r="C9" t="str">
        <f>Animals!C176</f>
        <v>&lt;li&gt;AEXP_RockhopperPenguin&lt;/li&gt;</v>
      </c>
      <c r="D9" s="16" t="str">
        <f>Animals!$C$59</f>
        <v xml:space="preserve">&lt;li&gt;Fox_Arctic&lt;/li&gt; </v>
      </c>
      <c r="E9" t="str">
        <f>Animals!C84</f>
        <v>&lt;li&gt;Badger&lt;/li&gt;</v>
      </c>
      <c r="F9" t="str">
        <f>Animals!C94</f>
        <v>&lt;li&gt;Porcupine&lt;/li&gt;</v>
      </c>
      <c r="G9" t="str">
        <f>Animals!C94</f>
        <v>&lt;li&gt;Porcupine&lt;/li&gt;</v>
      </c>
      <c r="H9" s="16" t="str">
        <f>Animals!C23</f>
        <v>&lt;li&gt;Hare&lt;/li&gt;</v>
      </c>
      <c r="I9" t="str">
        <f>Animals!C23</f>
        <v>&lt;li&gt;Hare&lt;/li&gt;</v>
      </c>
      <c r="J9" s="16" t="str">
        <f>Animals!C117</f>
        <v>&lt;li&gt;AEXP_Koala&lt;/li&gt;</v>
      </c>
      <c r="K9" t="str">
        <f>Animals!C81</f>
        <v>&lt;li&gt;Armadillo&lt;/li&gt;</v>
      </c>
      <c r="L9" t="str">
        <f>Animals!C117</f>
        <v>&lt;li&gt;AEXP_Koala&lt;/li&gt;</v>
      </c>
      <c r="M9" t="str">
        <f>Animals!C115</f>
        <v>&lt;li&gt;AEXP_Boombat&lt;/li&gt;</v>
      </c>
      <c r="N9" t="str">
        <f>Animals!C124</f>
        <v>&lt;li&gt;AEXP_GilaMonster&lt;/li&gt;</v>
      </c>
      <c r="O9" t="str">
        <f>Animals!C31</f>
        <v>&lt;li&gt;Monkey&lt;/li&gt;</v>
      </c>
      <c r="P9" t="str">
        <f>Animals!C31</f>
        <v>&lt;li&gt;Monkey&lt;/li&gt;</v>
      </c>
      <c r="Q9" t="str">
        <f>Animals!C117</f>
        <v>&lt;li&gt;AEXP_Koala&lt;/li&gt;</v>
      </c>
      <c r="R9" t="str">
        <f>Animals!C47</f>
        <v>&lt;li&gt;Boomalope&lt;/li&gt;</v>
      </c>
    </row>
    <row r="10" spans="2:21" x14ac:dyDescent="0.25">
      <c r="B10" t="str">
        <f>Animals!C198</f>
        <v>&lt;li&gt;VAEWaste_Megatardi&lt;/li&gt;</v>
      </c>
      <c r="C10" t="str">
        <f>Animals!C198</f>
        <v>&lt;li&gt;VAEWaste_Megatardi&lt;/li&gt;</v>
      </c>
      <c r="D10" t="str">
        <f>Animals!C119</f>
        <v>&lt;li&gt;AEXP_ArcticCoyote&lt;/li&gt;</v>
      </c>
      <c r="E10" t="str">
        <f>Animals!C53</f>
        <v>&lt;li&gt;Deer&lt;/li&gt;</v>
      </c>
      <c r="F10" t="str">
        <f>Animals!C84</f>
        <v>&lt;li&gt;Badger&lt;/li&gt;</v>
      </c>
      <c r="G10" t="str">
        <f>Animals!C84</f>
        <v>&lt;li&gt;Badger&lt;/li&gt;</v>
      </c>
      <c r="H10" s="16" t="str">
        <f>Animals!C4</f>
        <v>&lt;li&gt;Raccoon&lt;/li&gt;</v>
      </c>
      <c r="I10" t="str">
        <f>Animals!C4</f>
        <v>&lt;li&gt;Raccoon&lt;/li&gt;</v>
      </c>
      <c r="J10" t="str">
        <f>Animals!C41</f>
        <v>&lt;li&gt;Boomrat&lt;/li&gt;</v>
      </c>
      <c r="K10" t="str">
        <f>Animals!C117</f>
        <v>&lt;li&gt;AEXP_Koala&lt;/li&gt;</v>
      </c>
      <c r="L10" t="str">
        <f>Animals!C41</f>
        <v>&lt;li&gt;Boomrat&lt;/li&gt;</v>
      </c>
      <c r="M10" t="str">
        <f>Animals!C54</f>
        <v>&lt;li&gt;Gazelle&lt;/li&gt;</v>
      </c>
      <c r="N10" t="str">
        <f>Animals!C126</f>
        <v>&lt;li&gt;AEXP_Rattlesnake&lt;/li&gt;</v>
      </c>
      <c r="O10" t="str">
        <f>Animals!C117</f>
        <v>&lt;li&gt;AEXP_Koala&lt;/li&gt;</v>
      </c>
      <c r="P10" t="str">
        <f>Animals!C117</f>
        <v>&lt;li&gt;AEXP_Koala&lt;/li&gt;</v>
      </c>
      <c r="Q10" t="str">
        <f>Animals!C81</f>
        <v>&lt;li&gt;Armadillo&lt;/li&gt;</v>
      </c>
      <c r="R10" s="16" t="str">
        <f>Animals!C22</f>
        <v>&lt;li&gt;Donkey&lt;/li&gt;</v>
      </c>
    </row>
    <row r="11" spans="2:21" x14ac:dyDescent="0.25">
      <c r="D11" s="16" t="str">
        <f>Animals!$C$82</f>
        <v>&lt;li&gt;Wolverine&lt;/li&gt;</v>
      </c>
      <c r="E11" t="str">
        <f>Animals!$C$49</f>
        <v>&lt;li&gt;Caribou&lt;/li&gt;</v>
      </c>
      <c r="F11" t="str">
        <f>Animals!C53</f>
        <v>&lt;li&gt;Deer&lt;/li&gt;</v>
      </c>
      <c r="G11" t="str">
        <f>Animals!C53</f>
        <v>&lt;li&gt;Deer&lt;/li&gt;</v>
      </c>
      <c r="H11" s="16" t="str">
        <f>Animals!C128</f>
        <v>&lt;li&gt;AEXP_RedPanda&lt;/li&gt;</v>
      </c>
      <c r="I11" t="str">
        <f>Animals!C128</f>
        <v>&lt;li&gt;AEXP_RedPanda&lt;/li&gt;</v>
      </c>
      <c r="J11" s="16" t="str">
        <f>Animals!C115</f>
        <v>&lt;li&gt;AEXP_Boombat&lt;/li&gt;</v>
      </c>
      <c r="K11" t="str">
        <f>Animals!C41</f>
        <v>&lt;li&gt;Boomrat&lt;/li&gt;</v>
      </c>
      <c r="L11" t="str">
        <f>Animals!C115</f>
        <v>&lt;li&gt;AEXP_Boombat&lt;/li&gt;</v>
      </c>
      <c r="M11" t="str">
        <f>Animals!C122</f>
        <v>&lt;li&gt;AEXP_DesertTortoise&lt;/li&gt;</v>
      </c>
      <c r="N11" t="str">
        <f>Animals!C60</f>
        <v xml:space="preserve">&lt;li&gt;Fox_Fennec&lt;/li&gt; </v>
      </c>
      <c r="O11" t="str">
        <f>Animals!C81</f>
        <v>&lt;li&gt;Armadillo&lt;/li&gt;</v>
      </c>
      <c r="P11" t="str">
        <f>Animals!C81</f>
        <v>&lt;li&gt;Armadillo&lt;/li&gt;</v>
      </c>
      <c r="Q11" t="str">
        <f>Animals!C41</f>
        <v>&lt;li&gt;Boomrat&lt;/li&gt;</v>
      </c>
      <c r="R11" t="str">
        <f>Animals!C21</f>
        <v>&lt;li&gt;Horse&lt;/li&gt;</v>
      </c>
    </row>
    <row r="12" spans="2:21" x14ac:dyDescent="0.25">
      <c r="D12" s="16" t="str">
        <f>Animals!$C$19</f>
        <v>&lt;li&gt;Lynx&lt;/li&gt;</v>
      </c>
      <c r="E12" t="str">
        <f>Animals!C46</f>
        <v>&lt;li&gt;Elk&lt;/li&gt;</v>
      </c>
      <c r="F12" s="16" t="str">
        <f>Animals!C29</f>
        <v>&lt;li&gt;WildBoar&lt;/li&gt;</v>
      </c>
      <c r="G12" t="str">
        <f>Animals!C29</f>
        <v>&lt;li&gt;WildBoar&lt;/li&gt;</v>
      </c>
      <c r="H12" s="16" t="str">
        <f>Animals!C8</f>
        <v>&lt;li&gt;Turkey&lt;/li&gt;</v>
      </c>
      <c r="I12" t="str">
        <f>Animals!C8</f>
        <v>&lt;li&gt;Turkey&lt;/li&gt;</v>
      </c>
      <c r="J12" t="str">
        <f>Animals!C54</f>
        <v>&lt;li&gt;Gazelle&lt;/li&gt;</v>
      </c>
      <c r="K12" t="str">
        <f>Animals!C115</f>
        <v>&lt;li&gt;AEXP_Boombat&lt;/li&gt;</v>
      </c>
      <c r="L12" t="str">
        <f>Animals!C54</f>
        <v>&lt;li&gt;Gazelle&lt;/li&gt;</v>
      </c>
      <c r="M12" t="str">
        <f>Animals!C7</f>
        <v>&lt;li&gt;Emu&lt;/li&gt;</v>
      </c>
      <c r="N12" t="str">
        <f>Animals!C101</f>
        <v>&lt;li&gt;StoneCrab&lt;/li&gt;</v>
      </c>
      <c r="O12" t="str">
        <f>Animals!C41</f>
        <v>&lt;li&gt;Boomrat&lt;/li&gt;</v>
      </c>
      <c r="P12" t="str">
        <f>Animals!C41</f>
        <v>&lt;li&gt;Boomrat&lt;/li&gt;</v>
      </c>
      <c r="Q12" t="str">
        <f>Animals!C72</f>
        <v>&lt;li&gt;Peacock&lt;/li&gt;</v>
      </c>
      <c r="R12" t="str">
        <f>Animals!C12</f>
        <v>&lt;li&gt;Dromedary&lt;/li&gt;</v>
      </c>
    </row>
    <row r="13" spans="2:21" x14ac:dyDescent="0.25"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Animals!C46</f>
        <v>&lt;li&gt;Elk&lt;/li&gt;</v>
      </c>
      <c r="G13" t="str">
        <f>Animals!C46</f>
        <v>&lt;li&gt;Elk&lt;/li&gt;</v>
      </c>
      <c r="H13" s="16" t="str">
        <f>Animals!C94</f>
        <v>&lt;li&gt;Porcupine&lt;/li&gt;</v>
      </c>
      <c r="I13" t="str">
        <f>Animals!C94</f>
        <v>&lt;li&gt;Porcupine&lt;/li&gt;</v>
      </c>
      <c r="J13" s="16" t="str">
        <f>Animals!C122</f>
        <v>&lt;li&gt;AEXP_DesertTortoise&lt;/li&gt;</v>
      </c>
      <c r="K13" t="str">
        <f>Animals!C54</f>
        <v>&lt;li&gt;Gazelle&lt;/li&gt;</v>
      </c>
      <c r="L13" t="str">
        <f>Animals!C122</f>
        <v>&lt;li&gt;AEXP_DesertTortoise&lt;/li&gt;</v>
      </c>
      <c r="M13" t="str">
        <f>Animals!C116</f>
        <v>&lt;li&gt;AEXP_Kangaroo&lt;/li&gt;</v>
      </c>
      <c r="N13" s="16" t="str">
        <f>Animals!C102</f>
        <v>&lt;li&gt;HermitCrab&lt;/li&gt;</v>
      </c>
      <c r="O13" s="16" t="str">
        <f>Animals!C72</f>
        <v>&lt;li&gt;Peacock&lt;/li&gt;</v>
      </c>
      <c r="P13" t="str">
        <f>Animals!C72</f>
        <v>&lt;li&gt;Peacock&lt;/li&gt;</v>
      </c>
      <c r="Q13" t="str">
        <f>Animals!C34</f>
        <v>&lt;li&gt;Tortoise&lt;/li&gt;</v>
      </c>
      <c r="R13" t="str">
        <f>Animals!C20</f>
        <v>&lt;li&gt;Cat&lt;/li&gt;</v>
      </c>
    </row>
    <row r="14" spans="2:21" x14ac:dyDescent="0.25">
      <c r="D14" s="16" t="str">
        <f>Animals!$C$2</f>
        <v>&lt;li&gt;Bear_Polar&lt;/li&gt;</v>
      </c>
      <c r="E14" t="str">
        <f>Animals!C44</f>
        <v>&lt;li&gt;Muffalo&lt;/li&gt;</v>
      </c>
      <c r="F14" t="str">
        <f>Animals!C44</f>
        <v>&lt;li&gt;Muffalo&lt;/li&gt;</v>
      </c>
      <c r="G14" t="str">
        <f>Animals!C44</f>
        <v>&lt;li&gt;Muffalo&lt;/li&gt;</v>
      </c>
      <c r="H14" s="16" t="str">
        <f>Animals!C84</f>
        <v>&lt;li&gt;Badger&lt;/li&gt;</v>
      </c>
      <c r="I14" t="str">
        <f>Animals!C84</f>
        <v>&lt;li&gt;Badger&lt;/li&gt;</v>
      </c>
      <c r="J14" s="16" t="str">
        <f>Animals!C7</f>
        <v>&lt;li&gt;Emu&lt;/li&gt;</v>
      </c>
      <c r="K14" t="str">
        <f>Animals!C122</f>
        <v>&lt;li&gt;AEXP_DesertTortoise&lt;/li&gt;</v>
      </c>
      <c r="L14" t="str">
        <f>Animals!C7</f>
        <v>&lt;li&gt;Emu&lt;/li&gt;</v>
      </c>
      <c r="M14" t="str">
        <f>Animals!C5</f>
        <v>&lt;li&gt;Ostrich&lt;/li&gt;</v>
      </c>
      <c r="N14" t="str">
        <f>Animals!C61</f>
        <v>&lt;li&gt;WasteRat&lt;/li&gt;</v>
      </c>
      <c r="O14" t="str">
        <f>Animals!C32</f>
        <v>&lt;li&gt;Iguana&lt;/li&gt;</v>
      </c>
      <c r="P14" t="str">
        <f>Animals!C32</f>
        <v>&lt;li&gt;Iguana&lt;/li&gt;</v>
      </c>
      <c r="Q14" t="str">
        <f>Animals!C134</f>
        <v>&lt;li&gt;AEXP_Mandrill&lt;/li&gt;</v>
      </c>
      <c r="R14" t="str">
        <f>Animals!C99</f>
        <v>&lt;li&gt;BogHound&lt;/li&gt;</v>
      </c>
    </row>
    <row r="15" spans="2:21" x14ac:dyDescent="0.25">
      <c r="D15" s="16" t="str">
        <f>Animals!C86</f>
        <v>&lt;li&gt;SeaLion&lt;/li&gt;</v>
      </c>
      <c r="E15" t="str">
        <f>Animals!C96</f>
        <v>&lt;li&gt;Moose&lt;/li&gt;</v>
      </c>
      <c r="F15" s="16" t="str">
        <f>Animals!C96</f>
        <v>&lt;li&gt;Moose&lt;/li&gt;</v>
      </c>
      <c r="G15" t="str">
        <f>Animals!C96</f>
        <v>&lt;li&gt;Moose&lt;/li&gt;</v>
      </c>
      <c r="H15" s="16" t="str">
        <f>Animals!C41</f>
        <v>&lt;li&gt;Boomrat&lt;/li&gt;</v>
      </c>
      <c r="I15" t="str">
        <f>Animals!C41</f>
        <v>&lt;li&gt;Boomrat&lt;/li&gt;</v>
      </c>
      <c r="J15" s="16" t="str">
        <f>Animals!C116</f>
        <v>&lt;li&gt;AEXP_Kangaroo&lt;/li&gt;</v>
      </c>
      <c r="K15" t="str">
        <f>Animals!C7</f>
        <v>&lt;li&gt;Emu&lt;/li&gt;</v>
      </c>
      <c r="L15" t="str">
        <f>Animals!C116</f>
        <v>&lt;li&gt;AEXP_Kangaroo&lt;/li&gt;</v>
      </c>
      <c r="M15" t="str">
        <f>Animals!C47</f>
        <v>&lt;li&gt;Boomalope&lt;/li&gt;</v>
      </c>
      <c r="N15" t="str">
        <f>Animals!C48</f>
        <v>&lt;li&gt;Toxalope&lt;/li&gt;</v>
      </c>
      <c r="O15" s="16" t="str">
        <f>Animals!C34</f>
        <v>&lt;li&gt;Tortoise&lt;/li&gt;</v>
      </c>
      <c r="P15" s="16" t="str">
        <f>Animals!C34</f>
        <v>&lt;li&gt;Tortoise&lt;/li&gt;</v>
      </c>
      <c r="Q15" t="str">
        <f>Animals!C6</f>
        <v>&lt;li&gt;Cassowary&lt;/li&gt;</v>
      </c>
      <c r="R15" t="str">
        <f>Animals!C55</f>
        <v>&lt;li&gt;Warg&lt;/li&gt;</v>
      </c>
    </row>
    <row r="16" spans="2:21" x14ac:dyDescent="0.25">
      <c r="D16" s="16" t="str">
        <f>Animals!C87</f>
        <v>&lt;li&gt;Seal&lt;/li&gt;</v>
      </c>
      <c r="E16" t="str">
        <f>Animals!C42</f>
        <v>&lt;li&gt;Bison&lt;/li&gt;</v>
      </c>
      <c r="F16" t="str">
        <f>Animals!C42</f>
        <v>&lt;li&gt;Bison&lt;/li&gt;</v>
      </c>
      <c r="G16" t="str">
        <f>Animals!C42</f>
        <v>&lt;li&gt;Bison&lt;/li&gt;</v>
      </c>
      <c r="H16" s="16" t="str">
        <f>Animals!C53</f>
        <v>&lt;li&gt;Deer&lt;/li&gt;</v>
      </c>
      <c r="I16" t="str">
        <f>Animals!C53</f>
        <v>&lt;li&gt;Deer&lt;/li&gt;</v>
      </c>
      <c r="J16" t="str">
        <f>Animals!C5</f>
        <v>&lt;li&gt;Ostrich&lt;/li&gt;</v>
      </c>
      <c r="K16" t="str">
        <f>Animals!C116</f>
        <v>&lt;li&gt;AEXP_Kangaroo&lt;/li&gt;</v>
      </c>
      <c r="L16" t="str">
        <f>Animals!C5</f>
        <v>&lt;li&gt;Ostrich&lt;/li&gt;</v>
      </c>
      <c r="M16" t="str">
        <f>Animals!C22</f>
        <v>&lt;li&gt;Donkey&lt;/li&gt;</v>
      </c>
      <c r="N16" t="str">
        <f>Animals!C198</f>
        <v>&lt;li&gt;VAEWaste_Megatardi&lt;/li&gt;</v>
      </c>
      <c r="O16" s="16" t="str">
        <f>Animals!C134</f>
        <v>&lt;li&gt;AEXP_Mandrill&lt;/li&gt;</v>
      </c>
      <c r="P16" t="str">
        <f>Animals!C134</f>
        <v>&lt;li&gt;AEXP_Mandrill&lt;/li&gt;</v>
      </c>
      <c r="Q16" t="str">
        <f>Animals!C39</f>
        <v>&lt;li&gt;Capybara&lt;/li&gt;</v>
      </c>
      <c r="R16" t="str">
        <f>Animals!C101</f>
        <v>&lt;li&gt;StoneCrab&lt;/li&gt;</v>
      </c>
    </row>
    <row r="17" spans="4:18" x14ac:dyDescent="0.25">
      <c r="D17" s="16" t="str">
        <f>Animals!C88</f>
        <v>&lt;li&gt;Walrus&lt;/li&gt;</v>
      </c>
      <c r="E17" t="str">
        <f>Animals!C28</f>
        <v>&lt;li&gt;Megasloth&lt;/li&gt;</v>
      </c>
      <c r="F17" t="str">
        <f>Animals!C28</f>
        <v>&lt;li&gt;Megasloth&lt;/li&gt;</v>
      </c>
      <c r="G17" t="str">
        <f>Animals!C28</f>
        <v>&lt;li&gt;Megasloth&lt;/li&gt;</v>
      </c>
      <c r="H17" s="16" t="str">
        <f>Animals!C29</f>
        <v>&lt;li&gt;WildBoar&lt;/li&gt;</v>
      </c>
      <c r="I17" t="str">
        <f>Animals!C29</f>
        <v>&lt;li&gt;WildBoar&lt;/li&gt;</v>
      </c>
      <c r="J17" t="str">
        <f>Animals!C47</f>
        <v>&lt;li&gt;Boomalope&lt;/li&gt;</v>
      </c>
      <c r="K17" t="str">
        <f>Animals!C5</f>
        <v>&lt;li&gt;Ostrich&lt;/li&gt;</v>
      </c>
      <c r="L17" t="str">
        <f>Animals!C47</f>
        <v>&lt;li&gt;Boomalope&lt;/li&gt;</v>
      </c>
      <c r="M17" t="str">
        <f>Animals!C112</f>
        <v>&lt;li&gt;AEXP_Wildebeest&lt;/li&gt;</v>
      </c>
      <c r="N17" t="str">
        <f>Animals!C197</f>
        <v>&lt;li&gt;VAEWaste_Hydra&lt;/li&gt;</v>
      </c>
      <c r="O17" s="16" t="str">
        <f>Animals!C6</f>
        <v>&lt;li&gt;Cassowary&lt;/li&gt;</v>
      </c>
      <c r="P17" t="str">
        <f>Animals!C6</f>
        <v>&lt;li&gt;Cassowary&lt;/li&gt;</v>
      </c>
      <c r="Q17" t="str">
        <f>Animals!C95</f>
        <v>&lt;li&gt;Megavole&lt;/li&gt;</v>
      </c>
      <c r="R17" t="str">
        <f>Animals!C61</f>
        <v>&lt;li&gt;WasteRat&lt;/li&gt;</v>
      </c>
    </row>
    <row r="18" spans="4:18" x14ac:dyDescent="0.25">
      <c r="D18" t="str">
        <f>Animals!C71</f>
        <v>&lt;li&gt;Penguin&lt;/li&gt;</v>
      </c>
      <c r="E18" t="str">
        <f>Animals!C79</f>
        <v>&lt;li&gt;Mastodon&lt;/li&gt;</v>
      </c>
      <c r="F18" t="str">
        <f>Animals!C83</f>
        <v>&lt;li&gt;Mink&lt;/li&gt;</v>
      </c>
      <c r="G18" t="str">
        <f>Animals!C83</f>
        <v>&lt;li&gt;Mink&lt;/li&gt;</v>
      </c>
      <c r="H18" s="16" t="str">
        <f>Animals!C47</f>
        <v>&lt;li&gt;Boomalope&lt;/li&gt;</v>
      </c>
      <c r="I18" t="str">
        <f>Animals!C47</f>
        <v>&lt;li&gt;Boomalope&lt;/li&gt;</v>
      </c>
      <c r="J18" t="str">
        <f>Animals!C22</f>
        <v>&lt;li&gt;Donkey&lt;/li&gt;</v>
      </c>
      <c r="K18" t="str">
        <f>Animals!C47</f>
        <v>&lt;li&gt;Boomalope&lt;/li&gt;</v>
      </c>
      <c r="L18" t="str">
        <f>Animals!C22</f>
        <v>&lt;li&gt;Donkey&lt;/li&gt;</v>
      </c>
      <c r="M18" t="str">
        <f>Animals!C111</f>
        <v>&lt;li&gt;AEXP_Zebra&lt;/li&gt;</v>
      </c>
      <c r="N18" t="str">
        <f>Animals!C204</f>
        <v>&lt;li&gt;VAEWaste_Toxscorpion&lt;/li&gt;</v>
      </c>
      <c r="O18" t="str">
        <f>Animals!C39</f>
        <v>&lt;li&gt;Capybara&lt;/li&gt;</v>
      </c>
      <c r="P18" t="str">
        <f>Animals!C39</f>
        <v>&lt;li&gt;Capybara&lt;/li&gt;</v>
      </c>
      <c r="Q18" t="str">
        <f>Animals!C29</f>
        <v>&lt;li&gt;WildBoar&lt;/li&gt;</v>
      </c>
      <c r="R18" t="str">
        <f>Animals!C48</f>
        <v>&lt;li&gt;Toxalope&lt;/li&gt;</v>
      </c>
    </row>
    <row r="19" spans="4:18" x14ac:dyDescent="0.25">
      <c r="D19" t="str">
        <f>Animals!C176</f>
        <v>&lt;li&gt;AEXP_RockhopperPenguin&lt;/li&gt;</v>
      </c>
      <c r="E19" s="16" t="str">
        <f>Animals!C83</f>
        <v>&lt;li&gt;Mink&lt;/li&gt;</v>
      </c>
      <c r="F19" t="str">
        <f>Animals!C58</f>
        <v>&lt;li&gt;Fox_Red&lt;/li&gt;</v>
      </c>
      <c r="G19" t="str">
        <f>Animals!C58</f>
        <v>&lt;li&gt;Fox_Red&lt;/li&gt;</v>
      </c>
      <c r="H19" s="16" t="str">
        <f>Animals!C46</f>
        <v>&lt;li&gt;Elk&lt;/li&gt;</v>
      </c>
      <c r="I19" t="str">
        <f>Animals!C46</f>
        <v>&lt;li&gt;Elk&lt;/li&gt;</v>
      </c>
      <c r="J19" s="16" t="str">
        <f>Animals!C112</f>
        <v>&lt;li&gt;AEXP_Wildebeest&lt;/li&gt;</v>
      </c>
      <c r="K19" t="str">
        <f>Animals!C22</f>
        <v>&lt;li&gt;Donkey&lt;/li&gt;</v>
      </c>
      <c r="L19" t="str">
        <f>Animals!C112</f>
        <v>&lt;li&gt;AEXP_Wildebeest&lt;/li&gt;</v>
      </c>
      <c r="M19" t="str">
        <f>Animals!C12</f>
        <v>&lt;li&gt;Dromedary&lt;/li&gt;</v>
      </c>
      <c r="O19" t="str">
        <f>Animals!C29</f>
        <v>&lt;li&gt;WildBoar&lt;/li&gt;</v>
      </c>
      <c r="P19" t="str">
        <f>Animals!C29</f>
        <v>&lt;li&gt;WildBoar&lt;/li&gt;</v>
      </c>
      <c r="Q19" t="str">
        <f>Animals!C89</f>
        <v>&lt;li&gt;Gorilla&lt;/li&gt;</v>
      </c>
      <c r="R19" t="str">
        <f>Animals!C197</f>
        <v>&lt;li&gt;VAEWaste_Hydra&lt;/li&gt;</v>
      </c>
    </row>
    <row r="20" spans="4:18" x14ac:dyDescent="0.25">
      <c r="D20" t="str">
        <f>Animals!C198</f>
        <v>&lt;li&gt;VAEWaste_Megatardi&lt;/li&gt;</v>
      </c>
      <c r="E20" t="str">
        <f>Animals!C58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Animals!C44</f>
        <v>&lt;li&gt;Muffalo&lt;/li&gt;</v>
      </c>
      <c r="I20" t="str">
        <f>Animals!C44</f>
        <v>&lt;li&gt;Muffalo&lt;/li&gt;</v>
      </c>
      <c r="J20" s="16" t="str">
        <f>Animals!C111</f>
        <v>&lt;li&gt;AEXP_Zebra&lt;/li&gt;</v>
      </c>
      <c r="K20" t="str">
        <f>Animals!C112</f>
        <v>&lt;li&gt;AEXP_Wildebeest&lt;/li&gt;</v>
      </c>
      <c r="L20" t="str">
        <f>Animals!C111</f>
        <v>&lt;li&gt;AEXP_Zebra&lt;/li&gt;</v>
      </c>
      <c r="M20" t="str">
        <f>Animals!C124</f>
        <v>&lt;li&gt;AEXP_GilaMonster&lt;/li&gt;</v>
      </c>
      <c r="O20" t="str">
        <f>Animals!C89</f>
        <v>&lt;li&gt;Gorilla&lt;/li&gt;</v>
      </c>
      <c r="P20" t="str">
        <f>Animals!C89</f>
        <v>&lt;li&gt;Gorilla&lt;/li&gt;</v>
      </c>
      <c r="Q20" t="str">
        <f>Animals!C47</f>
        <v>&lt;li&gt;Boomalope&lt;/li&gt;</v>
      </c>
      <c r="R20" s="16" t="str">
        <f>Animals!C198</f>
        <v>&lt;li&gt;VAEWaste_Megatardi&lt;/li&gt;</v>
      </c>
    </row>
    <row r="21" spans="4:18" x14ac:dyDescent="0.25">
      <c r="D21" t="str">
        <f>Animals!C200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Animals!C21</f>
        <v>&lt;li&gt;Horse&lt;/li&gt;</v>
      </c>
      <c r="I21" t="str">
        <f>Animals!C21</f>
        <v>&lt;li&gt;Horse&lt;/li&gt;</v>
      </c>
      <c r="J21" t="str">
        <f>Animals!C21</f>
        <v>&lt;li&gt;Horse&lt;/li&gt;</v>
      </c>
      <c r="K21" t="str">
        <f>Animals!C111</f>
        <v>&lt;li&gt;AEXP_Zebra&lt;/li&gt;</v>
      </c>
      <c r="L21" t="str">
        <f>Animals!C12</f>
        <v>&lt;li&gt;Dromedary&lt;/li&gt;</v>
      </c>
      <c r="M21" t="str">
        <f>Animals!C126</f>
        <v>&lt;li&gt;AEXP_Rattlesnake&lt;/li&gt;</v>
      </c>
      <c r="O21" t="str">
        <f>Animals!C47</f>
        <v>&lt;li&gt;Boomalope&lt;/li&gt;</v>
      </c>
      <c r="P21" t="str">
        <f>Animals!C47</f>
        <v>&lt;li&gt;Boomalope&lt;/li&gt;</v>
      </c>
      <c r="Q21" t="str">
        <f>Animals!C135</f>
        <v>&lt;li&gt;AEXP_Tapir&lt;/li&gt;</v>
      </c>
      <c r="R21" s="16" t="str">
        <f>Animals!C199</f>
        <v>&lt;li&gt;VAEWaste_Pestigator&lt;/li&gt;</v>
      </c>
    </row>
    <row r="22" spans="4:18" x14ac:dyDescent="0.25">
      <c r="D22" s="16" t="str">
        <f>Animals!C201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Animals!C96</f>
        <v>&lt;li&gt;Moose&lt;/li&gt;</v>
      </c>
      <c r="I22" t="str">
        <f>Animals!C96</f>
        <v>&lt;li&gt;Moose&lt;/li&gt;</v>
      </c>
      <c r="J22" t="str">
        <f>Animals!C12</f>
        <v>&lt;li&gt;Dromedary&lt;/li&gt;</v>
      </c>
      <c r="K22" t="str">
        <f>Animals!C21</f>
        <v>&lt;li&gt;Horse&lt;/li&gt;</v>
      </c>
      <c r="L22" t="str">
        <f>Animals!C124</f>
        <v>&lt;li&gt;AEXP_GilaMonster&lt;/li&gt;</v>
      </c>
      <c r="M22" t="str">
        <f>Animals!C60</f>
        <v xml:space="preserve">&lt;li&gt;Fox_Fennec&lt;/li&gt; </v>
      </c>
      <c r="O22" s="16" t="str">
        <f>Animals!C135</f>
        <v>&lt;li&gt;AEXP_Tapir&lt;/li&gt;</v>
      </c>
      <c r="P22" t="str">
        <f>Animals!C135</f>
        <v>&lt;li&gt;AEXP_Tapir&lt;/li&gt;</v>
      </c>
      <c r="Q22" t="str">
        <f>Animals!C137</f>
        <v>&lt;li&gt;AEXP_IndianElephant&lt;/li&gt;</v>
      </c>
      <c r="R22" s="16" t="str">
        <f>Animals!C200</f>
        <v>&lt;li&gt;VAEWaste_Toxafox&lt;/li&gt;</v>
      </c>
    </row>
    <row r="23" spans="4:18" x14ac:dyDescent="0.25"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Animals!C42</f>
        <v>&lt;li&gt;Bison&lt;/li&gt;</v>
      </c>
      <c r="I23" t="str">
        <f>Animals!C42</f>
        <v>&lt;li&gt;Bison&lt;/li&gt;</v>
      </c>
      <c r="J23" s="16" t="str">
        <f>Animals!C110</f>
        <v>&lt;li&gt;AEXP_Giraffe&lt;/li&gt;</v>
      </c>
      <c r="K23" t="str">
        <f>Animals!C42</f>
        <v>&lt;li&gt;Bison&lt;/li&gt;</v>
      </c>
      <c r="L23" t="str">
        <f>Animals!C126</f>
        <v>&lt;li&gt;AEXP_Rattlesnake&lt;/li&gt;</v>
      </c>
      <c r="M23" t="str">
        <f>Animals!C109</f>
        <v>&lt;li&gt;AEXP_Coyote&lt;/li&gt;</v>
      </c>
      <c r="O23" s="16" t="str">
        <f>Animals!C137</f>
        <v>&lt;li&gt;AEXP_IndianElephant&lt;/li&gt;</v>
      </c>
      <c r="P23" t="str">
        <f>Animals!C137</f>
        <v>&lt;li&gt;AEXP_IndianElephant&lt;/li&gt;</v>
      </c>
      <c r="Q23" t="str">
        <f>Animals!C33</f>
        <v>&lt;li&gt;Cobra&lt;/li&gt;</v>
      </c>
      <c r="R23" s="16" t="str">
        <f>Animals!C201</f>
        <v>&lt;li&gt;VAEWaste_Toxbear&lt;/li&gt;</v>
      </c>
    </row>
    <row r="24" spans="4:18" x14ac:dyDescent="0.25">
      <c r="E24" t="str">
        <f>Animals!$C$56</f>
        <v>&lt;li&gt;Wolf_Timber&lt;/li&gt;</v>
      </c>
      <c r="F24" t="str">
        <f>Animals!C17</f>
        <v>&lt;li&gt;Cougar&lt;/li&gt;</v>
      </c>
      <c r="G24" t="str">
        <f>Animals!C17</f>
        <v>&lt;li&gt;Cougar&lt;/li&gt;</v>
      </c>
      <c r="H24" s="16" t="str">
        <f>Animals!C28</f>
        <v>&lt;li&gt;Megasloth&lt;/li&gt;</v>
      </c>
      <c r="I24" t="str">
        <f>Animals!C28</f>
        <v>&lt;li&gt;Megasloth&lt;/li&gt;</v>
      </c>
      <c r="J24" t="str">
        <f>Animals!C25</f>
        <v>&lt;li&gt;Rhinoceros&lt;/li&gt;</v>
      </c>
      <c r="K24" t="str">
        <f>Animals!C110</f>
        <v>&lt;li&gt;AEXP_Giraffe&lt;/li&gt;</v>
      </c>
      <c r="L24" t="str">
        <f>Animals!C60</f>
        <v xml:space="preserve">&lt;li&gt;Fox_Fennec&lt;/li&gt; </v>
      </c>
      <c r="M24" t="str">
        <f>Animals!C114</f>
        <v>&lt;li&gt;AEXP_Cheetah&lt;/li&gt;</v>
      </c>
      <c r="O24" t="str">
        <f>Animals!C33</f>
        <v>&lt;li&gt;Cobra&lt;/li&gt;</v>
      </c>
      <c r="P24" t="str">
        <f>Animals!C33</f>
        <v>&lt;li&gt;Cobra&lt;/li&gt;</v>
      </c>
      <c r="Q24" t="str">
        <f>Animals!C18</f>
        <v>&lt;li&gt;Panther&lt;/li&gt;</v>
      </c>
      <c r="R24" s="16" t="str">
        <f>Animals!C202</f>
        <v>&lt;li&gt;VAEWaste_Toxiguana&lt;/li&gt;</v>
      </c>
    </row>
    <row r="25" spans="4:18" x14ac:dyDescent="0.25"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Animals!C62</f>
        <v>&lt;li&gt;Panda&lt;/li&gt;</v>
      </c>
      <c r="I25" t="str">
        <f>Animals!C62</f>
        <v>&lt;li&gt;Panda&lt;/li&gt;</v>
      </c>
      <c r="J25" s="16" t="str">
        <f>Animals!C26</f>
        <v>&lt;li&gt;Elephant&lt;/li&gt;</v>
      </c>
      <c r="K25" t="str">
        <f>Animals!C25</f>
        <v>&lt;li&gt;Rhinoceros&lt;/li&gt;</v>
      </c>
      <c r="L25" t="str">
        <f>Animals!C109</f>
        <v>&lt;li&gt;AEXP_Coyote&lt;/li&gt;</v>
      </c>
      <c r="M25" t="str">
        <f>Animals!C17</f>
        <v>&lt;li&gt;Cougar&lt;/li&gt;</v>
      </c>
      <c r="O25" t="str">
        <f>Animals!C18</f>
        <v>&lt;li&gt;Panther&lt;/li&gt;</v>
      </c>
      <c r="P25" t="str">
        <f>Animals!C18</f>
        <v>&lt;li&gt;Panther&lt;/li&gt;</v>
      </c>
      <c r="Q25" t="str">
        <f>Animals!C132</f>
        <v>&lt;li&gt;AEXP_Jaguar&lt;/li&gt;</v>
      </c>
      <c r="R25" s="16" t="str">
        <f>Animals!C203</f>
        <v>&lt;li&gt;VAEWaste_Toxlion&lt;/li&gt;</v>
      </c>
    </row>
    <row r="26" spans="4:18" x14ac:dyDescent="0.25">
      <c r="E26" t="str">
        <f>Animals!C17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Animals!C83</f>
        <v>&lt;li&gt;Mink&lt;/li&gt;</v>
      </c>
      <c r="I26" t="str">
        <f>Animals!C83</f>
        <v>&lt;li&gt;Mink&lt;/li&gt;</v>
      </c>
      <c r="J26" s="16" t="str">
        <f>Animals!C124</f>
        <v>&lt;li&gt;AEXP_GilaMonster&lt;/li&gt;</v>
      </c>
      <c r="K26" t="str">
        <f>Animals!C28</f>
        <v>&lt;li&gt;Megasloth&lt;/li&gt;</v>
      </c>
      <c r="L26" t="str">
        <f>Animals!C114</f>
        <v>&lt;li&gt;AEXP_Cheetah&lt;/li&gt;</v>
      </c>
      <c r="M26" t="str">
        <f>Animals!C121</f>
        <v>&lt;li&gt;AEXP_Hyena&lt;/li&gt;</v>
      </c>
      <c r="O26" s="16" t="str">
        <f>Animals!C132</f>
        <v>&lt;li&gt;AEXP_Jaguar&lt;/li&gt;</v>
      </c>
      <c r="P26" t="str">
        <f>Animals!C132</f>
        <v>&lt;li&gt;AEXP_Jaguar&lt;/li&gt;</v>
      </c>
      <c r="Q26" t="str">
        <f>Animals!C74</f>
        <v>&lt;li&gt;Tiger&lt;/li&gt;</v>
      </c>
      <c r="R26" s="16" t="str">
        <f>Animals!C204</f>
        <v>&lt;li&gt;VAEWaste_Toxscorpion&lt;/li&gt;</v>
      </c>
    </row>
    <row r="27" spans="4:18" x14ac:dyDescent="0.25">
      <c r="E27" t="str">
        <f>Animals!$C$120</f>
        <v>&lt;li&gt;AEXP_BlackBear&lt;/li&gt;</v>
      </c>
      <c r="F27" s="16" t="str">
        <f>Animals!C86</f>
        <v>&lt;li&gt;SeaLion&lt;/li&gt;</v>
      </c>
      <c r="G27" t="str">
        <f>Animals!C86</f>
        <v>&lt;li&gt;SeaLion&lt;/li&gt;</v>
      </c>
      <c r="H27" s="16" t="str">
        <f>Animals!C58</f>
        <v>&lt;li&gt;Fox_Red&lt;/li&gt;</v>
      </c>
      <c r="I27" t="str">
        <f>Animals!C58</f>
        <v>&lt;li&gt;Fox_Red&lt;/li&gt;</v>
      </c>
      <c r="J27" s="16" t="str">
        <f>Animals!C126</f>
        <v>&lt;li&gt;AEXP_Rattlesnake&lt;/li&gt;</v>
      </c>
      <c r="K27" t="str">
        <f>Animals!C26</f>
        <v>&lt;li&gt;Elephant&lt;/li&gt;</v>
      </c>
      <c r="L27" t="str">
        <f>Animals!C90</f>
        <v>&lt;li&gt;MonitorLizard&lt;/li&gt;</v>
      </c>
      <c r="M27" t="str">
        <f>Animals!C123</f>
        <v>&lt;li&gt;AEXP_Lion&lt;/li&gt;</v>
      </c>
      <c r="O27" s="16" t="str">
        <f>Animals!C74</f>
        <v>&lt;li&gt;Tiger&lt;/li&gt;</v>
      </c>
      <c r="P27" t="str">
        <f>Animals!C74</f>
        <v>&lt;li&gt;Tiger&lt;/li&gt;</v>
      </c>
      <c r="Q27" t="str">
        <f>Animals!C92</f>
        <v>&lt;li&gt;SeaTurtle&lt;/li&gt;</v>
      </c>
      <c r="R27" s="16" t="str">
        <f>Animals!C205</f>
        <v>&lt;li&gt;VAEWaste_Wasteboar&lt;/li&gt;</v>
      </c>
    </row>
    <row r="28" spans="4:18" x14ac:dyDescent="0.25">
      <c r="E28" t="str">
        <f>Animals!$C$75</f>
        <v>&lt;li&gt;Cat_Scimitar&lt;/li&gt;</v>
      </c>
      <c r="F28" t="str">
        <f>Animals!C87</f>
        <v>&lt;li&gt;Seal&lt;/li&gt;</v>
      </c>
      <c r="G28" s="16" t="str">
        <f>Animals!C87</f>
        <v>&lt;li&gt;Seal&lt;/li&gt;</v>
      </c>
      <c r="H28" s="16" t="str">
        <f>Animals!$C$109</f>
        <v>&lt;li&gt;AEXP_Coyote&lt;/li&gt;</v>
      </c>
      <c r="I28" t="str">
        <f>Animals!$C$109</f>
        <v>&lt;li&gt;AEXP_Coyote&lt;/li&gt;</v>
      </c>
      <c r="J28" s="16" t="str">
        <f>Animals!C60</f>
        <v xml:space="preserve">&lt;li&gt;Fox_Fennec&lt;/li&gt; </v>
      </c>
      <c r="K28" t="str">
        <f>Animals!C109</f>
        <v>&lt;li&gt;AEXP_Coyote&lt;/li&gt;</v>
      </c>
      <c r="L28" s="16" t="str">
        <f>Animals!C17</f>
        <v>&lt;li&gt;Cougar&lt;/li&gt;</v>
      </c>
      <c r="M28" t="str">
        <f>Animals!C92</f>
        <v>&lt;li&gt;SeaTurtle&lt;/li&gt;</v>
      </c>
      <c r="O28" t="str">
        <f>Animals!C92</f>
        <v>&lt;li&gt;SeaTurtle&lt;/li&gt;</v>
      </c>
      <c r="P28" t="str">
        <f>Animals!C92</f>
        <v>&lt;li&gt;SeaTurtle&lt;/li&gt;</v>
      </c>
      <c r="Q28" s="16" t="str">
        <f>Animals!C101</f>
        <v>&lt;li&gt;StoneCrab&lt;/li&gt;</v>
      </c>
      <c r="R28" s="16" t="str">
        <f>Animals!C206</f>
        <v>&lt;li&gt;VAEWaste_Wastedeer&lt;/li&gt;</v>
      </c>
    </row>
    <row r="29" spans="4:18" x14ac:dyDescent="0.25">
      <c r="E29" t="str">
        <f>Animals!$C$3</f>
        <v>&lt;li&gt;Bear_Grizzly&lt;/li&gt;</v>
      </c>
      <c r="F29" t="str">
        <f>Animals!C61</f>
        <v>&lt;li&gt;WasteRat&lt;/li&gt;</v>
      </c>
      <c r="G29" s="16" t="str">
        <f>Animals!C10</f>
        <v>&lt;li&gt;Duck&lt;/li&gt;</v>
      </c>
      <c r="H29" s="16" t="str">
        <f>Animals!$C$19</f>
        <v>&lt;li&gt;Lynx&lt;/li&gt;</v>
      </c>
      <c r="I29" t="str">
        <f>Animals!$C$19</f>
        <v>&lt;li&gt;Lynx&lt;/li&gt;</v>
      </c>
      <c r="J29" t="str">
        <f>Animals!C109</f>
        <v>&lt;li&gt;AEXP_Coyote&lt;/li&gt;</v>
      </c>
      <c r="K29" t="str">
        <f>Animals!C114</f>
        <v>&lt;li&gt;AEXP_Cheetah&lt;/li&gt;</v>
      </c>
      <c r="L29" t="str">
        <f>Animals!C123</f>
        <v>&lt;li&gt;AEXP_Lion&lt;/li&gt;</v>
      </c>
      <c r="M29" t="str">
        <f>Animals!C101</f>
        <v>&lt;li&gt;StoneCrab&lt;/li&gt;</v>
      </c>
      <c r="O29" t="str">
        <f>Animals!C101</f>
        <v>&lt;li&gt;StoneCrab&lt;/li&gt;</v>
      </c>
      <c r="P29" s="16" t="str">
        <f>Animals!C101</f>
        <v>&lt;li&gt;StoneCrab&lt;/li&gt;</v>
      </c>
      <c r="Q29" t="str">
        <f>Animals!C102</f>
        <v>&lt;li&gt;HermitCrab&lt;/li&gt;</v>
      </c>
      <c r="R29" s="16" t="str">
        <f>Animals!C207</f>
        <v>&lt;li&gt;VAEWaste_Wasteffalo&lt;/li&gt;</v>
      </c>
    </row>
    <row r="30" spans="4:18" x14ac:dyDescent="0.25">
      <c r="E30" t="str">
        <f>Animals!C86</f>
        <v>&lt;li&gt;SeaLion&lt;/li&gt;</v>
      </c>
      <c r="F30" s="16" t="str">
        <f>Animals!C48</f>
        <v>&lt;li&gt;Toxalope&lt;/li&gt;</v>
      </c>
      <c r="G30" s="16" t="str">
        <f>Animals!C68</f>
        <v>&lt;li&gt;Swan&lt;/li&gt;</v>
      </c>
      <c r="H30" s="16" t="str">
        <f>Animals!$C$56</f>
        <v>&lt;li&gt;Wolf_Timber&lt;/li&gt;</v>
      </c>
      <c r="I30" t="str">
        <f>Animals!$C$56</f>
        <v>&lt;li&gt;Wolf_Timber&lt;/li&gt;</v>
      </c>
      <c r="J30" s="16" t="str">
        <f>Animals!C114</f>
        <v>&lt;li&gt;AEXP_Cheetah&lt;/li&gt;</v>
      </c>
      <c r="K30" t="str">
        <f>Animals!C90</f>
        <v>&lt;li&gt;MonitorLizard&lt;/li&gt;</v>
      </c>
      <c r="L30" t="str">
        <f>Animals!C92</f>
        <v>&lt;li&gt;SeaTurtle&lt;/li&gt;</v>
      </c>
      <c r="M30" s="16" t="str">
        <f>Animals!C102</f>
        <v>&lt;li&gt;HermitCrab&lt;/li&gt;</v>
      </c>
      <c r="O30" s="16" t="str">
        <f>Animals!C102</f>
        <v>&lt;li&gt;HermitCrab&lt;/li&gt;</v>
      </c>
      <c r="P30" s="16" t="str">
        <f>Animals!C102</f>
        <v>&lt;li&gt;HermitCrab&lt;/li&gt;</v>
      </c>
      <c r="Q30" t="str">
        <f>Animals!C113</f>
        <v>&lt;li&gt;AEXP_Crocodile&lt;/li&gt;</v>
      </c>
      <c r="R30" s="16"/>
    </row>
    <row r="31" spans="4:18" x14ac:dyDescent="0.25">
      <c r="E31" s="16" t="str">
        <f>Animals!C87</f>
        <v>&lt;li&gt;Seal&lt;/li&gt;</v>
      </c>
      <c r="F31" t="str">
        <f>Animals!C198</f>
        <v>&lt;li&gt;VAEWaste_Megatardi&lt;/li&gt;</v>
      </c>
      <c r="G31" s="16" t="str">
        <f>Animals!C69</f>
        <v>&lt;li&gt;Heron&lt;/li&gt;</v>
      </c>
      <c r="H31" s="16" t="str">
        <f>Animals!C17</f>
        <v>&lt;li&gt;Cougar&lt;/li&gt;</v>
      </c>
      <c r="I31" t="str">
        <f>Animals!C17</f>
        <v>&lt;li&gt;Cougar&lt;/li&gt;</v>
      </c>
      <c r="J31" t="str">
        <f>Animals!C90</f>
        <v>&lt;li&gt;MonitorLizard&lt;/li&gt;</v>
      </c>
      <c r="K31" t="str">
        <f>Animals!C121</f>
        <v>&lt;li&gt;AEXP_Hyena&lt;/li&gt;</v>
      </c>
      <c r="L31" t="str">
        <f>Animals!C101</f>
        <v>&lt;li&gt;StoneCrab&lt;/li&gt;</v>
      </c>
      <c r="M31" t="str">
        <f>Animals!C61</f>
        <v>&lt;li&gt;WasteRat&lt;/li&gt;</v>
      </c>
      <c r="O31" s="16" t="str">
        <f>Animals!C113</f>
        <v>&lt;li&gt;AEXP_Crocodile&lt;/li&gt;</v>
      </c>
      <c r="P31" s="16" t="str">
        <f>Animals!C113</f>
        <v>&lt;li&gt;AEXP_Crocodile&lt;/li&gt;</v>
      </c>
      <c r="Q31" t="str">
        <f>Animals!C76</f>
        <v>&lt;li&gt;Bullfrog&lt;/li&gt;</v>
      </c>
      <c r="R31" s="16"/>
    </row>
    <row r="32" spans="4:18" s="16" customFormat="1" x14ac:dyDescent="0.25">
      <c r="E32" s="16" t="str">
        <f>Animals!C198</f>
        <v>&lt;li&gt;VAEWaste_Megatardi&lt;/li&gt;</v>
      </c>
      <c r="F32" t="str">
        <f>Animals!C200</f>
        <v>&lt;li&gt;VAEWaste_Toxafox&lt;/li&gt;</v>
      </c>
      <c r="G32" t="str">
        <f>Animals!C85</f>
        <v>&lt;li&gt;Otter&lt;/li&gt;</v>
      </c>
      <c r="H32" s="16" t="str">
        <f>Animals!$C$120</f>
        <v>&lt;li&gt;AEXP_BlackBear&lt;/li&gt;</v>
      </c>
      <c r="I32" s="16" t="str">
        <f>Animals!$C$120</f>
        <v>&lt;li&gt;AEXP_BlackBear&lt;/li&gt;</v>
      </c>
      <c r="J32" s="16" t="str">
        <f>Animals!C121</f>
        <v>&lt;li&gt;AEXP_Hyena&lt;/li&gt;</v>
      </c>
      <c r="K32" t="str">
        <f>Animals!C123</f>
        <v>&lt;li&gt;AEXP_Lion&lt;/li&gt;</v>
      </c>
      <c r="L32" t="str">
        <f>Animals!C102</f>
        <v>&lt;li&gt;HermitCrab&lt;/li&gt;</v>
      </c>
      <c r="M32" s="16" t="str">
        <f>Animals!C48</f>
        <v>&lt;li&gt;Toxalope&lt;/li&gt;</v>
      </c>
      <c r="O32" t="str">
        <f>Animals!C61</f>
        <v>&lt;li&gt;WasteRat&lt;/li&gt;</v>
      </c>
      <c r="P32" s="16" t="str">
        <f>Animals!C76</f>
        <v>&lt;li&gt;Bullfrog&lt;/li&gt;</v>
      </c>
      <c r="Q32" t="str">
        <f>Animals!C69</f>
        <v>&lt;li&gt;Heron&lt;/li&gt;</v>
      </c>
    </row>
    <row r="33" spans="5:18" x14ac:dyDescent="0.25">
      <c r="E33" s="16" t="str">
        <f>Animals!C200</f>
        <v>&lt;li&gt;VAEWaste_Toxafox&lt;/li&gt;</v>
      </c>
      <c r="F33" t="str">
        <f>Animals!C201</f>
        <v>&lt;li&gt;VAEWaste_Toxbear&lt;/li&gt;</v>
      </c>
      <c r="G33" t="str">
        <f>Animals!C130</f>
        <v>&lt;li&gt;AEXP_Beaver&lt;/li&gt;</v>
      </c>
      <c r="H33" s="16" t="str">
        <f>Animals!C55</f>
        <v>&lt;li&gt;Warg&lt;/li&gt;</v>
      </c>
      <c r="I33" t="str">
        <f>Animals!C55</f>
        <v>&lt;li&gt;Warg&lt;/li&gt;</v>
      </c>
      <c r="J33" t="str">
        <f>Animals!C17</f>
        <v>&lt;li&gt;Cougar&lt;/li&gt;</v>
      </c>
      <c r="K33" t="str">
        <f>Animals!C92</f>
        <v>&lt;li&gt;SeaTurtle&lt;/li&gt;</v>
      </c>
      <c r="L33" s="16" t="str">
        <f>Animals!C113</f>
        <v>&lt;li&gt;AEXP_Crocodile&lt;/li&gt;</v>
      </c>
      <c r="M33" t="str">
        <f>Animals!C179</f>
        <v>&lt;li&gt;AEXP_AfricanWildDog&lt;/li&gt;</v>
      </c>
      <c r="O33" t="str">
        <f>Animals!C48</f>
        <v>&lt;li&gt;Toxalope&lt;/li&gt;</v>
      </c>
      <c r="P33" s="16" t="str">
        <f>Animals!C69</f>
        <v>&lt;li&gt;Heron&lt;/li&gt;</v>
      </c>
      <c r="Q33" t="str">
        <f>Animals!C77</f>
        <v>&lt;li&gt;ColossusToad&lt;/li&gt;</v>
      </c>
      <c r="R33" s="16"/>
    </row>
    <row r="34" spans="5:18" x14ac:dyDescent="0.25">
      <c r="E34" s="16" t="str">
        <f>Animals!C201</f>
        <v>&lt;li&gt;VAEWaste_Toxbear&lt;/li&gt;</v>
      </c>
      <c r="F34" s="16" t="str">
        <f>Animals!C205</f>
        <v>&lt;li&gt;VAEWaste_Wasteboar&lt;/li&gt;</v>
      </c>
      <c r="G34" t="str">
        <f>Animals!C129</f>
        <v>&lt;li&gt;AEXP_WildGoose&lt;/li&gt;</v>
      </c>
      <c r="H34" s="16" t="str">
        <f>Animals!$C$3</f>
        <v>&lt;li&gt;Bear_Grizzly&lt;/li&gt;</v>
      </c>
      <c r="I34" t="str">
        <f>Animals!$C$3</f>
        <v>&lt;li&gt;Bear_Grizzly&lt;/li&gt;</v>
      </c>
      <c r="J34" s="16" t="str">
        <f>Animals!C123</f>
        <v>&lt;li&gt;AEXP_Lion&lt;/li&gt;</v>
      </c>
      <c r="K34" t="str">
        <f>Animals!C101</f>
        <v>&lt;li&gt;StoneCrab&lt;/li&gt;</v>
      </c>
      <c r="L34" t="str">
        <f>Animals!C61</f>
        <v>&lt;li&gt;WasteRat&lt;/li&gt;</v>
      </c>
      <c r="M34" t="str">
        <f>Animals!C198</f>
        <v>&lt;li&gt;VAEWaste_Megatardi&lt;/li&gt;</v>
      </c>
      <c r="O34" t="str">
        <f>Animals!C173</f>
        <v>&lt;li&gt;AEXP_Bonobo&lt;/li&gt;</v>
      </c>
      <c r="P34" s="16" t="str">
        <f>Animals!C70</f>
        <v>&lt;li&gt;Flamingo&lt;/li&gt;</v>
      </c>
      <c r="Q34" t="str">
        <f>Animals!C78</f>
        <v>&lt;li&gt;Hippo&lt;/li&gt;</v>
      </c>
      <c r="R34" s="16"/>
    </row>
    <row r="35" spans="5:18" x14ac:dyDescent="0.25">
      <c r="E35" t="str">
        <f>Animals!C206</f>
        <v>&lt;li&gt;VAEWaste_Wastedeer&lt;/li&gt;</v>
      </c>
      <c r="F35" s="16" t="str">
        <f>Animals!C206</f>
        <v>&lt;li&gt;VAEWaste_Wastedeer&lt;/li&gt;</v>
      </c>
      <c r="G35" t="str">
        <f>Animals!C61</f>
        <v>&lt;li&gt;WasteRat&lt;/li&gt;</v>
      </c>
      <c r="H35" s="16" t="str">
        <f>Animals!C86</f>
        <v>&lt;li&gt;SeaLion&lt;/li&gt;</v>
      </c>
      <c r="I35" t="str">
        <f>Animals!C86</f>
        <v>&lt;li&gt;SeaLion&lt;/li&gt;</v>
      </c>
      <c r="J35" s="16" t="str">
        <f>Animals!C92</f>
        <v>&lt;li&gt;SeaTurtle&lt;/li&gt;</v>
      </c>
      <c r="K35" s="16" t="str">
        <f>Animals!C102</f>
        <v>&lt;li&gt;HermitCrab&lt;/li&gt;</v>
      </c>
      <c r="L35" t="str">
        <f>Animals!C48</f>
        <v>&lt;li&gt;Toxalope&lt;/li&gt;</v>
      </c>
      <c r="M35" t="str">
        <f>Animals!C197</f>
        <v>&lt;li&gt;VAEWaste_Hydra&lt;/li&gt;</v>
      </c>
      <c r="O35" t="str">
        <f>Animals!C163</f>
        <v>&lt;li&gt;VAERoy_Orangutan&lt;/li&gt;</v>
      </c>
      <c r="P35" s="16" t="str">
        <f>Animals!C77</f>
        <v>&lt;li&gt;ColossusToad&lt;/li&gt;</v>
      </c>
      <c r="Q35" t="str">
        <f>Animals!C136</f>
        <v>&lt;li&gt;AEXP_Anaconda&lt;/li&gt;</v>
      </c>
    </row>
    <row r="36" spans="5:18" x14ac:dyDescent="0.25">
      <c r="E36" t="str">
        <f>Animals!C207</f>
        <v>&lt;li&gt;VAEWaste_Wasteffalo&lt;/li&gt;</v>
      </c>
      <c r="F36" s="16" t="str">
        <f>Animals!C207</f>
        <v>&lt;li&gt;VAEWaste_Wasteffalo&lt;/li&gt;</v>
      </c>
      <c r="G36" t="str">
        <f>Animals!C48</f>
        <v>&lt;li&gt;Toxalope&lt;/li&gt;</v>
      </c>
      <c r="H36" s="16" t="str">
        <f>Animals!C87</f>
        <v>&lt;li&gt;Seal&lt;/li&gt;</v>
      </c>
      <c r="I36" s="16" t="str">
        <f>Animals!C87</f>
        <v>&lt;li&gt;Seal&lt;/li&gt;</v>
      </c>
      <c r="J36" s="16" t="str">
        <f>Animals!C101</f>
        <v>&lt;li&gt;StoneCrab&lt;/li&gt;</v>
      </c>
      <c r="K36" s="16" t="str">
        <f>Animals!C113</f>
        <v>&lt;li&gt;AEXP_Crocodile&lt;/li&gt;</v>
      </c>
      <c r="L36" t="str">
        <f>Animals!C175</f>
        <v>&lt;li&gt;AEXP_Quagga&lt;/li&gt;</v>
      </c>
      <c r="M36" t="str">
        <f>Animals!C203</f>
        <v>&lt;li&gt;VAEWaste_Toxlion&lt;/li&gt;</v>
      </c>
      <c r="O36" s="16" t="str">
        <f>Animals!C198</f>
        <v>&lt;li&gt;VAEWaste_Megatardi&lt;/li&gt;</v>
      </c>
      <c r="P36" t="str">
        <f>Animals!C78</f>
        <v>&lt;li&gt;Hippo&lt;/li&gt;</v>
      </c>
      <c r="Q36" t="str">
        <f>Animals!C91</f>
        <v>&lt;li&gt;Alligator&lt;/li&gt;</v>
      </c>
    </row>
    <row r="37" spans="5:18" x14ac:dyDescent="0.25">
      <c r="E37" s="16"/>
      <c r="G37" t="str">
        <f>Animals!C198</f>
        <v>&lt;li&gt;VAEWaste_Megatardi&lt;/li&gt;</v>
      </c>
      <c r="H37" s="16" t="str">
        <f>Animals!C101</f>
        <v>&lt;li&gt;StoneCrab&lt;/li&gt;</v>
      </c>
      <c r="I37" t="str">
        <f>Animals!C101</f>
        <v>&lt;li&gt;StoneCrab&lt;/li&gt;</v>
      </c>
      <c r="J37" s="16" t="str">
        <f>Animals!C102</f>
        <v>&lt;li&gt;HermitCrab&lt;/li&gt;</v>
      </c>
      <c r="K37" t="str">
        <f>Animals!C61</f>
        <v>&lt;li&gt;WasteRat&lt;/li&gt;</v>
      </c>
      <c r="L37" t="str">
        <f>Animals!C179</f>
        <v>&lt;li&gt;AEXP_AfricanWildDog&lt;/li&gt;</v>
      </c>
      <c r="M37" s="16" t="str">
        <f>Animals!C204</f>
        <v>&lt;li&gt;VAEWaste_Toxscorpion&lt;/li&gt;</v>
      </c>
      <c r="O37" s="16" t="str">
        <f>Animals!C197</f>
        <v>&lt;li&gt;VAEWaste_Hydra&lt;/li&gt;</v>
      </c>
      <c r="P37" t="str">
        <f>Animals!C136</f>
        <v>&lt;li&gt;AEXP_Anaconda&lt;/li&gt;</v>
      </c>
      <c r="Q37" t="str">
        <f>Animals!C61</f>
        <v>&lt;li&gt;WasteRat&lt;/li&gt;</v>
      </c>
    </row>
    <row r="38" spans="5:18" s="16" customFormat="1" x14ac:dyDescent="0.25">
      <c r="G38" s="16" t="str">
        <f>Animals!C200</f>
        <v>&lt;li&gt;VAEWaste_Toxafox&lt;/li&gt;</v>
      </c>
      <c r="H38" s="16" t="str">
        <f>Animals!C61</f>
        <v>&lt;li&gt;WasteRat&lt;/li&gt;</v>
      </c>
      <c r="I38" t="str">
        <f>Animals!C76</f>
        <v>&lt;li&gt;Bullfrog&lt;/li&gt;</v>
      </c>
      <c r="J38" t="str">
        <f>Animals!C113</f>
        <v>&lt;li&gt;AEXP_Crocodile&lt;/li&gt;</v>
      </c>
      <c r="K38" s="16" t="str">
        <f>Animals!C48</f>
        <v>&lt;li&gt;Toxalope&lt;/li&gt;</v>
      </c>
      <c r="L38" s="16" t="str">
        <f>Animals!C180</f>
        <v>&lt;li&gt;AEXP_Pangolin&lt;/li&gt;</v>
      </c>
      <c r="O38" s="16" t="str">
        <f>Animals!C202</f>
        <v>&lt;li&gt;VAEWaste_Toxiguana&lt;/li&gt;</v>
      </c>
      <c r="P38" t="str">
        <f>Animals!C91</f>
        <v>&lt;li&gt;Alligator&lt;/li&gt;</v>
      </c>
      <c r="Q38" s="16" t="str">
        <f>Animals!C48</f>
        <v>&lt;li&gt;Toxalope&lt;/li&gt;</v>
      </c>
    </row>
    <row r="39" spans="5:18" s="16" customFormat="1" x14ac:dyDescent="0.25">
      <c r="G39" s="16" t="str">
        <f>Animals!C201</f>
        <v>&lt;li&gt;VAEWaste_Toxbear&lt;/li&gt;</v>
      </c>
      <c r="H39" s="16" t="str">
        <f>Animals!C48</f>
        <v>&lt;li&gt;Toxalope&lt;/li&gt;</v>
      </c>
      <c r="I39" t="str">
        <f>Animals!C118</f>
        <v>&lt;li&gt;AEXP_Platypus&lt;/li&gt;</v>
      </c>
      <c r="J39" s="16" t="str">
        <f>Animals!C61</f>
        <v>&lt;li&gt;WasteRat&lt;/li&gt;</v>
      </c>
      <c r="K39" s="16" t="str">
        <f>Animals!C175</f>
        <v>&lt;li&gt;AEXP_Quagga&lt;/li&gt;</v>
      </c>
      <c r="L39" t="str">
        <f>Animals!C178</f>
        <v>&lt;li&gt;AEXP_Thylacine&lt;/li&gt;</v>
      </c>
      <c r="O39" t="str">
        <f>Animals!C204</f>
        <v>&lt;li&gt;VAEWaste_Toxscorpion&lt;/li&gt;</v>
      </c>
      <c r="P39" t="str">
        <f>Animals!C61</f>
        <v>&lt;li&gt;WasteRat&lt;/li&gt;</v>
      </c>
      <c r="Q39" s="16" t="str">
        <f>Animals!C173</f>
        <v>&lt;li&gt;AEXP_Bonobo&lt;/li&gt;</v>
      </c>
    </row>
    <row r="40" spans="5:18" x14ac:dyDescent="0.25">
      <c r="G40" t="str">
        <f>Animals!C205</f>
        <v>&lt;li&gt;VAEWaste_Wasteboar&lt;/li&gt;</v>
      </c>
      <c r="H40" s="16" t="str">
        <f>Animals!C174</f>
        <v>&lt;li&gt;AEXP_Moa&lt;/li&gt;</v>
      </c>
      <c r="I40" s="16" t="str">
        <f>Animals!C10</f>
        <v>&lt;li&gt;Duck&lt;/li&gt;</v>
      </c>
      <c r="J40" t="str">
        <f>Animals!C48</f>
        <v>&lt;li&gt;Toxalope&lt;/li&gt;</v>
      </c>
      <c r="K40" t="str">
        <f>Animals!C172</f>
        <v>&lt;li&gt;AEXP_BlackRhino&lt;/li&gt;</v>
      </c>
      <c r="L40" t="str">
        <f>Animals!C171</f>
        <v>&lt;li&gt;AEXP_BlackFootedFerret&lt;/li&gt;</v>
      </c>
      <c r="O40" t="str">
        <f>Animals!C205</f>
        <v>&lt;li&gt;VAEWaste_Wasteboar&lt;/li&gt;</v>
      </c>
      <c r="P40" t="str">
        <f>Animals!C48</f>
        <v>&lt;li&gt;Toxalope&lt;/li&gt;</v>
      </c>
      <c r="Q40" t="str">
        <f>Animals!C163</f>
        <v>&lt;li&gt;VAERoy_Orangutan&lt;/li&gt;</v>
      </c>
    </row>
    <row r="41" spans="5:18" x14ac:dyDescent="0.25">
      <c r="G41" t="str">
        <f>Animals!C206</f>
        <v>&lt;li&gt;VAEWaste_Wastedeer&lt;/li&gt;</v>
      </c>
      <c r="H41" s="16" t="str">
        <f>Animals!C177</f>
        <v>&lt;li&gt;AEXP_TasmanianDevil&lt;/li&gt;</v>
      </c>
      <c r="I41" t="str">
        <f>Animals!C68</f>
        <v>&lt;li&gt;Swan&lt;/li&gt;</v>
      </c>
      <c r="J41" t="str">
        <f>Animals!C175</f>
        <v>&lt;li&gt;AEXP_Quagga&lt;/li&gt;</v>
      </c>
      <c r="K41" t="str">
        <f>Animals!C179</f>
        <v>&lt;li&gt;AEXP_AfricanWildDog&lt;/li&gt;</v>
      </c>
      <c r="L41" t="str">
        <f>Animals!C198</f>
        <v>&lt;li&gt;VAEWaste_Megatardi&lt;/li&gt;</v>
      </c>
      <c r="P41" t="str">
        <f>Animals!C173</f>
        <v>&lt;li&gt;AEXP_Bonobo&lt;/li&gt;</v>
      </c>
      <c r="Q41" t="str">
        <f>Animals!C198</f>
        <v>&lt;li&gt;VAEWaste_Megatardi&lt;/li&gt;</v>
      </c>
    </row>
    <row r="42" spans="5:18" x14ac:dyDescent="0.25">
      <c r="G42" t="str">
        <f>Animals!C207</f>
        <v>&lt;li&gt;VAEWaste_Wasteffalo&lt;/li&gt;</v>
      </c>
      <c r="H42" s="16" t="str">
        <f>Animals!C178</f>
        <v>&lt;li&gt;AEXP_Thylacine&lt;/li&gt;</v>
      </c>
      <c r="I42" t="str">
        <f>Animals!C69</f>
        <v>&lt;li&gt;Heron&lt;/li&gt;</v>
      </c>
      <c r="J42" t="str">
        <f>Animals!C172</f>
        <v>&lt;li&gt;AEXP_BlackRhino&lt;/li&gt;</v>
      </c>
      <c r="K42" s="16" t="str">
        <f>Animals!C180</f>
        <v>&lt;li&gt;AEXP_Pangolin&lt;/li&gt;</v>
      </c>
      <c r="L42" t="str">
        <f>Animals!C197</f>
        <v>&lt;li&gt;VAEWaste_Hydra&lt;/li&gt;</v>
      </c>
      <c r="P42" t="str">
        <f>Animals!C163</f>
        <v>&lt;li&gt;VAERoy_Orangutan&lt;/li&gt;</v>
      </c>
      <c r="Q42" t="str">
        <f>Animals!C197</f>
        <v>&lt;li&gt;VAEWaste_Hydra&lt;/li&gt;</v>
      </c>
    </row>
    <row r="43" spans="5:18" x14ac:dyDescent="0.25">
      <c r="E43" s="16"/>
      <c r="H43" s="16" t="str">
        <f>Animals!C162</f>
        <v>&lt;li&gt;VAERoy_Pheasant&lt;/li&gt;</v>
      </c>
      <c r="I43" t="str">
        <f>Animals!C130</f>
        <v>&lt;li&gt;AEXP_Beaver&lt;/li&gt;</v>
      </c>
      <c r="J43" t="str">
        <f>Animals!C179</f>
        <v>&lt;li&gt;AEXP_AfricanWildDog&lt;/li&gt;</v>
      </c>
      <c r="K43" t="str">
        <f>Animals!C178</f>
        <v>&lt;li&gt;AEXP_Thylacine&lt;/li&gt;</v>
      </c>
      <c r="L43" t="str">
        <f>Animals!C203</f>
        <v>&lt;li&gt;VAEWaste_Toxlion&lt;/li&gt;</v>
      </c>
      <c r="P43" t="str">
        <f>Animals!C198</f>
        <v>&lt;li&gt;VAEWaste_Megatardi&lt;/li&gt;</v>
      </c>
      <c r="Q43" t="str">
        <f>Animals!C199</f>
        <v>&lt;li&gt;VAEWaste_Pestigator&lt;/li&gt;</v>
      </c>
    </row>
    <row r="44" spans="5:18" x14ac:dyDescent="0.25">
      <c r="E44" s="16"/>
      <c r="H44" s="16" t="str">
        <f>Animals!C165</f>
        <v>&lt;li&gt;VAERoy_Crane&lt;/li&gt;</v>
      </c>
      <c r="I44" t="str">
        <f>Animals!C85</f>
        <v>&lt;li&gt;Otter&lt;/li&gt;</v>
      </c>
      <c r="J44" s="16" t="str">
        <f>Animals!C180</f>
        <v>&lt;li&gt;AEXP_Pangolin&lt;/li&gt;</v>
      </c>
      <c r="K44" t="str">
        <f>Animals!C171</f>
        <v>&lt;li&gt;AEXP_BlackFootedFerret&lt;/li&gt;</v>
      </c>
      <c r="L44" t="str">
        <f>Animals!C204</f>
        <v>&lt;li&gt;VAEWaste_Toxscorpion&lt;/li&gt;</v>
      </c>
      <c r="P44" t="str">
        <f>Animals!C197</f>
        <v>&lt;li&gt;VAEWaste_Hydra&lt;/li&gt;</v>
      </c>
      <c r="Q44" t="str">
        <f>Animals!C204</f>
        <v>&lt;li&gt;VAEWaste_Toxscorpion&lt;/li&gt;</v>
      </c>
    </row>
    <row r="45" spans="5:18" x14ac:dyDescent="0.25">
      <c r="H45" s="16" t="str">
        <f>Animals!C198</f>
        <v>&lt;li&gt;VAEWaste_Megatardi&lt;/li&gt;</v>
      </c>
      <c r="I45" t="str">
        <f>Animals!C129</f>
        <v>&lt;li&gt;AEXP_WildGoose&lt;/li&gt;</v>
      </c>
      <c r="J45" t="str">
        <f>Animals!C178</f>
        <v>&lt;li&gt;AEXP_Thylacine&lt;/li&gt;</v>
      </c>
      <c r="K45" t="str">
        <f>Animals!C198</f>
        <v>&lt;li&gt;VAEWaste_Megatardi&lt;/li&gt;</v>
      </c>
      <c r="P45" t="str">
        <f>Animals!C199</f>
        <v>&lt;li&gt;VAEWaste_Pestigator&lt;/li&gt;</v>
      </c>
      <c r="Q45" t="str">
        <f>Animals!C205</f>
        <v>&lt;li&gt;VAEWaste_Wasteboar&lt;/li&gt;</v>
      </c>
    </row>
    <row r="46" spans="5:18" x14ac:dyDescent="0.25">
      <c r="H46" s="16" t="str">
        <f>Animals!C200</f>
        <v>&lt;li&gt;VAEWaste_Toxafox&lt;/li&gt;</v>
      </c>
      <c r="I46" t="str">
        <f>Animals!C91</f>
        <v>&lt;li&gt;Alligator&lt;/li&gt;</v>
      </c>
      <c r="J46" t="str">
        <f>Animals!C171</f>
        <v>&lt;li&gt;AEXP_BlackFootedFerret&lt;/li&gt;</v>
      </c>
      <c r="K46" t="str">
        <f>Animals!C197</f>
        <v>&lt;li&gt;VAEWaste_Hydra&lt;/li&gt;</v>
      </c>
      <c r="P46" t="str">
        <f>Animals!C202</f>
        <v>&lt;li&gt;VAEWaste_Toxiguana&lt;/li&gt;</v>
      </c>
    </row>
    <row r="47" spans="5:18" x14ac:dyDescent="0.25">
      <c r="H47" s="16" t="str">
        <f>Animals!C201</f>
        <v>&lt;li&gt;VAEWaste_Toxbear&lt;/li&gt;</v>
      </c>
      <c r="I47" t="str">
        <f>Animals!C61</f>
        <v>&lt;li&gt;WasteRat&lt;/li&gt;</v>
      </c>
      <c r="J47" t="str">
        <f>Animals!C198</f>
        <v>&lt;li&gt;VAEWaste_Megatardi&lt;/li&gt;</v>
      </c>
      <c r="K47" t="str">
        <f>Animals!C203</f>
        <v>&lt;li&gt;VAEWaste_Toxlion&lt;/li&gt;</v>
      </c>
      <c r="P47" t="str">
        <f>Animals!C204</f>
        <v>&lt;li&gt;VAEWaste_Toxscorpion&lt;/li&gt;</v>
      </c>
    </row>
    <row r="48" spans="5:18" x14ac:dyDescent="0.25">
      <c r="H48" s="16" t="str">
        <f>Animals!C205</f>
        <v>&lt;li&gt;VAEWaste_Wasteboar&lt;/li&gt;</v>
      </c>
      <c r="I48" t="str">
        <f>Animals!C48</f>
        <v>&lt;li&gt;Toxalope&lt;/li&gt;</v>
      </c>
      <c r="J48" t="str">
        <f>Animals!C197</f>
        <v>&lt;li&gt;VAEWaste_Hydra&lt;/li&gt;</v>
      </c>
      <c r="K48" t="str">
        <f>Animals!C204</f>
        <v>&lt;li&gt;VAEWaste_Toxscorpion&lt;/li&gt;</v>
      </c>
      <c r="P48" t="str">
        <f>Animals!C205</f>
        <v>&lt;li&gt;VAEWaste_Wasteboar&lt;/li&gt;</v>
      </c>
    </row>
    <row r="49" spans="8:10" x14ac:dyDescent="0.25">
      <c r="H49" s="16" t="str">
        <f>Animals!C206</f>
        <v>&lt;li&gt;VAEWaste_Wastedeer&lt;/li&gt;</v>
      </c>
      <c r="I49" t="str">
        <f>Animals!C174</f>
        <v>&lt;li&gt;AEXP_Moa&lt;/li&gt;</v>
      </c>
      <c r="J49" s="16" t="str">
        <f>Animals!C203</f>
        <v>&lt;li&gt;VAEWaste_Toxlion&lt;/li&gt;</v>
      </c>
    </row>
    <row r="50" spans="8:10" x14ac:dyDescent="0.25">
      <c r="H50" s="16" t="str">
        <f>Animals!C207</f>
        <v>&lt;li&gt;VAEWaste_Wasteffalo&lt;/li&gt;</v>
      </c>
      <c r="I50" t="str">
        <f>Animals!C177</f>
        <v>&lt;li&gt;AEXP_TasmanianDevil&lt;/li&gt;</v>
      </c>
      <c r="J50" t="str">
        <f>Animals!C204</f>
        <v>&lt;li&gt;VAEWaste_Toxscorpion&lt;/li&gt;</v>
      </c>
    </row>
    <row r="51" spans="8:10" x14ac:dyDescent="0.25">
      <c r="I51" t="str">
        <f>Animals!C178</f>
        <v>&lt;li&gt;AEXP_Thylacine&lt;/li&gt;</v>
      </c>
    </row>
    <row r="52" spans="8:10" x14ac:dyDescent="0.25">
      <c r="I52" t="str">
        <f>Animals!C162</f>
        <v>&lt;li&gt;VAERoy_Pheasant&lt;/li&gt;</v>
      </c>
    </row>
    <row r="53" spans="8:10" x14ac:dyDescent="0.25">
      <c r="I53" t="str">
        <f>Animals!C165</f>
        <v>&lt;li&gt;VAERoy_Crane&lt;/li&gt;</v>
      </c>
    </row>
    <row r="54" spans="8:10" x14ac:dyDescent="0.25">
      <c r="I54" t="str">
        <f>Animals!C198</f>
        <v>&lt;li&gt;VAEWaste_Megatardi&lt;/li&gt;</v>
      </c>
    </row>
    <row r="55" spans="8:10" x14ac:dyDescent="0.25">
      <c r="I55" t="str">
        <f>Animals!C199</f>
        <v>&lt;li&gt;VAEWaste_Pestigator&lt;/li&gt;</v>
      </c>
    </row>
    <row r="56" spans="8:10" x14ac:dyDescent="0.25">
      <c r="I56" t="str">
        <f>Animals!C200</f>
        <v>&lt;li&gt;VAEWaste_Toxafox&lt;/li&gt;</v>
      </c>
    </row>
    <row r="57" spans="8:10" x14ac:dyDescent="0.25">
      <c r="I57" t="str">
        <f>Animals!C201</f>
        <v>&lt;li&gt;VAEWaste_Toxbear&lt;/li&gt;</v>
      </c>
    </row>
    <row r="58" spans="8:10" x14ac:dyDescent="0.25">
      <c r="I58" t="str">
        <f>Animals!C205</f>
        <v>&lt;li&gt;VAEWaste_Wasteboar&lt;/li&gt;</v>
      </c>
    </row>
    <row r="59" spans="8:10" x14ac:dyDescent="0.25">
      <c r="I59" t="str">
        <f>Animals!C206</f>
        <v>&lt;li&gt;VAEWaste_Wastedeer&lt;/li&gt;</v>
      </c>
    </row>
    <row r="60" spans="8:10" x14ac:dyDescent="0.25">
      <c r="I60" t="str">
        <f>Animals!C207</f>
        <v>&lt;li&gt;VAEWaste_Wasteffalo&lt;/li&gt;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309</v>
      </c>
      <c r="B1" s="21" t="s">
        <v>241</v>
      </c>
      <c r="C1" s="21" t="s">
        <v>425</v>
      </c>
      <c r="D1" s="21" t="s">
        <v>422</v>
      </c>
      <c r="E1" s="21" t="s">
        <v>423</v>
      </c>
      <c r="F1" s="21" t="s">
        <v>424</v>
      </c>
      <c r="G1" s="21" t="s">
        <v>308</v>
      </c>
      <c r="H1" s="21" t="s">
        <v>306</v>
      </c>
      <c r="I1" s="21" t="s">
        <v>307</v>
      </c>
      <c r="K1" s="21" t="s">
        <v>309</v>
      </c>
      <c r="L1" s="21" t="s">
        <v>418</v>
      </c>
      <c r="M1" s="21" t="s">
        <v>420</v>
      </c>
      <c r="N1" s="21" t="s">
        <v>421</v>
      </c>
      <c r="P1" s="21" t="s">
        <v>309</v>
      </c>
      <c r="Q1" s="21" t="s">
        <v>418</v>
      </c>
      <c r="R1" s="21" t="s">
        <v>619</v>
      </c>
      <c r="S1" s="21" t="s">
        <v>628</v>
      </c>
      <c r="T1" s="21" t="s">
        <v>630</v>
      </c>
      <c r="U1" s="21" t="s">
        <v>629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144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100</v>
      </c>
      <c r="Q2">
        <f>_xlfn.XLOOKUP(P2,Meat!A:A,Meat!G:G)</f>
        <v>0.96000000000000019</v>
      </c>
      <c r="R2" t="s">
        <v>620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162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164</v>
      </c>
      <c r="Q3" s="16">
        <f>_xlfn.XLOOKUP(P3,Meat!A:A,Meat!G:G)</f>
        <v>0.88000000000000012</v>
      </c>
      <c r="R3" s="16" t="s">
        <v>621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150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169</v>
      </c>
      <c r="Q4" s="16">
        <f>_xlfn.XLOOKUP(P4,Meat!A:A,Meat!G:G)</f>
        <v>4.16</v>
      </c>
      <c r="R4" s="16" t="s">
        <v>622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92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142</v>
      </c>
      <c r="Q5" s="16">
        <f>_xlfn.XLOOKUP(P5,Meat!A:A,Meat!G:G)</f>
        <v>1.8400000000000003</v>
      </c>
      <c r="R5" s="16" t="s">
        <v>623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90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148</v>
      </c>
      <c r="Q6" s="16">
        <f>_xlfn.XLOOKUP(P6,Meat!A:A,Meat!G:G)</f>
        <v>1.6800000000000002</v>
      </c>
      <c r="R6" s="16" t="s">
        <v>624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158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212</v>
      </c>
      <c r="Q7" s="16">
        <f>_xlfn.XLOOKUP(P7,Meat!A:A,Meat!G:G)</f>
        <v>1.5200000000000002</v>
      </c>
      <c r="R7" s="16" t="s">
        <v>625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154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286</v>
      </c>
      <c r="Q8" s="16">
        <f>_xlfn.XLOOKUP(P8,Meat!A:A,Meat!G:G)</f>
        <v>4.5600000000000005</v>
      </c>
      <c r="R8" s="16" t="s">
        <v>626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87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87</v>
      </c>
      <c r="Q9" s="16">
        <f>_xlfn.XLOOKUP(P9,Meat!A:A,Meat!G:G)</f>
        <v>1.8400000000000003</v>
      </c>
      <c r="R9" s="16" t="s">
        <v>627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90</v>
      </c>
      <c r="Q10" s="16">
        <f>_xlfn.XLOOKUP(P10,Meat!A:A,Meat!G:G)</f>
        <v>1.7600000000000002</v>
      </c>
      <c r="R10" s="16" t="s">
        <v>627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218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292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468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475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479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481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650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1167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1188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1189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1256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1258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Animals!A202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Animals!A197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309</v>
      </c>
      <c r="B1" s="21" t="s">
        <v>412</v>
      </c>
      <c r="C1" s="21" t="s">
        <v>413</v>
      </c>
      <c r="D1" s="21" t="s">
        <v>414</v>
      </c>
      <c r="E1" s="21" t="s">
        <v>415</v>
      </c>
      <c r="F1" s="21" t="s">
        <v>416</v>
      </c>
      <c r="G1" s="21" t="s">
        <v>418</v>
      </c>
      <c r="H1" s="21" t="s">
        <v>417</v>
      </c>
      <c r="I1" s="21" t="s">
        <v>419</v>
      </c>
      <c r="J1" s="22" t="s">
        <v>438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0.35000000000000003</v>
      </c>
      <c r="C58" s="16">
        <f>_xlfn.XLOOKUP(A58,Animals!A:A,Animals!AQ:AQ)</f>
        <v>0.30000000000000004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49.000000000000007</v>
      </c>
      <c r="G58" s="16">
        <f t="shared" si="2"/>
        <v>0.48000000000000009</v>
      </c>
      <c r="H58" s="16">
        <f t="shared" si="3"/>
        <v>8.6400000000000023</v>
      </c>
      <c r="I58" s="10">
        <f t="shared" si="4"/>
        <v>5.6712962962962958</v>
      </c>
      <c r="J58" s="10">
        <f t="shared" si="5"/>
        <v>0.28356481481481483</v>
      </c>
    </row>
    <row r="59" spans="1:10" x14ac:dyDescent="0.25">
      <c r="A59" s="16" t="str">
        <f>Animals!A59</f>
        <v>Arctic fox</v>
      </c>
      <c r="B59" s="16">
        <f>_xlfn.XLOOKUP(A59,Animals!A:A,Animals!AO:AO)</f>
        <v>0.25</v>
      </c>
      <c r="C59" s="16">
        <f>_xlfn.XLOOKUP(A59,Animals!A:A,Animals!AQ:AQ)</f>
        <v>0.25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35</v>
      </c>
      <c r="G59" s="16">
        <f t="shared" si="2"/>
        <v>0.4</v>
      </c>
      <c r="H59" s="16">
        <f t="shared" si="3"/>
        <v>7.2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32"/>
  <sheetViews>
    <sheetView topLeftCell="A16" workbookViewId="0">
      <selection activeCell="C39" sqref="C39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309</v>
      </c>
      <c r="B1" s="21" t="s">
        <v>375</v>
      </c>
      <c r="C1" s="21" t="s">
        <v>376</v>
      </c>
      <c r="D1" s="21" t="s">
        <v>377</v>
      </c>
      <c r="E1" s="21" t="s">
        <v>378</v>
      </c>
      <c r="F1" s="21" t="s">
        <v>379</v>
      </c>
      <c r="G1" s="21" t="s">
        <v>380</v>
      </c>
    </row>
    <row r="2" spans="1:7" x14ac:dyDescent="0.25">
      <c r="A2" s="16" t="s">
        <v>381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382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383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384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385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386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387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388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389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390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391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392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393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394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395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396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397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398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399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400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401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402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403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374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404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405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465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1217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s="16" customFormat="1" x14ac:dyDescent="0.25">
      <c r="A31" s="16" t="s">
        <v>1234</v>
      </c>
      <c r="B31" s="16">
        <v>25</v>
      </c>
      <c r="C31" s="16">
        <v>5</v>
      </c>
      <c r="D31" s="16">
        <v>2.08</v>
      </c>
      <c r="E31" s="16">
        <v>0.36</v>
      </c>
      <c r="F31" s="16">
        <v>28</v>
      </c>
      <c r="G31" s="16">
        <v>28</v>
      </c>
    </row>
    <row r="32" spans="1:7" x14ac:dyDescent="0.25">
      <c r="A32" t="s">
        <v>1384</v>
      </c>
      <c r="B32">
        <v>1.7</v>
      </c>
      <c r="C32">
        <v>0.7</v>
      </c>
      <c r="D32">
        <v>0.7</v>
      </c>
      <c r="E32">
        <v>0.15</v>
      </c>
      <c r="F32">
        <v>14</v>
      </c>
      <c r="G32">
        <v>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447</v>
      </c>
      <c r="B1" s="16" t="s">
        <v>442</v>
      </c>
      <c r="C1" t="s">
        <v>439</v>
      </c>
      <c r="D1" t="s">
        <v>440</v>
      </c>
      <c r="E1" t="s">
        <v>441</v>
      </c>
      <c r="F1" t="s">
        <v>443</v>
      </c>
      <c r="G1" t="s">
        <v>444</v>
      </c>
      <c r="H1" t="s">
        <v>445</v>
      </c>
      <c r="I1" t="s">
        <v>454</v>
      </c>
      <c r="J1" s="16" t="s">
        <v>450</v>
      </c>
      <c r="K1" s="16" t="s">
        <v>453</v>
      </c>
      <c r="L1" t="s">
        <v>448</v>
      </c>
      <c r="M1" s="16" t="s">
        <v>449</v>
      </c>
      <c r="N1" s="16" t="s">
        <v>451</v>
      </c>
      <c r="O1" s="16" t="s">
        <v>452</v>
      </c>
      <c r="P1" s="16" t="s">
        <v>300</v>
      </c>
      <c r="Q1" s="16" t="s">
        <v>301</v>
      </c>
      <c r="R1" s="16" t="s">
        <v>302</v>
      </c>
      <c r="S1" t="s">
        <v>267</v>
      </c>
      <c r="T1" s="16" t="s">
        <v>250</v>
      </c>
      <c r="U1" s="16" t="s">
        <v>252</v>
      </c>
      <c r="V1" s="16" t="s">
        <v>455</v>
      </c>
      <c r="W1" s="16" t="s">
        <v>275</v>
      </c>
      <c r="X1" s="16" t="s">
        <v>276</v>
      </c>
    </row>
    <row r="2" spans="1:24" x14ac:dyDescent="0.25">
      <c r="A2" s="16" t="s">
        <v>456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457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458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446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331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327</v>
      </c>
      <c r="B2" t="s">
        <v>329</v>
      </c>
      <c r="C2" t="s">
        <v>328</v>
      </c>
      <c r="D2" t="s">
        <v>323</v>
      </c>
      <c r="E2" t="s">
        <v>257</v>
      </c>
      <c r="F2" t="s">
        <v>330</v>
      </c>
      <c r="G2" s="3" t="s">
        <v>321</v>
      </c>
      <c r="H2" s="4" t="s">
        <v>322</v>
      </c>
      <c r="I2" s="16" t="s">
        <v>337</v>
      </c>
      <c r="J2" s="16" t="s">
        <v>339</v>
      </c>
      <c r="K2" t="s">
        <v>336</v>
      </c>
      <c r="L2" t="s">
        <v>335</v>
      </c>
      <c r="M2" t="s">
        <v>334</v>
      </c>
      <c r="N2" t="s">
        <v>338</v>
      </c>
      <c r="O2" s="3" t="s">
        <v>333</v>
      </c>
      <c r="P2" s="1" t="s">
        <v>343</v>
      </c>
      <c r="Q2" s="1" t="s">
        <v>341</v>
      </c>
      <c r="R2" s="4" t="s">
        <v>340</v>
      </c>
    </row>
    <row r="3" spans="1:18" ht="16.5" thickTop="1" thickBot="1" x14ac:dyDescent="0.3">
      <c r="A3" t="s">
        <v>344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324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345</v>
      </c>
      <c r="B4" s="16">
        <v>24.99</v>
      </c>
      <c r="C4" s="16">
        <f t="shared" si="0"/>
        <v>0.5</v>
      </c>
      <c r="D4" s="16" t="s">
        <v>324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346</v>
      </c>
      <c r="B5">
        <v>70.989999999999995</v>
      </c>
      <c r="C5" s="16">
        <f t="shared" si="0"/>
        <v>1</v>
      </c>
      <c r="D5" s="16" t="s">
        <v>324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347</v>
      </c>
      <c r="B6">
        <v>250.99</v>
      </c>
      <c r="C6" s="16">
        <f t="shared" si="0"/>
        <v>2</v>
      </c>
      <c r="D6" s="16" t="s">
        <v>324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348</v>
      </c>
      <c r="B7">
        <v>1000.99</v>
      </c>
      <c r="C7" s="16">
        <f t="shared" si="0"/>
        <v>3.5</v>
      </c>
      <c r="D7" s="16" t="s">
        <v>324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349</v>
      </c>
      <c r="B8">
        <v>5000.99</v>
      </c>
      <c r="C8" s="16">
        <f t="shared" si="0"/>
        <v>5</v>
      </c>
      <c r="D8" s="16" t="s">
        <v>324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350</v>
      </c>
      <c r="B9" s="16">
        <v>2.99</v>
      </c>
      <c r="C9" s="16">
        <f t="shared" si="0"/>
        <v>0.2</v>
      </c>
      <c r="D9" t="s">
        <v>325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351</v>
      </c>
      <c r="B10" s="16">
        <v>24.99</v>
      </c>
      <c r="C10" s="16">
        <f t="shared" si="0"/>
        <v>0.5</v>
      </c>
      <c r="D10" s="16" t="s">
        <v>325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352</v>
      </c>
      <c r="B11" s="16">
        <v>70.989999999999995</v>
      </c>
      <c r="C11" s="16">
        <f t="shared" si="0"/>
        <v>1</v>
      </c>
      <c r="D11" s="16" t="s">
        <v>325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353</v>
      </c>
      <c r="B12" s="16">
        <v>250.99</v>
      </c>
      <c r="C12" s="16">
        <f t="shared" si="0"/>
        <v>2</v>
      </c>
      <c r="D12" s="16" t="s">
        <v>325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354</v>
      </c>
      <c r="B13" s="16">
        <v>1000.99</v>
      </c>
      <c r="C13" s="16">
        <f t="shared" si="0"/>
        <v>3.5</v>
      </c>
      <c r="D13" s="16" t="s">
        <v>325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355</v>
      </c>
      <c r="B14" s="16">
        <v>5000.99</v>
      </c>
      <c r="C14" s="16">
        <f t="shared" si="0"/>
        <v>5</v>
      </c>
      <c r="D14" s="16" t="s">
        <v>325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356</v>
      </c>
      <c r="B15" s="16">
        <v>2.99</v>
      </c>
      <c r="C15" s="16">
        <f t="shared" si="0"/>
        <v>0.2</v>
      </c>
      <c r="D15" t="s">
        <v>326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357</v>
      </c>
      <c r="B16" s="16">
        <v>24.99</v>
      </c>
      <c r="C16" s="16">
        <f t="shared" si="0"/>
        <v>0.5</v>
      </c>
      <c r="D16" s="16" t="s">
        <v>326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358</v>
      </c>
      <c r="B17" s="16">
        <v>70.989999999999995</v>
      </c>
      <c r="C17" s="16">
        <f t="shared" si="0"/>
        <v>1</v>
      </c>
      <c r="D17" s="16" t="s">
        <v>326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359</v>
      </c>
      <c r="B18" s="16">
        <v>250.99</v>
      </c>
      <c r="C18" s="16">
        <f t="shared" si="0"/>
        <v>2</v>
      </c>
      <c r="D18" s="16" t="s">
        <v>326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360</v>
      </c>
      <c r="B19" s="16">
        <v>1000.99</v>
      </c>
      <c r="C19" s="16">
        <f t="shared" si="0"/>
        <v>3.5</v>
      </c>
      <c r="D19" s="16" t="s">
        <v>326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361</v>
      </c>
      <c r="B20" s="16">
        <v>5000.99</v>
      </c>
      <c r="C20" s="16">
        <f t="shared" si="0"/>
        <v>5</v>
      </c>
      <c r="D20" s="16" t="s">
        <v>326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332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327</v>
      </c>
      <c r="B22" s="16" t="s">
        <v>329</v>
      </c>
      <c r="C22" s="16" t="s">
        <v>328</v>
      </c>
      <c r="D22" s="16" t="s">
        <v>323</v>
      </c>
      <c r="E22" s="16" t="s">
        <v>257</v>
      </c>
      <c r="F22" s="16" t="s">
        <v>330</v>
      </c>
      <c r="G22" s="3" t="s">
        <v>321</v>
      </c>
      <c r="H22" s="4" t="s">
        <v>322</v>
      </c>
      <c r="I22" s="16" t="s">
        <v>337</v>
      </c>
      <c r="J22" s="16" t="s">
        <v>339</v>
      </c>
      <c r="K22" s="16" t="s">
        <v>336</v>
      </c>
      <c r="L22" s="16" t="s">
        <v>335</v>
      </c>
      <c r="M22" s="16" t="s">
        <v>334</v>
      </c>
      <c r="N22" s="16" t="s">
        <v>338</v>
      </c>
      <c r="O22" s="3" t="s">
        <v>333</v>
      </c>
      <c r="P22" s="1" t="s">
        <v>342</v>
      </c>
      <c r="Q22" s="1" t="s">
        <v>341</v>
      </c>
      <c r="R22" s="4" t="s">
        <v>340</v>
      </c>
    </row>
    <row r="23" spans="1:18" ht="16.5" thickTop="1" thickBot="1" x14ac:dyDescent="0.3">
      <c r="A23" s="16" t="s">
        <v>362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324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363</v>
      </c>
      <c r="B24" s="16">
        <v>24.99</v>
      </c>
      <c r="C24" s="16">
        <f t="shared" si="15"/>
        <v>0.5</v>
      </c>
      <c r="D24" s="16" t="s">
        <v>324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364</v>
      </c>
      <c r="B25" s="16">
        <v>70.989999999999995</v>
      </c>
      <c r="C25" s="16">
        <f t="shared" si="15"/>
        <v>1</v>
      </c>
      <c r="D25" s="16" t="s">
        <v>324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365</v>
      </c>
      <c r="B26" s="16">
        <v>250.99</v>
      </c>
      <c r="C26" s="16">
        <f t="shared" si="15"/>
        <v>2</v>
      </c>
      <c r="D26" s="16" t="s">
        <v>324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366</v>
      </c>
      <c r="B27" s="16">
        <v>1000.99</v>
      </c>
      <c r="C27" s="16">
        <f t="shared" si="15"/>
        <v>3.5</v>
      </c>
      <c r="D27" s="16" t="s">
        <v>324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367</v>
      </c>
      <c r="B28" s="16">
        <v>5000.99</v>
      </c>
      <c r="C28" s="16">
        <f t="shared" si="15"/>
        <v>5</v>
      </c>
      <c r="D28" s="16" t="s">
        <v>324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368</v>
      </c>
      <c r="B29" s="16">
        <v>2.99</v>
      </c>
      <c r="C29" s="16">
        <f t="shared" si="15"/>
        <v>0.2</v>
      </c>
      <c r="D29" s="16" t="s">
        <v>325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369</v>
      </c>
      <c r="B30" s="16">
        <v>24.99</v>
      </c>
      <c r="C30" s="16">
        <f t="shared" si="15"/>
        <v>0.5</v>
      </c>
      <c r="D30" s="16" t="s">
        <v>325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370</v>
      </c>
      <c r="B31" s="16">
        <v>70.989999999999995</v>
      </c>
      <c r="C31" s="16">
        <f t="shared" si="15"/>
        <v>1</v>
      </c>
      <c r="D31" s="16" t="s">
        <v>325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371</v>
      </c>
      <c r="B32" s="16">
        <v>250.99</v>
      </c>
      <c r="C32" s="16">
        <f t="shared" si="15"/>
        <v>2</v>
      </c>
      <c r="D32" s="16" t="s">
        <v>325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372</v>
      </c>
      <c r="B33" s="16">
        <v>1000.99</v>
      </c>
      <c r="C33" s="16">
        <f t="shared" si="15"/>
        <v>3.5</v>
      </c>
      <c r="D33" s="16" t="s">
        <v>325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373</v>
      </c>
      <c r="B34" s="16">
        <v>5000.99</v>
      </c>
      <c r="C34" s="16">
        <f t="shared" si="15"/>
        <v>5</v>
      </c>
      <c r="D34" s="16" t="s">
        <v>325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2026-04-08T17:38:53Z</dcterms:modified>
</cp:coreProperties>
</file>