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AC8F2821-25C1-460C-9BD8-0F3A542EBC40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107" i="1" l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N206" i="1"/>
  <c r="N200" i="1"/>
  <c r="N194" i="1"/>
  <c r="N188" i="1"/>
  <c r="N182" i="1"/>
  <c r="N176" i="1"/>
  <c r="N164" i="1"/>
  <c r="N158" i="1"/>
  <c r="N152" i="1"/>
  <c r="N140" i="1"/>
  <c r="N134" i="1"/>
  <c r="N128" i="1"/>
  <c r="N116" i="1"/>
  <c r="N110" i="1"/>
  <c r="N86" i="1"/>
  <c r="N74" i="1"/>
  <c r="N68" i="1"/>
  <c r="N62" i="1"/>
  <c r="N56" i="1"/>
  <c r="N50" i="1"/>
  <c r="N44" i="1"/>
  <c r="N38" i="1"/>
  <c r="N32" i="1"/>
  <c r="N26" i="1"/>
  <c r="N20" i="1"/>
  <c r="N14" i="1"/>
  <c r="N8" i="1"/>
  <c r="N2" i="1"/>
  <c r="BA3" i="1"/>
  <c r="BA4" i="1"/>
  <c r="BA6" i="1"/>
  <c r="BA8" i="1"/>
  <c r="BA9" i="1"/>
  <c r="BA10" i="1"/>
  <c r="BA11" i="1"/>
  <c r="BA12" i="1"/>
  <c r="BA13" i="1"/>
  <c r="BA14" i="1"/>
  <c r="BA17" i="1"/>
  <c r="BA18" i="1"/>
  <c r="BA19" i="1"/>
  <c r="BA20" i="1"/>
  <c r="BA21" i="1"/>
  <c r="BA23" i="1"/>
  <c r="BA25" i="1"/>
  <c r="BA26" i="1"/>
  <c r="BA27" i="1"/>
  <c r="BA28" i="1"/>
  <c r="BA30" i="1"/>
  <c r="BA31" i="1"/>
  <c r="BA32" i="1"/>
  <c r="BA33" i="1"/>
  <c r="BA34" i="1"/>
  <c r="BA35" i="1"/>
  <c r="BA38" i="1"/>
  <c r="BA39" i="1"/>
  <c r="BA40" i="1"/>
  <c r="BA41" i="1"/>
  <c r="BA42" i="1"/>
  <c r="BA43" i="1"/>
  <c r="BA44" i="1"/>
  <c r="BA45" i="1"/>
  <c r="BA47" i="1"/>
  <c r="BA48" i="1"/>
  <c r="BA50" i="1"/>
  <c r="BA51" i="1"/>
  <c r="BA52" i="1"/>
  <c r="BA53" i="1"/>
  <c r="BA54" i="1"/>
  <c r="BA55" i="1"/>
  <c r="BA56" i="1"/>
  <c r="BA60" i="1"/>
  <c r="BA61" i="1"/>
  <c r="BA62" i="1"/>
  <c r="BA67" i="1"/>
  <c r="BA74" i="1"/>
  <c r="BA75" i="1"/>
  <c r="BA77" i="1"/>
  <c r="BA78" i="1"/>
  <c r="BA81" i="1"/>
  <c r="BA82" i="1"/>
  <c r="BA83" i="1"/>
  <c r="BA84" i="1"/>
  <c r="BA85" i="1"/>
  <c r="BA86" i="1"/>
  <c r="BA87" i="1"/>
  <c r="BA91" i="1"/>
  <c r="BA94" i="1"/>
  <c r="BA95" i="1"/>
  <c r="BA98" i="1"/>
  <c r="BA101" i="1"/>
  <c r="BA105" i="1"/>
  <c r="BA110" i="1"/>
  <c r="BA113" i="1"/>
  <c r="BA114" i="1"/>
  <c r="BA115" i="1"/>
  <c r="BA116" i="1"/>
  <c r="BA117" i="1"/>
  <c r="BA118" i="1"/>
  <c r="BA121" i="1"/>
  <c r="BA122" i="1"/>
  <c r="BA123" i="1"/>
  <c r="BA128" i="1"/>
  <c r="BA131" i="1"/>
  <c r="BA132" i="1"/>
  <c r="BA134" i="1"/>
  <c r="BA138" i="1"/>
  <c r="BA146" i="1"/>
  <c r="BA158" i="1"/>
  <c r="BA160" i="1"/>
  <c r="BA161" i="1"/>
  <c r="BA162" i="1"/>
  <c r="BA167" i="1"/>
  <c r="BA168" i="1"/>
  <c r="BA169" i="1"/>
  <c r="BA170" i="1"/>
  <c r="BA171" i="1"/>
  <c r="BA177" i="1"/>
  <c r="BA178" i="1"/>
  <c r="BA180" i="1"/>
  <c r="BA182" i="1"/>
  <c r="BA185" i="1"/>
  <c r="BA186" i="1"/>
  <c r="BA189" i="1"/>
  <c r="BA192" i="1"/>
  <c r="BA193" i="1"/>
  <c r="BA194" i="1"/>
  <c r="BA196" i="1"/>
  <c r="BA197" i="1"/>
  <c r="BA198" i="1"/>
  <c r="BA199" i="1"/>
  <c r="BA200" i="1"/>
  <c r="BA201" i="1"/>
  <c r="BA202" i="1"/>
  <c r="BA203" i="1"/>
  <c r="BA205" i="1"/>
  <c r="BA206" i="1"/>
  <c r="BA207" i="1"/>
  <c r="BZ48" i="1"/>
  <c r="BZ61" i="1"/>
  <c r="BZ197" i="1"/>
  <c r="BZ198" i="1"/>
  <c r="BZ199" i="1"/>
  <c r="BZ200" i="1"/>
  <c r="BZ201" i="1"/>
  <c r="BZ202" i="1"/>
  <c r="BZ203" i="1"/>
  <c r="BZ204" i="1"/>
  <c r="BZ205" i="1"/>
  <c r="BZ206" i="1"/>
  <c r="BZ207" i="1"/>
  <c r="AH188" i="3"/>
  <c r="BA204" i="1" s="1"/>
  <c r="I2" i="17"/>
  <c r="I13" i="17"/>
  <c r="I14" i="17"/>
  <c r="I12" i="17"/>
  <c r="AH22" i="3"/>
  <c r="BA22" i="1" s="1"/>
  <c r="J160" i="1"/>
  <c r="J164" i="1"/>
  <c r="J168" i="1"/>
  <c r="J169" i="1"/>
  <c r="E183" i="3"/>
  <c r="E185" i="3"/>
  <c r="J201" i="1" s="1"/>
  <c r="I60" i="16"/>
  <c r="I59" i="16"/>
  <c r="I58" i="16"/>
  <c r="I57" i="16"/>
  <c r="I56" i="16"/>
  <c r="I55" i="16"/>
  <c r="I54" i="16"/>
  <c r="I53" i="16"/>
  <c r="I52" i="16"/>
  <c r="I51" i="16"/>
  <c r="J50" i="16"/>
  <c r="I50" i="16"/>
  <c r="H50" i="16"/>
  <c r="J49" i="16"/>
  <c r="I49" i="16"/>
  <c r="H49" i="16"/>
  <c r="P48" i="16"/>
  <c r="K48" i="16"/>
  <c r="J48" i="16"/>
  <c r="I48" i="16"/>
  <c r="H48" i="16"/>
  <c r="P47" i="16"/>
  <c r="K47" i="16"/>
  <c r="J47" i="16"/>
  <c r="I47" i="16"/>
  <c r="H47" i="16"/>
  <c r="P46" i="16"/>
  <c r="K46" i="16"/>
  <c r="J46" i="16"/>
  <c r="I46" i="16"/>
  <c r="H46" i="16"/>
  <c r="Q45" i="16"/>
  <c r="P45" i="16"/>
  <c r="K45" i="16"/>
  <c r="J45" i="16"/>
  <c r="I45" i="16"/>
  <c r="H45" i="16"/>
  <c r="Q44" i="16"/>
  <c r="P44" i="16"/>
  <c r="L44" i="16"/>
  <c r="K44" i="16"/>
  <c r="J44" i="16"/>
  <c r="I44" i="16"/>
  <c r="H44" i="16"/>
  <c r="Q43" i="16"/>
  <c r="P43" i="16"/>
  <c r="L43" i="16"/>
  <c r="K43" i="16"/>
  <c r="J43" i="16"/>
  <c r="I43" i="16"/>
  <c r="H43" i="16"/>
  <c r="Q42" i="16"/>
  <c r="P42" i="16"/>
  <c r="L42" i="16"/>
  <c r="K42" i="16"/>
  <c r="J42" i="16"/>
  <c r="I42" i="16"/>
  <c r="H42" i="16"/>
  <c r="G42" i="16"/>
  <c r="Q41" i="16"/>
  <c r="P41" i="16"/>
  <c r="L41" i="16"/>
  <c r="K41" i="16"/>
  <c r="J41" i="16"/>
  <c r="I41" i="16"/>
  <c r="H41" i="16"/>
  <c r="G41" i="16"/>
  <c r="Q40" i="16"/>
  <c r="P40" i="16"/>
  <c r="O40" i="16"/>
  <c r="L40" i="16"/>
  <c r="K40" i="16"/>
  <c r="J40" i="16"/>
  <c r="I40" i="16"/>
  <c r="H40" i="16"/>
  <c r="G40" i="16"/>
  <c r="Q39" i="16"/>
  <c r="P39" i="16"/>
  <c r="O39" i="16"/>
  <c r="L39" i="16"/>
  <c r="K39" i="16"/>
  <c r="J39" i="16"/>
  <c r="I39" i="16"/>
  <c r="H39" i="16"/>
  <c r="G39" i="16"/>
  <c r="Q38" i="16"/>
  <c r="P38" i="16"/>
  <c r="O38" i="16"/>
  <c r="L38" i="16"/>
  <c r="K38" i="16"/>
  <c r="J38" i="16"/>
  <c r="I38" i="16"/>
  <c r="H38" i="16"/>
  <c r="G38" i="16"/>
  <c r="Q37" i="16"/>
  <c r="P37" i="16"/>
  <c r="O37" i="16"/>
  <c r="M37" i="16"/>
  <c r="L37" i="16"/>
  <c r="K37" i="16"/>
  <c r="J37" i="16"/>
  <c r="I37" i="16"/>
  <c r="H37" i="16"/>
  <c r="G37" i="16"/>
  <c r="Q36" i="16"/>
  <c r="P36" i="16"/>
  <c r="O36" i="16"/>
  <c r="M36" i="16"/>
  <c r="L36" i="16"/>
  <c r="K36" i="16"/>
  <c r="J36" i="16"/>
  <c r="I36" i="16"/>
  <c r="H36" i="16"/>
  <c r="G36" i="16"/>
  <c r="F36" i="16"/>
  <c r="E36" i="16"/>
  <c r="Q35" i="16"/>
  <c r="P35" i="16"/>
  <c r="O35" i="16"/>
  <c r="M35" i="16"/>
  <c r="L35" i="16"/>
  <c r="K35" i="16"/>
  <c r="J35" i="16"/>
  <c r="I35" i="16"/>
  <c r="H35" i="16"/>
  <c r="G35" i="16"/>
  <c r="F35" i="16"/>
  <c r="E35" i="16"/>
  <c r="Q34" i="16"/>
  <c r="P34" i="16"/>
  <c r="O34" i="16"/>
  <c r="M34" i="16"/>
  <c r="L34" i="16"/>
  <c r="K34" i="16"/>
  <c r="J34" i="16"/>
  <c r="G34" i="16"/>
  <c r="F34" i="16"/>
  <c r="E34" i="16"/>
  <c r="Q33" i="16"/>
  <c r="P33" i="16"/>
  <c r="O33" i="16"/>
  <c r="M33" i="16"/>
  <c r="L33" i="16"/>
  <c r="K33" i="16"/>
  <c r="J33" i="16"/>
  <c r="I33" i="16"/>
  <c r="H33" i="16"/>
  <c r="G33" i="16"/>
  <c r="F33" i="16"/>
  <c r="E33" i="16"/>
  <c r="Q32" i="16"/>
  <c r="P32" i="16"/>
  <c r="O32" i="16"/>
  <c r="M32" i="16"/>
  <c r="L32" i="16"/>
  <c r="K32" i="16"/>
  <c r="J32" i="16"/>
  <c r="G32" i="16"/>
  <c r="F32" i="16"/>
  <c r="E32" i="16"/>
  <c r="Q31" i="16"/>
  <c r="P31" i="16"/>
  <c r="O31" i="16"/>
  <c r="M31" i="16"/>
  <c r="L31" i="16"/>
  <c r="K31" i="16"/>
  <c r="J31" i="16"/>
  <c r="I31" i="16"/>
  <c r="H31" i="16"/>
  <c r="G31" i="16"/>
  <c r="F31" i="16"/>
  <c r="E31" i="16"/>
  <c r="Q30" i="16"/>
  <c r="P30" i="16"/>
  <c r="O30" i="16"/>
  <c r="M30" i="16"/>
  <c r="L30" i="16"/>
  <c r="K30" i="16"/>
  <c r="J30" i="16"/>
  <c r="G30" i="16"/>
  <c r="F30" i="16"/>
  <c r="E30" i="16"/>
  <c r="R29" i="16"/>
  <c r="Q29" i="16"/>
  <c r="P29" i="16"/>
  <c r="O29" i="16"/>
  <c r="M29" i="16"/>
  <c r="L29" i="16"/>
  <c r="K29" i="16"/>
  <c r="J29" i="16"/>
  <c r="G29" i="16"/>
  <c r="F29" i="16"/>
  <c r="R28" i="16"/>
  <c r="Q28" i="16"/>
  <c r="P28" i="16"/>
  <c r="O28" i="16"/>
  <c r="M28" i="16"/>
  <c r="L28" i="16"/>
  <c r="K28" i="16"/>
  <c r="J28" i="16"/>
  <c r="G28" i="16"/>
  <c r="F28" i="16"/>
  <c r="R27" i="16"/>
  <c r="Q27" i="16"/>
  <c r="P27" i="16"/>
  <c r="O27" i="16"/>
  <c r="M27" i="16"/>
  <c r="L27" i="16"/>
  <c r="K27" i="16"/>
  <c r="J27" i="16"/>
  <c r="I27" i="16"/>
  <c r="H27" i="16"/>
  <c r="G27" i="16"/>
  <c r="F27" i="16"/>
  <c r="R26" i="16"/>
  <c r="Q26" i="16"/>
  <c r="P26" i="16"/>
  <c r="O26" i="16"/>
  <c r="M26" i="16"/>
  <c r="L26" i="16"/>
  <c r="K26" i="16"/>
  <c r="J26" i="16"/>
  <c r="I26" i="16"/>
  <c r="H26" i="16"/>
  <c r="E26" i="16"/>
  <c r="R25" i="16"/>
  <c r="Q25" i="16"/>
  <c r="P25" i="16"/>
  <c r="O25" i="16"/>
  <c r="M25" i="16"/>
  <c r="L25" i="16"/>
  <c r="K25" i="16"/>
  <c r="J25" i="16"/>
  <c r="I25" i="16"/>
  <c r="H25" i="16"/>
  <c r="R24" i="16"/>
  <c r="Q24" i="16"/>
  <c r="P24" i="16"/>
  <c r="O24" i="16"/>
  <c r="M24" i="16"/>
  <c r="L24" i="16"/>
  <c r="K24" i="16"/>
  <c r="J24" i="16"/>
  <c r="I24" i="16"/>
  <c r="H24" i="16"/>
  <c r="G24" i="16"/>
  <c r="F24" i="16"/>
  <c r="R23" i="16"/>
  <c r="Q23" i="16"/>
  <c r="P23" i="16"/>
  <c r="O23" i="16"/>
  <c r="M23" i="16"/>
  <c r="L23" i="16"/>
  <c r="K23" i="16"/>
  <c r="J23" i="16"/>
  <c r="I23" i="16"/>
  <c r="H23" i="16"/>
  <c r="R22" i="16"/>
  <c r="Q22" i="16"/>
  <c r="P22" i="16"/>
  <c r="O22" i="16"/>
  <c r="M22" i="16"/>
  <c r="L22" i="16"/>
  <c r="K22" i="16"/>
  <c r="J22" i="16"/>
  <c r="I22" i="16"/>
  <c r="H22" i="16"/>
  <c r="D22" i="16"/>
  <c r="R21" i="16"/>
  <c r="Q21" i="16"/>
  <c r="P21" i="16"/>
  <c r="O21" i="16"/>
  <c r="M21" i="16"/>
  <c r="L21" i="16"/>
  <c r="K21" i="16"/>
  <c r="J21" i="16"/>
  <c r="I21" i="16"/>
  <c r="H21" i="16"/>
  <c r="D21" i="16"/>
  <c r="R20" i="16"/>
  <c r="Q20" i="16"/>
  <c r="P20" i="16"/>
  <c r="O20" i="16"/>
  <c r="M20" i="16"/>
  <c r="L20" i="16"/>
  <c r="K20" i="16"/>
  <c r="J20" i="16"/>
  <c r="I20" i="16"/>
  <c r="H20" i="16"/>
  <c r="E20" i="16"/>
  <c r="D20" i="16"/>
  <c r="R19" i="16"/>
  <c r="Q19" i="16"/>
  <c r="P19" i="16"/>
  <c r="O19" i="16"/>
  <c r="M19" i="16"/>
  <c r="L19" i="16"/>
  <c r="K19" i="16"/>
  <c r="J19" i="16"/>
  <c r="I19" i="16"/>
  <c r="H19" i="16"/>
  <c r="G19" i="16"/>
  <c r="F19" i="16"/>
  <c r="E19" i="16"/>
  <c r="D19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R11" i="16"/>
  <c r="Q11" i="16"/>
  <c r="P11" i="16"/>
  <c r="O11" i="16"/>
  <c r="N11" i="16"/>
  <c r="M11" i="16"/>
  <c r="L11" i="16"/>
  <c r="K11" i="16"/>
  <c r="J11" i="16"/>
  <c r="I11" i="16"/>
  <c r="H11" i="16"/>
  <c r="G11" i="16"/>
  <c r="F11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B10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C9" i="16"/>
  <c r="B9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N7" i="16"/>
  <c r="M7" i="16"/>
  <c r="L7" i="16"/>
  <c r="K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6" i="16"/>
  <c r="L6" i="16"/>
  <c r="K6" i="16"/>
  <c r="J6" i="16"/>
  <c r="I6" i="16"/>
  <c r="H6" i="16"/>
  <c r="G6" i="16"/>
  <c r="F6" i="16"/>
  <c r="E6" i="16"/>
  <c r="C6" i="16"/>
  <c r="B6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1" i="3"/>
  <c r="O207" i="1" s="1"/>
  <c r="E190" i="3"/>
  <c r="O206" i="1" s="1"/>
  <c r="E189" i="3"/>
  <c r="O205" i="1" s="1"/>
  <c r="E188" i="3"/>
  <c r="BC204" i="1" s="1"/>
  <c r="E187" i="3"/>
  <c r="O203" i="1" s="1"/>
  <c r="E186" i="3"/>
  <c r="O202" i="1" s="1"/>
  <c r="E184" i="3"/>
  <c r="O200" i="1" s="1"/>
  <c r="E182" i="3"/>
  <c r="E181" i="3"/>
  <c r="O197" i="1" s="1"/>
  <c r="E180" i="3"/>
  <c r="E179" i="3"/>
  <c r="O179" i="1" s="1"/>
  <c r="E178" i="3"/>
  <c r="O178" i="1" s="1"/>
  <c r="E177" i="3"/>
  <c r="O177" i="1" s="1"/>
  <c r="E176" i="3"/>
  <c r="O176" i="1" s="1"/>
  <c r="E175" i="3"/>
  <c r="O175" i="1" s="1"/>
  <c r="E174" i="3"/>
  <c r="O174" i="1" s="1"/>
  <c r="E173" i="3"/>
  <c r="O173" i="1" s="1"/>
  <c r="E172" i="3"/>
  <c r="O172" i="1" s="1"/>
  <c r="E171" i="3"/>
  <c r="O171" i="1" s="1"/>
  <c r="E170" i="3"/>
  <c r="E169" i="3"/>
  <c r="E168" i="3"/>
  <c r="E167" i="3"/>
  <c r="J167" i="1" s="1"/>
  <c r="E166" i="3"/>
  <c r="O166" i="1" s="1"/>
  <c r="E165" i="3"/>
  <c r="O165" i="1" s="1"/>
  <c r="E164" i="3"/>
  <c r="O164" i="1" s="1"/>
  <c r="E163" i="3"/>
  <c r="O163" i="1" s="1"/>
  <c r="E162" i="3"/>
  <c r="O162" i="1" s="1"/>
  <c r="E161" i="3"/>
  <c r="O161" i="1" s="1"/>
  <c r="E160" i="3"/>
  <c r="E139" i="3"/>
  <c r="O139" i="1" s="1"/>
  <c r="E138" i="3"/>
  <c r="O138" i="1" s="1"/>
  <c r="E137" i="3"/>
  <c r="O137" i="1" s="1"/>
  <c r="E136" i="3"/>
  <c r="BJ136" i="1" s="1"/>
  <c r="E135" i="3"/>
  <c r="O135" i="1" s="1"/>
  <c r="E134" i="3"/>
  <c r="O134" i="1" s="1"/>
  <c r="E133" i="3"/>
  <c r="O133" i="1" s="1"/>
  <c r="E132" i="3"/>
  <c r="O132" i="1" s="1"/>
  <c r="E131" i="3"/>
  <c r="O131" i="1" s="1"/>
  <c r="E130" i="3"/>
  <c r="O130" i="1" s="1"/>
  <c r="E129" i="3"/>
  <c r="O129" i="1" s="1"/>
  <c r="E128" i="3"/>
  <c r="O128" i="1" s="1"/>
  <c r="E127" i="3"/>
  <c r="E126" i="3"/>
  <c r="O126" i="1" s="1"/>
  <c r="E125" i="3"/>
  <c r="O125" i="1" s="1"/>
  <c r="E124" i="3"/>
  <c r="O124" i="1" s="1"/>
  <c r="E123" i="3"/>
  <c r="O123" i="1" s="1"/>
  <c r="E122" i="3"/>
  <c r="E121" i="3"/>
  <c r="O121" i="1" s="1"/>
  <c r="E120" i="3"/>
  <c r="O120" i="1" s="1"/>
  <c r="E119" i="3"/>
  <c r="O119" i="1" s="1"/>
  <c r="E118" i="3"/>
  <c r="BJ118" i="1" s="1"/>
  <c r="E117" i="3"/>
  <c r="O117" i="1" s="1"/>
  <c r="E116" i="3"/>
  <c r="O116" i="1" s="1"/>
  <c r="E115" i="3"/>
  <c r="O115" i="1" s="1"/>
  <c r="E114" i="3"/>
  <c r="O114" i="1" s="1"/>
  <c r="E113" i="3"/>
  <c r="E112" i="3"/>
  <c r="O112" i="1" s="1"/>
  <c r="E111" i="3"/>
  <c r="O111" i="1" s="1"/>
  <c r="E110" i="3"/>
  <c r="O110" i="1" s="1"/>
  <c r="E109" i="3"/>
  <c r="O109" i="1" s="1"/>
  <c r="E108" i="3"/>
  <c r="E107" i="3"/>
  <c r="E106" i="3"/>
  <c r="J106" i="1" s="1"/>
  <c r="E105" i="3"/>
  <c r="E104" i="3"/>
  <c r="E103" i="3"/>
  <c r="E102" i="3"/>
  <c r="BJ102" i="1" s="1"/>
  <c r="E101" i="3"/>
  <c r="E100" i="3"/>
  <c r="BJ100" i="1" s="1"/>
  <c r="E99" i="3"/>
  <c r="O99" i="1" s="1"/>
  <c r="E98" i="3"/>
  <c r="E97" i="3"/>
  <c r="O188" i="1" s="1"/>
  <c r="E96" i="3"/>
  <c r="O187" i="1" s="1"/>
  <c r="E95" i="3"/>
  <c r="O95" i="1" s="1"/>
  <c r="E94" i="3"/>
  <c r="BJ94" i="1" s="1"/>
  <c r="E93" i="3"/>
  <c r="O93" i="1" s="1"/>
  <c r="E92" i="3"/>
  <c r="E91" i="3"/>
  <c r="E90" i="3"/>
  <c r="O90" i="1" s="1"/>
  <c r="E89" i="3"/>
  <c r="O89" i="1" s="1"/>
  <c r="E88" i="3"/>
  <c r="O195" i="1" s="1"/>
  <c r="E87" i="3"/>
  <c r="O87" i="1" s="1"/>
  <c r="E86" i="3"/>
  <c r="O86" i="1" s="1"/>
  <c r="E85" i="3"/>
  <c r="O193" i="1" s="1"/>
  <c r="E84" i="3"/>
  <c r="O189" i="1" s="1"/>
  <c r="E83" i="3"/>
  <c r="O83" i="1" s="1"/>
  <c r="E82" i="3"/>
  <c r="O82" i="1" s="1"/>
  <c r="E81" i="3"/>
  <c r="E80" i="3"/>
  <c r="E79" i="3"/>
  <c r="O79" i="1" s="1"/>
  <c r="E78" i="3"/>
  <c r="O192" i="1" s="1"/>
  <c r="E77" i="3"/>
  <c r="O77" i="1" s="1"/>
  <c r="E76" i="3"/>
  <c r="BJ76" i="1" s="1"/>
  <c r="E75" i="3"/>
  <c r="O75" i="1" s="1"/>
  <c r="E74" i="3"/>
  <c r="O74" i="1" s="1"/>
  <c r="E73" i="3"/>
  <c r="O73" i="1" s="1"/>
  <c r="E72" i="3"/>
  <c r="O72" i="1" s="1"/>
  <c r="E71" i="3"/>
  <c r="O191" i="1" s="1"/>
  <c r="E70" i="3"/>
  <c r="O70" i="1" s="1"/>
  <c r="E69" i="3"/>
  <c r="O69" i="1" s="1"/>
  <c r="E68" i="3"/>
  <c r="O183" i="1" s="1"/>
  <c r="E67" i="3"/>
  <c r="O182" i="1" s="1"/>
  <c r="E66" i="3"/>
  <c r="O66" i="1" s="1"/>
  <c r="E65" i="3"/>
  <c r="O65" i="1" s="1"/>
  <c r="E64" i="3"/>
  <c r="O64" i="1" s="1"/>
  <c r="E63" i="3"/>
  <c r="O63" i="1" s="1"/>
  <c r="E62" i="3"/>
  <c r="O62" i="1" s="1"/>
  <c r="E61" i="3"/>
  <c r="O61" i="1" s="1"/>
  <c r="E60" i="3"/>
  <c r="O60" i="1" s="1"/>
  <c r="E59" i="3"/>
  <c r="O59" i="1" s="1"/>
  <c r="E58" i="3"/>
  <c r="O58" i="1" s="1"/>
  <c r="E57" i="3"/>
  <c r="O57" i="1" s="1"/>
  <c r="E56" i="3"/>
  <c r="O56" i="1" s="1"/>
  <c r="E55" i="3"/>
  <c r="O55" i="1" s="1"/>
  <c r="E54" i="3"/>
  <c r="O54" i="1" s="1"/>
  <c r="E53" i="3"/>
  <c r="O53" i="1" s="1"/>
  <c r="E52" i="3"/>
  <c r="O52" i="1" s="1"/>
  <c r="E51" i="3"/>
  <c r="O51" i="1" s="1"/>
  <c r="E50" i="3"/>
  <c r="O50" i="1" s="1"/>
  <c r="E49" i="3"/>
  <c r="O49" i="1" s="1"/>
  <c r="E48" i="3"/>
  <c r="O48" i="1" s="1"/>
  <c r="E47" i="3"/>
  <c r="O47" i="1" s="1"/>
  <c r="E46" i="3"/>
  <c r="O46" i="1" s="1"/>
  <c r="E45" i="3"/>
  <c r="O45" i="1" s="1"/>
  <c r="E44" i="3"/>
  <c r="O44" i="1" s="1"/>
  <c r="E43" i="3"/>
  <c r="O43" i="1" s="1"/>
  <c r="E42" i="3"/>
  <c r="O42" i="1" s="1"/>
  <c r="E41" i="3"/>
  <c r="O41" i="1" s="1"/>
  <c r="E40" i="3"/>
  <c r="O40" i="1" s="1"/>
  <c r="E39" i="3"/>
  <c r="O39" i="1" s="1"/>
  <c r="E38" i="3"/>
  <c r="O38" i="1" s="1"/>
  <c r="E37" i="3"/>
  <c r="O37" i="1" s="1"/>
  <c r="E36" i="3"/>
  <c r="O36" i="1" s="1"/>
  <c r="E35" i="3"/>
  <c r="O35" i="1" s="1"/>
  <c r="E34" i="3"/>
  <c r="E33" i="3"/>
  <c r="O33" i="1" s="1"/>
  <c r="E32" i="3"/>
  <c r="O32" i="1" s="1"/>
  <c r="E31" i="3"/>
  <c r="O31" i="1" s="1"/>
  <c r="E30" i="3"/>
  <c r="O30" i="1" s="1"/>
  <c r="E29" i="3"/>
  <c r="O29" i="1" s="1"/>
  <c r="E28" i="3"/>
  <c r="E27" i="3"/>
  <c r="E26" i="3"/>
  <c r="O26" i="1" s="1"/>
  <c r="E25" i="3"/>
  <c r="O25" i="1" s="1"/>
  <c r="E24" i="3"/>
  <c r="O24" i="1" s="1"/>
  <c r="E23" i="3"/>
  <c r="O23" i="1" s="1"/>
  <c r="E22" i="3"/>
  <c r="O22" i="1" s="1"/>
  <c r="E21" i="3"/>
  <c r="O21" i="1" s="1"/>
  <c r="E20" i="3"/>
  <c r="O20" i="1" s="1"/>
  <c r="E19" i="3"/>
  <c r="O19" i="1" s="1"/>
  <c r="E18" i="3"/>
  <c r="O18" i="1" s="1"/>
  <c r="E17" i="3"/>
  <c r="O17" i="1" s="1"/>
  <c r="E16" i="3"/>
  <c r="O16" i="1" s="1"/>
  <c r="E15" i="3"/>
  <c r="O15" i="1" s="1"/>
  <c r="E14" i="3"/>
  <c r="O14" i="1" s="1"/>
  <c r="E13" i="3"/>
  <c r="O13" i="1" s="1"/>
  <c r="E12" i="3"/>
  <c r="O12" i="1" s="1"/>
  <c r="E11" i="3"/>
  <c r="O11" i="1" s="1"/>
  <c r="E10" i="3"/>
  <c r="O10" i="1" s="1"/>
  <c r="E9" i="3"/>
  <c r="O9" i="1" s="1"/>
  <c r="E8" i="3"/>
  <c r="O8" i="1" s="1"/>
  <c r="E7" i="3"/>
  <c r="O7" i="1" s="1"/>
  <c r="E6" i="3"/>
  <c r="O6" i="1" s="1"/>
  <c r="E5" i="3"/>
  <c r="O5" i="1" s="1"/>
  <c r="E4" i="3"/>
  <c r="O4" i="1" s="1"/>
  <c r="E3" i="3"/>
  <c r="O3" i="1" s="1"/>
  <c r="E2" i="3"/>
  <c r="O2" i="1" s="1"/>
  <c r="E151" i="3"/>
  <c r="O151" i="1" s="1"/>
  <c r="E152" i="3"/>
  <c r="O152" i="1" s="1"/>
  <c r="E153" i="3"/>
  <c r="O153" i="1" s="1"/>
  <c r="E154" i="3"/>
  <c r="BJ154" i="1" s="1"/>
  <c r="E155" i="3"/>
  <c r="O155" i="1" s="1"/>
  <c r="E156" i="3"/>
  <c r="O156" i="1" s="1"/>
  <c r="E157" i="3"/>
  <c r="O157" i="1" s="1"/>
  <c r="E158" i="3"/>
  <c r="O158" i="1" s="1"/>
  <c r="E159" i="3"/>
  <c r="O159" i="1" s="1"/>
  <c r="E150" i="3"/>
  <c r="BJ150" i="1" s="1"/>
  <c r="E141" i="3"/>
  <c r="O141" i="1" s="1"/>
  <c r="E142" i="3"/>
  <c r="O142" i="1" s="1"/>
  <c r="E143" i="3"/>
  <c r="O143" i="1" s="1"/>
  <c r="E144" i="3"/>
  <c r="O144" i="1" s="1"/>
  <c r="E145" i="3"/>
  <c r="O145" i="1" s="1"/>
  <c r="E146" i="3"/>
  <c r="O146" i="1" s="1"/>
  <c r="E147" i="3"/>
  <c r="O147" i="1" s="1"/>
  <c r="E148" i="3"/>
  <c r="O148" i="1" s="1"/>
  <c r="E149" i="3"/>
  <c r="O149" i="1" s="1"/>
  <c r="E140" i="3"/>
  <c r="O140" i="1" s="1"/>
  <c r="I55" i="17"/>
  <c r="H55" i="17"/>
  <c r="AT178" i="1"/>
  <c r="AU178" i="1" s="1"/>
  <c r="AH124" i="3"/>
  <c r="BA124" i="1" s="1"/>
  <c r="AH130" i="3"/>
  <c r="BA130" i="1" s="1"/>
  <c r="AH172" i="3"/>
  <c r="BA172" i="1" s="1"/>
  <c r="AH179" i="3"/>
  <c r="BA179" i="1" s="1"/>
  <c r="AH176" i="3"/>
  <c r="BA176" i="1" s="1"/>
  <c r="AH111" i="3"/>
  <c r="BA111" i="1" s="1"/>
  <c r="AH175" i="3"/>
  <c r="BA175" i="1" s="1"/>
  <c r="AH174" i="3"/>
  <c r="BA174" i="1" s="1"/>
  <c r="AH173" i="3"/>
  <c r="BA173" i="1" s="1"/>
  <c r="AH166" i="3"/>
  <c r="BA166" i="1" s="1"/>
  <c r="AH165" i="3"/>
  <c r="BA165" i="1" s="1"/>
  <c r="AH164" i="3"/>
  <c r="BA164" i="1" s="1"/>
  <c r="AH163" i="3"/>
  <c r="BA163" i="1" s="1"/>
  <c r="AH159" i="3"/>
  <c r="BA159" i="1" s="1"/>
  <c r="AH158" i="3"/>
  <c r="AH157" i="3"/>
  <c r="BA157" i="1" s="1"/>
  <c r="AH156" i="3"/>
  <c r="BA156" i="1" s="1"/>
  <c r="AH155" i="3"/>
  <c r="BA155" i="1" s="1"/>
  <c r="AH154" i="3"/>
  <c r="BA154" i="1" s="1"/>
  <c r="AH153" i="3"/>
  <c r="BA153" i="1" s="1"/>
  <c r="AH152" i="3"/>
  <c r="BA152" i="1" s="1"/>
  <c r="AH151" i="3"/>
  <c r="BA151" i="1" s="1"/>
  <c r="AH150" i="3"/>
  <c r="BA150" i="1" s="1"/>
  <c r="AH146" i="3"/>
  <c r="AH149" i="3"/>
  <c r="BA149" i="1" s="1"/>
  <c r="AH148" i="3"/>
  <c r="BA148" i="1" s="1"/>
  <c r="AH147" i="3"/>
  <c r="BA147" i="1" s="1"/>
  <c r="AH145" i="3"/>
  <c r="BA145" i="1" s="1"/>
  <c r="AH144" i="3"/>
  <c r="BA144" i="1" s="1"/>
  <c r="AH143" i="3"/>
  <c r="BA143" i="1" s="1"/>
  <c r="AH142" i="3"/>
  <c r="BA142" i="1" s="1"/>
  <c r="AH141" i="3"/>
  <c r="BA141" i="1" s="1"/>
  <c r="AH140" i="3"/>
  <c r="BA140" i="1" s="1"/>
  <c r="AH139" i="3"/>
  <c r="BA139" i="1" s="1"/>
  <c r="AH137" i="3"/>
  <c r="BA137" i="1" s="1"/>
  <c r="AH136" i="3"/>
  <c r="BA136" i="1" s="1"/>
  <c r="AH135" i="3"/>
  <c r="BA135" i="1" s="1"/>
  <c r="AH134" i="3"/>
  <c r="AH133" i="3"/>
  <c r="BA133" i="1" s="1"/>
  <c r="AH129" i="3"/>
  <c r="BA129" i="1" s="1"/>
  <c r="AH127" i="3"/>
  <c r="BA127" i="1" s="1"/>
  <c r="AH126" i="3"/>
  <c r="BA126" i="1" s="1"/>
  <c r="AH125" i="3"/>
  <c r="BA125" i="1" s="1"/>
  <c r="AH122" i="3"/>
  <c r="AH120" i="3"/>
  <c r="BA120" i="1" s="1"/>
  <c r="AH119" i="3"/>
  <c r="BA119" i="1" s="1"/>
  <c r="AH112" i="3"/>
  <c r="BA112" i="1" s="1"/>
  <c r="AH109" i="3"/>
  <c r="BA109" i="1" s="1"/>
  <c r="AH108" i="3"/>
  <c r="BA108" i="1" s="1"/>
  <c r="AH107" i="3"/>
  <c r="BA107" i="1" s="1"/>
  <c r="AH106" i="3"/>
  <c r="BA106" i="1" s="1"/>
  <c r="AH104" i="3"/>
  <c r="BA104" i="1" s="1"/>
  <c r="AH103" i="3"/>
  <c r="BA103" i="1" s="1"/>
  <c r="AH102" i="3"/>
  <c r="BA102" i="1" s="1"/>
  <c r="AH100" i="3"/>
  <c r="BA100" i="1" s="1"/>
  <c r="AH99" i="3"/>
  <c r="BA99" i="1" s="1"/>
  <c r="AH97" i="3"/>
  <c r="BA97" i="1" s="1"/>
  <c r="AH96" i="3"/>
  <c r="BA96" i="1" s="1"/>
  <c r="AH93" i="3"/>
  <c r="BA93" i="1" s="1"/>
  <c r="AH92" i="3"/>
  <c r="BA92" i="1" s="1"/>
  <c r="AH90" i="3"/>
  <c r="BA90" i="1" s="1"/>
  <c r="AH89" i="3"/>
  <c r="BA89" i="1" s="1"/>
  <c r="AH88" i="3"/>
  <c r="BA195" i="1" s="1"/>
  <c r="AH86" i="3"/>
  <c r="AH80" i="3"/>
  <c r="BA80" i="1" s="1"/>
  <c r="AH79" i="3"/>
  <c r="BA79" i="1" s="1"/>
  <c r="AH76" i="3"/>
  <c r="BA76" i="1" s="1"/>
  <c r="AH73" i="3"/>
  <c r="BA73" i="1" s="1"/>
  <c r="AH72" i="3"/>
  <c r="BA72" i="1" s="1"/>
  <c r="AH71" i="3"/>
  <c r="BA71" i="1" s="1"/>
  <c r="AH70" i="3"/>
  <c r="BA70" i="1" s="1"/>
  <c r="AH69" i="3"/>
  <c r="BA69" i="1" s="1"/>
  <c r="AH68" i="3"/>
  <c r="BA183" i="1" s="1"/>
  <c r="AH66" i="3"/>
  <c r="BA66" i="1" s="1"/>
  <c r="AH65" i="3"/>
  <c r="BA65" i="1" s="1"/>
  <c r="AH64" i="3"/>
  <c r="BA64" i="1" s="1"/>
  <c r="AH63" i="3"/>
  <c r="BA63" i="1" s="1"/>
  <c r="AH62" i="3"/>
  <c r="BA181" i="1" s="1"/>
  <c r="AH59" i="3"/>
  <c r="BA59" i="1" s="1"/>
  <c r="AH58" i="3"/>
  <c r="BA58" i="1" s="1"/>
  <c r="AH57" i="3"/>
  <c r="BA57" i="1" s="1"/>
  <c r="AH46" i="3"/>
  <c r="BA46" i="1" s="1"/>
  <c r="AH49" i="3"/>
  <c r="BA49" i="1" s="1"/>
  <c r="AH50" i="3"/>
  <c r="AH38" i="3"/>
  <c r="AH37" i="3"/>
  <c r="BA37" i="1" s="1"/>
  <c r="AH36" i="3"/>
  <c r="BA36" i="1" s="1"/>
  <c r="AH29" i="3"/>
  <c r="BA29" i="1" s="1"/>
  <c r="AH24" i="3"/>
  <c r="BA24" i="1" s="1"/>
  <c r="AH16" i="3"/>
  <c r="BA16" i="1" s="1"/>
  <c r="AH15" i="3"/>
  <c r="BA15" i="1" s="1"/>
  <c r="AH7" i="3"/>
  <c r="BA7" i="1" s="1"/>
  <c r="AH5" i="3"/>
  <c r="BA5" i="1" s="1"/>
  <c r="AH2" i="3"/>
  <c r="BA2" i="1" s="1"/>
  <c r="I40" i="9"/>
  <c r="H40" i="9" s="1"/>
  <c r="D40" i="9" s="1"/>
  <c r="G40" i="9"/>
  <c r="C40" i="9" s="1"/>
  <c r="E40" i="9"/>
  <c r="I39" i="9"/>
  <c r="E39" i="9" s="1"/>
  <c r="C39" i="9"/>
  <c r="I51" i="17"/>
  <c r="H51" i="17"/>
  <c r="K20" i="17"/>
  <c r="I20" i="17"/>
  <c r="H20" i="17"/>
  <c r="L190" i="3"/>
  <c r="I206" i="1" s="1"/>
  <c r="BM206" i="1" s="1"/>
  <c r="F190" i="3"/>
  <c r="CF206" i="1"/>
  <c r="BD191" i="3"/>
  <c r="BA191" i="3"/>
  <c r="AZ191" i="3"/>
  <c r="AY191" i="3"/>
  <c r="AR191" i="3"/>
  <c r="AO191" i="3"/>
  <c r="T191" i="3"/>
  <c r="S191" i="3"/>
  <c r="L191" i="3"/>
  <c r="I207" i="1" s="1"/>
  <c r="BM207" i="1" s="1"/>
  <c r="F191" i="3"/>
  <c r="BD190" i="3"/>
  <c r="BA190" i="3"/>
  <c r="AZ190" i="3"/>
  <c r="AY190" i="3"/>
  <c r="AR190" i="3"/>
  <c r="AO190" i="3"/>
  <c r="T190" i="3"/>
  <c r="S190" i="3"/>
  <c r="G190" i="3"/>
  <c r="BD188" i="3"/>
  <c r="BA188" i="3"/>
  <c r="AZ188" i="3"/>
  <c r="AY188" i="3"/>
  <c r="AR188" i="3"/>
  <c r="AO188" i="3"/>
  <c r="T188" i="3"/>
  <c r="S188" i="3"/>
  <c r="J188" i="3"/>
  <c r="F188" i="3"/>
  <c r="AS204" i="1" s="1"/>
  <c r="BP189" i="3" a="1"/>
  <c r="BP189" i="3" s="1"/>
  <c r="BT189" i="3" s="1"/>
  <c r="BD189" i="3"/>
  <c r="BA189" i="3"/>
  <c r="AY189" i="3"/>
  <c r="AR189" i="3"/>
  <c r="AO189" i="3"/>
  <c r="W189" i="3"/>
  <c r="V189" i="3"/>
  <c r="T189" i="3"/>
  <c r="S189" i="3"/>
  <c r="L189" i="3"/>
  <c r="I205" i="1" s="1"/>
  <c r="BM205" i="1" s="1"/>
  <c r="G189" i="3"/>
  <c r="CH202" i="1"/>
  <c r="BU186" i="3"/>
  <c r="BQ186" i="3"/>
  <c r="BM186" i="3"/>
  <c r="BI186" i="3"/>
  <c r="BD186" i="3"/>
  <c r="BC186" i="3"/>
  <c r="BA186" i="3"/>
  <c r="AZ186" i="3"/>
  <c r="AY186" i="3"/>
  <c r="AR186" i="3"/>
  <c r="AO186" i="3"/>
  <c r="T186" i="3"/>
  <c r="S186" i="3"/>
  <c r="L186" i="3"/>
  <c r="I202" i="1" s="1"/>
  <c r="J186" i="3"/>
  <c r="G186" i="3"/>
  <c r="F186" i="3"/>
  <c r="AS202" i="1" s="1"/>
  <c r="BU187" i="3"/>
  <c r="BQ187" i="3"/>
  <c r="BM187" i="3"/>
  <c r="BI187" i="3"/>
  <c r="BD187" i="3"/>
  <c r="BC187" i="3"/>
  <c r="BA187" i="3"/>
  <c r="AZ187" i="3"/>
  <c r="AR187" i="3"/>
  <c r="AO187" i="3"/>
  <c r="U187" i="3"/>
  <c r="AY187" i="3" s="1"/>
  <c r="T187" i="3"/>
  <c r="S187" i="3"/>
  <c r="G187" i="3"/>
  <c r="BF187" i="3"/>
  <c r="CJ207" i="1"/>
  <c r="CH207" i="1"/>
  <c r="CF207" i="1"/>
  <c r="CE207" i="1"/>
  <c r="CB207" i="1"/>
  <c r="BY207" i="1"/>
  <c r="BV207" i="1"/>
  <c r="BT207" i="1"/>
  <c r="AW207" i="1" s="1"/>
  <c r="BO207" i="1"/>
  <c r="BJ207" i="1"/>
  <c r="BK207" i="1" s="1"/>
  <c r="BC207" i="1"/>
  <c r="BB207" i="1"/>
  <c r="AY207" i="1"/>
  <c r="AX207" i="1"/>
  <c r="AV207" i="1"/>
  <c r="AS207" i="1"/>
  <c r="AR207" i="1"/>
  <c r="AO207" i="1"/>
  <c r="J207" i="1" s="1"/>
  <c r="AC207" i="1"/>
  <c r="P207" i="1"/>
  <c r="A207" i="1"/>
  <c r="A207" i="5" s="1"/>
  <c r="CJ205" i="1"/>
  <c r="BY205" i="1"/>
  <c r="BV205" i="1"/>
  <c r="BT205" i="1"/>
  <c r="AW205" i="1" s="1"/>
  <c r="BO205" i="1"/>
  <c r="BC205" i="1"/>
  <c r="BB205" i="1"/>
  <c r="AY205" i="1"/>
  <c r="AV205" i="1"/>
  <c r="AS205" i="1"/>
  <c r="AR205" i="1"/>
  <c r="AO205" i="1"/>
  <c r="BE189" i="3" s="1"/>
  <c r="AI205" i="1"/>
  <c r="AM205" i="1" s="1"/>
  <c r="AC205" i="1"/>
  <c r="S205" i="1"/>
  <c r="W205" i="1" s="1"/>
  <c r="P205" i="1"/>
  <c r="A205" i="1"/>
  <c r="A205" i="5" s="1"/>
  <c r="CJ206" i="1"/>
  <c r="CI206" i="1"/>
  <c r="CH206" i="1"/>
  <c r="CE206" i="1"/>
  <c r="CC206" i="1"/>
  <c r="CB206" i="1"/>
  <c r="BY206" i="1"/>
  <c r="BV206" i="1"/>
  <c r="BT206" i="1"/>
  <c r="AW206" i="1" s="1"/>
  <c r="BO206" i="1"/>
  <c r="BJ206" i="1"/>
  <c r="BK206" i="1" s="1"/>
  <c r="BI206" i="1"/>
  <c r="BL206" i="1" s="1"/>
  <c r="BC206" i="1"/>
  <c r="BB206" i="1"/>
  <c r="AY206" i="1"/>
  <c r="AX206" i="1"/>
  <c r="AV206" i="1"/>
  <c r="AS206" i="1"/>
  <c r="AR206" i="1"/>
  <c r="AO206" i="1"/>
  <c r="J206" i="1" s="1"/>
  <c r="AI206" i="1"/>
  <c r="AM206" i="1" s="1"/>
  <c r="AC206" i="1"/>
  <c r="P206" i="1"/>
  <c r="A206" i="1"/>
  <c r="A206" i="5" s="1"/>
  <c r="CI204" i="1"/>
  <c r="CH204" i="1"/>
  <c r="CE204" i="1"/>
  <c r="CB204" i="1"/>
  <c r="BY204" i="1"/>
  <c r="BV204" i="1"/>
  <c r="BT204" i="1"/>
  <c r="AW204" i="1" s="1"/>
  <c r="BO204" i="1"/>
  <c r="BB204" i="1"/>
  <c r="AY204" i="1"/>
  <c r="AX204" i="1"/>
  <c r="AV204" i="1"/>
  <c r="AR204" i="1"/>
  <c r="AO204" i="1"/>
  <c r="AC204" i="1"/>
  <c r="P204" i="1"/>
  <c r="I204" i="1"/>
  <c r="BM204" i="1" s="1"/>
  <c r="A204" i="1"/>
  <c r="A204" i="5" s="1"/>
  <c r="CJ203" i="1"/>
  <c r="CI203" i="1"/>
  <c r="CH203" i="1"/>
  <c r="CG203" i="1"/>
  <c r="CF203" i="1"/>
  <c r="CE203" i="1"/>
  <c r="CC203" i="1"/>
  <c r="CB203" i="1"/>
  <c r="BY203" i="1"/>
  <c r="BV203" i="1"/>
  <c r="BT203" i="1"/>
  <c r="AW203" i="1" s="1"/>
  <c r="BO203" i="1"/>
  <c r="BM203" i="1"/>
  <c r="BJ203" i="1"/>
  <c r="BI203" i="1"/>
  <c r="BL203" i="1" s="1"/>
  <c r="BC203" i="1"/>
  <c r="BB203" i="1"/>
  <c r="AZ203" i="1"/>
  <c r="AY203" i="1"/>
  <c r="AX203" i="1"/>
  <c r="AV203" i="1"/>
  <c r="AS203" i="1"/>
  <c r="AR203" i="1"/>
  <c r="AO203" i="1"/>
  <c r="AC203" i="1"/>
  <c r="S203" i="1"/>
  <c r="V203" i="1" s="1"/>
  <c r="P203" i="1"/>
  <c r="I203" i="1"/>
  <c r="A203" i="1"/>
  <c r="A203" i="5" s="1"/>
  <c r="BY202" i="1"/>
  <c r="BV202" i="1"/>
  <c r="BT202" i="1"/>
  <c r="AW202" i="1" s="1"/>
  <c r="BM202" i="1"/>
  <c r="BB202" i="1"/>
  <c r="AV202" i="1"/>
  <c r="AR202" i="1"/>
  <c r="AO202" i="1"/>
  <c r="X202" i="1" s="1"/>
  <c r="AA202" i="1" s="1"/>
  <c r="AC202" i="1"/>
  <c r="P202" i="1"/>
  <c r="A202" i="1"/>
  <c r="A202" i="5" s="1"/>
  <c r="I201" i="1"/>
  <c r="P201" i="1"/>
  <c r="X201" i="1"/>
  <c r="Y201" i="1" s="1"/>
  <c r="AC201" i="1"/>
  <c r="AO201" i="1"/>
  <c r="AR201" i="1"/>
  <c r="AS201" i="1"/>
  <c r="AV201" i="1"/>
  <c r="BB201" i="1"/>
  <c r="BM201" i="1"/>
  <c r="BT201" i="1"/>
  <c r="AW201" i="1" s="1"/>
  <c r="BV201" i="1"/>
  <c r="BY201" i="1"/>
  <c r="BU185" i="3"/>
  <c r="BQ185" i="3"/>
  <c r="BM185" i="3"/>
  <c r="BI185" i="3"/>
  <c r="BD185" i="3"/>
  <c r="BC185" i="3"/>
  <c r="AZ185" i="3"/>
  <c r="AR185" i="3"/>
  <c r="AY185" i="3"/>
  <c r="T185" i="3"/>
  <c r="S185" i="3"/>
  <c r="A201" i="1"/>
  <c r="A201" i="5" s="1"/>
  <c r="B200" i="5"/>
  <c r="C200" i="5"/>
  <c r="B201" i="5"/>
  <c r="C201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AC207" i="5"/>
  <c r="G184" i="3"/>
  <c r="BU184" i="3"/>
  <c r="BQ184" i="3"/>
  <c r="BM184" i="3"/>
  <c r="BI184" i="3"/>
  <c r="BD184" i="3"/>
  <c r="BC184" i="3"/>
  <c r="BA184" i="3"/>
  <c r="AZ184" i="3"/>
  <c r="AY184" i="3"/>
  <c r="AR184" i="3"/>
  <c r="AO184" i="3"/>
  <c r="T184" i="3"/>
  <c r="S184" i="3"/>
  <c r="L184" i="3"/>
  <c r="I200" i="1" s="1"/>
  <c r="BY200" i="1"/>
  <c r="BV200" i="1"/>
  <c r="BT200" i="1"/>
  <c r="AW200" i="1" s="1"/>
  <c r="BM200" i="1"/>
  <c r="BB200" i="1"/>
  <c r="AV200" i="1"/>
  <c r="AS200" i="1"/>
  <c r="AR200" i="1"/>
  <c r="AO200" i="1"/>
  <c r="J200" i="1" s="1"/>
  <c r="AC200" i="1"/>
  <c r="X200" i="1"/>
  <c r="AA200" i="1" s="1"/>
  <c r="P200" i="1"/>
  <c r="A200" i="1"/>
  <c r="A200" i="5" s="1"/>
  <c r="B199" i="5"/>
  <c r="C199" i="5"/>
  <c r="BU183" i="3"/>
  <c r="BQ183" i="3"/>
  <c r="BM183" i="3"/>
  <c r="BI183" i="3"/>
  <c r="BD183" i="3"/>
  <c r="BC183" i="3"/>
  <c r="AZ183" i="3"/>
  <c r="AY183" i="3"/>
  <c r="AR183" i="3"/>
  <c r="T183" i="3"/>
  <c r="S183" i="3"/>
  <c r="J183" i="3"/>
  <c r="AV199" i="1" s="1"/>
  <c r="F183" i="3"/>
  <c r="AS199" i="1" s="1"/>
  <c r="BY199" i="1"/>
  <c r="BV199" i="1"/>
  <c r="BT199" i="1"/>
  <c r="AW199" i="1" s="1"/>
  <c r="BB199" i="1"/>
  <c r="AR199" i="1"/>
  <c r="AO199" i="1"/>
  <c r="AC199" i="1"/>
  <c r="P199" i="1"/>
  <c r="I199" i="1"/>
  <c r="BM199" i="1" s="1"/>
  <c r="A199" i="1"/>
  <c r="A199" i="5" s="1"/>
  <c r="BJ79" i="1"/>
  <c r="BJ81" i="1"/>
  <c r="BJ91" i="1"/>
  <c r="BJ92" i="1"/>
  <c r="BJ93" i="1"/>
  <c r="BJ98" i="1"/>
  <c r="BJ99" i="1"/>
  <c r="BJ101" i="1"/>
  <c r="BJ109" i="1"/>
  <c r="BJ110" i="1"/>
  <c r="BJ113" i="1"/>
  <c r="BJ114" i="1"/>
  <c r="BJ115" i="1"/>
  <c r="BJ116" i="1"/>
  <c r="BJ117" i="1"/>
  <c r="BJ119" i="1"/>
  <c r="BJ120" i="1"/>
  <c r="BJ122" i="1"/>
  <c r="BJ123" i="1"/>
  <c r="BJ128" i="1"/>
  <c r="BJ130" i="1"/>
  <c r="BJ131" i="1"/>
  <c r="BJ133" i="1"/>
  <c r="BJ134" i="1"/>
  <c r="BJ137" i="1"/>
  <c r="BJ139" i="1"/>
  <c r="BJ140" i="1"/>
  <c r="BJ141" i="1"/>
  <c r="BJ142" i="1"/>
  <c r="BJ143" i="1"/>
  <c r="BJ144" i="1"/>
  <c r="BJ145" i="1"/>
  <c r="BJ146" i="1"/>
  <c r="BJ147" i="1"/>
  <c r="BJ148" i="1"/>
  <c r="BJ149" i="1"/>
  <c r="BJ151" i="1"/>
  <c r="BJ152" i="1"/>
  <c r="BJ153" i="1"/>
  <c r="BJ155" i="1"/>
  <c r="BJ156" i="1"/>
  <c r="BJ157" i="1"/>
  <c r="BJ158" i="1"/>
  <c r="BJ159" i="1"/>
  <c r="BJ163" i="1"/>
  <c r="BJ186" i="1"/>
  <c r="BJ196" i="1"/>
  <c r="AN196" i="1" s="1"/>
  <c r="I198" i="1"/>
  <c r="W197" i="5"/>
  <c r="B197" i="5"/>
  <c r="C197" i="5"/>
  <c r="B198" i="5"/>
  <c r="C198" i="5"/>
  <c r="I197" i="1"/>
  <c r="P197" i="1"/>
  <c r="X197" i="1"/>
  <c r="Y197" i="1" s="1"/>
  <c r="AC197" i="1"/>
  <c r="AO197" i="1"/>
  <c r="J197" i="1" s="1"/>
  <c r="AR197" i="1"/>
  <c r="BB197" i="1"/>
  <c r="BM197" i="1"/>
  <c r="BT197" i="1"/>
  <c r="AW197" i="1" s="1"/>
  <c r="BV197" i="1"/>
  <c r="BY197" i="1"/>
  <c r="P198" i="1"/>
  <c r="X198" i="1"/>
  <c r="Y198" i="1" s="1"/>
  <c r="AC198" i="1"/>
  <c r="AO198" i="1"/>
  <c r="J198" i="1" s="1"/>
  <c r="AR198" i="1"/>
  <c r="AS198" i="1"/>
  <c r="AV198" i="1"/>
  <c r="BB198" i="1"/>
  <c r="BM198" i="1"/>
  <c r="BT198" i="1"/>
  <c r="AW198" i="1" s="1"/>
  <c r="BV198" i="1"/>
  <c r="BY198" i="1"/>
  <c r="AO182" i="3"/>
  <c r="AR182" i="3"/>
  <c r="AY182" i="3"/>
  <c r="AZ182" i="3"/>
  <c r="BA182" i="3"/>
  <c r="BC182" i="3"/>
  <c r="BD182" i="3"/>
  <c r="BI182" i="3"/>
  <c r="BM182" i="3"/>
  <c r="BQ182" i="3"/>
  <c r="BU182" i="3"/>
  <c r="T182" i="3"/>
  <c r="S182" i="3"/>
  <c r="CH198" i="1"/>
  <c r="I70" i="17"/>
  <c r="A189" i="1"/>
  <c r="A189" i="5" s="1"/>
  <c r="A190" i="1"/>
  <c r="A190" i="5" s="1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T197" i="1" s="1"/>
  <c r="AU197" i="1" s="1"/>
  <c r="A198" i="1"/>
  <c r="AT198" i="1" s="1"/>
  <c r="AU198" i="1" s="1"/>
  <c r="BU181" i="3"/>
  <c r="BQ181" i="3"/>
  <c r="BM181" i="3"/>
  <c r="BI181" i="3"/>
  <c r="BD181" i="3"/>
  <c r="BC181" i="3"/>
  <c r="BA181" i="3"/>
  <c r="AZ181" i="3"/>
  <c r="AY181" i="3"/>
  <c r="AR181" i="3"/>
  <c r="AO181" i="3"/>
  <c r="V181" i="3"/>
  <c r="T181" i="3"/>
  <c r="S181" i="3"/>
  <c r="J181" i="3"/>
  <c r="AV197" i="1" s="1"/>
  <c r="F181" i="3"/>
  <c r="AS197" i="1" s="1"/>
  <c r="B181" i="5"/>
  <c r="C181" i="5"/>
  <c r="B182" i="5"/>
  <c r="C182" i="5"/>
  <c r="B183" i="5"/>
  <c r="C183" i="5"/>
  <c r="B184" i="5"/>
  <c r="C184" i="5"/>
  <c r="B185" i="5"/>
  <c r="C185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X196" i="5" s="1"/>
  <c r="C196" i="5"/>
  <c r="CG77" i="1"/>
  <c r="CJ196" i="1"/>
  <c r="CI196" i="1"/>
  <c r="CH196" i="1"/>
  <c r="CG196" i="1"/>
  <c r="CF196" i="1"/>
  <c r="CE196" i="1"/>
  <c r="CC196" i="1"/>
  <c r="BY196" i="1"/>
  <c r="BV196" i="1"/>
  <c r="BT196" i="1"/>
  <c r="AW196" i="1" s="1"/>
  <c r="BO196" i="1"/>
  <c r="BM196" i="1"/>
  <c r="BI196" i="1"/>
  <c r="BL196" i="1" s="1"/>
  <c r="BC196" i="1"/>
  <c r="BB196" i="1"/>
  <c r="AZ196" i="1"/>
  <c r="AY196" i="1"/>
  <c r="AX196" i="1"/>
  <c r="AV196" i="1"/>
  <c r="AS196" i="1"/>
  <c r="AR196" i="1"/>
  <c r="AO196" i="1"/>
  <c r="J196" i="1" s="1"/>
  <c r="AI196" i="1"/>
  <c r="AK196" i="1" s="1"/>
  <c r="AC196" i="1"/>
  <c r="X196" i="1"/>
  <c r="Y196" i="1" s="1"/>
  <c r="S196" i="1"/>
  <c r="W196" i="1" s="1"/>
  <c r="P196" i="1"/>
  <c r="CA196" i="1" s="1"/>
  <c r="BM187" i="1"/>
  <c r="BM188" i="1"/>
  <c r="BM189" i="1"/>
  <c r="BM190" i="1"/>
  <c r="BM192" i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9" i="1"/>
  <c r="BM90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4" i="1"/>
  <c r="BM115" i="1"/>
  <c r="BM116" i="1"/>
  <c r="BM117" i="1"/>
  <c r="BM119" i="1"/>
  <c r="BM120" i="1"/>
  <c r="BM121" i="1"/>
  <c r="BM122" i="1"/>
  <c r="BM123" i="1"/>
  <c r="BM124" i="1"/>
  <c r="BM125" i="1"/>
  <c r="BM126" i="1"/>
  <c r="BM127" i="1"/>
  <c r="BM128" i="1"/>
  <c r="BM129" i="1"/>
  <c r="BM131" i="1"/>
  <c r="BM132" i="1"/>
  <c r="BM133" i="1"/>
  <c r="BM134" i="1"/>
  <c r="BM135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7" i="1"/>
  <c r="BM178" i="1"/>
  <c r="BM179" i="1"/>
  <c r="BM180" i="1"/>
  <c r="BM181" i="1"/>
  <c r="BM182" i="1"/>
  <c r="BM183" i="1"/>
  <c r="BM184" i="1"/>
  <c r="BM185" i="1"/>
  <c r="BY195" i="1"/>
  <c r="BV195" i="1"/>
  <c r="BT195" i="1"/>
  <c r="AW195" i="1" s="1"/>
  <c r="BB195" i="1"/>
  <c r="AV195" i="1"/>
  <c r="AS195" i="1"/>
  <c r="AR195" i="1"/>
  <c r="AO195" i="1"/>
  <c r="J195" i="1" s="1"/>
  <c r="AC195" i="1"/>
  <c r="P195" i="1"/>
  <c r="CA195" i="1" s="1"/>
  <c r="I195" i="1"/>
  <c r="BM195" i="1" s="1"/>
  <c r="BY194" i="1"/>
  <c r="BV194" i="1"/>
  <c r="BT194" i="1"/>
  <c r="AW194" i="1" s="1"/>
  <c r="BB194" i="1"/>
  <c r="AV194" i="1"/>
  <c r="AS194" i="1"/>
  <c r="AR194" i="1"/>
  <c r="AO194" i="1"/>
  <c r="J194" i="1" s="1"/>
  <c r="AC194" i="1"/>
  <c r="X194" i="1"/>
  <c r="Y194" i="1" s="1"/>
  <c r="P194" i="1"/>
  <c r="CA194" i="1" s="1"/>
  <c r="I194" i="1"/>
  <c r="BM194" i="1" s="1"/>
  <c r="BY193" i="1"/>
  <c r="BV193" i="1"/>
  <c r="BT193" i="1"/>
  <c r="AW193" i="1" s="1"/>
  <c r="BB193" i="1"/>
  <c r="AV193" i="1"/>
  <c r="AS193" i="1"/>
  <c r="AR193" i="1"/>
  <c r="AO193" i="1"/>
  <c r="J193" i="1" s="1"/>
  <c r="AC193" i="1"/>
  <c r="X193" i="1"/>
  <c r="AA193" i="1" s="1"/>
  <c r="P193" i="1"/>
  <c r="CA193" i="1" s="1"/>
  <c r="BY192" i="1"/>
  <c r="BV192" i="1"/>
  <c r="BT192" i="1"/>
  <c r="AW192" i="1" s="1"/>
  <c r="BB192" i="1"/>
  <c r="AV192" i="1"/>
  <c r="AS192" i="1"/>
  <c r="AR192" i="1"/>
  <c r="AC192" i="1"/>
  <c r="X192" i="1"/>
  <c r="Y192" i="1" s="1"/>
  <c r="P192" i="1"/>
  <c r="CA192" i="1" s="1"/>
  <c r="I192" i="1"/>
  <c r="BY184" i="1"/>
  <c r="BV184" i="1"/>
  <c r="BT184" i="1"/>
  <c r="AW184" i="1" s="1"/>
  <c r="BB184" i="1"/>
  <c r="AR184" i="1"/>
  <c r="AO184" i="1"/>
  <c r="J184" i="1" s="1"/>
  <c r="AC184" i="1"/>
  <c r="X184" i="1"/>
  <c r="Y184" i="1" s="1"/>
  <c r="P184" i="1"/>
  <c r="CA184" i="1" s="1"/>
  <c r="A184" i="1"/>
  <c r="A184" i="5" s="1"/>
  <c r="BY191" i="1"/>
  <c r="BV191" i="1"/>
  <c r="BT191" i="1"/>
  <c r="AW191" i="1" s="1"/>
  <c r="BB191" i="1"/>
  <c r="AR191" i="1"/>
  <c r="AO191" i="1"/>
  <c r="J191" i="1" s="1"/>
  <c r="AC191" i="1"/>
  <c r="X191" i="1"/>
  <c r="Y191" i="1" s="1"/>
  <c r="P191" i="1"/>
  <c r="CA191" i="1" s="1"/>
  <c r="BY183" i="1"/>
  <c r="BV183" i="1"/>
  <c r="BT183" i="1"/>
  <c r="AW183" i="1" s="1"/>
  <c r="BB183" i="1"/>
  <c r="AR183" i="1"/>
  <c r="AO183" i="1"/>
  <c r="BD183" i="1" s="1"/>
  <c r="AC183" i="1"/>
  <c r="X183" i="1"/>
  <c r="AB183" i="1" s="1"/>
  <c r="P183" i="1"/>
  <c r="CA183" i="1" s="1"/>
  <c r="A183" i="1"/>
  <c r="BY182" i="1"/>
  <c r="BV182" i="1"/>
  <c r="BT182" i="1"/>
  <c r="AW182" i="1" s="1"/>
  <c r="BB182" i="1"/>
  <c r="AR182" i="1"/>
  <c r="AO182" i="1"/>
  <c r="BD182" i="1" s="1"/>
  <c r="AC182" i="1"/>
  <c r="X182" i="1"/>
  <c r="AA182" i="1" s="1"/>
  <c r="P182" i="1"/>
  <c r="CA182" i="1" s="1"/>
  <c r="A182" i="1"/>
  <c r="BY181" i="1"/>
  <c r="BV181" i="1"/>
  <c r="BT181" i="1"/>
  <c r="AW181" i="1" s="1"/>
  <c r="BB181" i="1"/>
  <c r="AV181" i="1"/>
  <c r="AS181" i="1"/>
  <c r="AR181" i="1"/>
  <c r="AO181" i="1"/>
  <c r="AC181" i="1"/>
  <c r="X181" i="1"/>
  <c r="AA181" i="1" s="1"/>
  <c r="P181" i="1"/>
  <c r="CA181" i="1" s="1"/>
  <c r="I181" i="1"/>
  <c r="A181" i="1"/>
  <c r="A181" i="5" s="1"/>
  <c r="BY190" i="1"/>
  <c r="BV190" i="1"/>
  <c r="BT190" i="1"/>
  <c r="AW190" i="1" s="1"/>
  <c r="BB190" i="1"/>
  <c r="AV190" i="1"/>
  <c r="AS190" i="1"/>
  <c r="AR190" i="1"/>
  <c r="AO190" i="1"/>
  <c r="J190" i="1" s="1"/>
  <c r="AC190" i="1"/>
  <c r="X190" i="1"/>
  <c r="AA190" i="1" s="1"/>
  <c r="P190" i="1"/>
  <c r="CA190" i="1" s="1"/>
  <c r="I190" i="1"/>
  <c r="BY189" i="1"/>
  <c r="BV189" i="1"/>
  <c r="BT189" i="1"/>
  <c r="AW189" i="1" s="1"/>
  <c r="BB189" i="1"/>
  <c r="AV189" i="1"/>
  <c r="AS189" i="1"/>
  <c r="AR189" i="1"/>
  <c r="AO189" i="1"/>
  <c r="J189" i="1" s="1"/>
  <c r="AC189" i="1"/>
  <c r="X189" i="1"/>
  <c r="Z189" i="1" s="1"/>
  <c r="P189" i="1"/>
  <c r="CA189" i="1" s="1"/>
  <c r="BY188" i="1"/>
  <c r="BV188" i="1"/>
  <c r="BT188" i="1"/>
  <c r="AW188" i="1" s="1"/>
  <c r="BB188" i="1"/>
  <c r="AV188" i="1"/>
  <c r="AS188" i="1"/>
  <c r="AR188" i="1"/>
  <c r="AO188" i="1"/>
  <c r="J188" i="1" s="1"/>
  <c r="AC188" i="1"/>
  <c r="P188" i="1"/>
  <c r="CA188" i="1" s="1"/>
  <c r="A188" i="1"/>
  <c r="A188" i="5" s="1"/>
  <c r="BY187" i="1"/>
  <c r="BV187" i="1"/>
  <c r="BT187" i="1"/>
  <c r="AW187" i="1" s="1"/>
  <c r="BB187" i="1"/>
  <c r="AV187" i="1"/>
  <c r="AS187" i="1"/>
  <c r="AR187" i="1"/>
  <c r="AO187" i="1"/>
  <c r="J187" i="1" s="1"/>
  <c r="AC187" i="1"/>
  <c r="P187" i="1"/>
  <c r="CA187" i="1" s="1"/>
  <c r="I187" i="1"/>
  <c r="A187" i="1"/>
  <c r="A187" i="5" s="1"/>
  <c r="CJ186" i="1"/>
  <c r="CI186" i="1"/>
  <c r="CH186" i="1"/>
  <c r="CG186" i="1"/>
  <c r="CF186" i="1"/>
  <c r="CE186" i="1"/>
  <c r="CC186" i="1"/>
  <c r="CB186" i="1"/>
  <c r="BY186" i="1"/>
  <c r="BV186" i="1"/>
  <c r="BT186" i="1"/>
  <c r="AW186" i="1" s="1"/>
  <c r="BO186" i="1"/>
  <c r="BI186" i="1"/>
  <c r="BL186" i="1" s="1"/>
  <c r="BC186" i="1"/>
  <c r="BB186" i="1"/>
  <c r="AZ186" i="1"/>
  <c r="AY186" i="1"/>
  <c r="AX186" i="1"/>
  <c r="AR186" i="1"/>
  <c r="AI186" i="1"/>
  <c r="AM186" i="1" s="1"/>
  <c r="AC186" i="1"/>
  <c r="X186" i="1"/>
  <c r="Y186" i="1" s="1"/>
  <c r="S186" i="1"/>
  <c r="W186" i="1" s="1"/>
  <c r="P186" i="1"/>
  <c r="CA186" i="1" s="1"/>
  <c r="I186" i="1"/>
  <c r="BM186" i="1" s="1"/>
  <c r="A186" i="1"/>
  <c r="A186" i="5" s="1"/>
  <c r="BY185" i="1"/>
  <c r="BV185" i="1"/>
  <c r="BT185" i="1"/>
  <c r="AW185" i="1" s="1"/>
  <c r="BB185" i="1"/>
  <c r="AV185" i="1"/>
  <c r="AS185" i="1"/>
  <c r="AR185" i="1"/>
  <c r="AC185" i="1"/>
  <c r="X185" i="1"/>
  <c r="Z185" i="1" s="1"/>
  <c r="P185" i="1"/>
  <c r="CA185" i="1" s="1"/>
  <c r="I185" i="1"/>
  <c r="A185" i="1"/>
  <c r="A185" i="5" s="1"/>
  <c r="BJ138" i="1"/>
  <c r="BW103" i="1"/>
  <c r="BW104" i="1"/>
  <c r="BW105" i="1"/>
  <c r="BW106" i="1"/>
  <c r="BW107" i="1"/>
  <c r="BW108" i="1"/>
  <c r="BW127" i="1"/>
  <c r="BU180" i="3"/>
  <c r="BQ180" i="3"/>
  <c r="BM180" i="3"/>
  <c r="BI180" i="3"/>
  <c r="BD180" i="3"/>
  <c r="BC180" i="3"/>
  <c r="BA180" i="3"/>
  <c r="AZ180" i="3"/>
  <c r="AY180" i="3"/>
  <c r="AR180" i="3"/>
  <c r="AO180" i="3"/>
  <c r="T180" i="3"/>
  <c r="S180" i="3"/>
  <c r="L180" i="3"/>
  <c r="G180" i="3"/>
  <c r="AT180" i="1" s="1"/>
  <c r="AU180" i="1" s="1"/>
  <c r="G179" i="3"/>
  <c r="AT179" i="1" s="1"/>
  <c r="AU179" i="1" s="1"/>
  <c r="BU179" i="3"/>
  <c r="BQ179" i="3"/>
  <c r="BM179" i="3"/>
  <c r="BI179" i="3"/>
  <c r="BD179" i="3"/>
  <c r="BC179" i="3"/>
  <c r="BA179" i="3"/>
  <c r="AZ179" i="3"/>
  <c r="AY179" i="3"/>
  <c r="AR179" i="3"/>
  <c r="AO179" i="3"/>
  <c r="T179" i="3"/>
  <c r="S179" i="3"/>
  <c r="BU178" i="3"/>
  <c r="BQ178" i="3"/>
  <c r="BM178" i="3"/>
  <c r="BI178" i="3"/>
  <c r="BD178" i="3"/>
  <c r="BC178" i="3"/>
  <c r="BA178" i="3"/>
  <c r="AZ178" i="3"/>
  <c r="AY178" i="3"/>
  <c r="AR178" i="3"/>
  <c r="AO178" i="3"/>
  <c r="T178" i="3"/>
  <c r="S178" i="3"/>
  <c r="L178" i="3"/>
  <c r="I178" i="1" s="1"/>
  <c r="G177" i="3"/>
  <c r="AT177" i="1" s="1"/>
  <c r="AU177" i="1" s="1"/>
  <c r="CC177" i="1"/>
  <c r="BU177" i="3"/>
  <c r="BQ177" i="3"/>
  <c r="BM177" i="3"/>
  <c r="BI177" i="3"/>
  <c r="BD177" i="3"/>
  <c r="BC177" i="3"/>
  <c r="BA177" i="3"/>
  <c r="AZ177" i="3"/>
  <c r="AY177" i="3"/>
  <c r="AR177" i="3"/>
  <c r="AO177" i="3"/>
  <c r="T177" i="3"/>
  <c r="S177" i="3"/>
  <c r="L177" i="3"/>
  <c r="C37" i="9"/>
  <c r="D37" i="9"/>
  <c r="E37" i="9"/>
  <c r="C38" i="9"/>
  <c r="D38" i="9"/>
  <c r="E38" i="9"/>
  <c r="BU176" i="3"/>
  <c r="BQ176" i="3"/>
  <c r="BM176" i="3"/>
  <c r="BI176" i="3"/>
  <c r="BD176" i="3"/>
  <c r="BC176" i="3"/>
  <c r="BA176" i="3"/>
  <c r="AZ176" i="3"/>
  <c r="AY176" i="3"/>
  <c r="AR176" i="3"/>
  <c r="AO176" i="3"/>
  <c r="T176" i="3"/>
  <c r="S176" i="3"/>
  <c r="L176" i="3"/>
  <c r="I176" i="1" s="1"/>
  <c r="BM176" i="1" s="1"/>
  <c r="G176" i="3"/>
  <c r="AT176" i="1" s="1"/>
  <c r="AU176" i="1" s="1"/>
  <c r="F176" i="3"/>
  <c r="AS176" i="1" s="1"/>
  <c r="J176" i="3"/>
  <c r="BU175" i="3"/>
  <c r="BQ175" i="3"/>
  <c r="BM175" i="3"/>
  <c r="BI175" i="3"/>
  <c r="BD175" i="3"/>
  <c r="BC175" i="3"/>
  <c r="BA175" i="3"/>
  <c r="AZ175" i="3"/>
  <c r="AY175" i="3"/>
  <c r="AR175" i="3"/>
  <c r="AO175" i="3"/>
  <c r="V175" i="3"/>
  <c r="T175" i="3"/>
  <c r="S175" i="3"/>
  <c r="G175" i="3"/>
  <c r="AT175" i="1" s="1"/>
  <c r="AU175" i="1" s="1"/>
  <c r="BU174" i="3"/>
  <c r="BQ174" i="3"/>
  <c r="BM174" i="3"/>
  <c r="BI174" i="3"/>
  <c r="BD174" i="3"/>
  <c r="BC174" i="3"/>
  <c r="BA174" i="3"/>
  <c r="AZ174" i="3"/>
  <c r="AR174" i="3"/>
  <c r="AO174" i="3"/>
  <c r="AY174" i="3"/>
  <c r="T174" i="3"/>
  <c r="S174" i="3"/>
  <c r="G174" i="3"/>
  <c r="AT174" i="1" s="1"/>
  <c r="AU174" i="1" s="1"/>
  <c r="CE174" i="1"/>
  <c r="J174" i="3"/>
  <c r="AV174" i="1" s="1"/>
  <c r="F174" i="3"/>
  <c r="AS174" i="1" s="1"/>
  <c r="BU173" i="3"/>
  <c r="BQ173" i="3"/>
  <c r="BM173" i="3"/>
  <c r="BI173" i="3"/>
  <c r="BD173" i="3"/>
  <c r="BC173" i="3"/>
  <c r="BA173" i="3"/>
  <c r="AZ173" i="3"/>
  <c r="AY173" i="3"/>
  <c r="AR173" i="3"/>
  <c r="AO173" i="3"/>
  <c r="T173" i="3"/>
  <c r="S173" i="3"/>
  <c r="G173" i="3"/>
  <c r="AT173" i="1" s="1"/>
  <c r="AU173" i="1" s="1"/>
  <c r="G172" i="3"/>
  <c r="AT172" i="1" s="1"/>
  <c r="AU172" i="1" s="1"/>
  <c r="AZ180" i="1"/>
  <c r="BF179" i="3"/>
  <c r="BJ178" i="1"/>
  <c r="BC176" i="1"/>
  <c r="AS175" i="3"/>
  <c r="BH175" i="3" s="1"/>
  <c r="S173" i="1"/>
  <c r="W173" i="1" s="1"/>
  <c r="CI190" i="1"/>
  <c r="BJ172" i="1"/>
  <c r="AN172" i="1" s="1"/>
  <c r="BD172" i="3"/>
  <c r="BA172" i="3"/>
  <c r="AY172" i="3"/>
  <c r="AR172" i="3"/>
  <c r="AO172" i="3"/>
  <c r="W172" i="3"/>
  <c r="V172" i="3"/>
  <c r="T172" i="3"/>
  <c r="S172" i="3"/>
  <c r="BT172" i="1"/>
  <c r="AW172" i="1" s="1"/>
  <c r="A180" i="5"/>
  <c r="B180" i="5"/>
  <c r="C180" i="5"/>
  <c r="A172" i="5"/>
  <c r="B172" i="5"/>
  <c r="C172" i="5"/>
  <c r="A173" i="5"/>
  <c r="B173" i="5"/>
  <c r="C173" i="5"/>
  <c r="A174" i="5"/>
  <c r="B174" i="5"/>
  <c r="C174" i="5"/>
  <c r="A175" i="5"/>
  <c r="B175" i="5"/>
  <c r="C175" i="5"/>
  <c r="A176" i="5"/>
  <c r="B176" i="5"/>
  <c r="C176" i="5"/>
  <c r="A177" i="5"/>
  <c r="B177" i="5"/>
  <c r="C177" i="5"/>
  <c r="A178" i="5"/>
  <c r="B178" i="5"/>
  <c r="C178" i="5"/>
  <c r="A179" i="5"/>
  <c r="B179" i="5"/>
  <c r="C179" i="5"/>
  <c r="I172" i="1"/>
  <c r="P172" i="1"/>
  <c r="CA172" i="1" s="1"/>
  <c r="AC172" i="1"/>
  <c r="AO172" i="1"/>
  <c r="J172" i="1" s="1"/>
  <c r="AR172" i="1"/>
  <c r="AS172" i="1"/>
  <c r="AV172" i="1"/>
  <c r="BB172" i="1"/>
  <c r="BV172" i="1"/>
  <c r="BY172" i="1"/>
  <c r="I173" i="1"/>
  <c r="P173" i="1"/>
  <c r="CA173" i="1" s="1"/>
  <c r="AC173" i="1"/>
  <c r="AO173" i="1"/>
  <c r="J173" i="1" s="1"/>
  <c r="AR173" i="1"/>
  <c r="AS173" i="1"/>
  <c r="AV173" i="1"/>
  <c r="BB173" i="1"/>
  <c r="BT173" i="1"/>
  <c r="AW173" i="1" s="1"/>
  <c r="BV173" i="1"/>
  <c r="BY173" i="1"/>
  <c r="P174" i="1"/>
  <c r="CA174" i="1" s="1"/>
  <c r="AC174" i="1"/>
  <c r="AO174" i="1"/>
  <c r="J174" i="1" s="1"/>
  <c r="AR174" i="1"/>
  <c r="BB174" i="1"/>
  <c r="BT174" i="1"/>
  <c r="AW174" i="1" s="1"/>
  <c r="BV174" i="1"/>
  <c r="BY174" i="1"/>
  <c r="I175" i="1"/>
  <c r="P175" i="1"/>
  <c r="CA175" i="1" s="1"/>
  <c r="AC175" i="1"/>
  <c r="AO175" i="1"/>
  <c r="J175" i="1" s="1"/>
  <c r="AR175" i="1"/>
  <c r="AS175" i="1"/>
  <c r="AV175" i="1"/>
  <c r="BB175" i="1"/>
  <c r="BT175" i="1"/>
  <c r="AW175" i="1" s="1"/>
  <c r="BV175" i="1"/>
  <c r="BY175" i="1"/>
  <c r="P176" i="1"/>
  <c r="CA176" i="1" s="1"/>
  <c r="AC176" i="1"/>
  <c r="AO176" i="1"/>
  <c r="BE176" i="1" s="1"/>
  <c r="AR176" i="1"/>
  <c r="AV176" i="1"/>
  <c r="BB176" i="1"/>
  <c r="BT176" i="1"/>
  <c r="AW176" i="1" s="1"/>
  <c r="BV176" i="1"/>
  <c r="BY176" i="1"/>
  <c r="I177" i="1"/>
  <c r="P177" i="1"/>
  <c r="CA177" i="1" s="1"/>
  <c r="AC177" i="1"/>
  <c r="AO177" i="1"/>
  <c r="J177" i="1" s="1"/>
  <c r="AR177" i="1"/>
  <c r="AS177" i="1"/>
  <c r="AV177" i="1"/>
  <c r="BB177" i="1"/>
  <c r="BT177" i="1"/>
  <c r="AW177" i="1" s="1"/>
  <c r="BV177" i="1"/>
  <c r="BY177" i="1"/>
  <c r="P178" i="1"/>
  <c r="CA178" i="1" s="1"/>
  <c r="AC178" i="1"/>
  <c r="AO178" i="1"/>
  <c r="J178" i="1" s="1"/>
  <c r="AR178" i="1"/>
  <c r="AS178" i="1"/>
  <c r="AV178" i="1"/>
  <c r="BB178" i="1"/>
  <c r="BT178" i="1"/>
  <c r="AW178" i="1" s="1"/>
  <c r="BV178" i="1"/>
  <c r="BY178" i="1"/>
  <c r="I179" i="1"/>
  <c r="P179" i="1"/>
  <c r="CA179" i="1" s="1"/>
  <c r="AC179" i="1"/>
  <c r="AO179" i="1"/>
  <c r="J179" i="1" s="1"/>
  <c r="AR179" i="1"/>
  <c r="AS179" i="1"/>
  <c r="AV179" i="1"/>
  <c r="BB179" i="1"/>
  <c r="BT179" i="1"/>
  <c r="AW179" i="1" s="1"/>
  <c r="BV179" i="1"/>
  <c r="BY179" i="1"/>
  <c r="I180" i="1"/>
  <c r="P180" i="1"/>
  <c r="CA180" i="1" s="1"/>
  <c r="AC180" i="1"/>
  <c r="AO180" i="1"/>
  <c r="J180" i="1" s="1"/>
  <c r="AR180" i="1"/>
  <c r="AS180" i="1"/>
  <c r="AV180" i="1"/>
  <c r="BB180" i="1"/>
  <c r="BT180" i="1"/>
  <c r="AW180" i="1" s="1"/>
  <c r="BV180" i="1"/>
  <c r="BY180" i="1"/>
  <c r="B171" i="5"/>
  <c r="C171" i="5"/>
  <c r="P171" i="1"/>
  <c r="CA171" i="1" s="1"/>
  <c r="X171" i="1"/>
  <c r="Y171" i="1" s="1"/>
  <c r="AC171" i="1"/>
  <c r="AO171" i="1"/>
  <c r="J171" i="1" s="1"/>
  <c r="AR171" i="1"/>
  <c r="AS171" i="1"/>
  <c r="AV171" i="1"/>
  <c r="BB171" i="1"/>
  <c r="BT171" i="1"/>
  <c r="AW171" i="1" s="1"/>
  <c r="BV171" i="1"/>
  <c r="BY171" i="1"/>
  <c r="A171" i="1"/>
  <c r="A171" i="5" s="1"/>
  <c r="BU171" i="3"/>
  <c r="BQ171" i="3"/>
  <c r="BM171" i="3"/>
  <c r="BI171" i="3"/>
  <c r="BD171" i="3"/>
  <c r="BC171" i="3"/>
  <c r="BA171" i="3"/>
  <c r="AZ171" i="3"/>
  <c r="AY171" i="3"/>
  <c r="AR171" i="3"/>
  <c r="AO171" i="3"/>
  <c r="T171" i="3"/>
  <c r="S171" i="3"/>
  <c r="L171" i="3"/>
  <c r="I171" i="1" s="1"/>
  <c r="BJ171" i="1"/>
  <c r="AY79" i="1"/>
  <c r="AY81" i="1"/>
  <c r="AY91" i="1"/>
  <c r="AY92" i="1"/>
  <c r="AY93" i="1"/>
  <c r="AY94" i="1"/>
  <c r="AY98" i="1"/>
  <c r="AY99" i="1"/>
  <c r="AY100" i="1"/>
  <c r="AY101" i="1"/>
  <c r="AY102" i="1"/>
  <c r="AY109" i="1"/>
  <c r="AY110" i="1"/>
  <c r="AY113" i="1"/>
  <c r="AY114" i="1"/>
  <c r="AY115" i="1"/>
  <c r="AY116" i="1"/>
  <c r="AY117" i="1"/>
  <c r="AY118" i="1"/>
  <c r="AY119" i="1"/>
  <c r="AY120" i="1"/>
  <c r="AY122" i="1"/>
  <c r="AY123" i="1"/>
  <c r="AY128" i="1"/>
  <c r="AY130" i="1"/>
  <c r="AY131" i="1"/>
  <c r="AY133" i="1"/>
  <c r="AY134" i="1"/>
  <c r="AY136" i="1"/>
  <c r="AY137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3" i="1"/>
  <c r="A167" i="1"/>
  <c r="AT167" i="1" s="1"/>
  <c r="AU167" i="1" s="1"/>
  <c r="A168" i="1"/>
  <c r="A168" i="5" s="1"/>
  <c r="A169" i="1"/>
  <c r="A169" i="5" s="1"/>
  <c r="A170" i="1"/>
  <c r="A170" i="5" s="1"/>
  <c r="CI170" i="1"/>
  <c r="B168" i="5"/>
  <c r="C168" i="5"/>
  <c r="B169" i="5"/>
  <c r="C169" i="5"/>
  <c r="B170" i="5"/>
  <c r="C170" i="5"/>
  <c r="AO168" i="3"/>
  <c r="AR168" i="3"/>
  <c r="AY168" i="3"/>
  <c r="AZ168" i="3"/>
  <c r="BA168" i="3"/>
  <c r="BD168" i="3"/>
  <c r="BN168" i="3"/>
  <c r="AO169" i="3"/>
  <c r="AR169" i="3"/>
  <c r="AY169" i="3"/>
  <c r="AZ169" i="3"/>
  <c r="BA169" i="3"/>
  <c r="BC169" i="3"/>
  <c r="BD169" i="3"/>
  <c r="BI169" i="3"/>
  <c r="BM169" i="3"/>
  <c r="BQ169" i="3"/>
  <c r="BU169" i="3"/>
  <c r="AO170" i="3"/>
  <c r="AR170" i="3"/>
  <c r="AY170" i="3"/>
  <c r="AZ170" i="3"/>
  <c r="BA170" i="3"/>
  <c r="BC170" i="3"/>
  <c r="BD170" i="3"/>
  <c r="BI170" i="3"/>
  <c r="BM170" i="3"/>
  <c r="BQ170" i="3"/>
  <c r="BU170" i="3"/>
  <c r="S168" i="3"/>
  <c r="T168" i="3"/>
  <c r="S169" i="3"/>
  <c r="T169" i="3"/>
  <c r="S170" i="3"/>
  <c r="T170" i="3"/>
  <c r="J168" i="3"/>
  <c r="J169" i="3"/>
  <c r="J170" i="3"/>
  <c r="AV170" i="1" s="1"/>
  <c r="I168" i="1"/>
  <c r="P168" i="1"/>
  <c r="AC168" i="1"/>
  <c r="AO168" i="1"/>
  <c r="AR168" i="1"/>
  <c r="AS168" i="1"/>
  <c r="AV168" i="1"/>
  <c r="BB168" i="1"/>
  <c r="BT168" i="1"/>
  <c r="AW168" i="1" s="1"/>
  <c r="BV168" i="1"/>
  <c r="BY168" i="1"/>
  <c r="I169" i="1"/>
  <c r="P169" i="1"/>
  <c r="AC169" i="1"/>
  <c r="AO169" i="1"/>
  <c r="AR169" i="1"/>
  <c r="AV169" i="1"/>
  <c r="BB169" i="1"/>
  <c r="BT169" i="1"/>
  <c r="AW169" i="1" s="1"/>
  <c r="BV169" i="1"/>
  <c r="BY169" i="1"/>
  <c r="I170" i="1"/>
  <c r="P170" i="1"/>
  <c r="AC170" i="1"/>
  <c r="AO170" i="1"/>
  <c r="AR170" i="1"/>
  <c r="AS170" i="1"/>
  <c r="BB170" i="1"/>
  <c r="BT170" i="1"/>
  <c r="AW170" i="1" s="1"/>
  <c r="BV170" i="1"/>
  <c r="BY170" i="1"/>
  <c r="F168" i="3"/>
  <c r="F169" i="3"/>
  <c r="AS169" i="1" s="1"/>
  <c r="F170" i="3"/>
  <c r="AX169" i="1"/>
  <c r="AP168" i="3"/>
  <c r="CG79" i="1"/>
  <c r="CG81" i="1"/>
  <c r="CG91" i="1"/>
  <c r="CG92" i="1"/>
  <c r="CG93" i="1"/>
  <c r="CG94" i="1"/>
  <c r="CG98" i="1"/>
  <c r="CG99" i="1"/>
  <c r="CG100" i="1"/>
  <c r="CG101" i="1"/>
  <c r="CG102" i="1"/>
  <c r="CG109" i="1"/>
  <c r="CG110" i="1"/>
  <c r="CG113" i="1"/>
  <c r="CG114" i="1"/>
  <c r="CG115" i="1"/>
  <c r="CG116" i="1"/>
  <c r="CG117" i="1"/>
  <c r="CG118" i="1"/>
  <c r="CG119" i="1"/>
  <c r="CG120" i="1"/>
  <c r="CG122" i="1"/>
  <c r="CG123" i="1"/>
  <c r="CG128" i="1"/>
  <c r="CG130" i="1"/>
  <c r="CG131" i="1"/>
  <c r="CG133" i="1"/>
  <c r="CG134" i="1"/>
  <c r="CG136" i="1"/>
  <c r="CG137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3" i="1"/>
  <c r="BA190" i="1" l="1"/>
  <c r="N4" i="1"/>
  <c r="N10" i="1"/>
  <c r="N16" i="1"/>
  <c r="N22" i="1"/>
  <c r="N40" i="1"/>
  <c r="N46" i="1"/>
  <c r="N52" i="1"/>
  <c r="N58" i="1"/>
  <c r="N64" i="1"/>
  <c r="N70" i="1"/>
  <c r="N76" i="1"/>
  <c r="N82" i="1"/>
  <c r="N88" i="1"/>
  <c r="N94" i="1"/>
  <c r="N100" i="1"/>
  <c r="N112" i="1"/>
  <c r="N118" i="1"/>
  <c r="N124" i="1"/>
  <c r="N130" i="1"/>
  <c r="N136" i="1"/>
  <c r="N142" i="1"/>
  <c r="N148" i="1"/>
  <c r="N154" i="1"/>
  <c r="N166" i="1"/>
  <c r="N172" i="1"/>
  <c r="N178" i="1"/>
  <c r="N184" i="1"/>
  <c r="N190" i="1"/>
  <c r="N196" i="1"/>
  <c r="N202" i="1"/>
  <c r="O76" i="1"/>
  <c r="O88" i="1"/>
  <c r="O94" i="1"/>
  <c r="O100" i="1"/>
  <c r="O118" i="1"/>
  <c r="O136" i="1"/>
  <c r="O154" i="1"/>
  <c r="O184" i="1"/>
  <c r="O190" i="1"/>
  <c r="O196" i="1"/>
  <c r="J199" i="1"/>
  <c r="BA188" i="1"/>
  <c r="BA68" i="1"/>
  <c r="N5" i="1"/>
  <c r="N11" i="1"/>
  <c r="N17" i="1"/>
  <c r="N23" i="1"/>
  <c r="N29" i="1"/>
  <c r="N35" i="1"/>
  <c r="N41" i="1"/>
  <c r="N47" i="1"/>
  <c r="N53" i="1"/>
  <c r="N59" i="1"/>
  <c r="N65" i="1"/>
  <c r="N71" i="1"/>
  <c r="N77" i="1"/>
  <c r="N83" i="1"/>
  <c r="N89" i="1"/>
  <c r="N95" i="1"/>
  <c r="N119" i="1"/>
  <c r="N125" i="1"/>
  <c r="N131" i="1"/>
  <c r="N137" i="1"/>
  <c r="N143" i="1"/>
  <c r="N149" i="1"/>
  <c r="N155" i="1"/>
  <c r="N161" i="1"/>
  <c r="N173" i="1"/>
  <c r="N179" i="1"/>
  <c r="N185" i="1"/>
  <c r="N191" i="1"/>
  <c r="N197" i="1"/>
  <c r="N203" i="1"/>
  <c r="CB196" i="1"/>
  <c r="S204" i="1"/>
  <c r="V204" i="1" s="1"/>
  <c r="J170" i="1"/>
  <c r="BA187" i="1"/>
  <c r="O71" i="1"/>
  <c r="O185" i="1"/>
  <c r="BZ196" i="1"/>
  <c r="N6" i="1"/>
  <c r="N12" i="1"/>
  <c r="N18" i="1"/>
  <c r="N24" i="1"/>
  <c r="N30" i="1"/>
  <c r="N36" i="1"/>
  <c r="N42" i="1"/>
  <c r="N48" i="1"/>
  <c r="N54" i="1"/>
  <c r="N60" i="1"/>
  <c r="N66" i="1"/>
  <c r="N72" i="1"/>
  <c r="N78" i="1"/>
  <c r="N84" i="1"/>
  <c r="N90" i="1"/>
  <c r="N96" i="1"/>
  <c r="N114" i="1"/>
  <c r="N120" i="1"/>
  <c r="N126" i="1"/>
  <c r="N132" i="1"/>
  <c r="N138" i="1"/>
  <c r="N144" i="1"/>
  <c r="N150" i="1"/>
  <c r="N156" i="1"/>
  <c r="N162" i="1"/>
  <c r="N174" i="1"/>
  <c r="N192" i="1"/>
  <c r="O78" i="1"/>
  <c r="O84" i="1"/>
  <c r="O96" i="1"/>
  <c r="O150" i="1"/>
  <c r="BA184" i="1"/>
  <c r="BA88" i="1"/>
  <c r="N7" i="1"/>
  <c r="N13" i="1"/>
  <c r="N19" i="1"/>
  <c r="N25" i="1"/>
  <c r="N31" i="1"/>
  <c r="N37" i="1"/>
  <c r="N43" i="1"/>
  <c r="N49" i="1"/>
  <c r="N55" i="1"/>
  <c r="N61" i="1"/>
  <c r="N67" i="1"/>
  <c r="N73" i="1"/>
  <c r="N79" i="1"/>
  <c r="N85" i="1"/>
  <c r="N97" i="1"/>
  <c r="N109" i="1"/>
  <c r="N115" i="1"/>
  <c r="N121" i="1"/>
  <c r="N133" i="1"/>
  <c r="N139" i="1"/>
  <c r="N145" i="1"/>
  <c r="N151" i="1"/>
  <c r="N157" i="1"/>
  <c r="N163" i="1"/>
  <c r="N175" i="1"/>
  <c r="N181" i="1"/>
  <c r="N187" i="1"/>
  <c r="N193" i="1"/>
  <c r="N205" i="1"/>
  <c r="O67" i="1"/>
  <c r="O85" i="1"/>
  <c r="O97" i="1"/>
  <c r="O181" i="1"/>
  <c r="N146" i="1"/>
  <c r="AI207" i="1"/>
  <c r="AL207" i="1" s="1"/>
  <c r="O68" i="1"/>
  <c r="O194" i="1"/>
  <c r="N3" i="1"/>
  <c r="N9" i="1"/>
  <c r="N15" i="1"/>
  <c r="N21" i="1"/>
  <c r="N33" i="1"/>
  <c r="N39" i="1"/>
  <c r="N45" i="1"/>
  <c r="N51" i="1"/>
  <c r="N57" i="1"/>
  <c r="N63" i="1"/>
  <c r="N69" i="1"/>
  <c r="N75" i="1"/>
  <c r="N87" i="1"/>
  <c r="N93" i="1"/>
  <c r="N99" i="1"/>
  <c r="N111" i="1"/>
  <c r="N117" i="1"/>
  <c r="N123" i="1"/>
  <c r="N129" i="1"/>
  <c r="N135" i="1"/>
  <c r="N141" i="1"/>
  <c r="N147" i="1"/>
  <c r="N153" i="1"/>
  <c r="N159" i="1"/>
  <c r="N165" i="1"/>
  <c r="N171" i="1"/>
  <c r="N177" i="1"/>
  <c r="N183" i="1"/>
  <c r="N189" i="1"/>
  <c r="N195" i="1"/>
  <c r="N201" i="1"/>
  <c r="AV185" i="3" s="1"/>
  <c r="N207" i="1"/>
  <c r="BA191" i="1"/>
  <c r="O201" i="1"/>
  <c r="J202" i="1"/>
  <c r="J205" i="1"/>
  <c r="J176" i="1"/>
  <c r="J203" i="1"/>
  <c r="J204" i="1"/>
  <c r="J183" i="1"/>
  <c r="J182" i="1"/>
  <c r="BP187" i="3" a="1"/>
  <c r="BP187" i="3" s="1"/>
  <c r="AT187" i="3"/>
  <c r="BJ187" i="3" s="1"/>
  <c r="BI204" i="1"/>
  <c r="BL204" i="1" s="1"/>
  <c r="J181" i="1"/>
  <c r="AT201" i="1"/>
  <c r="AU201" i="1" s="1"/>
  <c r="AT200" i="1"/>
  <c r="AU200" i="1" s="1"/>
  <c r="AT199" i="1"/>
  <c r="AU199" i="1" s="1"/>
  <c r="AT168" i="1"/>
  <c r="AU168" i="1" s="1"/>
  <c r="AT169" i="1"/>
  <c r="AU169" i="1" s="1"/>
  <c r="AT170" i="1"/>
  <c r="AU170" i="1" s="1"/>
  <c r="AT171" i="1"/>
  <c r="AU171" i="1" s="1"/>
  <c r="AT206" i="1"/>
  <c r="AU206" i="1" s="1"/>
  <c r="AT207" i="1"/>
  <c r="AU207" i="1" s="1"/>
  <c r="AT205" i="1"/>
  <c r="AU205" i="1" s="1"/>
  <c r="AT204" i="1"/>
  <c r="AU204" i="1" s="1"/>
  <c r="AT203" i="1"/>
  <c r="AU203" i="1" s="1"/>
  <c r="AT202" i="1"/>
  <c r="AU202" i="1" s="1"/>
  <c r="CG206" i="1"/>
  <c r="CC202" i="1"/>
  <c r="CC207" i="1"/>
  <c r="AQ207" i="1" s="1"/>
  <c r="BS207" i="1" s="1"/>
  <c r="BG187" i="3"/>
  <c r="E203" i="5" s="1"/>
  <c r="CG207" i="1"/>
  <c r="AX188" i="3"/>
  <c r="CJ204" i="1"/>
  <c r="AV191" i="3"/>
  <c r="BI207" i="1"/>
  <c r="BL207" i="1" s="1"/>
  <c r="CI207" i="1"/>
  <c r="BC202" i="1"/>
  <c r="W202" i="5"/>
  <c r="BI202" i="1"/>
  <c r="BL202" i="1" s="1"/>
  <c r="CC204" i="1"/>
  <c r="AQ204" i="1" s="1"/>
  <c r="BS204" i="1" s="1"/>
  <c r="CE205" i="1"/>
  <c r="CH205" i="1"/>
  <c r="CB202" i="1"/>
  <c r="BQ188" i="3"/>
  <c r="AX202" i="1"/>
  <c r="CE202" i="1"/>
  <c r="AY202" i="1"/>
  <c r="CF202" i="1"/>
  <c r="AZ202" i="1"/>
  <c r="CG202" i="1"/>
  <c r="BJ205" i="1"/>
  <c r="BK205" i="1" s="1"/>
  <c r="BJ204" i="1"/>
  <c r="BK204" i="1" s="1"/>
  <c r="CG205" i="1"/>
  <c r="AP189" i="3"/>
  <c r="AQ189" i="3" s="1"/>
  <c r="BG188" i="3"/>
  <c r="CI205" i="1"/>
  <c r="BG189" i="3"/>
  <c r="AS189" i="3"/>
  <c r="BH189" i="3" s="1"/>
  <c r="BL189" i="3" s="1"/>
  <c r="AV189" i="3"/>
  <c r="BI205" i="1"/>
  <c r="BL205" i="1" s="1"/>
  <c r="CF205" i="1"/>
  <c r="AC199" i="5"/>
  <c r="X200" i="5"/>
  <c r="AC178" i="5"/>
  <c r="AZ204" i="1"/>
  <c r="CF204" i="1"/>
  <c r="CG204" i="1"/>
  <c r="AP186" i="3"/>
  <c r="AQ186" i="3" s="1"/>
  <c r="CB179" i="1"/>
  <c r="AQ168" i="3"/>
  <c r="AA168" i="5" s="1"/>
  <c r="O168" i="1" s="1"/>
  <c r="Q170" i="1"/>
  <c r="A39" i="9"/>
  <c r="A40" i="9"/>
  <c r="H39" i="9"/>
  <c r="D39" i="9" s="1"/>
  <c r="BW201" i="1"/>
  <c r="BO201" i="1"/>
  <c r="BQ201" i="1" s="1"/>
  <c r="BN201" i="1" s="1"/>
  <c r="BP184" i="3" a="1"/>
  <c r="BP184" i="3" s="1"/>
  <c r="BT184" i="3" s="1"/>
  <c r="BG184" i="3"/>
  <c r="E200" i="5" s="1"/>
  <c r="BP170" i="3" a="1"/>
  <c r="BP170" i="3" s="1"/>
  <c r="BT170" i="3" s="1"/>
  <c r="BG190" i="3"/>
  <c r="AZ201" i="1"/>
  <c r="BI200" i="1"/>
  <c r="BL200" i="1" s="1"/>
  <c r="AS184" i="3"/>
  <c r="BH184" i="3" s="1"/>
  <c r="AS185" i="3"/>
  <c r="BH185" i="3" s="1"/>
  <c r="CI201" i="1"/>
  <c r="AY201" i="1"/>
  <c r="CH201" i="1"/>
  <c r="AX201" i="1"/>
  <c r="BO200" i="1"/>
  <c r="BQ200" i="1" s="1"/>
  <c r="BN200" i="1" s="1"/>
  <c r="CB201" i="1"/>
  <c r="AZ178" i="1"/>
  <c r="CG176" i="1"/>
  <c r="AY178" i="1"/>
  <c r="CF176" i="1"/>
  <c r="CG76" i="1"/>
  <c r="CE199" i="1"/>
  <c r="CB205" i="1"/>
  <c r="BE184" i="3"/>
  <c r="BL184" i="3" s="1"/>
  <c r="Y205" i="5"/>
  <c r="AX205" i="1"/>
  <c r="CC205" i="1"/>
  <c r="AQ205" i="1" s="1"/>
  <c r="BS205" i="1" s="1"/>
  <c r="AX189" i="3"/>
  <c r="BG191" i="3"/>
  <c r="BS191" i="3" s="1"/>
  <c r="D207" i="5" s="1"/>
  <c r="AX178" i="1"/>
  <c r="W175" i="5"/>
  <c r="BE201" i="1"/>
  <c r="CJ176" i="1"/>
  <c r="AI200" i="1"/>
  <c r="S200" i="5" s="1"/>
  <c r="U200" i="5" s="1"/>
  <c r="AT185" i="3"/>
  <c r="BJ185" i="3" s="1"/>
  <c r="BR185" i="3" s="1"/>
  <c r="BV185" i="3" s="1"/>
  <c r="CJ201" i="1"/>
  <c r="BG186" i="3"/>
  <c r="BS186" i="3" s="1"/>
  <c r="D202" i="5" s="1"/>
  <c r="AZ177" i="1"/>
  <c r="CG200" i="1"/>
  <c r="CG178" i="1"/>
  <c r="CB176" i="1"/>
  <c r="CJ200" i="1"/>
  <c r="BF184" i="3"/>
  <c r="CF201" i="1"/>
  <c r="BI201" i="1"/>
  <c r="BL201" i="1" s="1"/>
  <c r="S201" i="1"/>
  <c r="T201" i="1" s="1"/>
  <c r="CI202" i="1"/>
  <c r="AX186" i="3"/>
  <c r="BO179" i="1"/>
  <c r="BQ179" i="1" s="1"/>
  <c r="BN179" i="1" s="1"/>
  <c r="CF178" i="1"/>
  <c r="AZ200" i="1"/>
  <c r="CE201" i="1"/>
  <c r="BC201" i="1"/>
  <c r="BO202" i="1"/>
  <c r="BQ202" i="1" s="1"/>
  <c r="BN202" i="1" s="1"/>
  <c r="CJ202" i="1"/>
  <c r="AS186" i="3"/>
  <c r="BH186" i="3" s="1"/>
  <c r="CH178" i="1"/>
  <c r="AY177" i="1"/>
  <c r="CE176" i="1"/>
  <c r="CI200" i="1"/>
  <c r="CG201" i="1"/>
  <c r="BJ201" i="1"/>
  <c r="AN201" i="1" s="1"/>
  <c r="S202" i="1"/>
  <c r="W202" i="1" s="1"/>
  <c r="BJ202" i="1"/>
  <c r="AN202" i="1" s="1"/>
  <c r="CI174" i="1"/>
  <c r="AT184" i="3"/>
  <c r="V184" i="3" s="1"/>
  <c r="CC201" i="1"/>
  <c r="AP170" i="3"/>
  <c r="AQ170" i="3" s="1"/>
  <c r="AA170" i="5" s="1"/>
  <c r="O170" i="1" s="1"/>
  <c r="BO175" i="1"/>
  <c r="AP173" i="3"/>
  <c r="AQ173" i="3" s="1"/>
  <c r="AW190" i="3"/>
  <c r="AW191" i="3"/>
  <c r="AV190" i="3"/>
  <c r="E207" i="5"/>
  <c r="AW188" i="3"/>
  <c r="AP191" i="3"/>
  <c r="AQ191" i="3" s="1"/>
  <c r="BP191" i="3" a="1"/>
  <c r="BP191" i="3" s="1"/>
  <c r="AS191" i="3"/>
  <c r="BH191" i="3" s="1"/>
  <c r="BI191" i="3" s="1"/>
  <c r="BE191" i="3"/>
  <c r="AT191" i="3"/>
  <c r="AD207" i="1" s="1"/>
  <c r="AH207" i="1" s="1"/>
  <c r="BF191" i="3"/>
  <c r="BC191" i="3" s="1"/>
  <c r="BQ191" i="3"/>
  <c r="BK190" i="3"/>
  <c r="F206" i="5" s="1"/>
  <c r="BS190" i="3"/>
  <c r="D206" i="5" s="1"/>
  <c r="AP190" i="3"/>
  <c r="AQ190" i="3" s="1"/>
  <c r="BP190" i="3" a="1"/>
  <c r="BP190" i="3" s="1"/>
  <c r="BT190" i="3" s="1"/>
  <c r="AS190" i="3"/>
  <c r="BH190" i="3" s="1"/>
  <c r="BI190" i="3" s="1"/>
  <c r="BE190" i="3"/>
  <c r="AT190" i="3"/>
  <c r="BB190" i="3" s="1"/>
  <c r="BF190" i="3"/>
  <c r="BC190" i="3" s="1"/>
  <c r="BQ190" i="3"/>
  <c r="BK188" i="3"/>
  <c r="F204" i="5" s="1"/>
  <c r="BS188" i="3"/>
  <c r="D204" i="5" s="1"/>
  <c r="AP188" i="3"/>
  <c r="AQ188" i="3" s="1"/>
  <c r="Z204" i="5" s="1"/>
  <c r="N204" i="1" s="1"/>
  <c r="BB188" i="3"/>
  <c r="BP188" i="3" a="1"/>
  <c r="BP188" i="3" s="1"/>
  <c r="AS188" i="3"/>
  <c r="BH188" i="3" s="1"/>
  <c r="BI188" i="3" s="1"/>
  <c r="BU188" i="3" s="1"/>
  <c r="BE188" i="3"/>
  <c r="AT188" i="3"/>
  <c r="BJ188" i="3" s="1"/>
  <c r="BF188" i="3"/>
  <c r="BC188" i="3" s="1"/>
  <c r="BK189" i="3"/>
  <c r="F205" i="5" s="1"/>
  <c r="BS189" i="3"/>
  <c r="D205" i="5" s="1"/>
  <c r="Q205" i="1"/>
  <c r="R205" i="1" s="1"/>
  <c r="AZ189" i="3"/>
  <c r="AT189" i="3"/>
  <c r="BF189" i="3"/>
  <c r="BQ189" i="3"/>
  <c r="AW189" i="3"/>
  <c r="BE186" i="3"/>
  <c r="E204" i="5"/>
  <c r="Q206" i="1"/>
  <c r="R206" i="1" s="1"/>
  <c r="S207" i="5"/>
  <c r="T207" i="5" s="1"/>
  <c r="BP186" i="3" a="1"/>
  <c r="BP186" i="3" s="1"/>
  <c r="AT186" i="3"/>
  <c r="AU186" i="3" s="1"/>
  <c r="BF186" i="3"/>
  <c r="AN203" i="1"/>
  <c r="G205" i="5"/>
  <c r="H205" i="5" s="1"/>
  <c r="BK187" i="3"/>
  <c r="F203" i="5" s="1"/>
  <c r="BS187" i="3"/>
  <c r="D203" i="5" s="1"/>
  <c r="AU187" i="3"/>
  <c r="K201" i="5"/>
  <c r="L201" i="5" s="1"/>
  <c r="W204" i="1"/>
  <c r="BQ205" i="1"/>
  <c r="BN205" i="1" s="1"/>
  <c r="BQ203" i="1"/>
  <c r="BN203" i="1" s="1"/>
  <c r="AS187" i="3"/>
  <c r="BH187" i="3" s="1"/>
  <c r="BE187" i="3"/>
  <c r="BQ207" i="1"/>
  <c r="BN207" i="1" s="1"/>
  <c r="T204" i="1"/>
  <c r="U204" i="1"/>
  <c r="AJ206" i="1"/>
  <c r="BQ204" i="1"/>
  <c r="BN204" i="1" s="1"/>
  <c r="BQ206" i="1"/>
  <c r="BN206" i="1" s="1"/>
  <c r="S205" i="5"/>
  <c r="T205" i="5" s="1"/>
  <c r="CA203" i="1"/>
  <c r="Q204" i="1"/>
  <c r="R204" i="1" s="1"/>
  <c r="AB201" i="1"/>
  <c r="AA201" i="1"/>
  <c r="X203" i="1"/>
  <c r="K203" i="5" s="1"/>
  <c r="Z201" i="1"/>
  <c r="X197" i="5"/>
  <c r="AK207" i="1"/>
  <c r="AN207" i="1"/>
  <c r="AK206" i="1"/>
  <c r="AL206" i="1"/>
  <c r="AQ206" i="1"/>
  <c r="BS206" i="1" s="1"/>
  <c r="BE206" i="1"/>
  <c r="AN206" i="1"/>
  <c r="AB206" i="5"/>
  <c r="AJ205" i="1"/>
  <c r="AK205" i="1"/>
  <c r="AL205" i="1"/>
  <c r="E205" i="5"/>
  <c r="AC205" i="5"/>
  <c r="AB207" i="5"/>
  <c r="BE207" i="1"/>
  <c r="Y207" i="5"/>
  <c r="Q207" i="1"/>
  <c r="BD207" i="1"/>
  <c r="X207" i="5"/>
  <c r="K207" i="1"/>
  <c r="BH207" i="1"/>
  <c r="BD205" i="1"/>
  <c r="T205" i="1"/>
  <c r="BE205" i="1"/>
  <c r="U205" i="1"/>
  <c r="V205" i="1"/>
  <c r="AB205" i="5"/>
  <c r="X205" i="5"/>
  <c r="W205" i="5"/>
  <c r="K205" i="1"/>
  <c r="BH205" i="1"/>
  <c r="CA206" i="1"/>
  <c r="BD206" i="1"/>
  <c r="K206" i="1"/>
  <c r="BH206" i="1"/>
  <c r="AB204" i="5"/>
  <c r="BD204" i="1"/>
  <c r="BE204" i="1"/>
  <c r="K204" i="1"/>
  <c r="BH204" i="1"/>
  <c r="Y204" i="5"/>
  <c r="W204" i="5"/>
  <c r="X204" i="5"/>
  <c r="T203" i="1"/>
  <c r="AQ203" i="1"/>
  <c r="BS203" i="1" s="1"/>
  <c r="U203" i="1"/>
  <c r="W203" i="1"/>
  <c r="BD203" i="1"/>
  <c r="AB203" i="5"/>
  <c r="BE203" i="1"/>
  <c r="K203" i="1"/>
  <c r="BH203" i="1"/>
  <c r="Q203" i="1"/>
  <c r="BK203" i="1"/>
  <c r="AC203" i="5"/>
  <c r="AQ202" i="1"/>
  <c r="BS202" i="1" s="1"/>
  <c r="AB202" i="1"/>
  <c r="AB202" i="5"/>
  <c r="K202" i="5"/>
  <c r="L202" i="5" s="1"/>
  <c r="BD202" i="1"/>
  <c r="Q202" i="1"/>
  <c r="BE202" i="1"/>
  <c r="K202" i="1"/>
  <c r="BH202" i="1"/>
  <c r="Y202" i="1"/>
  <c r="Z202" i="1"/>
  <c r="AB201" i="5"/>
  <c r="BD201" i="1"/>
  <c r="BH201" i="1"/>
  <c r="K201" i="1"/>
  <c r="CE177" i="1"/>
  <c r="S176" i="1"/>
  <c r="T176" i="1" s="1"/>
  <c r="AY175" i="1"/>
  <c r="CC174" i="1"/>
  <c r="AQ174" i="1" s="1"/>
  <c r="BS174" i="1" s="1"/>
  <c r="AP176" i="3"/>
  <c r="AQ176" i="3" s="1"/>
  <c r="Z176" i="5" s="1"/>
  <c r="AY76" i="1"/>
  <c r="CH177" i="1"/>
  <c r="CG177" i="1"/>
  <c r="AX177" i="1"/>
  <c r="W168" i="5"/>
  <c r="CF177" i="1"/>
  <c r="CG174" i="1"/>
  <c r="BE174" i="3"/>
  <c r="CJ168" i="1"/>
  <c r="BE197" i="1"/>
  <c r="CG170" i="1"/>
  <c r="CH168" i="1"/>
  <c r="CE178" i="1"/>
  <c r="CB177" i="1"/>
  <c r="Y177" i="5"/>
  <c r="BP174" i="3" a="1"/>
  <c r="BP174" i="3" s="1"/>
  <c r="CI197" i="1"/>
  <c r="BG183" i="3"/>
  <c r="E199" i="5" s="1"/>
  <c r="BF170" i="1"/>
  <c r="BF178" i="1"/>
  <c r="BG178" i="1" s="1"/>
  <c r="K177" i="1"/>
  <c r="BG178" i="3"/>
  <c r="BK178" i="3" s="1"/>
  <c r="F178" i="5" s="1"/>
  <c r="AZ199" i="1"/>
  <c r="BW168" i="1"/>
  <c r="AI178" i="1"/>
  <c r="AL178" i="1" s="1"/>
  <c r="BO176" i="1"/>
  <c r="BQ176" i="1" s="1"/>
  <c r="BN176" i="1" s="1"/>
  <c r="CI175" i="1"/>
  <c r="AS178" i="3"/>
  <c r="BH178" i="3" s="1"/>
  <c r="CG175" i="1"/>
  <c r="BC174" i="1"/>
  <c r="CH173" i="1"/>
  <c r="AP174" i="3"/>
  <c r="AQ174" i="3" s="1"/>
  <c r="Z174" i="5" s="1"/>
  <c r="CB200" i="1"/>
  <c r="CG180" i="1"/>
  <c r="BO178" i="1"/>
  <c r="BQ178" i="1" s="1"/>
  <c r="BN178" i="1" s="1"/>
  <c r="BO177" i="1"/>
  <c r="BQ177" i="1" s="1"/>
  <c r="BN177" i="1" s="1"/>
  <c r="AX176" i="1"/>
  <c r="CE175" i="1"/>
  <c r="CC173" i="1"/>
  <c r="AQ173" i="1" s="1"/>
  <c r="BS173" i="1" s="1"/>
  <c r="BP173" i="3" a="1"/>
  <c r="BP173" i="3" s="1"/>
  <c r="BG174" i="3"/>
  <c r="E174" i="5" s="1"/>
  <c r="BP175" i="3" a="1"/>
  <c r="BP175" i="3" s="1"/>
  <c r="BT175" i="3" s="1"/>
  <c r="BP177" i="3" a="1"/>
  <c r="BP177" i="3" s="1"/>
  <c r="AX200" i="1"/>
  <c r="CC200" i="1"/>
  <c r="AQ200" i="1" s="1"/>
  <c r="BS200" i="1" s="1"/>
  <c r="AZ171" i="1"/>
  <c r="CF180" i="1"/>
  <c r="AI179" i="1"/>
  <c r="AL179" i="1" s="1"/>
  <c r="CB175" i="1"/>
  <c r="AI175" i="1"/>
  <c r="AL175" i="1" s="1"/>
  <c r="AY174" i="1"/>
  <c r="CB173" i="1"/>
  <c r="AS174" i="3"/>
  <c r="BH174" i="3" s="1"/>
  <c r="AY200" i="1"/>
  <c r="CE200" i="1"/>
  <c r="W200" i="5"/>
  <c r="W199" i="5"/>
  <c r="CF199" i="1"/>
  <c r="AX199" i="1"/>
  <c r="CB199" i="1"/>
  <c r="Y199" i="5"/>
  <c r="BD169" i="1"/>
  <c r="AT179" i="3"/>
  <c r="BJ179" i="3" s="1"/>
  <c r="BP179" i="3" a="1"/>
  <c r="BP179" i="3" s="1"/>
  <c r="BT179" i="3" s="1"/>
  <c r="AX182" i="3"/>
  <c r="BI198" i="1"/>
  <c r="BL198" i="1" s="1"/>
  <c r="CB197" i="1"/>
  <c r="AC197" i="5"/>
  <c r="AY199" i="1"/>
  <c r="CC199" i="1"/>
  <c r="AQ199" i="1" s="1"/>
  <c r="BS199" i="1" s="1"/>
  <c r="AX183" i="3"/>
  <c r="X199" i="5"/>
  <c r="BJ200" i="1"/>
  <c r="AN200" i="1" s="1"/>
  <c r="CH200" i="1"/>
  <c r="Y200" i="5"/>
  <c r="BF185" i="3"/>
  <c r="BO185" i="3" s="1"/>
  <c r="CJ179" i="1"/>
  <c r="BI179" i="1"/>
  <c r="BL179" i="1" s="1"/>
  <c r="BP185" i="3" a="1"/>
  <c r="BP185" i="3" s="1"/>
  <c r="AS179" i="3"/>
  <c r="BH179" i="3" s="1"/>
  <c r="BO179" i="3" s="1"/>
  <c r="CI198" i="1"/>
  <c r="S199" i="1"/>
  <c r="G199" i="5" s="1"/>
  <c r="BI199" i="1"/>
  <c r="BL199" i="1" s="1"/>
  <c r="CH199" i="1"/>
  <c r="CI179" i="1"/>
  <c r="BC179" i="1"/>
  <c r="S179" i="1"/>
  <c r="T179" i="1" s="1"/>
  <c r="X179" i="5"/>
  <c r="CC198" i="1"/>
  <c r="AQ198" i="1" s="1"/>
  <c r="BS198" i="1" s="1"/>
  <c r="AZ198" i="1"/>
  <c r="BJ199" i="1"/>
  <c r="AN199" i="1" s="1"/>
  <c r="CI199" i="1"/>
  <c r="BE171" i="1"/>
  <c r="BC180" i="1"/>
  <c r="CH179" i="1"/>
  <c r="BG182" i="3"/>
  <c r="BS182" i="3" s="1"/>
  <c r="D198" i="5" s="1"/>
  <c r="BO197" i="1"/>
  <c r="BQ197" i="1" s="1"/>
  <c r="BN197" i="1" s="1"/>
  <c r="BJ197" i="1"/>
  <c r="AN197" i="1" s="1"/>
  <c r="AI199" i="1"/>
  <c r="AM199" i="1" s="1"/>
  <c r="BO199" i="1"/>
  <c r="BQ199" i="1" s="1"/>
  <c r="BN199" i="1" s="1"/>
  <c r="CJ199" i="1"/>
  <c r="AC200" i="5"/>
  <c r="AP185" i="3"/>
  <c r="CJ198" i="1"/>
  <c r="BC199" i="1"/>
  <c r="CG199" i="1"/>
  <c r="BC170" i="1"/>
  <c r="CG179" i="1"/>
  <c r="AZ179" i="1"/>
  <c r="BF181" i="3"/>
  <c r="AC198" i="5"/>
  <c r="BF183" i="3"/>
  <c r="CE171" i="1"/>
  <c r="CF179" i="1"/>
  <c r="AY179" i="1"/>
  <c r="BI177" i="1"/>
  <c r="BL177" i="1" s="1"/>
  <c r="S177" i="1"/>
  <c r="W177" i="1" s="1"/>
  <c r="AZ173" i="1"/>
  <c r="BG177" i="3"/>
  <c r="BK177" i="3" s="1"/>
  <c r="F177" i="5" s="1"/>
  <c r="S198" i="1"/>
  <c r="W198" i="1" s="1"/>
  <c r="Y198" i="5"/>
  <c r="BP183" i="3" a="1"/>
  <c r="BP183" i="3" s="1"/>
  <c r="BT183" i="3" s="1"/>
  <c r="AZ170" i="1"/>
  <c r="AY169" i="1"/>
  <c r="AS171" i="3"/>
  <c r="BH171" i="3" s="1"/>
  <c r="CB171" i="1"/>
  <c r="CE179" i="1"/>
  <c r="AX179" i="1"/>
  <c r="CJ177" i="1"/>
  <c r="BC177" i="1"/>
  <c r="CB174" i="1"/>
  <c r="BF174" i="3"/>
  <c r="AY197" i="1"/>
  <c r="X198" i="5"/>
  <c r="CC179" i="1"/>
  <c r="AQ179" i="1" s="1"/>
  <c r="BS179" i="1" s="1"/>
  <c r="CI177" i="1"/>
  <c r="BI176" i="1"/>
  <c r="BL176" i="1" s="1"/>
  <c r="CJ175" i="1"/>
  <c r="AT174" i="3"/>
  <c r="AU174" i="3" s="1"/>
  <c r="CJ197" i="1"/>
  <c r="S200" i="1"/>
  <c r="W200" i="1" s="1"/>
  <c r="BC200" i="1"/>
  <c r="CF200" i="1"/>
  <c r="BG185" i="3"/>
  <c r="BK185" i="3" s="1"/>
  <c r="F201" i="5" s="1"/>
  <c r="AO185" i="3"/>
  <c r="BA185" i="3"/>
  <c r="BE185" i="3"/>
  <c r="Y201" i="5"/>
  <c r="X201" i="5"/>
  <c r="K200" i="5"/>
  <c r="N200" i="5" s="1"/>
  <c r="AC206" i="5"/>
  <c r="E206" i="5"/>
  <c r="Y202" i="5"/>
  <c r="W207" i="5"/>
  <c r="G203" i="5"/>
  <c r="X202" i="5"/>
  <c r="AC201" i="5"/>
  <c r="Y206" i="5"/>
  <c r="X206" i="5"/>
  <c r="W206" i="5"/>
  <c r="Y203" i="5"/>
  <c r="W201" i="5"/>
  <c r="G204" i="5"/>
  <c r="X203" i="5"/>
  <c r="AC202" i="5"/>
  <c r="W203" i="5"/>
  <c r="S206" i="5"/>
  <c r="AC204" i="5"/>
  <c r="AA202" i="5"/>
  <c r="BE179" i="3"/>
  <c r="BK184" i="3"/>
  <c r="F200" i="5" s="1"/>
  <c r="BS184" i="3"/>
  <c r="D200" i="5" s="1"/>
  <c r="BE184" i="1"/>
  <c r="BE175" i="3"/>
  <c r="BL175" i="3" s="1"/>
  <c r="AB200" i="1"/>
  <c r="AB200" i="5"/>
  <c r="Q200" i="1"/>
  <c r="BD200" i="1"/>
  <c r="BE200" i="1"/>
  <c r="K200" i="1"/>
  <c r="BH200" i="1"/>
  <c r="Y200" i="1"/>
  <c r="Z200" i="1"/>
  <c r="S172" i="1"/>
  <c r="T172" i="1" s="1"/>
  <c r="CI171" i="1"/>
  <c r="CJ169" i="1"/>
  <c r="CG171" i="1"/>
  <c r="CH176" i="1"/>
  <c r="AY176" i="1"/>
  <c r="BC175" i="1"/>
  <c r="CE173" i="1"/>
  <c r="AX170" i="1"/>
  <c r="BO169" i="1"/>
  <c r="BQ169" i="1" s="1"/>
  <c r="BN169" i="1" s="1"/>
  <c r="CC176" i="1"/>
  <c r="AQ176" i="1" s="1"/>
  <c r="BS176" i="1" s="1"/>
  <c r="K173" i="1"/>
  <c r="AS173" i="3"/>
  <c r="BH173" i="3" s="1"/>
  <c r="BG179" i="3"/>
  <c r="BK179" i="3" s="1"/>
  <c r="F179" i="5" s="1"/>
  <c r="CG198" i="1"/>
  <c r="BC198" i="1"/>
  <c r="BJ179" i="1"/>
  <c r="CF198" i="1"/>
  <c r="BF176" i="3"/>
  <c r="CG138" i="1"/>
  <c r="BI168" i="1"/>
  <c r="BL168" i="1" s="1"/>
  <c r="BP171" i="3" a="1"/>
  <c r="BP171" i="3" s="1"/>
  <c r="BT171" i="3" s="1"/>
  <c r="BO171" i="1"/>
  <c r="BQ171" i="1" s="1"/>
  <c r="BN171" i="1" s="1"/>
  <c r="BO173" i="1"/>
  <c r="BQ173" i="1" s="1"/>
  <c r="BN173" i="1" s="1"/>
  <c r="BG175" i="3"/>
  <c r="BK175" i="3" s="1"/>
  <c r="F175" i="5" s="1"/>
  <c r="AT176" i="3"/>
  <c r="AU176" i="3" s="1"/>
  <c r="CE198" i="1"/>
  <c r="AY198" i="1"/>
  <c r="BJ169" i="1"/>
  <c r="BF171" i="3"/>
  <c r="AY138" i="1"/>
  <c r="BC171" i="1"/>
  <c r="AI176" i="1"/>
  <c r="AJ176" i="1" s="1"/>
  <c r="BC173" i="1"/>
  <c r="AI172" i="1"/>
  <c r="AJ172" i="1" s="1"/>
  <c r="AX168" i="1"/>
  <c r="BG171" i="3"/>
  <c r="BK171" i="3" s="1"/>
  <c r="F171" i="5" s="1"/>
  <c r="CI173" i="1"/>
  <c r="BP176" i="3" a="1"/>
  <c r="BP176" i="3" s="1"/>
  <c r="BT176" i="3" s="1"/>
  <c r="CB198" i="1"/>
  <c r="BG176" i="3"/>
  <c r="BS176" i="3" s="1"/>
  <c r="D176" i="5" s="1"/>
  <c r="BP182" i="3" a="1"/>
  <c r="BP182" i="3" s="1"/>
  <c r="BT182" i="3" s="1"/>
  <c r="AT182" i="3"/>
  <c r="AU182" i="3" s="1"/>
  <c r="AX171" i="1"/>
  <c r="CG173" i="1"/>
  <c r="AY173" i="1"/>
  <c r="CC172" i="1"/>
  <c r="BZ172" i="1" s="1"/>
  <c r="BF173" i="3"/>
  <c r="CH171" i="1"/>
  <c r="CI176" i="1"/>
  <c r="BI175" i="1"/>
  <c r="BL175" i="1" s="1"/>
  <c r="CF173" i="1"/>
  <c r="AX173" i="1"/>
  <c r="AT173" i="3"/>
  <c r="BJ173" i="3" s="1"/>
  <c r="AX176" i="3"/>
  <c r="AS182" i="3"/>
  <c r="BH182" i="3" s="1"/>
  <c r="AI198" i="1"/>
  <c r="AK198" i="1" s="1"/>
  <c r="AT180" i="3"/>
  <c r="AU180" i="3" s="1"/>
  <c r="BF180" i="3"/>
  <c r="CB190" i="1"/>
  <c r="BD168" i="1"/>
  <c r="AX168" i="3"/>
  <c r="CG168" i="1"/>
  <c r="BJ170" i="1"/>
  <c r="CH170" i="1"/>
  <c r="AY170" i="1"/>
  <c r="BI170" i="1"/>
  <c r="CJ170" i="1"/>
  <c r="BF170" i="3"/>
  <c r="AI170" i="1"/>
  <c r="AJ170" i="1" s="1"/>
  <c r="BG170" i="3"/>
  <c r="BS170" i="3" s="1"/>
  <c r="D170" i="5" s="1"/>
  <c r="BO172" i="1"/>
  <c r="BQ172" i="1" s="1"/>
  <c r="BN172" i="1" s="1"/>
  <c r="AI180" i="1"/>
  <c r="AL180" i="1" s="1"/>
  <c r="CJ180" i="1"/>
  <c r="BO180" i="1"/>
  <c r="BQ180" i="1" s="1"/>
  <c r="BN180" i="1" s="1"/>
  <c r="CB180" i="1"/>
  <c r="AX180" i="1"/>
  <c r="CC180" i="1"/>
  <c r="AQ180" i="1" s="1"/>
  <c r="BS180" i="1" s="1"/>
  <c r="AY180" i="1"/>
  <c r="CE180" i="1"/>
  <c r="BJ180" i="1"/>
  <c r="CF170" i="1"/>
  <c r="CE170" i="1"/>
  <c r="AX170" i="3"/>
  <c r="AU168" i="3"/>
  <c r="X168" i="1" s="1"/>
  <c r="BI172" i="1"/>
  <c r="BL172" i="1" s="1"/>
  <c r="CI180" i="1"/>
  <c r="BF172" i="3"/>
  <c r="AP180" i="3"/>
  <c r="AQ180" i="3" s="1"/>
  <c r="BP180" i="3" a="1"/>
  <c r="BP180" i="3" s="1"/>
  <c r="BT180" i="3" s="1"/>
  <c r="CF168" i="1"/>
  <c r="CC170" i="1"/>
  <c r="AQ170" i="1" s="1"/>
  <c r="BS170" i="1" s="1"/>
  <c r="AT170" i="3"/>
  <c r="BJ170" i="3" s="1"/>
  <c r="CB170" i="1"/>
  <c r="AS170" i="3"/>
  <c r="BH170" i="3" s="1"/>
  <c r="CH180" i="1"/>
  <c r="BP172" i="3" a="1"/>
  <c r="BP172" i="3" s="1"/>
  <c r="BT172" i="3" s="1"/>
  <c r="BG180" i="3"/>
  <c r="E180" i="5" s="1"/>
  <c r="AS180" i="3"/>
  <c r="BH180" i="3" s="1"/>
  <c r="AX180" i="3"/>
  <c r="CB172" i="1"/>
  <c r="AT172" i="3"/>
  <c r="BJ172" i="3" s="1"/>
  <c r="BR172" i="3" s="1"/>
  <c r="BV172" i="3" s="1"/>
  <c r="CE172" i="1"/>
  <c r="AS172" i="3"/>
  <c r="BH172" i="3" s="1"/>
  <c r="AX172" i="1"/>
  <c r="CF172" i="1"/>
  <c r="AY172" i="1"/>
  <c r="CG172" i="1"/>
  <c r="AP172" i="3"/>
  <c r="AQ172" i="3" s="1"/>
  <c r="AA172" i="5" s="1"/>
  <c r="CH172" i="1"/>
  <c r="BC172" i="1"/>
  <c r="CI172" i="1"/>
  <c r="AY168" i="1"/>
  <c r="BC168" i="3"/>
  <c r="BO168" i="1"/>
  <c r="BQ168" i="1" s="1"/>
  <c r="BN168" i="1" s="1"/>
  <c r="BF168" i="3"/>
  <c r="AI168" i="1"/>
  <c r="AK168" i="1" s="1"/>
  <c r="CB168" i="1"/>
  <c r="AS168" i="3"/>
  <c r="S168" i="1" s="1"/>
  <c r="W168" i="1" s="1"/>
  <c r="BP168" i="3" a="1"/>
  <c r="BP168" i="3" s="1"/>
  <c r="CC168" i="1"/>
  <c r="AT168" i="3"/>
  <c r="BJ168" i="3" s="1"/>
  <c r="BV168" i="3" s="1"/>
  <c r="BQ168" i="3"/>
  <c r="CE168" i="1"/>
  <c r="BJ168" i="1"/>
  <c r="BC168" i="1"/>
  <c r="BO190" i="1"/>
  <c r="BQ190" i="1" s="1"/>
  <c r="BN190" i="1" s="1"/>
  <c r="CJ190" i="1"/>
  <c r="BI190" i="1"/>
  <c r="BL190" i="1" s="1"/>
  <c r="S190" i="1"/>
  <c r="W190" i="1" s="1"/>
  <c r="CG89" i="1"/>
  <c r="BJ89" i="1"/>
  <c r="CH190" i="1"/>
  <c r="CG190" i="1"/>
  <c r="AZ190" i="1"/>
  <c r="CF190" i="1"/>
  <c r="AY190" i="1"/>
  <c r="CE190" i="1"/>
  <c r="AX190" i="1"/>
  <c r="CC190" i="1"/>
  <c r="AQ190" i="1" s="1"/>
  <c r="BS190" i="1" s="1"/>
  <c r="AY89" i="1"/>
  <c r="BJ190" i="1"/>
  <c r="BO170" i="1"/>
  <c r="BQ170" i="1" s="1"/>
  <c r="BN170" i="1" s="1"/>
  <c r="AZ168" i="1"/>
  <c r="BG168" i="3"/>
  <c r="S180" i="1"/>
  <c r="T180" i="1" s="1"/>
  <c r="CJ172" i="1"/>
  <c r="BE172" i="1"/>
  <c r="AX172" i="3"/>
  <c r="BC190" i="1"/>
  <c r="BJ77" i="1"/>
  <c r="AY77" i="1"/>
  <c r="CI168" i="1"/>
  <c r="BI180" i="1"/>
  <c r="BL180" i="1" s="1"/>
  <c r="CJ171" i="1"/>
  <c r="BI171" i="1"/>
  <c r="BL171" i="1" s="1"/>
  <c r="S171" i="1"/>
  <c r="T171" i="1" s="1"/>
  <c r="CC178" i="1"/>
  <c r="AQ178" i="1" s="1"/>
  <c r="BS178" i="1" s="1"/>
  <c r="CH175" i="1"/>
  <c r="AI174" i="1"/>
  <c r="AL174" i="1" s="1"/>
  <c r="BG173" i="3"/>
  <c r="BK173" i="3" s="1"/>
  <c r="F173" i="5" s="1"/>
  <c r="AX174" i="3"/>
  <c r="AT175" i="3"/>
  <c r="AU175" i="3" s="1"/>
  <c r="BF175" i="3"/>
  <c r="BO175" i="3" s="1"/>
  <c r="AS176" i="3"/>
  <c r="BH176" i="3" s="1"/>
  <c r="AX181" i="3"/>
  <c r="AX198" i="1"/>
  <c r="CH197" i="1"/>
  <c r="AI197" i="1"/>
  <c r="AL197" i="1" s="1"/>
  <c r="BJ177" i="1"/>
  <c r="BZ177" i="1" s="1"/>
  <c r="CB178" i="1"/>
  <c r="BO174" i="1"/>
  <c r="BQ174" i="1" s="1"/>
  <c r="BN174" i="1" s="1"/>
  <c r="BP181" i="3" a="1"/>
  <c r="BP181" i="3" s="1"/>
  <c r="BT181" i="3" s="1"/>
  <c r="CG197" i="1"/>
  <c r="BI197" i="1"/>
  <c r="BL197" i="1" s="1"/>
  <c r="BJ176" i="1"/>
  <c r="CF175" i="1"/>
  <c r="AX175" i="1"/>
  <c r="CJ174" i="1"/>
  <c r="BI174" i="1"/>
  <c r="BL174" i="1" s="1"/>
  <c r="W172" i="5"/>
  <c r="BG172" i="3"/>
  <c r="BK172" i="3" s="1"/>
  <c r="F172" i="5" s="1"/>
  <c r="AX175" i="3"/>
  <c r="AT177" i="3"/>
  <c r="AP181" i="3"/>
  <c r="AQ181" i="3" s="1"/>
  <c r="Z197" i="5" s="1"/>
  <c r="CF197" i="1"/>
  <c r="BC197" i="1"/>
  <c r="BJ175" i="1"/>
  <c r="BF178" i="3"/>
  <c r="BG181" i="3"/>
  <c r="E197" i="5" s="1"/>
  <c r="BF182" i="3"/>
  <c r="AP182" i="3"/>
  <c r="AQ182" i="3" s="1"/>
  <c r="Z198" i="5" s="1"/>
  <c r="N198" i="1" s="1"/>
  <c r="CE197" i="1"/>
  <c r="S197" i="1"/>
  <c r="BJ174" i="1"/>
  <c r="CF171" i="1"/>
  <c r="AY171" i="1"/>
  <c r="BE178" i="3"/>
  <c r="CC175" i="1"/>
  <c r="AQ175" i="1" s="1"/>
  <c r="BS175" i="1" s="1"/>
  <c r="CH174" i="1"/>
  <c r="AP175" i="3"/>
  <c r="AQ175" i="3" s="1"/>
  <c r="AT178" i="3"/>
  <c r="BJ178" i="3" s="1"/>
  <c r="AT181" i="3"/>
  <c r="BJ181" i="3" s="1"/>
  <c r="BR181" i="3" s="1"/>
  <c r="BV181" i="3" s="1"/>
  <c r="BE182" i="3"/>
  <c r="K198" i="1"/>
  <c r="CC197" i="1"/>
  <c r="AZ197" i="1"/>
  <c r="W198" i="5"/>
  <c r="BJ198" i="1"/>
  <c r="AN198" i="1" s="1"/>
  <c r="BJ173" i="1"/>
  <c r="AT171" i="3"/>
  <c r="BJ171" i="3" s="1"/>
  <c r="CC171" i="1"/>
  <c r="BZ171" i="1" s="1"/>
  <c r="Y171" i="5"/>
  <c r="BE180" i="3"/>
  <c r="CJ178" i="1"/>
  <c r="BI178" i="1"/>
  <c r="BL178" i="1" s="1"/>
  <c r="CF174" i="1"/>
  <c r="AX174" i="1"/>
  <c r="CJ173" i="1"/>
  <c r="BI173" i="1"/>
  <c r="BL173" i="1" s="1"/>
  <c r="BP178" i="3" a="1"/>
  <c r="BP178" i="3" s="1"/>
  <c r="BT178" i="3" s="1"/>
  <c r="BO198" i="1"/>
  <c r="BQ198" i="1" s="1"/>
  <c r="BN198" i="1" s="1"/>
  <c r="AX197" i="1"/>
  <c r="Y197" i="5"/>
  <c r="CI178" i="1"/>
  <c r="BC178" i="1"/>
  <c r="S178" i="1"/>
  <c r="BB182" i="3"/>
  <c r="AO183" i="3"/>
  <c r="BA183" i="3"/>
  <c r="Q199" i="1" s="1"/>
  <c r="AP183" i="3"/>
  <c r="AS183" i="3"/>
  <c r="BH183" i="3" s="1"/>
  <c r="BE183" i="3"/>
  <c r="AT183" i="3"/>
  <c r="AB197" i="1"/>
  <c r="AW183" i="3"/>
  <c r="A198" i="5"/>
  <c r="BE198" i="1"/>
  <c r="BD197" i="1"/>
  <c r="BD198" i="1"/>
  <c r="X199" i="1"/>
  <c r="K199" i="5" s="1"/>
  <c r="M199" i="5" s="1"/>
  <c r="Z198" i="1"/>
  <c r="AA197" i="1"/>
  <c r="K197" i="5"/>
  <c r="M197" i="5" s="1"/>
  <c r="Z197" i="1"/>
  <c r="K198" i="5"/>
  <c r="L198" i="5" s="1"/>
  <c r="A197" i="5"/>
  <c r="AB199" i="5"/>
  <c r="BD199" i="1"/>
  <c r="BE199" i="1"/>
  <c r="K199" i="1"/>
  <c r="BH199" i="1"/>
  <c r="AA198" i="1"/>
  <c r="AB197" i="5"/>
  <c r="Q197" i="1"/>
  <c r="AB198" i="5"/>
  <c r="Q198" i="1"/>
  <c r="AB198" i="1"/>
  <c r="BH197" i="1"/>
  <c r="K197" i="1"/>
  <c r="AW182" i="3"/>
  <c r="BH198" i="1"/>
  <c r="AS181" i="3"/>
  <c r="BH181" i="3" s="1"/>
  <c r="BE181" i="3"/>
  <c r="AW181" i="3"/>
  <c r="AC196" i="5"/>
  <c r="W196" i="5"/>
  <c r="K196" i="5"/>
  <c r="L196" i="5" s="1"/>
  <c r="K184" i="5"/>
  <c r="M184" i="5" s="1"/>
  <c r="G196" i="5"/>
  <c r="H196" i="5" s="1"/>
  <c r="A183" i="5"/>
  <c r="K194" i="5"/>
  <c r="N194" i="5" s="1"/>
  <c r="K190" i="5"/>
  <c r="M190" i="5" s="1"/>
  <c r="K193" i="5"/>
  <c r="M193" i="5" s="1"/>
  <c r="K185" i="5"/>
  <c r="L185" i="5" s="1"/>
  <c r="BQ196" i="1"/>
  <c r="BN196" i="1" s="1"/>
  <c r="K191" i="5"/>
  <c r="L191" i="5" s="1"/>
  <c r="K189" i="5"/>
  <c r="L189" i="5" s="1"/>
  <c r="S186" i="5"/>
  <c r="T186" i="5" s="1"/>
  <c r="K181" i="5"/>
  <c r="M181" i="5" s="1"/>
  <c r="K186" i="5"/>
  <c r="N186" i="5" s="1"/>
  <c r="K182" i="5"/>
  <c r="M182" i="5" s="1"/>
  <c r="K192" i="5"/>
  <c r="M192" i="5" s="1"/>
  <c r="K183" i="5"/>
  <c r="N183" i="5" s="1"/>
  <c r="S196" i="5"/>
  <c r="T196" i="5" s="1"/>
  <c r="G186" i="5"/>
  <c r="A182" i="5"/>
  <c r="Y190" i="5"/>
  <c r="Y196" i="5"/>
  <c r="X190" i="5"/>
  <c r="W190" i="5"/>
  <c r="AC186" i="5"/>
  <c r="AC190" i="5"/>
  <c r="AB192" i="1"/>
  <c r="AA194" i="1"/>
  <c r="BK196" i="1"/>
  <c r="AA192" i="1"/>
  <c r="AB194" i="1"/>
  <c r="Z193" i="1"/>
  <c r="Z196" i="1"/>
  <c r="AB193" i="1"/>
  <c r="Z194" i="1"/>
  <c r="AA196" i="1"/>
  <c r="AB196" i="1"/>
  <c r="Z192" i="1"/>
  <c r="AJ196" i="1"/>
  <c r="AL196" i="1"/>
  <c r="AM196" i="1"/>
  <c r="AB196" i="5"/>
  <c r="AQ196" i="1"/>
  <c r="BS196" i="1" s="1"/>
  <c r="BD196" i="1"/>
  <c r="T196" i="1"/>
  <c r="BE196" i="1"/>
  <c r="U196" i="1"/>
  <c r="V196" i="1"/>
  <c r="K196" i="1"/>
  <c r="BH196" i="1"/>
  <c r="BD193" i="1"/>
  <c r="BE193" i="1"/>
  <c r="Y193" i="1"/>
  <c r="W177" i="5"/>
  <c r="AB186" i="1"/>
  <c r="AB189" i="1"/>
  <c r="AB185" i="1"/>
  <c r="AL186" i="1"/>
  <c r="Z184" i="1"/>
  <c r="AB184" i="1"/>
  <c r="X172" i="5"/>
  <c r="Y181" i="1"/>
  <c r="Y179" i="5"/>
  <c r="AB182" i="1"/>
  <c r="AA186" i="1"/>
  <c r="AA189" i="1"/>
  <c r="AB190" i="1"/>
  <c r="AB181" i="1"/>
  <c r="Z168" i="5"/>
  <c r="N168" i="1" s="1"/>
  <c r="AC172" i="5"/>
  <c r="AJ186" i="1"/>
  <c r="BE183" i="1"/>
  <c r="Y172" i="5"/>
  <c r="AK186" i="1"/>
  <c r="Z191" i="1"/>
  <c r="AA191" i="1"/>
  <c r="AA184" i="1"/>
  <c r="BE182" i="1"/>
  <c r="AB191" i="1"/>
  <c r="Y168" i="5"/>
  <c r="W171" i="5"/>
  <c r="X168" i="5"/>
  <c r="BD189" i="1"/>
  <c r="AA185" i="1"/>
  <c r="Z186" i="1"/>
  <c r="BD184" i="1"/>
  <c r="Y183" i="1"/>
  <c r="Z183" i="1"/>
  <c r="Y182" i="1"/>
  <c r="AA183" i="1"/>
  <c r="Z182" i="1"/>
  <c r="Z181" i="1"/>
  <c r="BQ186" i="1"/>
  <c r="BN186" i="1" s="1"/>
  <c r="BD190" i="1"/>
  <c r="K190" i="1"/>
  <c r="BH190" i="1"/>
  <c r="Y190" i="1"/>
  <c r="AB190" i="5"/>
  <c r="BE190" i="1"/>
  <c r="Z190" i="1"/>
  <c r="BE189" i="1"/>
  <c r="Y189" i="1"/>
  <c r="T186" i="1"/>
  <c r="U186" i="1"/>
  <c r="V186" i="1"/>
  <c r="Y185" i="1"/>
  <c r="AW180" i="3"/>
  <c r="Q180" i="1"/>
  <c r="R180" i="1" s="1"/>
  <c r="AW179" i="3"/>
  <c r="AW178" i="3"/>
  <c r="BK178" i="1"/>
  <c r="Q179" i="1"/>
  <c r="R179" i="1" s="1"/>
  <c r="Q178" i="1"/>
  <c r="R178" i="1" s="1"/>
  <c r="BK171" i="1"/>
  <c r="BK172" i="1"/>
  <c r="BE176" i="3"/>
  <c r="AS177" i="3"/>
  <c r="BH177" i="3" s="1"/>
  <c r="BE177" i="3"/>
  <c r="BF177" i="3"/>
  <c r="AW176" i="3"/>
  <c r="AW177" i="3"/>
  <c r="AW174" i="3"/>
  <c r="S175" i="1"/>
  <c r="T175" i="1" s="1"/>
  <c r="AW175" i="3"/>
  <c r="Q175" i="1"/>
  <c r="R175" i="1" s="1"/>
  <c r="Q174" i="1"/>
  <c r="R174" i="1" s="1"/>
  <c r="AW173" i="3"/>
  <c r="BE173" i="3"/>
  <c r="AW172" i="3"/>
  <c r="BE172" i="3"/>
  <c r="AZ172" i="3"/>
  <c r="BC172" i="3"/>
  <c r="BQ172" i="3"/>
  <c r="AU172" i="3"/>
  <c r="BQ175" i="1"/>
  <c r="BN175" i="1" s="1"/>
  <c r="X174" i="1"/>
  <c r="Z174" i="1" s="1"/>
  <c r="AC180" i="5"/>
  <c r="Y178" i="5"/>
  <c r="X178" i="5"/>
  <c r="AC173" i="5"/>
  <c r="X175" i="1"/>
  <c r="AA175" i="1" s="1"/>
  <c r="W178" i="5"/>
  <c r="G173" i="5"/>
  <c r="H173" i="5" s="1"/>
  <c r="Y180" i="5"/>
  <c r="AC176" i="5"/>
  <c r="Y173" i="5"/>
  <c r="X180" i="5"/>
  <c r="AC177" i="5"/>
  <c r="Y175" i="5"/>
  <c r="X173" i="5"/>
  <c r="W180" i="5"/>
  <c r="W173" i="5"/>
  <c r="X177" i="1"/>
  <c r="AA177" i="1" s="1"/>
  <c r="Z171" i="1"/>
  <c r="X177" i="5"/>
  <c r="Y174" i="5"/>
  <c r="X174" i="5"/>
  <c r="Y176" i="5"/>
  <c r="W174" i="5"/>
  <c r="W179" i="5"/>
  <c r="X176" i="5"/>
  <c r="AC175" i="5"/>
  <c r="W176" i="5"/>
  <c r="AC179" i="5"/>
  <c r="X175" i="5"/>
  <c r="AC174" i="5"/>
  <c r="X179" i="1"/>
  <c r="AA179" i="1" s="1"/>
  <c r="X178" i="1"/>
  <c r="X176" i="1"/>
  <c r="Z176" i="1" s="1"/>
  <c r="X180" i="1"/>
  <c r="Z180" i="1" s="1"/>
  <c r="K180" i="1"/>
  <c r="AB180" i="5"/>
  <c r="BH180" i="1"/>
  <c r="BD179" i="1"/>
  <c r="K179" i="1"/>
  <c r="BH179" i="1"/>
  <c r="BE179" i="1"/>
  <c r="AB179" i="5"/>
  <c r="BE178" i="1"/>
  <c r="BD178" i="1"/>
  <c r="AN178" i="1"/>
  <c r="AB178" i="5"/>
  <c r="AB177" i="5"/>
  <c r="BD177" i="1"/>
  <c r="AB176" i="5"/>
  <c r="K175" i="1"/>
  <c r="BH175" i="1"/>
  <c r="BE175" i="1"/>
  <c r="BD175" i="1"/>
  <c r="AB175" i="5"/>
  <c r="BE174" i="1"/>
  <c r="BD174" i="1"/>
  <c r="BD173" i="1"/>
  <c r="U173" i="1"/>
  <c r="AB172" i="5"/>
  <c r="BE180" i="1"/>
  <c r="BD180" i="1"/>
  <c r="BD176" i="1"/>
  <c r="V173" i="1"/>
  <c r="BD172" i="1"/>
  <c r="BH178" i="1"/>
  <c r="K178" i="1"/>
  <c r="BE177" i="1"/>
  <c r="Q176" i="1"/>
  <c r="BH174" i="1"/>
  <c r="K174" i="1"/>
  <c r="BE173" i="1"/>
  <c r="T173" i="1"/>
  <c r="Q172" i="1"/>
  <c r="AB173" i="5"/>
  <c r="Q177" i="1"/>
  <c r="Q173" i="1"/>
  <c r="AB174" i="5"/>
  <c r="BH176" i="1"/>
  <c r="K176" i="1"/>
  <c r="BH172" i="1"/>
  <c r="K172" i="1"/>
  <c r="X173" i="1"/>
  <c r="K173" i="5" s="1"/>
  <c r="AQ177" i="1"/>
  <c r="BS177" i="1" s="1"/>
  <c r="BH177" i="1"/>
  <c r="BH173" i="1"/>
  <c r="AA171" i="1"/>
  <c r="X171" i="5"/>
  <c r="K171" i="5"/>
  <c r="M171" i="5" s="1"/>
  <c r="AN171" i="1"/>
  <c r="AC171" i="5"/>
  <c r="BD171" i="1"/>
  <c r="Q171" i="1"/>
  <c r="AB171" i="1"/>
  <c r="AW171" i="3"/>
  <c r="BE171" i="3"/>
  <c r="AB171" i="5"/>
  <c r="BH171" i="1"/>
  <c r="K171" i="1"/>
  <c r="BE170" i="1"/>
  <c r="BD170" i="1"/>
  <c r="BE169" i="1"/>
  <c r="BE168" i="1"/>
  <c r="AC168" i="5"/>
  <c r="AB170" i="5"/>
  <c r="BE170" i="3"/>
  <c r="AW170" i="3"/>
  <c r="AW169" i="3"/>
  <c r="BE168" i="3"/>
  <c r="AB168" i="5"/>
  <c r="AW168" i="3"/>
  <c r="BB170" i="3"/>
  <c r="CI169" i="1"/>
  <c r="AB169" i="5"/>
  <c r="BP169" i="3" a="1"/>
  <c r="BP169" i="3" s="1"/>
  <c r="AX169" i="3"/>
  <c r="CH169" i="1"/>
  <c r="K169" i="1"/>
  <c r="CG169" i="1"/>
  <c r="BI169" i="1"/>
  <c r="BL169" i="1" s="1"/>
  <c r="AT169" i="3"/>
  <c r="AU169" i="3" s="1"/>
  <c r="CF169" i="1"/>
  <c r="BC169" i="1"/>
  <c r="AS169" i="3"/>
  <c r="BH169" i="3" s="1"/>
  <c r="CE169" i="1"/>
  <c r="BG169" i="3"/>
  <c r="BK169" i="3" s="1"/>
  <c r="F169" i="5" s="1"/>
  <c r="CC169" i="1"/>
  <c r="AQ169" i="1" s="1"/>
  <c r="BS169" i="1" s="1"/>
  <c r="AZ169" i="1"/>
  <c r="S169" i="1"/>
  <c r="T169" i="1" s="1"/>
  <c r="BF169" i="3"/>
  <c r="AP169" i="3"/>
  <c r="AQ169" i="3" s="1"/>
  <c r="CB169" i="1"/>
  <c r="BE169" i="3"/>
  <c r="BB169" i="3"/>
  <c r="Y170" i="5"/>
  <c r="X170" i="5"/>
  <c r="AC169" i="5"/>
  <c r="W170" i="5"/>
  <c r="Y169" i="5"/>
  <c r="X169" i="5"/>
  <c r="W169" i="5"/>
  <c r="AC170" i="5"/>
  <c r="R170" i="1"/>
  <c r="BH170" i="1"/>
  <c r="K170" i="1"/>
  <c r="Q168" i="1"/>
  <c r="X170" i="1"/>
  <c r="K170" i="5" s="1"/>
  <c r="L170" i="5" s="1"/>
  <c r="Q169" i="1"/>
  <c r="S170" i="1"/>
  <c r="G170" i="5" s="1"/>
  <c r="BH168" i="1"/>
  <c r="K168" i="1"/>
  <c r="X169" i="1"/>
  <c r="K169" i="5" s="1"/>
  <c r="BH169" i="1"/>
  <c r="AO167" i="3"/>
  <c r="BK190" i="1" l="1"/>
  <c r="BZ190" i="1"/>
  <c r="BO176" i="3"/>
  <c r="BR170" i="3"/>
  <c r="BV170" i="3" s="1"/>
  <c r="BN170" i="3"/>
  <c r="BK180" i="1"/>
  <c r="BZ180" i="1"/>
  <c r="V187" i="3"/>
  <c r="BK175" i="1"/>
  <c r="BZ175" i="1"/>
  <c r="BK176" i="1"/>
  <c r="BZ176" i="1"/>
  <c r="BB187" i="3"/>
  <c r="BK173" i="1"/>
  <c r="BZ173" i="1"/>
  <c r="AJ207" i="1"/>
  <c r="BK191" i="3"/>
  <c r="F207" i="5" s="1"/>
  <c r="AN168" i="1"/>
  <c r="BZ168" i="1"/>
  <c r="BZ169" i="1"/>
  <c r="BK179" i="1"/>
  <c r="BZ179" i="1"/>
  <c r="AM207" i="1"/>
  <c r="BO189" i="3"/>
  <c r="AN170" i="1"/>
  <c r="BZ170" i="1"/>
  <c r="BK174" i="1"/>
  <c r="BZ174" i="1"/>
  <c r="BZ178" i="1"/>
  <c r="AV186" i="3"/>
  <c r="AV187" i="3"/>
  <c r="BL186" i="3"/>
  <c r="BT185" i="3"/>
  <c r="BT186" i="3"/>
  <c r="BT191" i="3"/>
  <c r="Z170" i="5"/>
  <c r="N170" i="1" s="1"/>
  <c r="AI202" i="1"/>
  <c r="S202" i="5" s="1"/>
  <c r="T202" i="5" s="1"/>
  <c r="BL185" i="3"/>
  <c r="AI201" i="1"/>
  <c r="AJ201" i="1" s="1"/>
  <c r="V200" i="5"/>
  <c r="BB185" i="3"/>
  <c r="BN185" i="3" s="1"/>
  <c r="V185" i="3"/>
  <c r="AX185" i="3" s="1"/>
  <c r="AD201" i="1" s="1"/>
  <c r="O201" i="5" s="1"/>
  <c r="P201" i="5" s="1"/>
  <c r="AN204" i="1"/>
  <c r="AU185" i="3"/>
  <c r="AI204" i="1"/>
  <c r="S204" i="5" s="1"/>
  <c r="T204" i="5" s="1"/>
  <c r="BT188" i="3"/>
  <c r="CA207" i="1"/>
  <c r="BK202" i="1"/>
  <c r="AV178" i="3"/>
  <c r="AN205" i="1"/>
  <c r="CD201" i="1"/>
  <c r="BF201" i="1"/>
  <c r="BG201" i="1"/>
  <c r="BU201" i="1"/>
  <c r="CA204" i="1"/>
  <c r="T200" i="5"/>
  <c r="BO178" i="3"/>
  <c r="AA176" i="5"/>
  <c r="E202" i="5"/>
  <c r="BK186" i="3"/>
  <c r="F202" i="5" s="1"/>
  <c r="AJ200" i="1"/>
  <c r="AL200" i="1"/>
  <c r="BM188" i="3"/>
  <c r="AM200" i="1"/>
  <c r="V201" i="1"/>
  <c r="G201" i="5"/>
  <c r="H201" i="5" s="1"/>
  <c r="AK200" i="1"/>
  <c r="U201" i="1"/>
  <c r="W201" i="1"/>
  <c r="BP201" i="1" a="1"/>
  <c r="BP201" i="1" s="1"/>
  <c r="E171" i="5"/>
  <c r="BJ176" i="3"/>
  <c r="BK201" i="1"/>
  <c r="CA205" i="1"/>
  <c r="BO184" i="3"/>
  <c r="BO186" i="3"/>
  <c r="E178" i="5"/>
  <c r="AA174" i="5"/>
  <c r="BS174" i="3"/>
  <c r="D174" i="5" s="1"/>
  <c r="BJ174" i="3"/>
  <c r="BS178" i="3"/>
  <c r="D178" i="5" s="1"/>
  <c r="AD170" i="1"/>
  <c r="AD174" i="1"/>
  <c r="BO170" i="3"/>
  <c r="CA201" i="1"/>
  <c r="G202" i="5"/>
  <c r="H202" i="5" s="1"/>
  <c r="BB176" i="3"/>
  <c r="U202" i="1"/>
  <c r="BO173" i="3"/>
  <c r="V179" i="3"/>
  <c r="AX179" i="3" s="1"/>
  <c r="AD179" i="1" s="1"/>
  <c r="AF179" i="1" s="1"/>
  <c r="BT173" i="3"/>
  <c r="BO172" i="3"/>
  <c r="BK174" i="3"/>
  <c r="F174" i="5" s="1"/>
  <c r="BB179" i="3"/>
  <c r="BN179" i="3" s="1"/>
  <c r="BB174" i="3"/>
  <c r="AU179" i="3"/>
  <c r="V202" i="1"/>
  <c r="T202" i="1"/>
  <c r="BO180" i="3"/>
  <c r="BS171" i="3"/>
  <c r="D171" i="5" s="1"/>
  <c r="BB184" i="3"/>
  <c r="BL178" i="3"/>
  <c r="AU184" i="3"/>
  <c r="AI203" i="1"/>
  <c r="S203" i="5" s="1"/>
  <c r="BJ184" i="3"/>
  <c r="BR184" i="3" s="1"/>
  <c r="BV184" i="3" s="1"/>
  <c r="CA202" i="1"/>
  <c r="AD199" i="1"/>
  <c r="AG199" i="1" s="1"/>
  <c r="E177" i="5"/>
  <c r="BO174" i="3"/>
  <c r="BS177" i="3"/>
  <c r="D177" i="5" s="1"/>
  <c r="AQ201" i="1"/>
  <c r="BS201" i="1" s="1"/>
  <c r="E173" i="5"/>
  <c r="E170" i="5"/>
  <c r="AD176" i="1"/>
  <c r="AG176" i="1" s="1"/>
  <c r="BL179" i="3"/>
  <c r="BM191" i="3"/>
  <c r="BB191" i="3"/>
  <c r="S207" i="1"/>
  <c r="W207" i="1" s="1"/>
  <c r="AU191" i="3"/>
  <c r="X207" i="1" s="1"/>
  <c r="K207" i="5" s="1"/>
  <c r="BU191" i="3"/>
  <c r="BM190" i="3"/>
  <c r="S206" i="1"/>
  <c r="G206" i="5" s="1"/>
  <c r="I206" i="5" s="1"/>
  <c r="AU190" i="3"/>
  <c r="X206" i="1" s="1"/>
  <c r="K206" i="5" s="1"/>
  <c r="L206" i="5" s="1"/>
  <c r="BU190" i="3"/>
  <c r="CD168" i="1"/>
  <c r="U207" i="5"/>
  <c r="V207" i="5"/>
  <c r="BJ191" i="3"/>
  <c r="V191" i="3"/>
  <c r="BO191" i="3"/>
  <c r="BL191" i="3"/>
  <c r="BJ190" i="3"/>
  <c r="V190" i="3"/>
  <c r="U205" i="5"/>
  <c r="AD206" i="1"/>
  <c r="AE206" i="1" s="1"/>
  <c r="BO190" i="3"/>
  <c r="BL190" i="3"/>
  <c r="AU188" i="3"/>
  <c r="X204" i="1" s="1"/>
  <c r="AA204" i="1" s="1"/>
  <c r="J205" i="5"/>
  <c r="N201" i="5"/>
  <c r="BR188" i="3"/>
  <c r="BV188" i="3" s="1"/>
  <c r="BN188" i="3"/>
  <c r="BO188" i="3"/>
  <c r="BL188" i="3"/>
  <c r="BK197" i="1"/>
  <c r="G179" i="5"/>
  <c r="H179" i="5" s="1"/>
  <c r="M201" i="5"/>
  <c r="I205" i="5"/>
  <c r="BU168" i="1"/>
  <c r="BJ189" i="3"/>
  <c r="BI189" i="3" s="1"/>
  <c r="BU189" i="3" s="1"/>
  <c r="BB189" i="3"/>
  <c r="BC189" i="3" s="1"/>
  <c r="AU189" i="3"/>
  <c r="X205" i="1" s="1"/>
  <c r="Y205" i="1" s="1"/>
  <c r="AD205" i="1"/>
  <c r="W176" i="1"/>
  <c r="AK199" i="1"/>
  <c r="AD204" i="1"/>
  <c r="AG204" i="1" s="1"/>
  <c r="U198" i="1"/>
  <c r="V198" i="1"/>
  <c r="AE207" i="1"/>
  <c r="BJ186" i="3"/>
  <c r="BB186" i="3"/>
  <c r="CA200" i="1"/>
  <c r="W179" i="1"/>
  <c r="U179" i="1"/>
  <c r="AL199" i="1"/>
  <c r="V179" i="1"/>
  <c r="W199" i="1"/>
  <c r="BU170" i="1"/>
  <c r="AK178" i="1"/>
  <c r="V205" i="5"/>
  <c r="S178" i="5"/>
  <c r="T178" i="5" s="1"/>
  <c r="U176" i="1"/>
  <c r="V176" i="1"/>
  <c r="G176" i="5"/>
  <c r="I176" i="5" s="1"/>
  <c r="AF207" i="1"/>
  <c r="V177" i="1"/>
  <c r="AJ199" i="1"/>
  <c r="AG207" i="1"/>
  <c r="AM179" i="1"/>
  <c r="Q201" i="1"/>
  <c r="R201" i="1" s="1"/>
  <c r="AQ183" i="3"/>
  <c r="Z199" i="5" s="1"/>
  <c r="N199" i="1" s="1"/>
  <c r="BS183" i="3"/>
  <c r="D199" i="5" s="1"/>
  <c r="BK183" i="3"/>
  <c r="F199" i="5" s="1"/>
  <c r="L203" i="5"/>
  <c r="M203" i="5"/>
  <c r="N203" i="5"/>
  <c r="Z203" i="1"/>
  <c r="Y203" i="1"/>
  <c r="O207" i="5"/>
  <c r="V199" i="1"/>
  <c r="BO187" i="3"/>
  <c r="BL187" i="3"/>
  <c r="AX187" i="3"/>
  <c r="BN187" i="3"/>
  <c r="BR187" i="3"/>
  <c r="BV187" i="3" s="1"/>
  <c r="BT187" i="3"/>
  <c r="AA203" i="1"/>
  <c r="AB203" i="1"/>
  <c r="M202" i="5"/>
  <c r="N202" i="5"/>
  <c r="R207" i="1"/>
  <c r="BU207" i="1"/>
  <c r="CD207" i="1"/>
  <c r="BF207" i="1"/>
  <c r="BG207" i="1" s="1"/>
  <c r="BP207" i="1" s="1" a="1"/>
  <c r="BP207" i="1" s="1"/>
  <c r="AZ207" i="1"/>
  <c r="AZ205" i="1"/>
  <c r="BU205" i="1"/>
  <c r="CD205" i="1"/>
  <c r="BG205" i="1"/>
  <c r="BP205" i="1" s="1" a="1"/>
  <c r="BP205" i="1" s="1"/>
  <c r="BF205" i="1"/>
  <c r="AV177" i="3"/>
  <c r="AZ206" i="1"/>
  <c r="BU206" i="1"/>
  <c r="CD206" i="1"/>
  <c r="BF206" i="1"/>
  <c r="BG206" i="1" s="1"/>
  <c r="BP206" i="1" s="1" a="1"/>
  <c r="BP206" i="1" s="1"/>
  <c r="BU204" i="1"/>
  <c r="CD204" i="1"/>
  <c r="BF204" i="1"/>
  <c r="BG204" i="1" s="1"/>
  <c r="BP204" i="1" s="1" a="1"/>
  <c r="BP204" i="1" s="1"/>
  <c r="AV174" i="3"/>
  <c r="BU203" i="1"/>
  <c r="CD203" i="1"/>
  <c r="BF203" i="1"/>
  <c r="BG203" i="1" s="1"/>
  <c r="BP203" i="1" s="1" a="1"/>
  <c r="BP203" i="1" s="1"/>
  <c r="R203" i="1"/>
  <c r="AV181" i="3"/>
  <c r="AV179" i="3"/>
  <c r="R202" i="1"/>
  <c r="AM202" i="1"/>
  <c r="AL202" i="1"/>
  <c r="BU202" i="1"/>
  <c r="CD202" i="1"/>
  <c r="BF202" i="1"/>
  <c r="BG202" i="1" s="1"/>
  <c r="BP202" i="1" s="1" a="1"/>
  <c r="BP202" i="1" s="1"/>
  <c r="AM201" i="1"/>
  <c r="G198" i="5"/>
  <c r="H198" i="5" s="1"/>
  <c r="S199" i="5"/>
  <c r="T199" i="5" s="1"/>
  <c r="AK175" i="1"/>
  <c r="S175" i="5"/>
  <c r="U175" i="5" s="1"/>
  <c r="T199" i="1"/>
  <c r="BK200" i="1"/>
  <c r="AJ175" i="1"/>
  <c r="S179" i="5"/>
  <c r="T179" i="5" s="1"/>
  <c r="T198" i="1"/>
  <c r="U199" i="1"/>
  <c r="BK199" i="1"/>
  <c r="AJ179" i="1"/>
  <c r="AK179" i="1"/>
  <c r="BW170" i="1"/>
  <c r="CD170" i="1"/>
  <c r="BG170" i="1"/>
  <c r="BP170" i="1" s="1" a="1"/>
  <c r="BP170" i="1" s="1"/>
  <c r="I201" i="5"/>
  <c r="E179" i="5"/>
  <c r="AI173" i="1"/>
  <c r="AK173" i="1" s="1"/>
  <c r="BT174" i="3"/>
  <c r="E175" i="5"/>
  <c r="AU181" i="3"/>
  <c r="BT169" i="3"/>
  <c r="AM175" i="1"/>
  <c r="BL173" i="3"/>
  <c r="E201" i="5"/>
  <c r="U177" i="1"/>
  <c r="AJ178" i="1"/>
  <c r="AM178" i="1"/>
  <c r="BL174" i="3"/>
  <c r="T177" i="1"/>
  <c r="V200" i="1"/>
  <c r="U200" i="1"/>
  <c r="G200" i="5"/>
  <c r="J200" i="5" s="1"/>
  <c r="T200" i="1"/>
  <c r="BK170" i="3"/>
  <c r="F170" i="5" s="1"/>
  <c r="CA199" i="1"/>
  <c r="AU170" i="3"/>
  <c r="S174" i="1"/>
  <c r="T174" i="1" s="1"/>
  <c r="BJ180" i="3"/>
  <c r="BR180" i="3" s="1"/>
  <c r="BV180" i="3" s="1"/>
  <c r="BO182" i="3"/>
  <c r="G177" i="5"/>
  <c r="H177" i="5" s="1"/>
  <c r="BT177" i="3"/>
  <c r="AQ185" i="3"/>
  <c r="AA201" i="5" s="1"/>
  <c r="BL171" i="3"/>
  <c r="BO171" i="3"/>
  <c r="BK182" i="3"/>
  <c r="F198" i="5" s="1"/>
  <c r="BI172" i="3"/>
  <c r="BU172" i="3" s="1"/>
  <c r="BB173" i="3"/>
  <c r="BB180" i="3"/>
  <c r="CA197" i="1"/>
  <c r="E198" i="5"/>
  <c r="J201" i="5"/>
  <c r="V173" i="3"/>
  <c r="AX173" i="3" s="1"/>
  <c r="AD173" i="1" s="1"/>
  <c r="O173" i="5" s="1"/>
  <c r="AA198" i="5"/>
  <c r="O198" i="1" s="1"/>
  <c r="AI171" i="1"/>
  <c r="S171" i="5" s="1"/>
  <c r="T171" i="5" s="1"/>
  <c r="AU173" i="3"/>
  <c r="BR168" i="3"/>
  <c r="AM170" i="1"/>
  <c r="S170" i="5"/>
  <c r="V170" i="5" s="1"/>
  <c r="S174" i="5"/>
  <c r="V174" i="5" s="1"/>
  <c r="AL198" i="1"/>
  <c r="BS185" i="3"/>
  <c r="D201" i="5" s="1"/>
  <c r="V172" i="1"/>
  <c r="G172" i="5"/>
  <c r="I172" i="5" s="1"/>
  <c r="S197" i="5"/>
  <c r="T197" i="5" s="1"/>
  <c r="AL170" i="1"/>
  <c r="AN177" i="1"/>
  <c r="S198" i="5"/>
  <c r="T198" i="5" s="1"/>
  <c r="G180" i="5"/>
  <c r="J180" i="5" s="1"/>
  <c r="AK197" i="1"/>
  <c r="BS175" i="3"/>
  <c r="D175" i="5" s="1"/>
  <c r="V178" i="3"/>
  <c r="AX178" i="3" s="1"/>
  <c r="AD178" i="1" s="1"/>
  <c r="AG178" i="1" s="1"/>
  <c r="BK177" i="1"/>
  <c r="AM198" i="1"/>
  <c r="BB178" i="3"/>
  <c r="AU178" i="3"/>
  <c r="BB181" i="3"/>
  <c r="BN181" i="3" s="1"/>
  <c r="E176" i="5"/>
  <c r="BK176" i="3"/>
  <c r="F176" i="5" s="1"/>
  <c r="AK170" i="1"/>
  <c r="AD172" i="1"/>
  <c r="AE172" i="1" s="1"/>
  <c r="BS179" i="3"/>
  <c r="D179" i="5" s="1"/>
  <c r="AV171" i="3"/>
  <c r="AK172" i="1"/>
  <c r="V180" i="1"/>
  <c r="AM174" i="1"/>
  <c r="W180" i="1"/>
  <c r="BL172" i="3"/>
  <c r="AD180" i="1"/>
  <c r="AH180" i="1" s="1"/>
  <c r="M200" i="5"/>
  <c r="L200" i="5"/>
  <c r="BL170" i="3"/>
  <c r="S172" i="5"/>
  <c r="U172" i="5" s="1"/>
  <c r="AL172" i="1"/>
  <c r="U180" i="1"/>
  <c r="BL182" i="3"/>
  <c r="AM172" i="1"/>
  <c r="AN180" i="1"/>
  <c r="BB172" i="3"/>
  <c r="BN172" i="3" s="1"/>
  <c r="U202" i="5"/>
  <c r="V202" i="5"/>
  <c r="T206" i="5"/>
  <c r="U206" i="5"/>
  <c r="V206" i="5"/>
  <c r="J203" i="5"/>
  <c r="H203" i="5"/>
  <c r="I203" i="5"/>
  <c r="H204" i="5"/>
  <c r="I204" i="5"/>
  <c r="J204" i="5"/>
  <c r="U204" i="5"/>
  <c r="I202" i="5"/>
  <c r="AN179" i="1"/>
  <c r="L199" i="5"/>
  <c r="U172" i="1"/>
  <c r="AM168" i="1"/>
  <c r="W172" i="1"/>
  <c r="AQ197" i="1"/>
  <c r="BS197" i="1" s="1"/>
  <c r="AK180" i="1"/>
  <c r="AQ172" i="1"/>
  <c r="BS172" i="1" s="1"/>
  <c r="AK174" i="1"/>
  <c r="AJ174" i="1"/>
  <c r="AX184" i="3"/>
  <c r="AD200" i="1" s="1"/>
  <c r="H199" i="5"/>
  <c r="I199" i="5"/>
  <c r="J199" i="5"/>
  <c r="AV173" i="3"/>
  <c r="AL168" i="1"/>
  <c r="AN174" i="1"/>
  <c r="AJ198" i="1"/>
  <c r="N199" i="5"/>
  <c r="BK168" i="1"/>
  <c r="BU200" i="1"/>
  <c r="CD200" i="1"/>
  <c r="BF200" i="1"/>
  <c r="BG200" i="1" s="1"/>
  <c r="BP200" i="1" s="1" a="1"/>
  <c r="BP200" i="1" s="1"/>
  <c r="R200" i="1"/>
  <c r="AV176" i="3"/>
  <c r="AM180" i="1"/>
  <c r="CA168" i="1"/>
  <c r="AV172" i="3"/>
  <c r="AV175" i="3"/>
  <c r="BB171" i="3"/>
  <c r="BK198" i="1"/>
  <c r="W171" i="1"/>
  <c r="G171" i="5"/>
  <c r="H171" i="5" s="1"/>
  <c r="BS181" i="3"/>
  <c r="D197" i="5" s="1"/>
  <c r="BK181" i="3"/>
  <c r="F197" i="5" s="1"/>
  <c r="V171" i="1"/>
  <c r="BF168" i="1"/>
  <c r="BG168" i="1"/>
  <c r="BP168" i="1" s="1" a="1"/>
  <c r="BP168" i="1" s="1"/>
  <c r="V171" i="3"/>
  <c r="AX171" i="3" s="1"/>
  <c r="AD171" i="1" s="1"/>
  <c r="O171" i="5" s="1"/>
  <c r="P171" i="5" s="1"/>
  <c r="AK176" i="1"/>
  <c r="AU171" i="3"/>
  <c r="AL176" i="1"/>
  <c r="AN176" i="1"/>
  <c r="BJ175" i="3"/>
  <c r="BR175" i="3" s="1"/>
  <c r="BV175" i="3" s="1"/>
  <c r="CA170" i="1"/>
  <c r="U171" i="1"/>
  <c r="AN173" i="1"/>
  <c r="AN175" i="1"/>
  <c r="Z172" i="5"/>
  <c r="BK170" i="1"/>
  <c r="T190" i="1"/>
  <c r="BJ182" i="3"/>
  <c r="BN182" i="3" s="1"/>
  <c r="AD198" i="1"/>
  <c r="AG198" i="1" s="1"/>
  <c r="AQ168" i="1"/>
  <c r="BS168" i="1" s="1"/>
  <c r="AM176" i="1"/>
  <c r="BB175" i="3"/>
  <c r="V190" i="1"/>
  <c r="S168" i="5"/>
  <c r="T168" i="5" s="1"/>
  <c r="AD175" i="1"/>
  <c r="AH175" i="1" s="1"/>
  <c r="AJ168" i="1"/>
  <c r="BS180" i="3"/>
  <c r="D180" i="5" s="1"/>
  <c r="BK180" i="3"/>
  <c r="F180" i="5" s="1"/>
  <c r="BL180" i="3"/>
  <c r="S180" i="5"/>
  <c r="V180" i="5" s="1"/>
  <c r="G190" i="5"/>
  <c r="H190" i="5" s="1"/>
  <c r="BH168" i="3"/>
  <c r="BT168" i="3" s="1"/>
  <c r="G168" i="5" s="1"/>
  <c r="H168" i="5" s="1"/>
  <c r="AJ180" i="1"/>
  <c r="S176" i="5"/>
  <c r="V176" i="5" s="1"/>
  <c r="AA197" i="5"/>
  <c r="BL170" i="1"/>
  <c r="BI168" i="3"/>
  <c r="K168" i="5" s="1"/>
  <c r="L168" i="5" s="1"/>
  <c r="BS168" i="3"/>
  <c r="D168" i="5" s="1"/>
  <c r="E168" i="5"/>
  <c r="BK168" i="3"/>
  <c r="F168" i="5" s="1"/>
  <c r="BJ177" i="3"/>
  <c r="BR177" i="3" s="1"/>
  <c r="BV177" i="3" s="1"/>
  <c r="AU177" i="3"/>
  <c r="V177" i="3"/>
  <c r="AX177" i="3" s="1"/>
  <c r="AD177" i="1" s="1"/>
  <c r="AE177" i="1" s="1"/>
  <c r="BB177" i="3"/>
  <c r="T197" i="1"/>
  <c r="G197" i="5"/>
  <c r="H197" i="5" s="1"/>
  <c r="U197" i="1"/>
  <c r="W197" i="1"/>
  <c r="V197" i="1"/>
  <c r="W178" i="1"/>
  <c r="U178" i="1"/>
  <c r="T178" i="1"/>
  <c r="G178" i="5"/>
  <c r="H178" i="5" s="1"/>
  <c r="V178" i="1"/>
  <c r="AD168" i="1"/>
  <c r="AF168" i="1" s="1"/>
  <c r="BS172" i="3"/>
  <c r="D172" i="5" s="1"/>
  <c r="BL176" i="3"/>
  <c r="AQ171" i="1"/>
  <c r="BS171" i="1" s="1"/>
  <c r="U190" i="1"/>
  <c r="BB168" i="3"/>
  <c r="E172" i="5"/>
  <c r="AN190" i="1"/>
  <c r="BP178" i="1" a="1"/>
  <c r="BP178" i="1" s="1"/>
  <c r="AJ197" i="1"/>
  <c r="AM197" i="1"/>
  <c r="BS173" i="3"/>
  <c r="D173" i="5" s="1"/>
  <c r="AD197" i="1"/>
  <c r="O197" i="5" s="1"/>
  <c r="P197" i="5" s="1"/>
  <c r="CA198" i="1"/>
  <c r="N198" i="5"/>
  <c r="L197" i="5"/>
  <c r="BO183" i="3"/>
  <c r="BL183" i="3"/>
  <c r="N197" i="5"/>
  <c r="BJ183" i="3"/>
  <c r="AU183" i="3"/>
  <c r="BB183" i="3"/>
  <c r="BF198" i="1"/>
  <c r="BU198" i="1"/>
  <c r="N189" i="5"/>
  <c r="BG198" i="1"/>
  <c r="BP198" i="1" s="1" a="1"/>
  <c r="BP198" i="1" s="1"/>
  <c r="AA199" i="1"/>
  <c r="AB199" i="1"/>
  <c r="CD198" i="1"/>
  <c r="Z199" i="1"/>
  <c r="Y199" i="1"/>
  <c r="M198" i="5"/>
  <c r="BU199" i="1"/>
  <c r="CD199" i="1"/>
  <c r="BG199" i="1"/>
  <c r="BP199" i="1" s="1" a="1"/>
  <c r="BP199" i="1" s="1"/>
  <c r="BF199" i="1"/>
  <c r="R199" i="1"/>
  <c r="M189" i="5"/>
  <c r="R197" i="1"/>
  <c r="BF197" i="1"/>
  <c r="BG197" i="1"/>
  <c r="BP197" i="1" s="1" a="1"/>
  <c r="BP197" i="1" s="1"/>
  <c r="CD197" i="1"/>
  <c r="BU197" i="1"/>
  <c r="R198" i="1"/>
  <c r="M191" i="5"/>
  <c r="N191" i="5"/>
  <c r="N181" i="5"/>
  <c r="U196" i="5"/>
  <c r="V196" i="5"/>
  <c r="L184" i="5"/>
  <c r="BO181" i="3"/>
  <c r="BL181" i="3"/>
  <c r="N196" i="5"/>
  <c r="L181" i="5"/>
  <c r="M196" i="5"/>
  <c r="I196" i="5"/>
  <c r="N184" i="5"/>
  <c r="J196" i="5"/>
  <c r="M185" i="5"/>
  <c r="N185" i="5"/>
  <c r="U186" i="5"/>
  <c r="L182" i="5"/>
  <c r="N182" i="5"/>
  <c r="L186" i="5"/>
  <c r="M186" i="5"/>
  <c r="N193" i="5"/>
  <c r="L192" i="5"/>
  <c r="N190" i="5"/>
  <c r="L190" i="5"/>
  <c r="V186" i="5"/>
  <c r="L193" i="5"/>
  <c r="L183" i="5"/>
  <c r="M183" i="5"/>
  <c r="N192" i="5"/>
  <c r="H186" i="5"/>
  <c r="I186" i="5"/>
  <c r="J186" i="5"/>
  <c r="M194" i="5"/>
  <c r="L194" i="5"/>
  <c r="BU196" i="1"/>
  <c r="CD196" i="1"/>
  <c r="BF196" i="1"/>
  <c r="BG196" i="1" s="1"/>
  <c r="BP196" i="1" s="1" a="1"/>
  <c r="BP196" i="1" s="1"/>
  <c r="BU190" i="1"/>
  <c r="CD190" i="1"/>
  <c r="BG190" i="1"/>
  <c r="BP190" i="1" s="1" a="1"/>
  <c r="BP190" i="1" s="1"/>
  <c r="BF190" i="1"/>
  <c r="CA169" i="1"/>
  <c r="BF180" i="1"/>
  <c r="BG180" i="1" s="1"/>
  <c r="BP180" i="1" s="1" a="1"/>
  <c r="BP180" i="1" s="1"/>
  <c r="AZ172" i="1"/>
  <c r="AZ175" i="1"/>
  <c r="CD178" i="1"/>
  <c r="AZ174" i="1"/>
  <c r="BG169" i="1"/>
  <c r="BP169" i="1" s="1" a="1"/>
  <c r="BP169" i="1" s="1"/>
  <c r="BW169" i="1"/>
  <c r="BR179" i="3"/>
  <c r="BV179" i="3" s="1"/>
  <c r="BR178" i="3"/>
  <c r="BV178" i="3" s="1"/>
  <c r="U175" i="1"/>
  <c r="W175" i="1"/>
  <c r="G175" i="5"/>
  <c r="H175" i="5" s="1"/>
  <c r="V175" i="1"/>
  <c r="AI177" i="1"/>
  <c r="AK177" i="1" s="1"/>
  <c r="BO177" i="3"/>
  <c r="BL177" i="3"/>
  <c r="Z177" i="1"/>
  <c r="BU178" i="1"/>
  <c r="AN169" i="1"/>
  <c r="BK169" i="1"/>
  <c r="BR176" i="3"/>
  <c r="BV176" i="3" s="1"/>
  <c r="BN176" i="3"/>
  <c r="BR174" i="3"/>
  <c r="BV174" i="3" s="1"/>
  <c r="BN174" i="3"/>
  <c r="BU180" i="1"/>
  <c r="CD180" i="1"/>
  <c r="BF174" i="1"/>
  <c r="BG174" i="1" s="1"/>
  <c r="BP174" i="1" s="1" a="1"/>
  <c r="BP174" i="1" s="1"/>
  <c r="Y174" i="1"/>
  <c r="BR173" i="3"/>
  <c r="BV173" i="3" s="1"/>
  <c r="AB177" i="1"/>
  <c r="CD174" i="1"/>
  <c r="BU174" i="1"/>
  <c r="BU176" i="1"/>
  <c r="AZ176" i="1"/>
  <c r="Y175" i="1"/>
  <c r="J173" i="5"/>
  <c r="I173" i="5"/>
  <c r="K174" i="5"/>
  <c r="L174" i="5" s="1"/>
  <c r="AB174" i="1"/>
  <c r="AB176" i="1"/>
  <c r="AB175" i="1"/>
  <c r="AA174" i="1"/>
  <c r="AB179" i="1"/>
  <c r="BU175" i="1"/>
  <c r="BM172" i="3"/>
  <c r="Y180" i="1"/>
  <c r="AA176" i="1"/>
  <c r="BU179" i="1"/>
  <c r="X172" i="1"/>
  <c r="K172" i="5" s="1"/>
  <c r="Z178" i="1"/>
  <c r="K178" i="5"/>
  <c r="Z179" i="1"/>
  <c r="K179" i="5"/>
  <c r="AB178" i="1"/>
  <c r="AA178" i="1"/>
  <c r="AA180" i="1"/>
  <c r="K180" i="5"/>
  <c r="Y176" i="1"/>
  <c r="K176" i="5"/>
  <c r="N173" i="5"/>
  <c r="L173" i="5"/>
  <c r="M173" i="5"/>
  <c r="Y177" i="1"/>
  <c r="K177" i="5"/>
  <c r="Z175" i="1"/>
  <c r="K175" i="5"/>
  <c r="Y179" i="1"/>
  <c r="Y178" i="1"/>
  <c r="BF179" i="1"/>
  <c r="BG179" i="1" s="1"/>
  <c r="BP179" i="1" s="1" a="1"/>
  <c r="BP179" i="1" s="1"/>
  <c r="CD179" i="1"/>
  <c r="N171" i="5"/>
  <c r="BF176" i="1"/>
  <c r="BG176" i="1" s="1"/>
  <c r="BP176" i="1" s="1" a="1"/>
  <c r="BP176" i="1" s="1"/>
  <c r="CD176" i="1"/>
  <c r="BF175" i="1"/>
  <c r="BG175" i="1" s="1"/>
  <c r="BP175" i="1" s="1" a="1"/>
  <c r="BP175" i="1" s="1"/>
  <c r="CD175" i="1"/>
  <c r="AB180" i="1"/>
  <c r="BF172" i="1"/>
  <c r="BG172" i="1" s="1"/>
  <c r="BP172" i="1" s="1" a="1"/>
  <c r="BP172" i="1" s="1"/>
  <c r="CD172" i="1"/>
  <c r="BU172" i="1"/>
  <c r="R172" i="1"/>
  <c r="BU177" i="1"/>
  <c r="BF177" i="1"/>
  <c r="BG177" i="1" s="1"/>
  <c r="BP177" i="1" s="1" a="1"/>
  <c r="BP177" i="1" s="1"/>
  <c r="CD177" i="1"/>
  <c r="R173" i="1"/>
  <c r="BU173" i="1"/>
  <c r="BF173" i="1"/>
  <c r="BG173" i="1" s="1"/>
  <c r="BP173" i="1" s="1" a="1"/>
  <c r="BP173" i="1" s="1"/>
  <c r="CD173" i="1"/>
  <c r="R176" i="1"/>
  <c r="Y173" i="1"/>
  <c r="Z173" i="1"/>
  <c r="AA173" i="1"/>
  <c r="AB173" i="1"/>
  <c r="R177" i="1"/>
  <c r="L171" i="5"/>
  <c r="BF171" i="1"/>
  <c r="BG171" i="1" s="1"/>
  <c r="BP171" i="1" s="1" a="1"/>
  <c r="BP171" i="1" s="1"/>
  <c r="CD171" i="1"/>
  <c r="BU171" i="1"/>
  <c r="R171" i="1"/>
  <c r="BR171" i="3"/>
  <c r="BV171" i="3" s="1"/>
  <c r="BU169" i="1"/>
  <c r="T168" i="1"/>
  <c r="U168" i="1"/>
  <c r="V168" i="1"/>
  <c r="E169" i="5"/>
  <c r="BL169" i="3"/>
  <c r="AI169" i="1"/>
  <c r="S169" i="5" s="1"/>
  <c r="T169" i="5" s="1"/>
  <c r="BS169" i="3"/>
  <c r="D169" i="5" s="1"/>
  <c r="AD169" i="1"/>
  <c r="AH169" i="1" s="1"/>
  <c r="BO169" i="3"/>
  <c r="CD169" i="1"/>
  <c r="N170" i="5"/>
  <c r="Z169" i="5"/>
  <c r="N169" i="1" s="1"/>
  <c r="AA169" i="5"/>
  <c r="O169" i="1" s="1"/>
  <c r="W169" i="1"/>
  <c r="U169" i="1"/>
  <c r="V169" i="1"/>
  <c r="G169" i="5"/>
  <c r="L169" i="5"/>
  <c r="N169" i="5"/>
  <c r="BF169" i="1"/>
  <c r="M170" i="5"/>
  <c r="M169" i="5"/>
  <c r="BJ169" i="3"/>
  <c r="BN169" i="3" s="1"/>
  <c r="H170" i="5"/>
  <c r="J170" i="5"/>
  <c r="I170" i="5"/>
  <c r="Y168" i="1"/>
  <c r="Z168" i="1"/>
  <c r="AA168" i="1"/>
  <c r="AB168" i="1"/>
  <c r="AB170" i="1"/>
  <c r="Y170" i="1"/>
  <c r="Z170" i="1"/>
  <c r="AA170" i="1"/>
  <c r="R168" i="1"/>
  <c r="R169" i="1"/>
  <c r="Y169" i="1"/>
  <c r="Z169" i="1"/>
  <c r="AA169" i="1"/>
  <c r="AB169" i="1"/>
  <c r="T170" i="1"/>
  <c r="U170" i="1"/>
  <c r="V170" i="1"/>
  <c r="W170" i="1"/>
  <c r="BE101" i="3"/>
  <c r="BE102" i="3"/>
  <c r="BC167" i="3"/>
  <c r="BD167" i="3"/>
  <c r="BI167" i="3"/>
  <c r="BM167" i="3"/>
  <c r="BQ167" i="3"/>
  <c r="BU167" i="3"/>
  <c r="AY167" i="3"/>
  <c r="AZ167" i="3"/>
  <c r="BA167" i="3"/>
  <c r="B163" i="5"/>
  <c r="Y163" i="5" s="1"/>
  <c r="C163" i="5"/>
  <c r="W163" i="5"/>
  <c r="B164" i="5"/>
  <c r="C164" i="5"/>
  <c r="B165" i="5"/>
  <c r="C165" i="5"/>
  <c r="B166" i="5"/>
  <c r="C166" i="5"/>
  <c r="A167" i="5"/>
  <c r="B167" i="5"/>
  <c r="C167" i="5"/>
  <c r="B162" i="5"/>
  <c r="C162" i="5"/>
  <c r="I167" i="1"/>
  <c r="P167" i="1"/>
  <c r="X167" i="1"/>
  <c r="Y167" i="1" s="1"/>
  <c r="AC167" i="1"/>
  <c r="AO167" i="1"/>
  <c r="AR167" i="1"/>
  <c r="BB167" i="1"/>
  <c r="BT167" i="1"/>
  <c r="AW167" i="1" s="1"/>
  <c r="BV167" i="1"/>
  <c r="BY167" i="1"/>
  <c r="AR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AV167" i="1" s="1"/>
  <c r="F167" i="3"/>
  <c r="AS167" i="1" s="1"/>
  <c r="O205" i="5" l="1"/>
  <c r="AE170" i="1"/>
  <c r="O170" i="5"/>
  <c r="AJ202" i="1"/>
  <c r="AJ204" i="1"/>
  <c r="AK202" i="1"/>
  <c r="AM204" i="1"/>
  <c r="S201" i="5"/>
  <c r="T201" i="5" s="1"/>
  <c r="V204" i="5"/>
  <c r="AL201" i="1"/>
  <c r="AK201" i="1"/>
  <c r="AE201" i="1"/>
  <c r="Q201" i="5"/>
  <c r="AF201" i="1"/>
  <c r="R201" i="5"/>
  <c r="AK204" i="1"/>
  <c r="AL204" i="1"/>
  <c r="AH201" i="1"/>
  <c r="AG201" i="1"/>
  <c r="O174" i="5"/>
  <c r="P174" i="5" s="1"/>
  <c r="AG174" i="1"/>
  <c r="AF174" i="1"/>
  <c r="AB204" i="1"/>
  <c r="K204" i="5"/>
  <c r="N204" i="5" s="1"/>
  <c r="Z204" i="1"/>
  <c r="AE174" i="1"/>
  <c r="AH174" i="1"/>
  <c r="Y204" i="1"/>
  <c r="J202" i="5"/>
  <c r="I179" i="5"/>
  <c r="AH176" i="1"/>
  <c r="AE176" i="1"/>
  <c r="BR176" i="1" s="1"/>
  <c r="AH199" i="1"/>
  <c r="O199" i="5"/>
  <c r="P199" i="5" s="1"/>
  <c r="H176" i="5"/>
  <c r="J179" i="5"/>
  <c r="BN171" i="3"/>
  <c r="R171" i="5" s="1"/>
  <c r="O176" i="5"/>
  <c r="Q176" i="5" s="1"/>
  <c r="AF176" i="1"/>
  <c r="I177" i="5"/>
  <c r="V203" i="5"/>
  <c r="AK203" i="1"/>
  <c r="AH170" i="1"/>
  <c r="V178" i="5"/>
  <c r="U178" i="5"/>
  <c r="AA199" i="5"/>
  <c r="O199" i="1" s="1"/>
  <c r="AJ203" i="1"/>
  <c r="AL203" i="1"/>
  <c r="AM203" i="1"/>
  <c r="T203" i="5"/>
  <c r="U203" i="5"/>
  <c r="BN186" i="3"/>
  <c r="AG170" i="1"/>
  <c r="AE199" i="1"/>
  <c r="AF170" i="1"/>
  <c r="AF199" i="1"/>
  <c r="BN184" i="3"/>
  <c r="BN173" i="3"/>
  <c r="BN178" i="3"/>
  <c r="M206" i="5"/>
  <c r="BN180" i="3"/>
  <c r="BR182" i="3"/>
  <c r="BV182" i="3" s="1"/>
  <c r="H206" i="5"/>
  <c r="T207" i="1"/>
  <c r="U207" i="1"/>
  <c r="V207" i="1"/>
  <c r="U206" i="1"/>
  <c r="G207" i="5"/>
  <c r="H207" i="5" s="1"/>
  <c r="M207" i="5"/>
  <c r="L207" i="5"/>
  <c r="AB207" i="1"/>
  <c r="Y207" i="1"/>
  <c r="Z207" i="1"/>
  <c r="V206" i="1"/>
  <c r="AA207" i="1"/>
  <c r="T206" i="1"/>
  <c r="W206" i="1"/>
  <c r="Z206" i="1"/>
  <c r="AA206" i="1"/>
  <c r="Y206" i="1"/>
  <c r="AB206" i="1"/>
  <c r="AX191" i="3"/>
  <c r="BN191" i="3"/>
  <c r="BV191" i="3"/>
  <c r="BR191" i="3"/>
  <c r="J176" i="5"/>
  <c r="O204" i="5"/>
  <c r="Q204" i="5" s="1"/>
  <c r="AH206" i="1"/>
  <c r="AF206" i="1"/>
  <c r="AX190" i="3"/>
  <c r="BN190" i="3"/>
  <c r="BV190" i="3"/>
  <c r="BR190" i="3"/>
  <c r="O206" i="5"/>
  <c r="AG206" i="1"/>
  <c r="AE205" i="1"/>
  <c r="K205" i="5"/>
  <c r="L205" i="5" s="1"/>
  <c r="AG205" i="1"/>
  <c r="AH205" i="1"/>
  <c r="Z205" i="1"/>
  <c r="AA205" i="1"/>
  <c r="BM189" i="3"/>
  <c r="AE204" i="1"/>
  <c r="AB205" i="1"/>
  <c r="BN189" i="3"/>
  <c r="R205" i="5" s="1"/>
  <c r="BR189" i="3"/>
  <c r="BV189" i="3" s="1"/>
  <c r="Q205" i="5" s="1"/>
  <c r="AF205" i="1"/>
  <c r="AF204" i="1"/>
  <c r="AH204" i="1"/>
  <c r="T172" i="5"/>
  <c r="J177" i="5"/>
  <c r="BR186" i="3"/>
  <c r="BV186" i="3" s="1"/>
  <c r="V175" i="5"/>
  <c r="T175" i="5"/>
  <c r="AD202" i="1"/>
  <c r="O202" i="5" s="1"/>
  <c r="P202" i="5" s="1"/>
  <c r="AD203" i="1"/>
  <c r="P207" i="5"/>
  <c r="R207" i="5"/>
  <c r="U174" i="5"/>
  <c r="Q207" i="5"/>
  <c r="V179" i="5"/>
  <c r="T174" i="5"/>
  <c r="V199" i="5"/>
  <c r="U199" i="5"/>
  <c r="U170" i="5"/>
  <c r="T170" i="5"/>
  <c r="U179" i="5"/>
  <c r="AG180" i="1"/>
  <c r="J198" i="5"/>
  <c r="AF175" i="1"/>
  <c r="H172" i="5"/>
  <c r="U174" i="1"/>
  <c r="I198" i="5"/>
  <c r="V201" i="5"/>
  <c r="J172" i="5"/>
  <c r="U201" i="5"/>
  <c r="I200" i="5"/>
  <c r="P205" i="5"/>
  <c r="W174" i="1"/>
  <c r="S173" i="5"/>
  <c r="T173" i="5" s="1"/>
  <c r="AL173" i="1"/>
  <c r="V174" i="1"/>
  <c r="AM173" i="1"/>
  <c r="G174" i="5"/>
  <c r="H174" i="5" s="1"/>
  <c r="AJ173" i="1"/>
  <c r="H200" i="5"/>
  <c r="AM171" i="1"/>
  <c r="U171" i="5"/>
  <c r="AH168" i="1"/>
  <c r="BL168" i="3"/>
  <c r="J168" i="5" s="1"/>
  <c r="O168" i="5"/>
  <c r="P168" i="5" s="1"/>
  <c r="BO168" i="3"/>
  <c r="AL171" i="1"/>
  <c r="AK171" i="1"/>
  <c r="AJ171" i="1"/>
  <c r="AE168" i="1"/>
  <c r="U168" i="5"/>
  <c r="Z201" i="5"/>
  <c r="V171" i="5"/>
  <c r="U198" i="5"/>
  <c r="V198" i="5"/>
  <c r="O180" i="5"/>
  <c r="P180" i="5" s="1"/>
  <c r="AF180" i="1"/>
  <c r="I180" i="5"/>
  <c r="H180" i="5"/>
  <c r="N172" i="5"/>
  <c r="V197" i="5"/>
  <c r="U180" i="5"/>
  <c r="AF198" i="1"/>
  <c r="T180" i="5"/>
  <c r="O175" i="5"/>
  <c r="Q175" i="5" s="1"/>
  <c r="U176" i="5"/>
  <c r="AE175" i="1"/>
  <c r="BR175" i="1" s="1"/>
  <c r="U197" i="5"/>
  <c r="AE180" i="1"/>
  <c r="AG172" i="1"/>
  <c r="O172" i="5"/>
  <c r="R172" i="5" s="1"/>
  <c r="T176" i="5"/>
  <c r="AF172" i="1"/>
  <c r="AH172" i="1"/>
  <c r="I171" i="5"/>
  <c r="AE198" i="1"/>
  <c r="V172" i="5"/>
  <c r="J171" i="5"/>
  <c r="AH200" i="1"/>
  <c r="O200" i="5"/>
  <c r="BN177" i="3"/>
  <c r="AE200" i="1"/>
  <c r="AF200" i="1"/>
  <c r="AG200" i="1"/>
  <c r="J178" i="5"/>
  <c r="I178" i="5"/>
  <c r="AH198" i="1"/>
  <c r="O198" i="5"/>
  <c r="P198" i="5" s="1"/>
  <c r="AG168" i="1"/>
  <c r="J190" i="5"/>
  <c r="I190" i="5"/>
  <c r="I197" i="5"/>
  <c r="V168" i="5"/>
  <c r="J197" i="5"/>
  <c r="AE197" i="1"/>
  <c r="BR197" i="1" s="1"/>
  <c r="BW197" i="1" s="1"/>
  <c r="AG197" i="1"/>
  <c r="AF197" i="1"/>
  <c r="R197" i="5"/>
  <c r="BN175" i="3"/>
  <c r="AG175" i="1"/>
  <c r="Q197" i="5"/>
  <c r="BO167" i="1"/>
  <c r="BQ167" i="1" s="1"/>
  <c r="BN167" i="1" s="1"/>
  <c r="BJ167" i="1"/>
  <c r="CF167" i="1"/>
  <c r="AH197" i="1"/>
  <c r="BM168" i="3"/>
  <c r="N168" i="5" s="1"/>
  <c r="BU168" i="3"/>
  <c r="M168" i="5" s="1"/>
  <c r="BR183" i="3"/>
  <c r="BV183" i="3" s="1"/>
  <c r="BN183" i="3"/>
  <c r="AE171" i="1"/>
  <c r="AG171" i="1"/>
  <c r="AF171" i="1"/>
  <c r="AH171" i="1"/>
  <c r="Q171" i="5"/>
  <c r="R173" i="5"/>
  <c r="AE178" i="1"/>
  <c r="BR178" i="1" s="1"/>
  <c r="X163" i="5"/>
  <c r="O177" i="5"/>
  <c r="P177" i="5" s="1"/>
  <c r="J175" i="5"/>
  <c r="AE179" i="1"/>
  <c r="BR179" i="1" s="1"/>
  <c r="BW179" i="1" s="1"/>
  <c r="O179" i="5"/>
  <c r="R179" i="5" s="1"/>
  <c r="O178" i="5"/>
  <c r="P178" i="5" s="1"/>
  <c r="AH179" i="1"/>
  <c r="AG179" i="1"/>
  <c r="AH178" i="1"/>
  <c r="AE173" i="1"/>
  <c r="AF178" i="1"/>
  <c r="AG173" i="1"/>
  <c r="AH177" i="1"/>
  <c r="I175" i="5"/>
  <c r="AL177" i="1"/>
  <c r="S177" i="5"/>
  <c r="AJ177" i="1"/>
  <c r="AM177" i="1"/>
  <c r="AG177" i="1"/>
  <c r="AF177" i="1"/>
  <c r="AH173" i="1"/>
  <c r="Q173" i="5"/>
  <c r="P173" i="5"/>
  <c r="AF173" i="1"/>
  <c r="N174" i="5"/>
  <c r="M174" i="5"/>
  <c r="AB172" i="1"/>
  <c r="L172" i="5"/>
  <c r="AA172" i="1"/>
  <c r="M172" i="5"/>
  <c r="Y172" i="1"/>
  <c r="BR172" i="1" s="1"/>
  <c r="Z172" i="1"/>
  <c r="M180" i="5"/>
  <c r="L180" i="5"/>
  <c r="N180" i="5"/>
  <c r="M178" i="5"/>
  <c r="L178" i="5"/>
  <c r="N178" i="5"/>
  <c r="L176" i="5"/>
  <c r="M176" i="5"/>
  <c r="N176" i="5"/>
  <c r="L175" i="5"/>
  <c r="M175" i="5"/>
  <c r="N175" i="5"/>
  <c r="L179" i="5"/>
  <c r="M179" i="5"/>
  <c r="N179" i="5"/>
  <c r="L177" i="5"/>
  <c r="N177" i="5"/>
  <c r="M177" i="5"/>
  <c r="I168" i="5"/>
  <c r="BE167" i="1"/>
  <c r="BD167" i="1"/>
  <c r="CG167" i="1"/>
  <c r="BW167" i="1"/>
  <c r="AY167" i="1"/>
  <c r="AJ169" i="1"/>
  <c r="V169" i="5"/>
  <c r="U169" i="5"/>
  <c r="AM169" i="1"/>
  <c r="AL169" i="1"/>
  <c r="AK169" i="1"/>
  <c r="BR169" i="3"/>
  <c r="BV169" i="3" s="1"/>
  <c r="AE169" i="1"/>
  <c r="AF169" i="1"/>
  <c r="AG169" i="1"/>
  <c r="O169" i="5"/>
  <c r="P169" i="5" s="1"/>
  <c r="H169" i="5"/>
  <c r="J169" i="5"/>
  <c r="I169" i="5"/>
  <c r="AC163" i="5"/>
  <c r="CE167" i="1"/>
  <c r="BI167" i="1"/>
  <c r="BL167" i="1" s="1"/>
  <c r="BC167" i="1"/>
  <c r="CJ167" i="1"/>
  <c r="CH167" i="1"/>
  <c r="BF167" i="3"/>
  <c r="BG167" i="3"/>
  <c r="BK167" i="3" s="1"/>
  <c r="F167" i="5" s="1"/>
  <c r="CI167" i="1"/>
  <c r="BE167" i="3"/>
  <c r="AW167" i="3"/>
  <c r="CC167" i="1"/>
  <c r="W167" i="5"/>
  <c r="BB167" i="3"/>
  <c r="AP167" i="3"/>
  <c r="AQ167" i="3" s="1"/>
  <c r="Z167" i="5" s="1"/>
  <c r="N167" i="1" s="1"/>
  <c r="CB167" i="1"/>
  <c r="BP167" i="3" a="1"/>
  <c r="BP167" i="3" s="1"/>
  <c r="S167" i="1"/>
  <c r="T167" i="1" s="1"/>
  <c r="AS167" i="3"/>
  <c r="BH167" i="3" s="1"/>
  <c r="AZ167" i="1"/>
  <c r="AT167" i="3"/>
  <c r="BJ167" i="3" s="1"/>
  <c r="BR167" i="3" s="1"/>
  <c r="BV167" i="3" s="1"/>
  <c r="AX167" i="1"/>
  <c r="K167" i="5"/>
  <c r="L167" i="5" s="1"/>
  <c r="AB167" i="1"/>
  <c r="AA167" i="1"/>
  <c r="Z167" i="1"/>
  <c r="Y167" i="5"/>
  <c r="X167" i="5"/>
  <c r="AC167" i="5"/>
  <c r="Q167" i="1"/>
  <c r="BH167" i="1"/>
  <c r="K167" i="1"/>
  <c r="AB167" i="5"/>
  <c r="AX167" i="3"/>
  <c r="C123" i="3"/>
  <c r="C132" i="3"/>
  <c r="BW164" i="1"/>
  <c r="I2" i="1"/>
  <c r="I3" i="1"/>
  <c r="I4" i="1"/>
  <c r="I12" i="1"/>
  <c r="I13" i="1"/>
  <c r="I17" i="1"/>
  <c r="I18" i="1"/>
  <c r="I21" i="1"/>
  <c r="I22" i="1"/>
  <c r="I23" i="1"/>
  <c r="I24" i="1"/>
  <c r="I26" i="1"/>
  <c r="I27" i="1"/>
  <c r="I28" i="1"/>
  <c r="I33" i="1"/>
  <c r="I38" i="1"/>
  <c r="I42" i="1"/>
  <c r="I43" i="1"/>
  <c r="I45" i="1"/>
  <c r="I46" i="1"/>
  <c r="I47" i="1"/>
  <c r="I48" i="1"/>
  <c r="I49" i="1"/>
  <c r="I50" i="1"/>
  <c r="I53" i="1"/>
  <c r="I54" i="1"/>
  <c r="I56" i="1"/>
  <c r="I57" i="1"/>
  <c r="I62" i="1"/>
  <c r="I74" i="1"/>
  <c r="I76" i="1"/>
  <c r="I77" i="1"/>
  <c r="I78" i="1"/>
  <c r="I79" i="1"/>
  <c r="I80" i="1"/>
  <c r="I87" i="1"/>
  <c r="BM87" i="1" s="1"/>
  <c r="I88" i="1"/>
  <c r="BM88" i="1" s="1"/>
  <c r="I89" i="1"/>
  <c r="I90" i="1"/>
  <c r="I91" i="1"/>
  <c r="BM91" i="1" s="1"/>
  <c r="I96" i="1"/>
  <c r="I98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BM113" i="1" s="1"/>
  <c r="I114" i="1"/>
  <c r="I116" i="1"/>
  <c r="I119" i="1"/>
  <c r="I120" i="1"/>
  <c r="I121" i="1"/>
  <c r="I123" i="1"/>
  <c r="I124" i="1"/>
  <c r="I125" i="1"/>
  <c r="I126" i="1"/>
  <c r="I127" i="1"/>
  <c r="I135" i="1"/>
  <c r="I136" i="1"/>
  <c r="BM136" i="1" s="1"/>
  <c r="I137" i="1"/>
  <c r="I163" i="1"/>
  <c r="I164" i="1"/>
  <c r="I166" i="1"/>
  <c r="V164" i="3"/>
  <c r="U164" i="3"/>
  <c r="BZ167" i="1" l="1"/>
  <c r="P170" i="5"/>
  <c r="R170" i="5"/>
  <c r="Q170" i="5"/>
  <c r="BR201" i="1"/>
  <c r="R174" i="5"/>
  <c r="Q174" i="5"/>
  <c r="L204" i="5"/>
  <c r="R199" i="5"/>
  <c r="M204" i="5"/>
  <c r="R176" i="5"/>
  <c r="P176" i="5"/>
  <c r="Q199" i="5"/>
  <c r="P172" i="5"/>
  <c r="Q172" i="5"/>
  <c r="I174" i="5"/>
  <c r="I207" i="5"/>
  <c r="J174" i="5"/>
  <c r="P204" i="5"/>
  <c r="R204" i="5"/>
  <c r="P206" i="5"/>
  <c r="R206" i="5"/>
  <c r="Q206" i="5"/>
  <c r="M205" i="5"/>
  <c r="R180" i="5"/>
  <c r="Q180" i="5"/>
  <c r="Q168" i="5"/>
  <c r="R168" i="5"/>
  <c r="AG202" i="1"/>
  <c r="V173" i="5"/>
  <c r="AF202" i="1"/>
  <c r="AE202" i="1"/>
  <c r="R202" i="5"/>
  <c r="O203" i="5"/>
  <c r="AH203" i="1"/>
  <c r="AG203" i="1"/>
  <c r="AF203" i="1"/>
  <c r="AE203" i="1"/>
  <c r="Q202" i="5"/>
  <c r="AH202" i="1"/>
  <c r="P175" i="5"/>
  <c r="BR171" i="1"/>
  <c r="BW171" i="1" s="1"/>
  <c r="U173" i="5"/>
  <c r="BR173" i="1"/>
  <c r="BW173" i="1" s="1"/>
  <c r="R175" i="5"/>
  <c r="P200" i="5"/>
  <c r="Q200" i="5"/>
  <c r="R200" i="5"/>
  <c r="R198" i="5"/>
  <c r="Q198" i="5"/>
  <c r="BJ164" i="1"/>
  <c r="BZ164" i="1" s="1"/>
  <c r="AY164" i="1"/>
  <c r="CG55" i="1"/>
  <c r="BJ55" i="1"/>
  <c r="AY55" i="1"/>
  <c r="CG56" i="1"/>
  <c r="BJ56" i="1"/>
  <c r="AY56" i="1"/>
  <c r="CG57" i="1"/>
  <c r="BJ57" i="1"/>
  <c r="AY57" i="1"/>
  <c r="CG58" i="1"/>
  <c r="AY58" i="1"/>
  <c r="BJ58" i="1"/>
  <c r="CG59" i="1"/>
  <c r="AY59" i="1"/>
  <c r="BJ59" i="1"/>
  <c r="CG60" i="1"/>
  <c r="BJ60" i="1"/>
  <c r="AY60" i="1"/>
  <c r="CG62" i="1"/>
  <c r="BJ62" i="1"/>
  <c r="CE181" i="1"/>
  <c r="AX181" i="1"/>
  <c r="CC181" i="1"/>
  <c r="AQ181" i="1" s="1"/>
  <c r="BS181" i="1" s="1"/>
  <c r="BO181" i="1"/>
  <c r="BQ181" i="1" s="1"/>
  <c r="BN181" i="1" s="1"/>
  <c r="CJ181" i="1"/>
  <c r="BI181" i="1"/>
  <c r="BL181" i="1" s="1"/>
  <c r="S181" i="1"/>
  <c r="CG181" i="1"/>
  <c r="CF181" i="1"/>
  <c r="CB181" i="1"/>
  <c r="BC181" i="1"/>
  <c r="AY62" i="1"/>
  <c r="BJ181" i="1"/>
  <c r="BZ181" i="1" s="1"/>
  <c r="AZ181" i="1"/>
  <c r="AY181" i="1"/>
  <c r="CH181" i="1"/>
  <c r="CI181" i="1"/>
  <c r="Y181" i="5"/>
  <c r="K181" i="1"/>
  <c r="BE181" i="1"/>
  <c r="X181" i="5"/>
  <c r="AB181" i="5"/>
  <c r="W181" i="5"/>
  <c r="BH181" i="1"/>
  <c r="BD181" i="1"/>
  <c r="AC181" i="5"/>
  <c r="R177" i="5"/>
  <c r="Q177" i="5"/>
  <c r="Q179" i="5"/>
  <c r="P179" i="5"/>
  <c r="R178" i="5"/>
  <c r="BW178" i="1"/>
  <c r="BW172" i="1"/>
  <c r="BW176" i="1"/>
  <c r="BW175" i="1"/>
  <c r="BK167" i="1"/>
  <c r="CA167" i="1"/>
  <c r="BR177" i="1"/>
  <c r="Q178" i="5"/>
  <c r="T177" i="5"/>
  <c r="U177" i="5"/>
  <c r="V177" i="5"/>
  <c r="R169" i="5"/>
  <c r="Q169" i="5"/>
  <c r="BO167" i="3"/>
  <c r="E167" i="5"/>
  <c r="BT167" i="3"/>
  <c r="AN167" i="1"/>
  <c r="AD167" i="1"/>
  <c r="O167" i="5" s="1"/>
  <c r="Q167" i="5" s="1"/>
  <c r="U167" i="1"/>
  <c r="BS167" i="3"/>
  <c r="D167" i="5" s="1"/>
  <c r="AQ167" i="1"/>
  <c r="BS167" i="1" s="1"/>
  <c r="Y164" i="5"/>
  <c r="CG164" i="1"/>
  <c r="AC164" i="5"/>
  <c r="W167" i="1"/>
  <c r="W164" i="5"/>
  <c r="X164" i="5"/>
  <c r="AA167" i="5"/>
  <c r="O167" i="1" s="1"/>
  <c r="N167" i="5"/>
  <c r="V167" i="1"/>
  <c r="G167" i="5"/>
  <c r="I167" i="5" s="1"/>
  <c r="BL167" i="3"/>
  <c r="AI167" i="1"/>
  <c r="BN167" i="3"/>
  <c r="M167" i="5"/>
  <c r="AU167" i="3"/>
  <c r="R167" i="1"/>
  <c r="BF167" i="1"/>
  <c r="BG167" i="1"/>
  <c r="BP167" i="1" s="1" a="1"/>
  <c r="BP167" i="1" s="1"/>
  <c r="CD167" i="1"/>
  <c r="BU167" i="1"/>
  <c r="V165" i="3"/>
  <c r="G166" i="3"/>
  <c r="BU166" i="3"/>
  <c r="BQ166" i="3"/>
  <c r="BM166" i="3"/>
  <c r="BI166" i="3"/>
  <c r="BD166" i="3"/>
  <c r="BC166" i="3"/>
  <c r="AZ166" i="3"/>
  <c r="AY166" i="3"/>
  <c r="C166" i="3"/>
  <c r="BA166" i="3" s="1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I165" i="1" s="1"/>
  <c r="J165" i="3"/>
  <c r="AV165" i="1" s="1"/>
  <c r="F165" i="3"/>
  <c r="AS165" i="1" s="1"/>
  <c r="E35" i="9"/>
  <c r="D35" i="9"/>
  <c r="C35" i="9"/>
  <c r="F164" i="3"/>
  <c r="AS164" i="1" s="1"/>
  <c r="BU164" i="3"/>
  <c r="BQ164" i="3"/>
  <c r="BM164" i="3"/>
  <c r="BI164" i="3"/>
  <c r="BD164" i="3"/>
  <c r="BC164" i="3"/>
  <c r="AZ164" i="3"/>
  <c r="AR164" i="3"/>
  <c r="BG164" i="3" s="1"/>
  <c r="E164" i="5" s="1"/>
  <c r="AX164" i="3"/>
  <c r="AY164" i="3"/>
  <c r="J164" i="3"/>
  <c r="AP164" i="3"/>
  <c r="L25" i="3"/>
  <c r="I25" i="1" s="1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T163" i="3"/>
  <c r="BJ163" i="3" s="1"/>
  <c r="AS163" i="3"/>
  <c r="BH163" i="3" s="1"/>
  <c r="AR163" i="3"/>
  <c r="BG163" i="3" s="1"/>
  <c r="E163" i="5" s="1"/>
  <c r="AP163" i="3"/>
  <c r="AO163" i="3"/>
  <c r="BY166" i="1"/>
  <c r="BV166" i="1"/>
  <c r="BT166" i="1"/>
  <c r="AW166" i="1" s="1"/>
  <c r="BB166" i="1"/>
  <c r="AV166" i="1"/>
  <c r="AS166" i="1"/>
  <c r="AR166" i="1"/>
  <c r="AO166" i="1"/>
  <c r="J166" i="1" s="1"/>
  <c r="AC166" i="1"/>
  <c r="P166" i="1"/>
  <c r="CA166" i="1" s="1"/>
  <c r="A166" i="1"/>
  <c r="AT166" i="1" s="1"/>
  <c r="AU166" i="1" s="1"/>
  <c r="BY165" i="1"/>
  <c r="BV165" i="1"/>
  <c r="BT165" i="1"/>
  <c r="AW165" i="1" s="1"/>
  <c r="BB165" i="1"/>
  <c r="AR165" i="1"/>
  <c r="AO165" i="1"/>
  <c r="J165" i="1" s="1"/>
  <c r="AC165" i="1"/>
  <c r="X165" i="1"/>
  <c r="P165" i="1"/>
  <c r="CA165" i="1" s="1"/>
  <c r="A165" i="1"/>
  <c r="AT165" i="1" s="1"/>
  <c r="AU165" i="1" s="1"/>
  <c r="CJ164" i="1"/>
  <c r="CI164" i="1"/>
  <c r="CH164" i="1"/>
  <c r="CF164" i="1"/>
  <c r="CE164" i="1"/>
  <c r="CC164" i="1"/>
  <c r="CB164" i="1"/>
  <c r="BY164" i="1"/>
  <c r="BV164" i="1"/>
  <c r="BT164" i="1"/>
  <c r="AW164" i="1" s="1"/>
  <c r="BO164" i="1"/>
  <c r="BI164" i="1"/>
  <c r="BL164" i="1" s="1"/>
  <c r="BC164" i="1"/>
  <c r="BB164" i="1"/>
  <c r="AX164" i="1"/>
  <c r="AV164" i="1"/>
  <c r="AR164" i="1"/>
  <c r="AO164" i="1"/>
  <c r="AC164" i="1"/>
  <c r="X164" i="1"/>
  <c r="P164" i="1"/>
  <c r="CA164" i="1" s="1"/>
  <c r="A164" i="1"/>
  <c r="CJ163" i="1"/>
  <c r="CI163" i="1"/>
  <c r="CH163" i="1"/>
  <c r="CF163" i="1"/>
  <c r="CE163" i="1"/>
  <c r="CC163" i="1"/>
  <c r="BZ163" i="1" s="1"/>
  <c r="CB163" i="1"/>
  <c r="BY163" i="1"/>
  <c r="BV163" i="1"/>
  <c r="BT163" i="1"/>
  <c r="AW163" i="1" s="1"/>
  <c r="BO163" i="1"/>
  <c r="BI163" i="1"/>
  <c r="BL163" i="1" s="1"/>
  <c r="BC163" i="1"/>
  <c r="BB163" i="1"/>
  <c r="AZ163" i="1"/>
  <c r="AX163" i="1"/>
  <c r="AV163" i="1"/>
  <c r="AS163" i="1"/>
  <c r="AR163" i="1"/>
  <c r="AO163" i="1"/>
  <c r="J163" i="1" s="1"/>
  <c r="AC163" i="1"/>
  <c r="X163" i="1"/>
  <c r="S163" i="1"/>
  <c r="P163" i="1"/>
  <c r="CA163" i="1" s="1"/>
  <c r="A163" i="1"/>
  <c r="AT163" i="1" s="1"/>
  <c r="AU163" i="1" s="1"/>
  <c r="C34" i="9"/>
  <c r="D34" i="9"/>
  <c r="E34" i="9"/>
  <c r="BY162" i="1"/>
  <c r="BV162" i="1"/>
  <c r="BT162" i="1"/>
  <c r="AW162" i="1" s="1"/>
  <c r="BB162" i="1"/>
  <c r="AR162" i="1"/>
  <c r="AO162" i="1"/>
  <c r="J162" i="1" s="1"/>
  <c r="AC162" i="1"/>
  <c r="X162" i="1"/>
  <c r="P162" i="1"/>
  <c r="CA162" i="1" s="1"/>
  <c r="A162" i="1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I162" i="1" s="1"/>
  <c r="J162" i="3"/>
  <c r="AV162" i="1" s="1"/>
  <c r="F162" i="3"/>
  <c r="AS162" i="1" s="1"/>
  <c r="B161" i="5"/>
  <c r="C161" i="5"/>
  <c r="BY161" i="1"/>
  <c r="BV161" i="1"/>
  <c r="BT161" i="1"/>
  <c r="AW161" i="1" s="1"/>
  <c r="BB161" i="1"/>
  <c r="AV161" i="1"/>
  <c r="AS161" i="1"/>
  <c r="AR161" i="1"/>
  <c r="AC161" i="1"/>
  <c r="X161" i="1"/>
  <c r="AA161" i="1" s="1"/>
  <c r="P161" i="1"/>
  <c r="CA161" i="1" s="1"/>
  <c r="A161" i="1"/>
  <c r="AT161" i="1" s="1"/>
  <c r="AU161" i="1" s="1"/>
  <c r="A162" i="5" l="1"/>
  <c r="AT162" i="1"/>
  <c r="AU162" i="1" s="1"/>
  <c r="A164" i="5"/>
  <c r="AT164" i="1"/>
  <c r="AU164" i="1" s="1"/>
  <c r="CI165" i="1"/>
  <c r="AR166" i="3"/>
  <c r="AQ163" i="3"/>
  <c r="CJ165" i="1"/>
  <c r="AZ165" i="1"/>
  <c r="P203" i="5"/>
  <c r="Q203" i="5"/>
  <c r="R203" i="5"/>
  <c r="BC165" i="1"/>
  <c r="CG162" i="1"/>
  <c r="BJ162" i="1"/>
  <c r="AY162" i="1"/>
  <c r="BJ166" i="1"/>
  <c r="BZ166" i="1" s="1"/>
  <c r="AY166" i="1"/>
  <c r="CG23" i="1"/>
  <c r="AY23" i="1"/>
  <c r="BJ23" i="1"/>
  <c r="BI165" i="1"/>
  <c r="BL165" i="1" s="1"/>
  <c r="CG24" i="1"/>
  <c r="BJ24" i="1"/>
  <c r="AY24" i="1"/>
  <c r="BO165" i="1"/>
  <c r="W181" i="1"/>
  <c r="G181" i="5"/>
  <c r="U181" i="1"/>
  <c r="T181" i="1"/>
  <c r="V181" i="1"/>
  <c r="BF181" i="1"/>
  <c r="CD181" i="1"/>
  <c r="BU181" i="1"/>
  <c r="BG181" i="1"/>
  <c r="BP181" i="1" s="1" a="1"/>
  <c r="BP181" i="1" s="1"/>
  <c r="CG165" i="1"/>
  <c r="BJ165" i="1"/>
  <c r="AY165" i="1"/>
  <c r="BK181" i="1"/>
  <c r="AN181" i="1"/>
  <c r="BW177" i="1"/>
  <c r="BK163" i="1"/>
  <c r="BK164" i="1"/>
  <c r="AB164" i="5"/>
  <c r="BD164" i="1"/>
  <c r="BE164" i="1"/>
  <c r="BD165" i="1"/>
  <c r="BE165" i="1"/>
  <c r="BD162" i="1"/>
  <c r="BE162" i="1"/>
  <c r="BD163" i="1"/>
  <c r="BE163" i="1"/>
  <c r="BD166" i="1"/>
  <c r="BE166" i="1"/>
  <c r="A165" i="5"/>
  <c r="A163" i="5"/>
  <c r="A166" i="5"/>
  <c r="J167" i="5"/>
  <c r="S167" i="5"/>
  <c r="T167" i="5" s="1"/>
  <c r="AJ167" i="1"/>
  <c r="AG167" i="1"/>
  <c r="AF167" i="1"/>
  <c r="CB165" i="1"/>
  <c r="CC165" i="1"/>
  <c r="AQ165" i="1" s="1"/>
  <c r="BS165" i="1" s="1"/>
  <c r="AX165" i="1"/>
  <c r="CE165" i="1"/>
  <c r="CF165" i="1"/>
  <c r="CH165" i="1"/>
  <c r="S165" i="1"/>
  <c r="U165" i="1" s="1"/>
  <c r="P167" i="5"/>
  <c r="R167" i="5"/>
  <c r="AE167" i="1"/>
  <c r="BG165" i="3"/>
  <c r="E165" i="5" s="1"/>
  <c r="AH167" i="1"/>
  <c r="CC166" i="1"/>
  <c r="CG166" i="1"/>
  <c r="BO166" i="1"/>
  <c r="BQ166" i="1" s="1"/>
  <c r="BN166" i="1" s="1"/>
  <c r="S166" i="1"/>
  <c r="U166" i="1" s="1"/>
  <c r="CB166" i="1"/>
  <c r="BP166" i="3" a="1"/>
  <c r="BP166" i="3" s="1"/>
  <c r="BT166" i="3" s="1"/>
  <c r="BE166" i="3"/>
  <c r="W166" i="5"/>
  <c r="AC166" i="5"/>
  <c r="Y166" i="5"/>
  <c r="X166" i="5"/>
  <c r="AX166" i="1"/>
  <c r="CE166" i="1"/>
  <c r="AI162" i="1"/>
  <c r="AL162" i="1" s="1"/>
  <c r="BE162" i="3"/>
  <c r="W162" i="5"/>
  <c r="AC162" i="5"/>
  <c r="Y162" i="5"/>
  <c r="X162" i="5"/>
  <c r="CF166" i="1"/>
  <c r="BG166" i="3"/>
  <c r="E166" i="5" s="1"/>
  <c r="AL167" i="1"/>
  <c r="BE163" i="3"/>
  <c r="BC166" i="1"/>
  <c r="CH166" i="1"/>
  <c r="BE164" i="3"/>
  <c r="BI166" i="1"/>
  <c r="BL166" i="1" s="1"/>
  <c r="CI166" i="1"/>
  <c r="CJ166" i="1"/>
  <c r="H167" i="5"/>
  <c r="AP165" i="3"/>
  <c r="AQ165" i="3" s="1"/>
  <c r="BE165" i="3"/>
  <c r="W165" i="5"/>
  <c r="AC165" i="5"/>
  <c r="Y165" i="5"/>
  <c r="X165" i="5"/>
  <c r="AK167" i="1"/>
  <c r="AM167" i="1"/>
  <c r="AA163" i="1"/>
  <c r="K163" i="5"/>
  <c r="AA162" i="1"/>
  <c r="K162" i="5"/>
  <c r="AA164" i="1"/>
  <c r="K164" i="5"/>
  <c r="AA165" i="1"/>
  <c r="K165" i="5"/>
  <c r="W163" i="1"/>
  <c r="G163" i="5"/>
  <c r="BO162" i="1"/>
  <c r="BQ162" i="1" s="1"/>
  <c r="BN162" i="1" s="1"/>
  <c r="BF166" i="3"/>
  <c r="AP166" i="3"/>
  <c r="AQ166" i="3" s="1"/>
  <c r="CH162" i="1"/>
  <c r="AO166" i="3"/>
  <c r="AS166" i="3"/>
  <c r="BH166" i="3" s="1"/>
  <c r="CI162" i="1"/>
  <c r="AX162" i="3"/>
  <c r="AX165" i="3"/>
  <c r="A161" i="5"/>
  <c r="AW166" i="3"/>
  <c r="BQ165" i="1"/>
  <c r="BN165" i="1" s="1"/>
  <c r="AP162" i="3"/>
  <c r="AQ162" i="3" s="1"/>
  <c r="Z162" i="5" s="1"/>
  <c r="CC162" i="1"/>
  <c r="CB162" i="1"/>
  <c r="CE162" i="1"/>
  <c r="BG162" i="3"/>
  <c r="E162" i="5" s="1"/>
  <c r="BC162" i="1"/>
  <c r="CF162" i="1"/>
  <c r="AX162" i="1"/>
  <c r="BI162" i="1"/>
  <c r="BL162" i="1" s="1"/>
  <c r="CJ162" i="1"/>
  <c r="Q163" i="1"/>
  <c r="R163" i="1" s="1"/>
  <c r="AU163" i="3"/>
  <c r="AT166" i="3"/>
  <c r="AU166" i="3" s="1"/>
  <c r="AX166" i="3"/>
  <c r="Q166" i="1"/>
  <c r="X166" i="1"/>
  <c r="AS165" i="3"/>
  <c r="BH165" i="3" s="1"/>
  <c r="AT165" i="3"/>
  <c r="BJ165" i="3" s="1"/>
  <c r="BP165" i="3" a="1"/>
  <c r="BP165" i="3" s="1"/>
  <c r="BT165" i="3" s="1"/>
  <c r="BF165" i="3"/>
  <c r="BQ164" i="1"/>
  <c r="BN164" i="1" s="1"/>
  <c r="BK164" i="3"/>
  <c r="F164" i="5" s="1"/>
  <c r="AS164" i="3"/>
  <c r="AT164" i="3"/>
  <c r="BJ164" i="3" s="1"/>
  <c r="BP164" i="3" a="1"/>
  <c r="BP164" i="3" s="1"/>
  <c r="BF164" i="3"/>
  <c r="AO164" i="3"/>
  <c r="BS164" i="3" s="1"/>
  <c r="D164" i="5" s="1"/>
  <c r="BA164" i="3"/>
  <c r="Q164" i="1" s="1"/>
  <c r="BQ163" i="1"/>
  <c r="BN163" i="1" s="1"/>
  <c r="BK163" i="3"/>
  <c r="F163" i="5" s="1"/>
  <c r="BS163" i="3"/>
  <c r="D163" i="5" s="1"/>
  <c r="BT163" i="3"/>
  <c r="BO163" i="3"/>
  <c r="BR163" i="3"/>
  <c r="BV163" i="3" s="1"/>
  <c r="BB163" i="3"/>
  <c r="Z162" i="1"/>
  <c r="V163" i="3"/>
  <c r="AB162" i="1"/>
  <c r="AN163" i="1"/>
  <c r="AB165" i="1"/>
  <c r="AB164" i="1"/>
  <c r="Z164" i="1"/>
  <c r="AN164" i="1"/>
  <c r="AB163" i="1"/>
  <c r="AQ163" i="1"/>
  <c r="BS163" i="1" s="1"/>
  <c r="AB166" i="5"/>
  <c r="AZ166" i="1"/>
  <c r="K166" i="1"/>
  <c r="AI166" i="1"/>
  <c r="BH166" i="1"/>
  <c r="AB165" i="5"/>
  <c r="K165" i="1"/>
  <c r="AI165" i="1"/>
  <c r="BH165" i="1"/>
  <c r="Y165" i="1"/>
  <c r="Q165" i="1"/>
  <c r="Z165" i="1"/>
  <c r="AQ164" i="1"/>
  <c r="BS164" i="1" s="1"/>
  <c r="AZ164" i="1"/>
  <c r="K164" i="1"/>
  <c r="AI164" i="1"/>
  <c r="BH164" i="1"/>
  <c r="Y164" i="1"/>
  <c r="AB163" i="5"/>
  <c r="T163" i="1"/>
  <c r="U163" i="1"/>
  <c r="V163" i="1"/>
  <c r="K163" i="1"/>
  <c r="AI163" i="1"/>
  <c r="AJ163" i="1" s="1"/>
  <c r="BH163" i="1"/>
  <c r="Y163" i="1"/>
  <c r="Z163" i="1"/>
  <c r="Q162" i="1"/>
  <c r="R162" i="1" s="1"/>
  <c r="K162" i="1"/>
  <c r="BH162" i="1"/>
  <c r="AB162" i="5"/>
  <c r="Y162" i="1"/>
  <c r="AS162" i="3"/>
  <c r="BH162" i="3" s="1"/>
  <c r="AT162" i="3"/>
  <c r="BJ162" i="3" s="1"/>
  <c r="BP162" i="3" a="1"/>
  <c r="BP162" i="3" s="1"/>
  <c r="BF162" i="3"/>
  <c r="K161" i="5"/>
  <c r="N161" i="5" s="1"/>
  <c r="AB161" i="1"/>
  <c r="Z161" i="1"/>
  <c r="Y161" i="1"/>
  <c r="C161" i="3"/>
  <c r="AO161" i="1" s="1"/>
  <c r="J161" i="1" s="1"/>
  <c r="BU161" i="3"/>
  <c r="BQ161" i="3"/>
  <c r="BM161" i="3"/>
  <c r="BI161" i="3"/>
  <c r="BC161" i="3"/>
  <c r="AZ161" i="3"/>
  <c r="AY161" i="3"/>
  <c r="V37" i="3"/>
  <c r="BZ162" i="1" l="1"/>
  <c r="BZ165" i="1"/>
  <c r="AR161" i="3"/>
  <c r="BA161" i="3"/>
  <c r="BK166" i="3"/>
  <c r="F166" i="5" s="1"/>
  <c r="BS166" i="3"/>
  <c r="D166" i="5" s="1"/>
  <c r="CG64" i="1"/>
  <c r="BJ64" i="1"/>
  <c r="AY64" i="1"/>
  <c r="CG63" i="1"/>
  <c r="BJ63" i="1"/>
  <c r="AY63" i="1"/>
  <c r="H181" i="5"/>
  <c r="J181" i="5"/>
  <c r="I181" i="5"/>
  <c r="CG161" i="1"/>
  <c r="BJ161" i="1"/>
  <c r="BZ161" i="1" s="1"/>
  <c r="AY161" i="1"/>
  <c r="BK165" i="1"/>
  <c r="BK162" i="1"/>
  <c r="BK166" i="1"/>
  <c r="AN165" i="1"/>
  <c r="AN166" i="1"/>
  <c r="CD161" i="1"/>
  <c r="BD161" i="1"/>
  <c r="BE161" i="1"/>
  <c r="AV166" i="3"/>
  <c r="BS165" i="3"/>
  <c r="D165" i="5" s="1"/>
  <c r="BK165" i="3"/>
  <c r="F165" i="5" s="1"/>
  <c r="T166" i="1"/>
  <c r="AQ166" i="1"/>
  <c r="BS166" i="1" s="1"/>
  <c r="U167" i="5"/>
  <c r="V167" i="5"/>
  <c r="W165" i="1"/>
  <c r="BK162" i="3"/>
  <c r="F162" i="5" s="1"/>
  <c r="AK162" i="1"/>
  <c r="AM162" i="1"/>
  <c r="G166" i="5"/>
  <c r="J166" i="5" s="1"/>
  <c r="W166" i="1"/>
  <c r="AN162" i="1"/>
  <c r="T165" i="1"/>
  <c r="V166" i="1"/>
  <c r="V165" i="1"/>
  <c r="G165" i="5"/>
  <c r="J165" i="5" s="1"/>
  <c r="S162" i="5"/>
  <c r="T162" i="5" s="1"/>
  <c r="AJ162" i="1"/>
  <c r="S166" i="5"/>
  <c r="V166" i="5" s="1"/>
  <c r="AJ166" i="1"/>
  <c r="S164" i="5"/>
  <c r="T164" i="5" s="1"/>
  <c r="AJ164" i="1"/>
  <c r="S165" i="5"/>
  <c r="V165" i="5" s="1"/>
  <c r="AJ165" i="1"/>
  <c r="BO166" i="3"/>
  <c r="BS162" i="3"/>
  <c r="D162" i="5" s="1"/>
  <c r="Z165" i="5"/>
  <c r="AA165" i="5"/>
  <c r="S163" i="5"/>
  <c r="T163" i="5" s="1"/>
  <c r="AX161" i="3"/>
  <c r="AA162" i="5"/>
  <c r="BE161" i="3"/>
  <c r="BL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AA166" i="1"/>
  <c r="K166" i="5"/>
  <c r="BT162" i="3"/>
  <c r="Q161" i="1"/>
  <c r="R161" i="1" s="1"/>
  <c r="AW161" i="3"/>
  <c r="BH161" i="1"/>
  <c r="BD161" i="3"/>
  <c r="AQ162" i="1"/>
  <c r="BS162" i="1" s="1"/>
  <c r="AD164" i="1"/>
  <c r="AD166" i="1"/>
  <c r="AD162" i="1"/>
  <c r="BP161" i="3" a="1"/>
  <c r="BP161" i="3" s="1"/>
  <c r="K161" i="1"/>
  <c r="BG161" i="3"/>
  <c r="E161" i="5" s="1"/>
  <c r="AC161" i="5"/>
  <c r="CJ161" i="1"/>
  <c r="BO161" i="1"/>
  <c r="BQ161" i="1" s="1"/>
  <c r="BN161" i="1" s="1"/>
  <c r="BI161" i="1"/>
  <c r="BL161" i="1" s="1"/>
  <c r="S161" i="1"/>
  <c r="BC161" i="1"/>
  <c r="W161" i="5"/>
  <c r="CF161" i="1"/>
  <c r="CE161" i="1"/>
  <c r="CC161" i="1"/>
  <c r="AQ161" i="1" s="1"/>
  <c r="BS161" i="1" s="1"/>
  <c r="X161" i="5"/>
  <c r="CI161" i="1"/>
  <c r="AZ161" i="1"/>
  <c r="CB161" i="1"/>
  <c r="CH161" i="1"/>
  <c r="Y161" i="5"/>
  <c r="AX161" i="1"/>
  <c r="AT161" i="3"/>
  <c r="BB161" i="3" s="1"/>
  <c r="AB161" i="5"/>
  <c r="AS161" i="3"/>
  <c r="S162" i="1"/>
  <c r="BJ166" i="3"/>
  <c r="BB166" i="3"/>
  <c r="R166" i="1"/>
  <c r="Z166" i="1"/>
  <c r="Y166" i="1"/>
  <c r="AB166" i="1"/>
  <c r="AU165" i="3"/>
  <c r="BB165" i="3"/>
  <c r="BN165" i="3" s="1"/>
  <c r="AD165" i="1"/>
  <c r="BR165" i="3"/>
  <c r="BV165" i="3" s="1"/>
  <c r="BO165" i="3"/>
  <c r="BL165" i="3"/>
  <c r="R165" i="1"/>
  <c r="BH164" i="3"/>
  <c r="BT164" i="3" s="1"/>
  <c r="S164" i="1"/>
  <c r="AU164" i="3"/>
  <c r="BB164" i="3"/>
  <c r="BN164" i="3" s="1"/>
  <c r="BR164" i="3"/>
  <c r="BV164" i="3" s="1"/>
  <c r="R164" i="1"/>
  <c r="AQ164" i="3"/>
  <c r="AX163" i="3"/>
  <c r="AD163" i="1" s="1"/>
  <c r="O163" i="5" s="1"/>
  <c r="BN163" i="3"/>
  <c r="BU166" i="1"/>
  <c r="CD166" i="1"/>
  <c r="BF166" i="1"/>
  <c r="BG166" i="1" s="1"/>
  <c r="BP166" i="1" s="1" a="1"/>
  <c r="BP166" i="1" s="1"/>
  <c r="AM166" i="1"/>
  <c r="AL166" i="1"/>
  <c r="AK166" i="1"/>
  <c r="AM165" i="1"/>
  <c r="AL165" i="1"/>
  <c r="AK165" i="1"/>
  <c r="BU165" i="1"/>
  <c r="BF165" i="1"/>
  <c r="BG165" i="1" s="1"/>
  <c r="BP165" i="1" s="1" a="1"/>
  <c r="BP165" i="1" s="1"/>
  <c r="CD165" i="1"/>
  <c r="AM164" i="1"/>
  <c r="AL164" i="1"/>
  <c r="AK164" i="1"/>
  <c r="BU164" i="1"/>
  <c r="CD164" i="1"/>
  <c r="BF164" i="1"/>
  <c r="BG164" i="1" s="1"/>
  <c r="BP164" i="1" s="1" a="1"/>
  <c r="BP164" i="1" s="1"/>
  <c r="BU163" i="1"/>
  <c r="CD163" i="1"/>
  <c r="BG163" i="1"/>
  <c r="BP163" i="1" s="1" a="1"/>
  <c r="BP163" i="1" s="1"/>
  <c r="BF163" i="1"/>
  <c r="AM163" i="1"/>
  <c r="AL163" i="1"/>
  <c r="AK163" i="1"/>
  <c r="AZ162" i="1"/>
  <c r="BU162" i="1"/>
  <c r="CD162" i="1"/>
  <c r="BG162" i="1"/>
  <c r="BP162" i="1" s="1" a="1"/>
  <c r="BP162" i="1" s="1"/>
  <c r="BF162" i="1"/>
  <c r="AU162" i="3"/>
  <c r="BB162" i="3"/>
  <c r="BN162" i="3" s="1"/>
  <c r="M161" i="5"/>
  <c r="L161" i="5"/>
  <c r="BR162" i="3"/>
  <c r="BV162" i="3" s="1"/>
  <c r="BL162" i="3"/>
  <c r="BO162" i="3"/>
  <c r="BF161" i="3"/>
  <c r="L161" i="3"/>
  <c r="I161" i="1" s="1"/>
  <c r="AO161" i="3"/>
  <c r="AS3" i="1"/>
  <c r="AS4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9" i="1"/>
  <c r="AS30" i="1"/>
  <c r="AS31" i="1"/>
  <c r="AS35" i="1"/>
  <c r="AS36" i="1"/>
  <c r="AS37" i="1"/>
  <c r="AS38" i="1"/>
  <c r="AS39" i="1"/>
  <c r="AS40" i="1"/>
  <c r="AS42" i="1"/>
  <c r="AS43" i="1"/>
  <c r="AS45" i="1"/>
  <c r="AS46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2" i="1"/>
  <c r="AS74" i="1"/>
  <c r="AS75" i="1"/>
  <c r="AS76" i="1"/>
  <c r="AS77" i="1"/>
  <c r="AS78" i="1"/>
  <c r="AS81" i="1"/>
  <c r="AS82" i="1"/>
  <c r="AS83" i="1"/>
  <c r="AS84" i="1"/>
  <c r="AS85" i="1"/>
  <c r="AS86" i="1"/>
  <c r="AS87" i="1"/>
  <c r="AS88" i="1"/>
  <c r="AS89" i="1"/>
  <c r="AS93" i="1"/>
  <c r="AS94" i="1"/>
  <c r="AS96" i="1"/>
  <c r="AS97" i="1"/>
  <c r="AS98" i="1"/>
  <c r="AS99" i="1"/>
  <c r="AS100" i="1"/>
  <c r="AS101" i="1"/>
  <c r="AS102" i="1"/>
  <c r="AS109" i="1"/>
  <c r="AS110" i="1"/>
  <c r="AS111" i="1"/>
  <c r="AS112" i="1"/>
  <c r="AS114" i="1"/>
  <c r="AS115" i="1"/>
  <c r="AS116" i="1"/>
  <c r="AS117" i="1"/>
  <c r="AS119" i="1"/>
  <c r="AS120" i="1"/>
  <c r="AS121" i="1"/>
  <c r="AS123" i="1"/>
  <c r="AS128" i="1"/>
  <c r="AS130" i="1"/>
  <c r="AS131" i="1"/>
  <c r="AS132" i="1"/>
  <c r="AS133" i="1"/>
  <c r="AS134" i="1"/>
  <c r="AS135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6" i="1"/>
  <c r="AR127" i="1"/>
  <c r="AR128" i="1"/>
  <c r="AR129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2" i="1"/>
  <c r="AV3" i="1"/>
  <c r="AV4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3" i="1"/>
  <c r="AV94" i="1"/>
  <c r="AV95" i="1"/>
  <c r="AV96" i="1"/>
  <c r="AV97" i="1"/>
  <c r="AV98" i="1"/>
  <c r="AV99" i="1"/>
  <c r="AV100" i="1"/>
  <c r="AV101" i="1"/>
  <c r="AV102" i="1"/>
  <c r="AV109" i="1"/>
  <c r="AV110" i="1"/>
  <c r="AV111" i="1"/>
  <c r="AV112" i="1"/>
  <c r="AV114" i="1"/>
  <c r="AV115" i="1"/>
  <c r="AV116" i="1"/>
  <c r="AV117" i="1"/>
  <c r="AV119" i="1"/>
  <c r="AV120" i="1"/>
  <c r="AV121" i="1"/>
  <c r="AV123" i="1"/>
  <c r="AV125" i="1"/>
  <c r="AV128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2" i="1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G164" i="5" l="1"/>
  <c r="H164" i="5" s="1"/>
  <c r="BF161" i="1"/>
  <c r="BG161" i="1" s="1"/>
  <c r="BK161" i="1"/>
  <c r="BU161" i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T162" i="1"/>
  <c r="G162" i="5"/>
  <c r="M166" i="5"/>
  <c r="N166" i="5"/>
  <c r="L166" i="5"/>
  <c r="AE164" i="1"/>
  <c r="O164" i="5"/>
  <c r="P163" i="5"/>
  <c r="Q163" i="5"/>
  <c r="R163" i="5"/>
  <c r="AF165" i="1"/>
  <c r="O165" i="5"/>
  <c r="AH166" i="1"/>
  <c r="O166" i="5"/>
  <c r="AF162" i="1"/>
  <c r="O162" i="5"/>
  <c r="AU161" i="3"/>
  <c r="BK161" i="3"/>
  <c r="F161" i="5" s="1"/>
  <c r="AV161" i="3"/>
  <c r="BL164" i="3"/>
  <c r="BO164" i="3"/>
  <c r="BP161" i="1" a="1"/>
  <c r="BP161" i="1" s="1"/>
  <c r="AF164" i="1"/>
  <c r="AG162" i="1"/>
  <c r="AG166" i="1"/>
  <c r="AE166" i="1"/>
  <c r="AF166" i="1"/>
  <c r="AG164" i="1"/>
  <c r="AH164" i="1"/>
  <c r="AH162" i="1"/>
  <c r="AE162" i="1"/>
  <c r="W162" i="1"/>
  <c r="V162" i="1"/>
  <c r="U162" i="1"/>
  <c r="V161" i="1"/>
  <c r="G161" i="5"/>
  <c r="T161" i="1"/>
  <c r="U161" i="1"/>
  <c r="W161" i="1"/>
  <c r="BH161" i="3"/>
  <c r="BO161" i="3" s="1"/>
  <c r="AI161" i="1"/>
  <c r="AJ161" i="1" s="1"/>
  <c r="BJ161" i="3"/>
  <c r="BR161" i="3" s="1"/>
  <c r="BV161" i="3" s="1"/>
  <c r="AD161" i="1"/>
  <c r="AN161" i="1"/>
  <c r="BR166" i="3"/>
  <c r="BV166" i="3" s="1"/>
  <c r="BN166" i="3"/>
  <c r="AG165" i="1"/>
  <c r="AH165" i="1"/>
  <c r="AE165" i="1"/>
  <c r="W164" i="1"/>
  <c r="U164" i="1"/>
  <c r="T164" i="1"/>
  <c r="V164" i="1"/>
  <c r="AE163" i="1"/>
  <c r="AG163" i="1"/>
  <c r="AF163" i="1"/>
  <c r="AH163" i="1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BG55" i="3" s="1"/>
  <c r="AS55" i="3"/>
  <c r="BH55" i="3" s="1"/>
  <c r="AT55" i="3"/>
  <c r="AR56" i="3"/>
  <c r="BG56" i="3" s="1"/>
  <c r="AS56" i="3"/>
  <c r="BH56" i="3" s="1"/>
  <c r="BO56" i="3" s="1"/>
  <c r="AT56" i="3"/>
  <c r="BJ56" i="3" s="1"/>
  <c r="AR57" i="3"/>
  <c r="BG57" i="3" s="1"/>
  <c r="BK57" i="3" s="1"/>
  <c r="AS57" i="3"/>
  <c r="BH57" i="3" s="1"/>
  <c r="AT57" i="3"/>
  <c r="AR58" i="3"/>
  <c r="BG58" i="3" s="1"/>
  <c r="AS58" i="3"/>
  <c r="BH58" i="3" s="1"/>
  <c r="BO58" i="3" s="1"/>
  <c r="AT58" i="3"/>
  <c r="AR59" i="3"/>
  <c r="BG59" i="3" s="1"/>
  <c r="AS59" i="3"/>
  <c r="BH59" i="3" s="1"/>
  <c r="AT59" i="3"/>
  <c r="AR60" i="3"/>
  <c r="BG60" i="3" s="1"/>
  <c r="BK60" i="3" s="1"/>
  <c r="AS60" i="3"/>
  <c r="BH60" i="3" s="1"/>
  <c r="AT60" i="3"/>
  <c r="AR61" i="3"/>
  <c r="AR62" i="3"/>
  <c r="AS62" i="3"/>
  <c r="AT62" i="3"/>
  <c r="AR64" i="3"/>
  <c r="AR65" i="3"/>
  <c r="AR66" i="3"/>
  <c r="AR67" i="3"/>
  <c r="AR68" i="3"/>
  <c r="AR69" i="3"/>
  <c r="AR72" i="3"/>
  <c r="AR73" i="3"/>
  <c r="AR76" i="3"/>
  <c r="BG76" i="3" s="1"/>
  <c r="BK76" i="3" s="1"/>
  <c r="AS76" i="3"/>
  <c r="BH76" i="3" s="1"/>
  <c r="AT76" i="3"/>
  <c r="AR77" i="3"/>
  <c r="BG77" i="3" s="1"/>
  <c r="BK77" i="3" s="1"/>
  <c r="AS77" i="3"/>
  <c r="BH77" i="3" s="1"/>
  <c r="AT77" i="3"/>
  <c r="BB77" i="3" s="1"/>
  <c r="AT79" i="3"/>
  <c r="BJ79" i="3" s="1"/>
  <c r="AR80" i="3"/>
  <c r="AR81" i="3"/>
  <c r="BG81" i="3" s="1"/>
  <c r="BK81" i="3" s="1"/>
  <c r="AS81" i="3"/>
  <c r="BH81" i="3" s="1"/>
  <c r="AT81" i="3"/>
  <c r="BB81" i="3" s="1"/>
  <c r="AR82" i="3"/>
  <c r="AR83" i="3"/>
  <c r="AR84" i="3"/>
  <c r="AR85" i="3"/>
  <c r="AR87" i="3"/>
  <c r="AR88" i="3"/>
  <c r="AR89" i="3"/>
  <c r="AS89" i="3"/>
  <c r="AT89" i="3"/>
  <c r="AR93" i="3"/>
  <c r="BG93" i="3" s="1"/>
  <c r="AS93" i="3"/>
  <c r="BH93" i="3" s="1"/>
  <c r="AT93" i="3"/>
  <c r="BJ93" i="3" s="1"/>
  <c r="BR93" i="3" s="1"/>
  <c r="BV93" i="3" s="1"/>
  <c r="AR94" i="3"/>
  <c r="AS94" i="3"/>
  <c r="BH94" i="3" s="1"/>
  <c r="AT94" i="3"/>
  <c r="AR95" i="3"/>
  <c r="AR96" i="3"/>
  <c r="AR97" i="3"/>
  <c r="AR98" i="3"/>
  <c r="BG98" i="3" s="1"/>
  <c r="AS98" i="3"/>
  <c r="BH98" i="3" s="1"/>
  <c r="AT98" i="3"/>
  <c r="AR99" i="3"/>
  <c r="BG99" i="3" s="1"/>
  <c r="BK99" i="3" s="1"/>
  <c r="AS99" i="3"/>
  <c r="BH99" i="3" s="1"/>
  <c r="AT99" i="3"/>
  <c r="BJ99" i="3" s="1"/>
  <c r="BR99" i="3" s="1"/>
  <c r="AR100" i="3"/>
  <c r="BG100" i="3" s="1"/>
  <c r="AS100" i="3"/>
  <c r="BH100" i="3" s="1"/>
  <c r="AT100" i="3"/>
  <c r="AR101" i="3"/>
  <c r="BG101" i="3" s="1"/>
  <c r="AS101" i="3"/>
  <c r="BH101" i="3" s="1"/>
  <c r="BT101" i="3" s="1"/>
  <c r="AT101" i="3"/>
  <c r="AR102" i="3"/>
  <c r="BG102" i="3" s="1"/>
  <c r="AS102" i="3"/>
  <c r="BH102" i="3" s="1"/>
  <c r="BT102" i="3" s="1"/>
  <c r="AT102" i="3"/>
  <c r="BB102" i="3" s="1"/>
  <c r="AR103" i="3"/>
  <c r="AR104" i="3"/>
  <c r="AR105" i="3"/>
  <c r="AR106" i="3"/>
  <c r="AR107" i="3"/>
  <c r="AR108" i="3"/>
  <c r="AR109" i="3"/>
  <c r="BG109" i="3" s="1"/>
  <c r="AS109" i="3"/>
  <c r="BH109" i="3" s="1"/>
  <c r="BO109" i="3" s="1"/>
  <c r="AT109" i="3"/>
  <c r="BJ109" i="3" s="1"/>
  <c r="AT110" i="3"/>
  <c r="AR114" i="3"/>
  <c r="BG114" i="3" s="1"/>
  <c r="AS114" i="3"/>
  <c r="BH114" i="3" s="1"/>
  <c r="AT114" i="3"/>
  <c r="BB114" i="3" s="1"/>
  <c r="AR116" i="3"/>
  <c r="BG116" i="3" s="1"/>
  <c r="AS116" i="3"/>
  <c r="BH116" i="3" s="1"/>
  <c r="AT116" i="3"/>
  <c r="AR117" i="3"/>
  <c r="BG117" i="3" s="1"/>
  <c r="AS117" i="3"/>
  <c r="BH117" i="3" s="1"/>
  <c r="BT117" i="3" s="1"/>
  <c r="AT117" i="3"/>
  <c r="BJ117" i="3" s="1"/>
  <c r="AR118" i="3"/>
  <c r="BG118" i="3" s="1"/>
  <c r="BK118" i="3" s="1"/>
  <c r="AS118" i="3"/>
  <c r="BH118" i="3" s="1"/>
  <c r="AT118" i="3"/>
  <c r="AR119" i="3"/>
  <c r="BG119" i="3" s="1"/>
  <c r="BK119" i="3" s="1"/>
  <c r="AS119" i="3"/>
  <c r="BH119" i="3" s="1"/>
  <c r="AT119" i="3"/>
  <c r="AR121" i="3"/>
  <c r="AR122" i="3"/>
  <c r="BG122" i="3" s="1"/>
  <c r="BK122" i="3" s="1"/>
  <c r="AS122" i="3"/>
  <c r="BH122" i="3" s="1"/>
  <c r="AT122" i="3"/>
  <c r="BB122" i="3" s="1"/>
  <c r="AR123" i="3"/>
  <c r="BG123" i="3" s="1"/>
  <c r="AS123" i="3"/>
  <c r="BH123" i="3" s="1"/>
  <c r="BO123" i="3" s="1"/>
  <c r="AT123" i="3"/>
  <c r="BB123" i="3" s="1"/>
  <c r="AR125" i="3"/>
  <c r="AR126" i="3"/>
  <c r="AR127" i="3"/>
  <c r="AR128" i="3"/>
  <c r="BG128" i="3" s="1"/>
  <c r="AS128" i="3"/>
  <c r="BH128" i="3" s="1"/>
  <c r="AT128" i="3"/>
  <c r="BB128" i="3" s="1"/>
  <c r="AR129" i="3"/>
  <c r="AR130" i="3"/>
  <c r="BG130" i="3" s="1"/>
  <c r="AS130" i="3"/>
  <c r="BH130" i="3" s="1"/>
  <c r="AT130" i="3"/>
  <c r="AR131" i="3"/>
  <c r="BG131" i="3" s="1"/>
  <c r="BK131" i="3" s="1"/>
  <c r="AS131" i="3"/>
  <c r="BH131" i="3" s="1"/>
  <c r="AT131" i="3"/>
  <c r="AR133" i="3"/>
  <c r="BG133" i="3" s="1"/>
  <c r="AS133" i="3"/>
  <c r="BH133" i="3" s="1"/>
  <c r="BO133" i="3" s="1"/>
  <c r="AT133" i="3"/>
  <c r="AR134" i="3"/>
  <c r="BG134" i="3" s="1"/>
  <c r="AS134" i="3"/>
  <c r="BH134" i="3" s="1"/>
  <c r="AT134" i="3"/>
  <c r="BB134" i="3" s="1"/>
  <c r="AT137" i="3"/>
  <c r="AR138" i="3"/>
  <c r="BG138" i="3" s="1"/>
  <c r="BK138" i="3" s="1"/>
  <c r="AS138" i="3"/>
  <c r="BH138" i="3" s="1"/>
  <c r="BT138" i="3" s="1"/>
  <c r="AT138" i="3"/>
  <c r="BJ138" i="3" s="1"/>
  <c r="AR140" i="3"/>
  <c r="BG140" i="3" s="1"/>
  <c r="AS140" i="3"/>
  <c r="BH140" i="3" s="1"/>
  <c r="AT140" i="3"/>
  <c r="BB140" i="3" s="1"/>
  <c r="AR150" i="3"/>
  <c r="BG150" i="3" s="1"/>
  <c r="AS150" i="3"/>
  <c r="BH150" i="3" s="1"/>
  <c r="BO150" i="3" s="1"/>
  <c r="AT150" i="3"/>
  <c r="BB150" i="3" s="1"/>
  <c r="AR158" i="3"/>
  <c r="BG158" i="3" s="1"/>
  <c r="AS158" i="3"/>
  <c r="BH158" i="3" s="1"/>
  <c r="AT158" i="3"/>
  <c r="AR160" i="3"/>
  <c r="P3" i="1"/>
  <c r="CA3" i="1" s="1"/>
  <c r="X3" i="1"/>
  <c r="Y3" i="1" s="1"/>
  <c r="AC3" i="1"/>
  <c r="BB3" i="1"/>
  <c r="BT3" i="1"/>
  <c r="AW3" i="1" s="1"/>
  <c r="BV3" i="1"/>
  <c r="BY3" i="1"/>
  <c r="P4" i="1"/>
  <c r="X4" i="1"/>
  <c r="K4" i="5" s="1"/>
  <c r="L4" i="5" s="1"/>
  <c r="AC4" i="1"/>
  <c r="AO4" i="1"/>
  <c r="J4" i="1" s="1"/>
  <c r="BB4" i="1"/>
  <c r="BT4" i="1"/>
  <c r="AW4" i="1" s="1"/>
  <c r="BV4" i="1"/>
  <c r="BY4" i="1"/>
  <c r="P5" i="1"/>
  <c r="CA5" i="1" s="1"/>
  <c r="X5" i="1"/>
  <c r="Z5" i="1" s="1"/>
  <c r="AC5" i="1"/>
  <c r="AO5" i="1"/>
  <c r="J5" i="1" s="1"/>
  <c r="BB5" i="1"/>
  <c r="BT5" i="1"/>
  <c r="AW5" i="1" s="1"/>
  <c r="BV5" i="1"/>
  <c r="BY5" i="1"/>
  <c r="P6" i="1"/>
  <c r="CA6" i="1" s="1"/>
  <c r="X6" i="1"/>
  <c r="Z6" i="1" s="1"/>
  <c r="AC6" i="1"/>
  <c r="BB6" i="1"/>
  <c r="BT6" i="1"/>
  <c r="AW6" i="1" s="1"/>
  <c r="BV6" i="1"/>
  <c r="BY6" i="1"/>
  <c r="P7" i="1"/>
  <c r="CA7" i="1" s="1"/>
  <c r="X7" i="1"/>
  <c r="Z7" i="1" s="1"/>
  <c r="AC7" i="1"/>
  <c r="BB7" i="1"/>
  <c r="BT7" i="1"/>
  <c r="AW7" i="1" s="1"/>
  <c r="BV7" i="1"/>
  <c r="BY7" i="1"/>
  <c r="P8" i="1"/>
  <c r="CA8" i="1" s="1"/>
  <c r="X8" i="1"/>
  <c r="AC8" i="1"/>
  <c r="AO8" i="1"/>
  <c r="J8" i="1" s="1"/>
  <c r="BB8" i="1"/>
  <c r="BT8" i="1"/>
  <c r="AW8" i="1" s="1"/>
  <c r="BV8" i="1"/>
  <c r="BY8" i="1"/>
  <c r="P9" i="1"/>
  <c r="CA9" i="1" s="1"/>
  <c r="X9" i="1"/>
  <c r="Z9" i="1" s="1"/>
  <c r="AC9" i="1"/>
  <c r="BB9" i="1"/>
  <c r="BT9" i="1"/>
  <c r="AW9" i="1" s="1"/>
  <c r="BV9" i="1"/>
  <c r="BY9" i="1"/>
  <c r="P10" i="1"/>
  <c r="CA10" i="1" s="1"/>
  <c r="X10" i="1"/>
  <c r="Z10" i="1" s="1"/>
  <c r="AC10" i="1"/>
  <c r="AO10" i="1"/>
  <c r="J10" i="1" s="1"/>
  <c r="BB10" i="1"/>
  <c r="BT10" i="1"/>
  <c r="AW10" i="1" s="1"/>
  <c r="BV10" i="1"/>
  <c r="BY10" i="1"/>
  <c r="P11" i="1"/>
  <c r="CA11" i="1" s="1"/>
  <c r="X11" i="1"/>
  <c r="Z11" i="1" s="1"/>
  <c r="AC11" i="1"/>
  <c r="BB11" i="1"/>
  <c r="BT11" i="1"/>
  <c r="AW11" i="1" s="1"/>
  <c r="BV11" i="1"/>
  <c r="BY11" i="1"/>
  <c r="P12" i="1"/>
  <c r="CA12" i="1" s="1"/>
  <c r="X12" i="1"/>
  <c r="AA12" i="1" s="1"/>
  <c r="AC12" i="1"/>
  <c r="AO12" i="1"/>
  <c r="J12" i="1" s="1"/>
  <c r="BB12" i="1"/>
  <c r="BT12" i="1"/>
  <c r="AW12" i="1" s="1"/>
  <c r="BV12" i="1"/>
  <c r="BY12" i="1"/>
  <c r="P13" i="1"/>
  <c r="CA13" i="1" s="1"/>
  <c r="X13" i="1"/>
  <c r="AB13" i="1" s="1"/>
  <c r="AC13" i="1"/>
  <c r="BB13" i="1"/>
  <c r="BT13" i="1"/>
  <c r="AW13" i="1" s="1"/>
  <c r="BV13" i="1"/>
  <c r="BY13" i="1"/>
  <c r="P14" i="1"/>
  <c r="CA14" i="1" s="1"/>
  <c r="X14" i="1"/>
  <c r="AB14" i="1" s="1"/>
  <c r="AC14" i="1"/>
  <c r="BB14" i="1"/>
  <c r="BT14" i="1"/>
  <c r="AW14" i="1" s="1"/>
  <c r="BV14" i="1"/>
  <c r="BY14" i="1"/>
  <c r="P15" i="1"/>
  <c r="CA15" i="1" s="1"/>
  <c r="X15" i="1"/>
  <c r="AC15" i="1"/>
  <c r="BB15" i="1"/>
  <c r="BT15" i="1"/>
  <c r="AW15" i="1" s="1"/>
  <c r="BV15" i="1"/>
  <c r="BY15" i="1"/>
  <c r="P16" i="1"/>
  <c r="CA16" i="1" s="1"/>
  <c r="X16" i="1"/>
  <c r="AA16" i="1" s="1"/>
  <c r="AC16" i="1"/>
  <c r="BB16" i="1"/>
  <c r="BT16" i="1"/>
  <c r="AW16" i="1" s="1"/>
  <c r="BV16" i="1"/>
  <c r="BY16" i="1"/>
  <c r="P17" i="1"/>
  <c r="CA17" i="1" s="1"/>
  <c r="X17" i="1"/>
  <c r="Z17" i="1" s="1"/>
  <c r="AC17" i="1"/>
  <c r="AO17" i="1"/>
  <c r="J17" i="1" s="1"/>
  <c r="BB17" i="1"/>
  <c r="BT17" i="1"/>
  <c r="AW17" i="1" s="1"/>
  <c r="BV17" i="1"/>
  <c r="BY17" i="1"/>
  <c r="P18" i="1"/>
  <c r="CA18" i="1" s="1"/>
  <c r="X18" i="1"/>
  <c r="AB18" i="1" s="1"/>
  <c r="AC18" i="1"/>
  <c r="AO18" i="1"/>
  <c r="J18" i="1" s="1"/>
  <c r="BB18" i="1"/>
  <c r="BT18" i="1"/>
  <c r="AW18" i="1" s="1"/>
  <c r="BV18" i="1"/>
  <c r="BY18" i="1"/>
  <c r="P19" i="1"/>
  <c r="CA19" i="1" s="1"/>
  <c r="X19" i="1"/>
  <c r="K19" i="5" s="1"/>
  <c r="L19" i="5" s="1"/>
  <c r="AC19" i="1"/>
  <c r="BB19" i="1"/>
  <c r="BT19" i="1"/>
  <c r="AW19" i="1" s="1"/>
  <c r="BV19" i="1"/>
  <c r="BY19" i="1"/>
  <c r="P20" i="1"/>
  <c r="CA20" i="1" s="1"/>
  <c r="X20" i="1"/>
  <c r="Z20" i="1" s="1"/>
  <c r="AC20" i="1"/>
  <c r="AO20" i="1"/>
  <c r="J20" i="1" s="1"/>
  <c r="BB20" i="1"/>
  <c r="BT20" i="1"/>
  <c r="AW20" i="1" s="1"/>
  <c r="BV20" i="1"/>
  <c r="BY20" i="1"/>
  <c r="P21" i="1"/>
  <c r="CA21" i="1" s="1"/>
  <c r="X21" i="1"/>
  <c r="AC21" i="1"/>
  <c r="AO21" i="1"/>
  <c r="J21" i="1" s="1"/>
  <c r="BB21" i="1"/>
  <c r="BT21" i="1"/>
  <c r="AW21" i="1" s="1"/>
  <c r="BV21" i="1"/>
  <c r="BY21" i="1"/>
  <c r="P22" i="1"/>
  <c r="CA22" i="1" s="1"/>
  <c r="X22" i="1"/>
  <c r="Z22" i="1" s="1"/>
  <c r="AC22" i="1"/>
  <c r="AO22" i="1"/>
  <c r="J22" i="1" s="1"/>
  <c r="BB22" i="1"/>
  <c r="BT22" i="1"/>
  <c r="AW22" i="1" s="1"/>
  <c r="BV22" i="1"/>
  <c r="BY22" i="1"/>
  <c r="P23" i="1"/>
  <c r="CA23" i="1" s="1"/>
  <c r="X23" i="1"/>
  <c r="AA23" i="1" s="1"/>
  <c r="AC23" i="1"/>
  <c r="AO23" i="1"/>
  <c r="J23" i="1" s="1"/>
  <c r="BB23" i="1"/>
  <c r="BT23" i="1"/>
  <c r="AW23" i="1" s="1"/>
  <c r="BV23" i="1"/>
  <c r="BY23" i="1"/>
  <c r="P24" i="1"/>
  <c r="CA24" i="1" s="1"/>
  <c r="X24" i="1"/>
  <c r="Z24" i="1" s="1"/>
  <c r="AC24" i="1"/>
  <c r="AO24" i="1"/>
  <c r="J24" i="1" s="1"/>
  <c r="BB24" i="1"/>
  <c r="BT24" i="1"/>
  <c r="AW24" i="1" s="1"/>
  <c r="BV24" i="1"/>
  <c r="BY24" i="1"/>
  <c r="P25" i="1"/>
  <c r="CA25" i="1" s="1"/>
  <c r="AC25" i="1"/>
  <c r="BB25" i="1"/>
  <c r="BT25" i="1"/>
  <c r="AW25" i="1" s="1"/>
  <c r="BV25" i="1"/>
  <c r="BY25" i="1"/>
  <c r="P26" i="1"/>
  <c r="CA26" i="1" s="1"/>
  <c r="AC26" i="1"/>
  <c r="BB26" i="1"/>
  <c r="BT26" i="1"/>
  <c r="AW26" i="1" s="1"/>
  <c r="BV26" i="1"/>
  <c r="BY26" i="1"/>
  <c r="P27" i="1"/>
  <c r="AC27" i="1"/>
  <c r="AO27" i="1"/>
  <c r="J27" i="1" s="1"/>
  <c r="BB27" i="1"/>
  <c r="BT27" i="1"/>
  <c r="AW27" i="1" s="1"/>
  <c r="BV27" i="1"/>
  <c r="BY27" i="1"/>
  <c r="P28" i="1"/>
  <c r="CA28" i="1" s="1"/>
  <c r="X28" i="1"/>
  <c r="K28" i="5" s="1"/>
  <c r="AC28" i="1"/>
  <c r="BB28" i="1"/>
  <c r="BT28" i="1"/>
  <c r="AW28" i="1" s="1"/>
  <c r="BV28" i="1"/>
  <c r="BY28" i="1"/>
  <c r="P29" i="1"/>
  <c r="AC29" i="1"/>
  <c r="AO29" i="1"/>
  <c r="J29" i="1" s="1"/>
  <c r="BB29" i="1"/>
  <c r="BT29" i="1"/>
  <c r="AW29" i="1" s="1"/>
  <c r="BV29" i="1"/>
  <c r="BY29" i="1"/>
  <c r="P30" i="1"/>
  <c r="CA30" i="1" s="1"/>
  <c r="X30" i="1"/>
  <c r="AC30" i="1"/>
  <c r="BB30" i="1"/>
  <c r="BT30" i="1"/>
  <c r="AW30" i="1" s="1"/>
  <c r="BV30" i="1"/>
  <c r="BY30" i="1"/>
  <c r="P31" i="1"/>
  <c r="CA31" i="1" s="1"/>
  <c r="X31" i="1"/>
  <c r="K31" i="5" s="1"/>
  <c r="L31" i="5" s="1"/>
  <c r="AC31" i="1"/>
  <c r="BB31" i="1"/>
  <c r="BT31" i="1"/>
  <c r="AW31" i="1" s="1"/>
  <c r="BV31" i="1"/>
  <c r="BY31" i="1"/>
  <c r="P32" i="1"/>
  <c r="X32" i="1"/>
  <c r="AC32" i="1"/>
  <c r="AO32" i="1"/>
  <c r="J32" i="1" s="1"/>
  <c r="BB32" i="1"/>
  <c r="BT32" i="1"/>
  <c r="AW32" i="1" s="1"/>
  <c r="BV32" i="1"/>
  <c r="BY32" i="1"/>
  <c r="P33" i="1"/>
  <c r="CA33" i="1" s="1"/>
  <c r="X33" i="1"/>
  <c r="AC33" i="1"/>
  <c r="AO33" i="1"/>
  <c r="J33" i="1" s="1"/>
  <c r="BB33" i="1"/>
  <c r="BT33" i="1"/>
  <c r="AW33" i="1" s="1"/>
  <c r="BV33" i="1"/>
  <c r="BY33" i="1"/>
  <c r="P34" i="1"/>
  <c r="CA34" i="1" s="1"/>
  <c r="X34" i="1"/>
  <c r="K34" i="5" s="1"/>
  <c r="AC34" i="1"/>
  <c r="AO34" i="1"/>
  <c r="J34" i="1" s="1"/>
  <c r="BB34" i="1"/>
  <c r="BT34" i="1"/>
  <c r="AW34" i="1" s="1"/>
  <c r="BV34" i="1"/>
  <c r="BY34" i="1"/>
  <c r="P35" i="1"/>
  <c r="X35" i="1"/>
  <c r="Z35" i="1" s="1"/>
  <c r="AC35" i="1"/>
  <c r="AO35" i="1"/>
  <c r="J35" i="1" s="1"/>
  <c r="BB35" i="1"/>
  <c r="BT35" i="1"/>
  <c r="AW35" i="1" s="1"/>
  <c r="BV35" i="1"/>
  <c r="BY35" i="1"/>
  <c r="P36" i="1"/>
  <c r="CA36" i="1" s="1"/>
  <c r="X36" i="1"/>
  <c r="Y36" i="1" s="1"/>
  <c r="AC36" i="1"/>
  <c r="AO36" i="1"/>
  <c r="J36" i="1" s="1"/>
  <c r="BB36" i="1"/>
  <c r="BT36" i="1"/>
  <c r="AW36" i="1" s="1"/>
  <c r="BV36" i="1"/>
  <c r="BY36" i="1"/>
  <c r="P37" i="1"/>
  <c r="CA37" i="1" s="1"/>
  <c r="X37" i="1"/>
  <c r="AA37" i="1" s="1"/>
  <c r="AC37" i="1"/>
  <c r="AO37" i="1"/>
  <c r="J37" i="1" s="1"/>
  <c r="BB37" i="1"/>
  <c r="BT37" i="1"/>
  <c r="AW37" i="1" s="1"/>
  <c r="BV37" i="1"/>
  <c r="BY37" i="1"/>
  <c r="P38" i="1"/>
  <c r="CA38" i="1" s="1"/>
  <c r="X38" i="1"/>
  <c r="AC38" i="1"/>
  <c r="AO38" i="1"/>
  <c r="J38" i="1" s="1"/>
  <c r="BB38" i="1"/>
  <c r="BT38" i="1"/>
  <c r="AW38" i="1" s="1"/>
  <c r="BV38" i="1"/>
  <c r="BY38" i="1"/>
  <c r="P39" i="1"/>
  <c r="CA39" i="1" s="1"/>
  <c r="X39" i="1"/>
  <c r="AA39" i="1" s="1"/>
  <c r="AC39" i="1"/>
  <c r="BB39" i="1"/>
  <c r="BT39" i="1"/>
  <c r="AW39" i="1" s="1"/>
  <c r="BV39" i="1"/>
  <c r="BY39" i="1"/>
  <c r="P40" i="1"/>
  <c r="CA40" i="1" s="1"/>
  <c r="X40" i="1"/>
  <c r="Y40" i="1" s="1"/>
  <c r="AC40" i="1"/>
  <c r="AO40" i="1"/>
  <c r="J40" i="1" s="1"/>
  <c r="BB40" i="1"/>
  <c r="BT40" i="1"/>
  <c r="AW40" i="1" s="1"/>
  <c r="BV40" i="1"/>
  <c r="BY40" i="1"/>
  <c r="P41" i="1"/>
  <c r="X41" i="1"/>
  <c r="K41" i="5" s="1"/>
  <c r="L41" i="5" s="1"/>
  <c r="AC41" i="1"/>
  <c r="AO41" i="1"/>
  <c r="J41" i="1" s="1"/>
  <c r="BB41" i="1"/>
  <c r="BT41" i="1"/>
  <c r="AW41" i="1" s="1"/>
  <c r="BV41" i="1"/>
  <c r="BY41" i="1"/>
  <c r="P42" i="1"/>
  <c r="CA42" i="1" s="1"/>
  <c r="AC42" i="1"/>
  <c r="AO42" i="1"/>
  <c r="J42" i="1" s="1"/>
  <c r="BB42" i="1"/>
  <c r="BT42" i="1"/>
  <c r="AW42" i="1" s="1"/>
  <c r="BV42" i="1"/>
  <c r="BY42" i="1"/>
  <c r="P43" i="1"/>
  <c r="CA43" i="1" s="1"/>
  <c r="AC43" i="1"/>
  <c r="BB43" i="1"/>
  <c r="BT43" i="1"/>
  <c r="AW43" i="1" s="1"/>
  <c r="BV43" i="1"/>
  <c r="BY43" i="1"/>
  <c r="P44" i="1"/>
  <c r="CA44" i="1" s="1"/>
  <c r="AC44" i="1"/>
  <c r="AO44" i="1"/>
  <c r="J44" i="1" s="1"/>
  <c r="BB44" i="1"/>
  <c r="BT44" i="1"/>
  <c r="AW44" i="1" s="1"/>
  <c r="BV44" i="1"/>
  <c r="BY44" i="1"/>
  <c r="P45" i="1"/>
  <c r="CA45" i="1" s="1"/>
  <c r="AC45" i="1"/>
  <c r="AO45" i="1"/>
  <c r="J45" i="1" s="1"/>
  <c r="BB45" i="1"/>
  <c r="BT45" i="1"/>
  <c r="AW45" i="1" s="1"/>
  <c r="BV45" i="1"/>
  <c r="BY45" i="1"/>
  <c r="P46" i="1"/>
  <c r="CA46" i="1" s="1"/>
  <c r="AC46" i="1"/>
  <c r="BB46" i="1"/>
  <c r="BT46" i="1"/>
  <c r="AW46" i="1" s="1"/>
  <c r="BV46" i="1"/>
  <c r="BY46" i="1"/>
  <c r="P47" i="1"/>
  <c r="X47" i="1"/>
  <c r="K47" i="5" s="1"/>
  <c r="L47" i="5" s="1"/>
  <c r="AC47" i="1"/>
  <c r="AO47" i="1"/>
  <c r="J47" i="1" s="1"/>
  <c r="BB47" i="1"/>
  <c r="BT47" i="1"/>
  <c r="AW47" i="1" s="1"/>
  <c r="BV47" i="1"/>
  <c r="BY47" i="1"/>
  <c r="P48" i="1"/>
  <c r="X48" i="1"/>
  <c r="AB48" i="1" s="1"/>
  <c r="AC48" i="1"/>
  <c r="AO48" i="1"/>
  <c r="J48" i="1" s="1"/>
  <c r="BB48" i="1"/>
  <c r="BT48" i="1"/>
  <c r="AW48" i="1" s="1"/>
  <c r="BV48" i="1"/>
  <c r="BY48" i="1"/>
  <c r="P49" i="1"/>
  <c r="CA49" i="1" s="1"/>
  <c r="AC49" i="1"/>
  <c r="AO49" i="1"/>
  <c r="J49" i="1" s="1"/>
  <c r="BB49" i="1"/>
  <c r="BT49" i="1"/>
  <c r="AW49" i="1" s="1"/>
  <c r="BV49" i="1"/>
  <c r="BY49" i="1"/>
  <c r="P50" i="1"/>
  <c r="CA50" i="1" s="1"/>
  <c r="AC50" i="1"/>
  <c r="AO50" i="1"/>
  <c r="J50" i="1" s="1"/>
  <c r="BB50" i="1"/>
  <c r="BT50" i="1"/>
  <c r="AW50" i="1" s="1"/>
  <c r="BV50" i="1"/>
  <c r="BY50" i="1"/>
  <c r="P51" i="1"/>
  <c r="CA51" i="1" s="1"/>
  <c r="AC51" i="1"/>
  <c r="BB51" i="1"/>
  <c r="BT51" i="1"/>
  <c r="AW51" i="1" s="1"/>
  <c r="BV51" i="1"/>
  <c r="BY51" i="1"/>
  <c r="P52" i="1"/>
  <c r="CA52" i="1" s="1"/>
  <c r="AC52" i="1"/>
  <c r="BB52" i="1"/>
  <c r="BT52" i="1"/>
  <c r="AW52" i="1" s="1"/>
  <c r="BV52" i="1"/>
  <c r="BY52" i="1"/>
  <c r="P53" i="1"/>
  <c r="CA53" i="1" s="1"/>
  <c r="AC53" i="1"/>
  <c r="AO53" i="1"/>
  <c r="J53" i="1" s="1"/>
  <c r="BB53" i="1"/>
  <c r="BT53" i="1"/>
  <c r="AW53" i="1" s="1"/>
  <c r="BV53" i="1"/>
  <c r="BY53" i="1"/>
  <c r="P54" i="1"/>
  <c r="CA54" i="1" s="1"/>
  <c r="AC54" i="1"/>
  <c r="AO54" i="1"/>
  <c r="J54" i="1" s="1"/>
  <c r="BB54" i="1"/>
  <c r="BT54" i="1"/>
  <c r="AW54" i="1" s="1"/>
  <c r="BV54" i="1"/>
  <c r="BY54" i="1"/>
  <c r="P55" i="1"/>
  <c r="S55" i="1"/>
  <c r="W55" i="1" s="1"/>
  <c r="X55" i="1"/>
  <c r="K55" i="5" s="1"/>
  <c r="AC55" i="1"/>
  <c r="AI55" i="1"/>
  <c r="AJ55" i="1" s="1"/>
  <c r="AO55" i="1"/>
  <c r="J55" i="1" s="1"/>
  <c r="AX55" i="1"/>
  <c r="AZ55" i="1"/>
  <c r="BB55" i="1"/>
  <c r="BC55" i="1"/>
  <c r="BI55" i="1"/>
  <c r="BO55" i="1"/>
  <c r="BT55" i="1"/>
  <c r="AW55" i="1" s="1"/>
  <c r="BV55" i="1"/>
  <c r="BY55" i="1"/>
  <c r="CB55" i="1"/>
  <c r="CC55" i="1"/>
  <c r="BZ55" i="1" s="1"/>
  <c r="CE55" i="1"/>
  <c r="CF55" i="1"/>
  <c r="CH55" i="1"/>
  <c r="CI55" i="1"/>
  <c r="CJ55" i="1"/>
  <c r="P56" i="1"/>
  <c r="CA56" i="1" s="1"/>
  <c r="S56" i="1"/>
  <c r="V56" i="1" s="1"/>
  <c r="X56" i="1"/>
  <c r="Z56" i="1" s="1"/>
  <c r="AC56" i="1"/>
  <c r="AI56" i="1"/>
  <c r="AJ56" i="1" s="1"/>
  <c r="AO56" i="1"/>
  <c r="J56" i="1" s="1"/>
  <c r="AX56" i="1"/>
  <c r="AZ56" i="1"/>
  <c r="BB56" i="1"/>
  <c r="BC56" i="1"/>
  <c r="BI56" i="1"/>
  <c r="BO56" i="1"/>
  <c r="BT56" i="1"/>
  <c r="AW56" i="1" s="1"/>
  <c r="BV56" i="1"/>
  <c r="BY56" i="1"/>
  <c r="CB56" i="1"/>
  <c r="CC56" i="1"/>
  <c r="BZ56" i="1" s="1"/>
  <c r="CE56" i="1"/>
  <c r="CF56" i="1"/>
  <c r="CH56" i="1"/>
  <c r="CI56" i="1"/>
  <c r="CJ56" i="1"/>
  <c r="P57" i="1"/>
  <c r="CA57" i="1" s="1"/>
  <c r="S57" i="1"/>
  <c r="G57" i="5" s="1"/>
  <c r="X57" i="1"/>
  <c r="AC57" i="1"/>
  <c r="AI57" i="1"/>
  <c r="AJ57" i="1" s="1"/>
  <c r="AO57" i="1"/>
  <c r="J57" i="1" s="1"/>
  <c r="AX57" i="1"/>
  <c r="AZ57" i="1"/>
  <c r="BB57" i="1"/>
  <c r="BC57" i="1"/>
  <c r="BI57" i="1"/>
  <c r="BL57" i="1" s="1"/>
  <c r="BO57" i="1"/>
  <c r="BT57" i="1"/>
  <c r="AW57" i="1" s="1"/>
  <c r="BV57" i="1"/>
  <c r="BY57" i="1"/>
  <c r="CB57" i="1"/>
  <c r="CC57" i="1"/>
  <c r="BZ57" i="1" s="1"/>
  <c r="CE57" i="1"/>
  <c r="CF57" i="1"/>
  <c r="CH57" i="1"/>
  <c r="CI57" i="1"/>
  <c r="CJ57" i="1"/>
  <c r="P58" i="1"/>
  <c r="CA58" i="1" s="1"/>
  <c r="S58" i="1"/>
  <c r="T58" i="1" s="1"/>
  <c r="X58" i="1"/>
  <c r="AC58" i="1"/>
  <c r="AI58" i="1"/>
  <c r="AJ58" i="1" s="1"/>
  <c r="AO58" i="1"/>
  <c r="J58" i="1" s="1"/>
  <c r="AX58" i="1"/>
  <c r="AZ58" i="1"/>
  <c r="BB58" i="1"/>
  <c r="BC58" i="1"/>
  <c r="BI58" i="1"/>
  <c r="BL58" i="1" s="1"/>
  <c r="BO58" i="1"/>
  <c r="BT58" i="1"/>
  <c r="AW58" i="1" s="1"/>
  <c r="BV58" i="1"/>
  <c r="BY58" i="1"/>
  <c r="CB58" i="1"/>
  <c r="CC58" i="1"/>
  <c r="BZ58" i="1" s="1"/>
  <c r="CE58" i="1"/>
  <c r="CF58" i="1"/>
  <c r="CH58" i="1"/>
  <c r="CI58" i="1"/>
  <c r="CJ58" i="1"/>
  <c r="P59" i="1"/>
  <c r="CA59" i="1" s="1"/>
  <c r="S59" i="1"/>
  <c r="X59" i="1"/>
  <c r="K59" i="5" s="1"/>
  <c r="L59" i="5" s="1"/>
  <c r="AC59" i="1"/>
  <c r="AI59" i="1"/>
  <c r="AJ59" i="1" s="1"/>
  <c r="AO59" i="1"/>
  <c r="J59" i="1" s="1"/>
  <c r="AX59" i="1"/>
  <c r="AZ59" i="1"/>
  <c r="BB59" i="1"/>
  <c r="BC59" i="1"/>
  <c r="BI59" i="1"/>
  <c r="BO59" i="1"/>
  <c r="BT59" i="1"/>
  <c r="AW59" i="1" s="1"/>
  <c r="BV59" i="1"/>
  <c r="BY59" i="1"/>
  <c r="CB59" i="1"/>
  <c r="CC59" i="1"/>
  <c r="BZ59" i="1" s="1"/>
  <c r="CE59" i="1"/>
  <c r="CF59" i="1"/>
  <c r="CH59" i="1"/>
  <c r="CI59" i="1"/>
  <c r="CJ59" i="1"/>
  <c r="P60" i="1"/>
  <c r="CA60" i="1" s="1"/>
  <c r="S60" i="1"/>
  <c r="U60" i="1" s="1"/>
  <c r="X60" i="1"/>
  <c r="AA60" i="1" s="1"/>
  <c r="AC60" i="1"/>
  <c r="AI60" i="1"/>
  <c r="AO60" i="1"/>
  <c r="J60" i="1" s="1"/>
  <c r="AX60" i="1"/>
  <c r="AZ60" i="1"/>
  <c r="BB60" i="1"/>
  <c r="BC60" i="1"/>
  <c r="BI60" i="1"/>
  <c r="BO60" i="1"/>
  <c r="BT60" i="1"/>
  <c r="AW60" i="1" s="1"/>
  <c r="BV60" i="1"/>
  <c r="BY60" i="1"/>
  <c r="CB60" i="1"/>
  <c r="CC60" i="1"/>
  <c r="BZ60" i="1" s="1"/>
  <c r="CE60" i="1"/>
  <c r="CF60" i="1"/>
  <c r="CH60" i="1"/>
  <c r="CI60" i="1"/>
  <c r="CJ60" i="1"/>
  <c r="P61" i="1"/>
  <c r="X61" i="1"/>
  <c r="AC61" i="1"/>
  <c r="AO61" i="1"/>
  <c r="J61" i="1" s="1"/>
  <c r="BB61" i="1"/>
  <c r="BT61" i="1"/>
  <c r="AW61" i="1" s="1"/>
  <c r="BV61" i="1"/>
  <c r="BY61" i="1"/>
  <c r="P62" i="1"/>
  <c r="CA62" i="1" s="1"/>
  <c r="S62" i="1"/>
  <c r="T62" i="1" s="1"/>
  <c r="X62" i="1"/>
  <c r="Y62" i="1" s="1"/>
  <c r="AC62" i="1"/>
  <c r="AO62" i="1"/>
  <c r="J62" i="1" s="1"/>
  <c r="AX62" i="1"/>
  <c r="AZ62" i="1"/>
  <c r="BB62" i="1"/>
  <c r="BC62" i="1"/>
  <c r="BI62" i="1"/>
  <c r="BL62" i="1" s="1"/>
  <c r="BO62" i="1"/>
  <c r="BT62" i="1"/>
  <c r="AW62" i="1" s="1"/>
  <c r="BV62" i="1"/>
  <c r="BY62" i="1"/>
  <c r="CB62" i="1"/>
  <c r="CC62" i="1"/>
  <c r="BZ62" i="1" s="1"/>
  <c r="CE62" i="1"/>
  <c r="CF62" i="1"/>
  <c r="CH62" i="1"/>
  <c r="CI62" i="1"/>
  <c r="CJ62" i="1"/>
  <c r="P63" i="1"/>
  <c r="X63" i="1"/>
  <c r="Y63" i="1" s="1"/>
  <c r="AC63" i="1"/>
  <c r="BB63" i="1"/>
  <c r="BT63" i="1"/>
  <c r="AW63" i="1" s="1"/>
  <c r="BV63" i="1"/>
  <c r="BY63" i="1"/>
  <c r="P64" i="1"/>
  <c r="CA64" i="1" s="1"/>
  <c r="X64" i="1"/>
  <c r="AA64" i="1" s="1"/>
  <c r="AC64" i="1"/>
  <c r="AO64" i="1"/>
  <c r="J64" i="1" s="1"/>
  <c r="BB64" i="1"/>
  <c r="BT64" i="1"/>
  <c r="AW64" i="1" s="1"/>
  <c r="BV64" i="1"/>
  <c r="BY64" i="1"/>
  <c r="P65" i="1"/>
  <c r="X65" i="1"/>
  <c r="AA65" i="1" s="1"/>
  <c r="AC65" i="1"/>
  <c r="AO65" i="1"/>
  <c r="J65" i="1" s="1"/>
  <c r="BB65" i="1"/>
  <c r="BT65" i="1"/>
  <c r="AW65" i="1" s="1"/>
  <c r="BV65" i="1"/>
  <c r="BY65" i="1"/>
  <c r="P66" i="1"/>
  <c r="CA66" i="1" s="1"/>
  <c r="X66" i="1"/>
  <c r="AB66" i="1" s="1"/>
  <c r="AC66" i="1"/>
  <c r="AO66" i="1"/>
  <c r="J66" i="1" s="1"/>
  <c r="BB66" i="1"/>
  <c r="BT66" i="1"/>
  <c r="AW66" i="1" s="1"/>
  <c r="BV66" i="1"/>
  <c r="BY66" i="1"/>
  <c r="P67" i="1"/>
  <c r="CA67" i="1" s="1"/>
  <c r="X67" i="1"/>
  <c r="AA67" i="1" s="1"/>
  <c r="AC67" i="1"/>
  <c r="AO67" i="1"/>
  <c r="J67" i="1" s="1"/>
  <c r="BB67" i="1"/>
  <c r="BT67" i="1"/>
  <c r="AW67" i="1" s="1"/>
  <c r="BV67" i="1"/>
  <c r="BY67" i="1"/>
  <c r="P68" i="1"/>
  <c r="CA68" i="1" s="1"/>
  <c r="X68" i="1"/>
  <c r="AB68" i="1" s="1"/>
  <c r="AC68" i="1"/>
  <c r="AO68" i="1"/>
  <c r="J68" i="1" s="1"/>
  <c r="BB68" i="1"/>
  <c r="BT68" i="1"/>
  <c r="AW68" i="1" s="1"/>
  <c r="BV68" i="1"/>
  <c r="BY68" i="1"/>
  <c r="P69" i="1"/>
  <c r="CA69" i="1" s="1"/>
  <c r="X69" i="1"/>
  <c r="Z69" i="1" s="1"/>
  <c r="AC69" i="1"/>
  <c r="AO69" i="1"/>
  <c r="J69" i="1" s="1"/>
  <c r="BB69" i="1"/>
  <c r="BT69" i="1"/>
  <c r="AW69" i="1" s="1"/>
  <c r="BV69" i="1"/>
  <c r="BY69" i="1"/>
  <c r="P70" i="1"/>
  <c r="CA70" i="1" s="1"/>
  <c r="X70" i="1"/>
  <c r="AA70" i="1" s="1"/>
  <c r="AC70" i="1"/>
  <c r="BB70" i="1"/>
  <c r="BT70" i="1"/>
  <c r="AW70" i="1" s="1"/>
  <c r="BV70" i="1"/>
  <c r="BY70" i="1"/>
  <c r="P71" i="1"/>
  <c r="CA71" i="1" s="1"/>
  <c r="X71" i="1"/>
  <c r="K71" i="5" s="1"/>
  <c r="L71" i="5" s="1"/>
  <c r="AC71" i="1"/>
  <c r="BB71" i="1"/>
  <c r="BT71" i="1"/>
  <c r="AW71" i="1" s="1"/>
  <c r="BV71" i="1"/>
  <c r="BY71" i="1"/>
  <c r="P72" i="1"/>
  <c r="CA72" i="1" s="1"/>
  <c r="X72" i="1"/>
  <c r="K72" i="5" s="1"/>
  <c r="L72" i="5" s="1"/>
  <c r="AC72" i="1"/>
  <c r="AO72" i="1"/>
  <c r="J72" i="1" s="1"/>
  <c r="BB72" i="1"/>
  <c r="BT72" i="1"/>
  <c r="AW72" i="1" s="1"/>
  <c r="BV72" i="1"/>
  <c r="BY72" i="1"/>
  <c r="P73" i="1"/>
  <c r="CA73" i="1" s="1"/>
  <c r="X73" i="1"/>
  <c r="AC73" i="1"/>
  <c r="AO73" i="1"/>
  <c r="J73" i="1" s="1"/>
  <c r="BB73" i="1"/>
  <c r="BT73" i="1"/>
  <c r="AW73" i="1" s="1"/>
  <c r="BV73" i="1"/>
  <c r="BY73" i="1"/>
  <c r="P74" i="1"/>
  <c r="CA74" i="1" s="1"/>
  <c r="X74" i="1"/>
  <c r="K74" i="5" s="1"/>
  <c r="L74" i="5" s="1"/>
  <c r="AC74" i="1"/>
  <c r="BB74" i="1"/>
  <c r="BT74" i="1"/>
  <c r="AW74" i="1" s="1"/>
  <c r="BV74" i="1"/>
  <c r="BY74" i="1"/>
  <c r="P75" i="1"/>
  <c r="CA75" i="1" s="1"/>
  <c r="X75" i="1"/>
  <c r="Y75" i="1" s="1"/>
  <c r="AC75" i="1"/>
  <c r="BB75" i="1"/>
  <c r="BT75" i="1"/>
  <c r="AW75" i="1" s="1"/>
  <c r="BV75" i="1"/>
  <c r="BY75" i="1"/>
  <c r="P76" i="1"/>
  <c r="CA76" i="1" s="1"/>
  <c r="S76" i="1"/>
  <c r="T76" i="1" s="1"/>
  <c r="X76" i="1"/>
  <c r="AB76" i="1" s="1"/>
  <c r="AC76" i="1"/>
  <c r="AI76" i="1"/>
  <c r="AJ76" i="1" s="1"/>
  <c r="AO76" i="1"/>
  <c r="J76" i="1" s="1"/>
  <c r="AX76" i="1"/>
  <c r="BB76" i="1"/>
  <c r="BC76" i="1"/>
  <c r="BI76" i="1"/>
  <c r="BL76" i="1" s="1"/>
  <c r="BO76" i="1"/>
  <c r="BT76" i="1"/>
  <c r="AW76" i="1" s="1"/>
  <c r="BV76" i="1"/>
  <c r="BY76" i="1"/>
  <c r="CB76" i="1"/>
  <c r="CC76" i="1"/>
  <c r="BZ76" i="1" s="1"/>
  <c r="CE76" i="1"/>
  <c r="CF76" i="1"/>
  <c r="CH76" i="1"/>
  <c r="CI76" i="1"/>
  <c r="CJ76" i="1"/>
  <c r="P77" i="1"/>
  <c r="CA77" i="1" s="1"/>
  <c r="S77" i="1"/>
  <c r="V77" i="1" s="1"/>
  <c r="X77" i="1"/>
  <c r="Z77" i="1" s="1"/>
  <c r="AC77" i="1"/>
  <c r="AI77" i="1"/>
  <c r="AJ77" i="1" s="1"/>
  <c r="AO77" i="1"/>
  <c r="J77" i="1" s="1"/>
  <c r="AX77" i="1"/>
  <c r="BB77" i="1"/>
  <c r="BC77" i="1"/>
  <c r="BI77" i="1"/>
  <c r="BL77" i="1" s="1"/>
  <c r="BO77" i="1"/>
  <c r="BT77" i="1"/>
  <c r="AW77" i="1" s="1"/>
  <c r="BV77" i="1"/>
  <c r="BY77" i="1"/>
  <c r="CB77" i="1"/>
  <c r="CC77" i="1"/>
  <c r="BZ77" i="1" s="1"/>
  <c r="CE77" i="1"/>
  <c r="CF77" i="1"/>
  <c r="CH77" i="1"/>
  <c r="CI77" i="1"/>
  <c r="CJ77" i="1"/>
  <c r="P78" i="1"/>
  <c r="CA78" i="1" s="1"/>
  <c r="X78" i="1"/>
  <c r="K78" i="5" s="1"/>
  <c r="L78" i="5" s="1"/>
  <c r="AC78" i="1"/>
  <c r="BB78" i="1"/>
  <c r="BT78" i="1"/>
  <c r="AW78" i="1" s="1"/>
  <c r="BV78" i="1"/>
  <c r="BY78" i="1"/>
  <c r="P79" i="1"/>
  <c r="CA79" i="1" s="1"/>
  <c r="AC79" i="1"/>
  <c r="AI79" i="1"/>
  <c r="AJ79" i="1" s="1"/>
  <c r="AX79" i="1"/>
  <c r="AZ79" i="1"/>
  <c r="BB79" i="1"/>
  <c r="BC79" i="1"/>
  <c r="BI79" i="1"/>
  <c r="BL79" i="1" s="1"/>
  <c r="BO79" i="1"/>
  <c r="BT79" i="1"/>
  <c r="AW79" i="1" s="1"/>
  <c r="BV79" i="1"/>
  <c r="BY79" i="1"/>
  <c r="CB79" i="1"/>
  <c r="CC79" i="1"/>
  <c r="CE79" i="1"/>
  <c r="CF79" i="1"/>
  <c r="CH79" i="1"/>
  <c r="CI79" i="1"/>
  <c r="CJ79" i="1"/>
  <c r="P80" i="1"/>
  <c r="AC80" i="1"/>
  <c r="AO80" i="1"/>
  <c r="J80" i="1" s="1"/>
  <c r="BB80" i="1"/>
  <c r="BT80" i="1"/>
  <c r="AW80" i="1" s="1"/>
  <c r="BV80" i="1"/>
  <c r="BY80" i="1"/>
  <c r="P81" i="1"/>
  <c r="CA81" i="1" s="1"/>
  <c r="S81" i="1"/>
  <c r="W81" i="1" s="1"/>
  <c r="X81" i="1"/>
  <c r="AA81" i="1" s="1"/>
  <c r="AC81" i="1"/>
  <c r="AI81" i="1"/>
  <c r="AJ81" i="1" s="1"/>
  <c r="AO81" i="1"/>
  <c r="J81" i="1" s="1"/>
  <c r="AX81" i="1"/>
  <c r="AZ81" i="1"/>
  <c r="BB81" i="1"/>
  <c r="BC81" i="1"/>
  <c r="BI81" i="1"/>
  <c r="BL81" i="1" s="1"/>
  <c r="BO81" i="1"/>
  <c r="BT81" i="1"/>
  <c r="AW81" i="1" s="1"/>
  <c r="BV81" i="1"/>
  <c r="BY81" i="1"/>
  <c r="CB81" i="1"/>
  <c r="CC81" i="1"/>
  <c r="BZ81" i="1" s="1"/>
  <c r="CE81" i="1"/>
  <c r="CF81" i="1"/>
  <c r="CH81" i="1"/>
  <c r="CI81" i="1"/>
  <c r="CJ81" i="1"/>
  <c r="P82" i="1"/>
  <c r="CA82" i="1" s="1"/>
  <c r="X82" i="1"/>
  <c r="Z82" i="1" s="1"/>
  <c r="AC82" i="1"/>
  <c r="AO82" i="1"/>
  <c r="J82" i="1" s="1"/>
  <c r="BB82" i="1"/>
  <c r="BT82" i="1"/>
  <c r="AW82" i="1" s="1"/>
  <c r="BV82" i="1"/>
  <c r="BY82" i="1"/>
  <c r="P83" i="1"/>
  <c r="CA83" i="1" s="1"/>
  <c r="X83" i="1"/>
  <c r="Z83" i="1" s="1"/>
  <c r="AC83" i="1"/>
  <c r="AO83" i="1"/>
  <c r="J83" i="1" s="1"/>
  <c r="BB83" i="1"/>
  <c r="BT83" i="1"/>
  <c r="AW83" i="1" s="1"/>
  <c r="BV83" i="1"/>
  <c r="BY83" i="1"/>
  <c r="P84" i="1"/>
  <c r="CA84" i="1" s="1"/>
  <c r="X84" i="1"/>
  <c r="Z84" i="1" s="1"/>
  <c r="AC84" i="1"/>
  <c r="AO84" i="1"/>
  <c r="J84" i="1" s="1"/>
  <c r="BB84" i="1"/>
  <c r="BT84" i="1"/>
  <c r="AW84" i="1" s="1"/>
  <c r="BV84" i="1"/>
  <c r="BY84" i="1"/>
  <c r="P85" i="1"/>
  <c r="CA85" i="1" s="1"/>
  <c r="X85" i="1"/>
  <c r="K85" i="5" s="1"/>
  <c r="L85" i="5" s="1"/>
  <c r="AC85" i="1"/>
  <c r="AO85" i="1"/>
  <c r="J85" i="1" s="1"/>
  <c r="BB85" i="1"/>
  <c r="BT85" i="1"/>
  <c r="AW85" i="1" s="1"/>
  <c r="BV85" i="1"/>
  <c r="BY85" i="1"/>
  <c r="P86" i="1"/>
  <c r="CA86" i="1" s="1"/>
  <c r="X86" i="1"/>
  <c r="Z86" i="1" s="1"/>
  <c r="AC86" i="1"/>
  <c r="BB86" i="1"/>
  <c r="BT86" i="1"/>
  <c r="AW86" i="1" s="1"/>
  <c r="BV86" i="1"/>
  <c r="BY86" i="1"/>
  <c r="P87" i="1"/>
  <c r="CA87" i="1" s="1"/>
  <c r="X87" i="1"/>
  <c r="K87" i="5" s="1"/>
  <c r="L87" i="5" s="1"/>
  <c r="AC87" i="1"/>
  <c r="AO87" i="1"/>
  <c r="J87" i="1" s="1"/>
  <c r="BB87" i="1"/>
  <c r="BT87" i="1"/>
  <c r="AW87" i="1" s="1"/>
  <c r="BV87" i="1"/>
  <c r="BY87" i="1"/>
  <c r="P88" i="1"/>
  <c r="CA88" i="1" s="1"/>
  <c r="AC88" i="1"/>
  <c r="AO88" i="1"/>
  <c r="J88" i="1" s="1"/>
  <c r="BB88" i="1"/>
  <c r="BT88" i="1"/>
  <c r="AW88" i="1" s="1"/>
  <c r="BV88" i="1"/>
  <c r="BY88" i="1"/>
  <c r="P89" i="1"/>
  <c r="CA89" i="1" s="1"/>
  <c r="S89" i="1"/>
  <c r="T89" i="1" s="1"/>
  <c r="X89" i="1"/>
  <c r="K89" i="5" s="1"/>
  <c r="AC89" i="1"/>
  <c r="AO89" i="1"/>
  <c r="J89" i="1" s="1"/>
  <c r="AX89" i="1"/>
  <c r="AZ89" i="1"/>
  <c r="BB89" i="1"/>
  <c r="BC89" i="1"/>
  <c r="BI89" i="1"/>
  <c r="BL89" i="1" s="1"/>
  <c r="BO89" i="1"/>
  <c r="BT89" i="1"/>
  <c r="AW89" i="1" s="1"/>
  <c r="BV89" i="1"/>
  <c r="BY89" i="1"/>
  <c r="CB89" i="1"/>
  <c r="CC89" i="1"/>
  <c r="BZ89" i="1" s="1"/>
  <c r="CE89" i="1"/>
  <c r="CF89" i="1"/>
  <c r="CH89" i="1"/>
  <c r="CI89" i="1"/>
  <c r="CJ89" i="1"/>
  <c r="P90" i="1"/>
  <c r="CA90" i="1" s="1"/>
  <c r="X90" i="1"/>
  <c r="AC90" i="1"/>
  <c r="BB90" i="1"/>
  <c r="BT90" i="1"/>
  <c r="AW90" i="1" s="1"/>
  <c r="BV90" i="1"/>
  <c r="BY90" i="1"/>
  <c r="P91" i="1"/>
  <c r="CA91" i="1" s="1"/>
  <c r="S91" i="1"/>
  <c r="T91" i="1" s="1"/>
  <c r="X91" i="1"/>
  <c r="Y91" i="1" s="1"/>
  <c r="AC91" i="1"/>
  <c r="AI91" i="1"/>
  <c r="AX91" i="1"/>
  <c r="AZ91" i="1"/>
  <c r="BB91" i="1"/>
  <c r="BC91" i="1"/>
  <c r="BI91" i="1"/>
  <c r="BL91" i="1" s="1"/>
  <c r="BO91" i="1"/>
  <c r="BT91" i="1"/>
  <c r="AW91" i="1" s="1"/>
  <c r="BV91" i="1"/>
  <c r="BY91" i="1"/>
  <c r="CB91" i="1"/>
  <c r="CC91" i="1"/>
  <c r="CE91" i="1"/>
  <c r="CF91" i="1"/>
  <c r="CH91" i="1"/>
  <c r="CI91" i="1"/>
  <c r="CJ91" i="1"/>
  <c r="P92" i="1"/>
  <c r="CA92" i="1" s="1"/>
  <c r="S92" i="1"/>
  <c r="G92" i="5" s="1"/>
  <c r="H92" i="5" s="1"/>
  <c r="X92" i="1"/>
  <c r="Y92" i="1" s="1"/>
  <c r="AC92" i="1"/>
  <c r="AI92" i="1"/>
  <c r="AX92" i="1"/>
  <c r="BB92" i="1"/>
  <c r="BC92" i="1"/>
  <c r="BI92" i="1"/>
  <c r="BL92" i="1" s="1"/>
  <c r="BO92" i="1"/>
  <c r="BT92" i="1"/>
  <c r="AW92" i="1" s="1"/>
  <c r="BV92" i="1"/>
  <c r="BY92" i="1"/>
  <c r="CB92" i="1"/>
  <c r="CC92" i="1"/>
  <c r="CE92" i="1"/>
  <c r="CF92" i="1"/>
  <c r="CH92" i="1"/>
  <c r="CI92" i="1"/>
  <c r="CJ92" i="1"/>
  <c r="P93" i="1"/>
  <c r="CA93" i="1" s="1"/>
  <c r="S93" i="1"/>
  <c r="T93" i="1" s="1"/>
  <c r="X93" i="1"/>
  <c r="K93" i="5" s="1"/>
  <c r="L93" i="5" s="1"/>
  <c r="AC93" i="1"/>
  <c r="AI93" i="1"/>
  <c r="AJ93" i="1" s="1"/>
  <c r="AO93" i="1"/>
  <c r="J93" i="1" s="1"/>
  <c r="AX93" i="1"/>
  <c r="AZ93" i="1"/>
  <c r="BB93" i="1"/>
  <c r="BC93" i="1"/>
  <c r="BI93" i="1"/>
  <c r="BL93" i="1" s="1"/>
  <c r="BO93" i="1"/>
  <c r="BT93" i="1"/>
  <c r="AW93" i="1" s="1"/>
  <c r="BV93" i="1"/>
  <c r="BY93" i="1"/>
  <c r="CB93" i="1"/>
  <c r="CC93" i="1"/>
  <c r="BZ93" i="1" s="1"/>
  <c r="CE93" i="1"/>
  <c r="CF93" i="1"/>
  <c r="CH93" i="1"/>
  <c r="CI93" i="1"/>
  <c r="CJ93" i="1"/>
  <c r="P94" i="1"/>
  <c r="CA94" i="1" s="1"/>
  <c r="S94" i="1"/>
  <c r="T94" i="1" s="1"/>
  <c r="X94" i="1"/>
  <c r="AB94" i="1" s="1"/>
  <c r="AC94" i="1"/>
  <c r="AI94" i="1"/>
  <c r="AO94" i="1"/>
  <c r="J94" i="1" s="1"/>
  <c r="AX94" i="1"/>
  <c r="AZ94" i="1"/>
  <c r="BB94" i="1"/>
  <c r="BC94" i="1"/>
  <c r="BI94" i="1"/>
  <c r="BL94" i="1" s="1"/>
  <c r="BO94" i="1"/>
  <c r="BT94" i="1"/>
  <c r="AW94" i="1" s="1"/>
  <c r="BV94" i="1"/>
  <c r="BY94" i="1"/>
  <c r="CB94" i="1"/>
  <c r="CC94" i="1"/>
  <c r="BZ94" i="1" s="1"/>
  <c r="CE94" i="1"/>
  <c r="CF94" i="1"/>
  <c r="CH94" i="1"/>
  <c r="CI94" i="1"/>
  <c r="CJ94" i="1"/>
  <c r="P95" i="1"/>
  <c r="CA95" i="1" s="1"/>
  <c r="X95" i="1"/>
  <c r="K95" i="5" s="1"/>
  <c r="L95" i="5" s="1"/>
  <c r="AC95" i="1"/>
  <c r="AO95" i="1"/>
  <c r="J95" i="1" s="1"/>
  <c r="BB95" i="1"/>
  <c r="BT95" i="1"/>
  <c r="AW95" i="1" s="1"/>
  <c r="BV95" i="1"/>
  <c r="BY95" i="1"/>
  <c r="P96" i="1"/>
  <c r="CA96" i="1" s="1"/>
  <c r="AC96" i="1"/>
  <c r="AO96" i="1"/>
  <c r="J96" i="1" s="1"/>
  <c r="BB96" i="1"/>
  <c r="BT96" i="1"/>
  <c r="AW96" i="1" s="1"/>
  <c r="BV96" i="1"/>
  <c r="BY96" i="1"/>
  <c r="P97" i="1"/>
  <c r="CA97" i="1" s="1"/>
  <c r="AC97" i="1"/>
  <c r="AO97" i="1"/>
  <c r="J97" i="1" s="1"/>
  <c r="BB97" i="1"/>
  <c r="BT97" i="1"/>
  <c r="AW97" i="1" s="1"/>
  <c r="BV97" i="1"/>
  <c r="BY97" i="1"/>
  <c r="P98" i="1"/>
  <c r="CA98" i="1" s="1"/>
  <c r="S98" i="1"/>
  <c r="V98" i="1" s="1"/>
  <c r="X98" i="1"/>
  <c r="AA98" i="1" s="1"/>
  <c r="AC98" i="1"/>
  <c r="AI98" i="1"/>
  <c r="AO98" i="1"/>
  <c r="J98" i="1" s="1"/>
  <c r="AX98" i="1"/>
  <c r="AZ98" i="1"/>
  <c r="BB98" i="1"/>
  <c r="BC98" i="1"/>
  <c r="BI98" i="1"/>
  <c r="BO98" i="1"/>
  <c r="BT98" i="1"/>
  <c r="AW98" i="1" s="1"/>
  <c r="BV98" i="1"/>
  <c r="BY98" i="1"/>
  <c r="CB98" i="1"/>
  <c r="CC98" i="1"/>
  <c r="BZ98" i="1" s="1"/>
  <c r="CE98" i="1"/>
  <c r="CF98" i="1"/>
  <c r="CH98" i="1"/>
  <c r="CI98" i="1"/>
  <c r="CJ98" i="1"/>
  <c r="P99" i="1"/>
  <c r="S99" i="1"/>
  <c r="U99" i="1" s="1"/>
  <c r="X99" i="1"/>
  <c r="Y99" i="1" s="1"/>
  <c r="AC99" i="1"/>
  <c r="AI99" i="1"/>
  <c r="AO99" i="1"/>
  <c r="J99" i="1" s="1"/>
  <c r="AX99" i="1"/>
  <c r="AZ99" i="1"/>
  <c r="BB99" i="1"/>
  <c r="BC99" i="1"/>
  <c r="BI99" i="1"/>
  <c r="BL99" i="1" s="1"/>
  <c r="BO99" i="1"/>
  <c r="BT99" i="1"/>
  <c r="AW99" i="1" s="1"/>
  <c r="BV99" i="1"/>
  <c r="BY99" i="1"/>
  <c r="CB99" i="1"/>
  <c r="CC99" i="1"/>
  <c r="BZ99" i="1" s="1"/>
  <c r="CE99" i="1"/>
  <c r="CF99" i="1"/>
  <c r="CH99" i="1"/>
  <c r="CI99" i="1"/>
  <c r="CJ99" i="1"/>
  <c r="P100" i="1"/>
  <c r="CA100" i="1" s="1"/>
  <c r="S100" i="1"/>
  <c r="G100" i="5" s="1"/>
  <c r="X100" i="1"/>
  <c r="K100" i="5" s="1"/>
  <c r="L100" i="5" s="1"/>
  <c r="AC100" i="1"/>
  <c r="AI100" i="1"/>
  <c r="AJ100" i="1" s="1"/>
  <c r="AO100" i="1"/>
  <c r="J100" i="1" s="1"/>
  <c r="AX100" i="1"/>
  <c r="AZ100" i="1"/>
  <c r="BB100" i="1"/>
  <c r="BC100" i="1"/>
  <c r="BI100" i="1"/>
  <c r="BL100" i="1" s="1"/>
  <c r="BO100" i="1"/>
  <c r="BT100" i="1"/>
  <c r="AW100" i="1" s="1"/>
  <c r="BV100" i="1"/>
  <c r="BY100" i="1"/>
  <c r="CB100" i="1"/>
  <c r="CC100" i="1"/>
  <c r="BZ100" i="1" s="1"/>
  <c r="CE100" i="1"/>
  <c r="CF100" i="1"/>
  <c r="CH100" i="1"/>
  <c r="CI100" i="1"/>
  <c r="CJ100" i="1"/>
  <c r="P101" i="1"/>
  <c r="CA101" i="1" s="1"/>
  <c r="S101" i="1"/>
  <c r="T101" i="1" s="1"/>
  <c r="X101" i="1"/>
  <c r="AC101" i="1"/>
  <c r="AO101" i="1"/>
  <c r="J101" i="1" s="1"/>
  <c r="AX101" i="1"/>
  <c r="BB101" i="1"/>
  <c r="BC101" i="1"/>
  <c r="BI101" i="1"/>
  <c r="BL101" i="1" s="1"/>
  <c r="BO101" i="1"/>
  <c r="BT101" i="1"/>
  <c r="AW101" i="1" s="1"/>
  <c r="BV101" i="1"/>
  <c r="BY101" i="1"/>
  <c r="CB101" i="1"/>
  <c r="CC101" i="1"/>
  <c r="BZ101" i="1" s="1"/>
  <c r="CE101" i="1"/>
  <c r="CF101" i="1"/>
  <c r="CH101" i="1"/>
  <c r="CI101" i="1"/>
  <c r="CJ101" i="1"/>
  <c r="P102" i="1"/>
  <c r="CA102" i="1" s="1"/>
  <c r="S102" i="1"/>
  <c r="T102" i="1" s="1"/>
  <c r="X102" i="1"/>
  <c r="AA102" i="1" s="1"/>
  <c r="AC102" i="1"/>
  <c r="AO102" i="1"/>
  <c r="J102" i="1" s="1"/>
  <c r="AX102" i="1"/>
  <c r="BB102" i="1"/>
  <c r="BC102" i="1"/>
  <c r="BI102" i="1"/>
  <c r="BO102" i="1"/>
  <c r="BT102" i="1"/>
  <c r="AW102" i="1" s="1"/>
  <c r="BV102" i="1"/>
  <c r="BY102" i="1"/>
  <c r="CB102" i="1"/>
  <c r="CC102" i="1"/>
  <c r="BZ102" i="1" s="1"/>
  <c r="CE102" i="1"/>
  <c r="CF102" i="1"/>
  <c r="CH102" i="1"/>
  <c r="CI102" i="1"/>
  <c r="CJ102" i="1"/>
  <c r="P103" i="1"/>
  <c r="X103" i="1"/>
  <c r="K103" i="5" s="1"/>
  <c r="AC103" i="1"/>
  <c r="AO103" i="1"/>
  <c r="J103" i="1" s="1"/>
  <c r="BB103" i="1"/>
  <c r="BT103" i="1"/>
  <c r="AW103" i="1" s="1"/>
  <c r="BV103" i="1"/>
  <c r="BY103" i="1"/>
  <c r="P104" i="1"/>
  <c r="X104" i="1"/>
  <c r="K104" i="5" s="1"/>
  <c r="L104" i="5" s="1"/>
  <c r="AC104" i="1"/>
  <c r="AO104" i="1"/>
  <c r="J104" i="1" s="1"/>
  <c r="BB104" i="1"/>
  <c r="BT104" i="1"/>
  <c r="AW104" i="1" s="1"/>
  <c r="BV104" i="1"/>
  <c r="BY104" i="1"/>
  <c r="P105" i="1"/>
  <c r="X105" i="1"/>
  <c r="Z105" i="1" s="1"/>
  <c r="AC105" i="1"/>
  <c r="AO105" i="1"/>
  <c r="J105" i="1" s="1"/>
  <c r="BB105" i="1"/>
  <c r="BT105" i="1"/>
  <c r="AW105" i="1" s="1"/>
  <c r="BV105" i="1"/>
  <c r="BY105" i="1"/>
  <c r="P106" i="1"/>
  <c r="X106" i="1"/>
  <c r="AB106" i="1" s="1"/>
  <c r="AC106" i="1"/>
  <c r="AO106" i="1"/>
  <c r="BB106" i="1"/>
  <c r="BT106" i="1"/>
  <c r="AW106" i="1" s="1"/>
  <c r="BV106" i="1"/>
  <c r="BY106" i="1"/>
  <c r="P107" i="1"/>
  <c r="X107" i="1"/>
  <c r="Y107" i="1" s="1"/>
  <c r="AC107" i="1"/>
  <c r="AO107" i="1"/>
  <c r="J107" i="1" s="1"/>
  <c r="BB107" i="1"/>
  <c r="BT107" i="1"/>
  <c r="AW107" i="1" s="1"/>
  <c r="BV107" i="1"/>
  <c r="BY107" i="1"/>
  <c r="P108" i="1"/>
  <c r="X108" i="1"/>
  <c r="K108" i="5" s="1"/>
  <c r="AC108" i="1"/>
  <c r="AO108" i="1"/>
  <c r="J108" i="1" s="1"/>
  <c r="BB108" i="1"/>
  <c r="BT108" i="1"/>
  <c r="AW108" i="1" s="1"/>
  <c r="BV108" i="1"/>
  <c r="BY108" i="1"/>
  <c r="P109" i="1"/>
  <c r="CA109" i="1" s="1"/>
  <c r="S109" i="1"/>
  <c r="V109" i="1" s="1"/>
  <c r="X109" i="1"/>
  <c r="Z109" i="1" s="1"/>
  <c r="AC109" i="1"/>
  <c r="AI109" i="1"/>
  <c r="AJ109" i="1" s="1"/>
  <c r="AO109" i="1"/>
  <c r="J109" i="1" s="1"/>
  <c r="AX109" i="1"/>
  <c r="AZ109" i="1"/>
  <c r="BB109" i="1"/>
  <c r="BC109" i="1"/>
  <c r="BI109" i="1"/>
  <c r="BL109" i="1" s="1"/>
  <c r="BO109" i="1"/>
  <c r="BT109" i="1"/>
  <c r="AW109" i="1" s="1"/>
  <c r="BV109" i="1"/>
  <c r="BY109" i="1"/>
  <c r="CB109" i="1"/>
  <c r="CC109" i="1"/>
  <c r="BZ109" i="1" s="1"/>
  <c r="CE109" i="1"/>
  <c r="CF109" i="1"/>
  <c r="CH109" i="1"/>
  <c r="CI109" i="1"/>
  <c r="CJ109" i="1"/>
  <c r="P110" i="1"/>
  <c r="CA110" i="1" s="1"/>
  <c r="X110" i="1"/>
  <c r="AC110" i="1"/>
  <c r="AI110" i="1"/>
  <c r="AJ110" i="1" s="1"/>
  <c r="AX110" i="1"/>
  <c r="BB110" i="1"/>
  <c r="BC110" i="1"/>
  <c r="BI110" i="1"/>
  <c r="BL110" i="1" s="1"/>
  <c r="BO110" i="1"/>
  <c r="BT110" i="1"/>
  <c r="AW110" i="1" s="1"/>
  <c r="BV110" i="1"/>
  <c r="BY110" i="1"/>
  <c r="CB110" i="1"/>
  <c r="CC110" i="1"/>
  <c r="CE110" i="1"/>
  <c r="CF110" i="1"/>
  <c r="CH110" i="1"/>
  <c r="CI110" i="1"/>
  <c r="CJ110" i="1"/>
  <c r="P111" i="1"/>
  <c r="CA111" i="1" s="1"/>
  <c r="X111" i="1"/>
  <c r="Z111" i="1" s="1"/>
  <c r="AC111" i="1"/>
  <c r="BB111" i="1"/>
  <c r="BT111" i="1"/>
  <c r="AW111" i="1" s="1"/>
  <c r="BV111" i="1"/>
  <c r="BY111" i="1"/>
  <c r="P112" i="1"/>
  <c r="CA112" i="1" s="1"/>
  <c r="AC112" i="1"/>
  <c r="BB112" i="1"/>
  <c r="BT112" i="1"/>
  <c r="AW112" i="1" s="1"/>
  <c r="BV112" i="1"/>
  <c r="BY112" i="1"/>
  <c r="P113" i="1"/>
  <c r="CA113" i="1" s="1"/>
  <c r="S113" i="1"/>
  <c r="T113" i="1" s="1"/>
  <c r="X113" i="1"/>
  <c r="AA113" i="1" s="1"/>
  <c r="AC113" i="1"/>
  <c r="AI113" i="1"/>
  <c r="AX113" i="1"/>
  <c r="AZ113" i="1"/>
  <c r="BB113" i="1"/>
  <c r="BC113" i="1"/>
  <c r="BI113" i="1"/>
  <c r="BL113" i="1" s="1"/>
  <c r="BO113" i="1"/>
  <c r="BT113" i="1"/>
  <c r="AW113" i="1" s="1"/>
  <c r="BV113" i="1"/>
  <c r="BY113" i="1"/>
  <c r="CB113" i="1"/>
  <c r="CC113" i="1"/>
  <c r="CE113" i="1"/>
  <c r="CF113" i="1"/>
  <c r="CH113" i="1"/>
  <c r="CI113" i="1"/>
  <c r="CJ113" i="1"/>
  <c r="P114" i="1"/>
  <c r="CA114" i="1" s="1"/>
  <c r="S114" i="1"/>
  <c r="X114" i="1"/>
  <c r="K114" i="5" s="1"/>
  <c r="AC114" i="1"/>
  <c r="AO114" i="1"/>
  <c r="J114" i="1" s="1"/>
  <c r="AX114" i="1"/>
  <c r="AZ114" i="1"/>
  <c r="BB114" i="1"/>
  <c r="BC114" i="1"/>
  <c r="BI114" i="1"/>
  <c r="BL114" i="1" s="1"/>
  <c r="BO114" i="1"/>
  <c r="BT114" i="1"/>
  <c r="AW114" i="1" s="1"/>
  <c r="BV114" i="1"/>
  <c r="BY114" i="1"/>
  <c r="CB114" i="1"/>
  <c r="CC114" i="1"/>
  <c r="BZ114" i="1" s="1"/>
  <c r="CE114" i="1"/>
  <c r="CF114" i="1"/>
  <c r="CH114" i="1"/>
  <c r="CI114" i="1"/>
  <c r="CJ114" i="1"/>
  <c r="P115" i="1"/>
  <c r="S115" i="1"/>
  <c r="X115" i="1"/>
  <c r="AA115" i="1" s="1"/>
  <c r="AC115" i="1"/>
  <c r="AX115" i="1"/>
  <c r="AZ115" i="1"/>
  <c r="BB115" i="1"/>
  <c r="BC115" i="1"/>
  <c r="BI115" i="1"/>
  <c r="BL115" i="1" s="1"/>
  <c r="BO115" i="1"/>
  <c r="BT115" i="1"/>
  <c r="AW115" i="1" s="1"/>
  <c r="BV115" i="1"/>
  <c r="BY115" i="1"/>
  <c r="CB115" i="1"/>
  <c r="CC115" i="1"/>
  <c r="CE115" i="1"/>
  <c r="CF115" i="1"/>
  <c r="CH115" i="1"/>
  <c r="CI115" i="1"/>
  <c r="CJ115" i="1"/>
  <c r="P116" i="1"/>
  <c r="CA116" i="1" s="1"/>
  <c r="X116" i="1"/>
  <c r="Y116" i="1" s="1"/>
  <c r="AC116" i="1"/>
  <c r="AO116" i="1"/>
  <c r="J116" i="1" s="1"/>
  <c r="AX116" i="1"/>
  <c r="BB116" i="1"/>
  <c r="BC116" i="1"/>
  <c r="BI116" i="1"/>
  <c r="BL116" i="1" s="1"/>
  <c r="BO116" i="1"/>
  <c r="BT116" i="1"/>
  <c r="AW116" i="1" s="1"/>
  <c r="BV116" i="1"/>
  <c r="BY116" i="1"/>
  <c r="CB116" i="1"/>
  <c r="CC116" i="1"/>
  <c r="BZ116" i="1" s="1"/>
  <c r="CE116" i="1"/>
  <c r="CF116" i="1"/>
  <c r="CH116" i="1"/>
  <c r="CI116" i="1"/>
  <c r="CJ116" i="1"/>
  <c r="P117" i="1"/>
  <c r="CA117" i="1" s="1"/>
  <c r="S117" i="1"/>
  <c r="U117" i="1" s="1"/>
  <c r="X117" i="1"/>
  <c r="AB117" i="1" s="1"/>
  <c r="AC117" i="1"/>
  <c r="AO117" i="1"/>
  <c r="J117" i="1" s="1"/>
  <c r="AX117" i="1"/>
  <c r="AZ117" i="1"/>
  <c r="BB117" i="1"/>
  <c r="BC117" i="1"/>
  <c r="BI117" i="1"/>
  <c r="BL117" i="1" s="1"/>
  <c r="BO117" i="1"/>
  <c r="BT117" i="1"/>
  <c r="AW117" i="1" s="1"/>
  <c r="BV117" i="1"/>
  <c r="BY117" i="1"/>
  <c r="CB117" i="1"/>
  <c r="CC117" i="1"/>
  <c r="BZ117" i="1" s="1"/>
  <c r="CE117" i="1"/>
  <c r="CF117" i="1"/>
  <c r="CH117" i="1"/>
  <c r="CI117" i="1"/>
  <c r="CJ117" i="1"/>
  <c r="P118" i="1"/>
  <c r="CA118" i="1" s="1"/>
  <c r="X118" i="1"/>
  <c r="K118" i="5" s="1"/>
  <c r="L118" i="5" s="1"/>
  <c r="AC118" i="1"/>
  <c r="AI118" i="1"/>
  <c r="AJ118" i="1" s="1"/>
  <c r="AO118" i="1"/>
  <c r="J118" i="1" s="1"/>
  <c r="AX118" i="1"/>
  <c r="AZ118" i="1"/>
  <c r="BB118" i="1"/>
  <c r="BC118" i="1"/>
  <c r="BI118" i="1"/>
  <c r="BL118" i="1" s="1"/>
  <c r="BO118" i="1"/>
  <c r="BT118" i="1"/>
  <c r="AW118" i="1" s="1"/>
  <c r="BV118" i="1"/>
  <c r="BY118" i="1"/>
  <c r="CB118" i="1"/>
  <c r="CC118" i="1"/>
  <c r="BZ118" i="1" s="1"/>
  <c r="CE118" i="1"/>
  <c r="CF118" i="1"/>
  <c r="CH118" i="1"/>
  <c r="CI118" i="1"/>
  <c r="CJ118" i="1"/>
  <c r="P119" i="1"/>
  <c r="CA119" i="1" s="1"/>
  <c r="S119" i="1"/>
  <c r="W119" i="1" s="1"/>
  <c r="X119" i="1"/>
  <c r="AA119" i="1" s="1"/>
  <c r="AC119" i="1"/>
  <c r="AI119" i="1"/>
  <c r="AJ119" i="1" s="1"/>
  <c r="AO119" i="1"/>
  <c r="J119" i="1" s="1"/>
  <c r="AX119" i="1"/>
  <c r="AZ119" i="1"/>
  <c r="BB119" i="1"/>
  <c r="BC119" i="1"/>
  <c r="BI119" i="1"/>
  <c r="BL119" i="1" s="1"/>
  <c r="BO119" i="1"/>
  <c r="BT119" i="1"/>
  <c r="AW119" i="1" s="1"/>
  <c r="BV119" i="1"/>
  <c r="BY119" i="1"/>
  <c r="CB119" i="1"/>
  <c r="CC119" i="1"/>
  <c r="BZ119" i="1" s="1"/>
  <c r="CE119" i="1"/>
  <c r="CF119" i="1"/>
  <c r="CH119" i="1"/>
  <c r="CI119" i="1"/>
  <c r="CJ119" i="1"/>
  <c r="P120" i="1"/>
  <c r="CA120" i="1" s="1"/>
  <c r="S120" i="1"/>
  <c r="X120" i="1"/>
  <c r="AA120" i="1" s="1"/>
  <c r="AC120" i="1"/>
  <c r="AX120" i="1"/>
  <c r="AZ120" i="1"/>
  <c r="BB120" i="1"/>
  <c r="BC120" i="1"/>
  <c r="BI120" i="1"/>
  <c r="BL120" i="1" s="1"/>
  <c r="BO120" i="1"/>
  <c r="BQ120" i="1" s="1"/>
  <c r="BT120" i="1"/>
  <c r="AW120" i="1" s="1"/>
  <c r="BV120" i="1"/>
  <c r="BY120" i="1"/>
  <c r="CB120" i="1"/>
  <c r="CC120" i="1"/>
  <c r="CE120" i="1"/>
  <c r="CF120" i="1"/>
  <c r="CH120" i="1"/>
  <c r="CI120" i="1"/>
  <c r="CJ120" i="1"/>
  <c r="P121" i="1"/>
  <c r="CA121" i="1" s="1"/>
  <c r="X121" i="1"/>
  <c r="AB121" i="1" s="1"/>
  <c r="AC121" i="1"/>
  <c r="AO121" i="1"/>
  <c r="J121" i="1" s="1"/>
  <c r="BB121" i="1"/>
  <c r="BT121" i="1"/>
  <c r="AW121" i="1" s="1"/>
  <c r="BV121" i="1"/>
  <c r="BY121" i="1"/>
  <c r="P122" i="1"/>
  <c r="CA122" i="1" s="1"/>
  <c r="S122" i="1"/>
  <c r="U122" i="1" s="1"/>
  <c r="X122" i="1"/>
  <c r="AC122" i="1"/>
  <c r="AI122" i="1"/>
  <c r="AJ122" i="1" s="1"/>
  <c r="AO122" i="1"/>
  <c r="J122" i="1" s="1"/>
  <c r="AX122" i="1"/>
  <c r="BB122" i="1"/>
  <c r="BC122" i="1"/>
  <c r="BI122" i="1"/>
  <c r="BL122" i="1" s="1"/>
  <c r="BO122" i="1"/>
  <c r="BT122" i="1"/>
  <c r="AW122" i="1" s="1"/>
  <c r="BV122" i="1"/>
  <c r="BY122" i="1"/>
  <c r="CB122" i="1"/>
  <c r="CC122" i="1"/>
  <c r="BZ122" i="1" s="1"/>
  <c r="CE122" i="1"/>
  <c r="CF122" i="1"/>
  <c r="CH122" i="1"/>
  <c r="CI122" i="1"/>
  <c r="CJ122" i="1"/>
  <c r="P123" i="1"/>
  <c r="CA123" i="1" s="1"/>
  <c r="S123" i="1"/>
  <c r="W123" i="1" s="1"/>
  <c r="X123" i="1"/>
  <c r="AB123" i="1" s="1"/>
  <c r="AC123" i="1"/>
  <c r="AO123" i="1"/>
  <c r="J123" i="1" s="1"/>
  <c r="AX123" i="1"/>
  <c r="AZ123" i="1"/>
  <c r="BB123" i="1"/>
  <c r="BC123" i="1"/>
  <c r="BI123" i="1"/>
  <c r="BO123" i="1"/>
  <c r="BT123" i="1"/>
  <c r="AW123" i="1" s="1"/>
  <c r="BV123" i="1"/>
  <c r="BY123" i="1"/>
  <c r="CB123" i="1"/>
  <c r="CC123" i="1"/>
  <c r="BZ123" i="1" s="1"/>
  <c r="CE123" i="1"/>
  <c r="CF123" i="1"/>
  <c r="CH123" i="1"/>
  <c r="CI123" i="1"/>
  <c r="CJ123" i="1"/>
  <c r="P124" i="1"/>
  <c r="CA124" i="1" s="1"/>
  <c r="X124" i="1"/>
  <c r="Y124" i="1" s="1"/>
  <c r="AC124" i="1"/>
  <c r="BB124" i="1"/>
  <c r="BT124" i="1"/>
  <c r="AW124" i="1" s="1"/>
  <c r="BV124" i="1"/>
  <c r="BY124" i="1"/>
  <c r="P125" i="1"/>
  <c r="CA125" i="1" s="1"/>
  <c r="X125" i="1"/>
  <c r="K125" i="5" s="1"/>
  <c r="AC125" i="1"/>
  <c r="AO125" i="1"/>
  <c r="J125" i="1" s="1"/>
  <c r="BB125" i="1"/>
  <c r="BT125" i="1"/>
  <c r="AW125" i="1" s="1"/>
  <c r="BV125" i="1"/>
  <c r="BY125" i="1"/>
  <c r="P126" i="1"/>
  <c r="CA126" i="1" s="1"/>
  <c r="X126" i="1"/>
  <c r="K126" i="5" s="1"/>
  <c r="AC126" i="1"/>
  <c r="AO126" i="1"/>
  <c r="J126" i="1" s="1"/>
  <c r="BB126" i="1"/>
  <c r="BT126" i="1"/>
  <c r="AW126" i="1" s="1"/>
  <c r="BV126" i="1"/>
  <c r="BY126" i="1"/>
  <c r="P127" i="1"/>
  <c r="AC127" i="1"/>
  <c r="AO127" i="1"/>
  <c r="J127" i="1" s="1"/>
  <c r="BB127" i="1"/>
  <c r="BT127" i="1"/>
  <c r="AW127" i="1" s="1"/>
  <c r="BV127" i="1"/>
  <c r="BY127" i="1"/>
  <c r="P128" i="1"/>
  <c r="CA128" i="1" s="1"/>
  <c r="S128" i="1"/>
  <c r="X128" i="1"/>
  <c r="AC128" i="1"/>
  <c r="AO128" i="1"/>
  <c r="J128" i="1" s="1"/>
  <c r="AX128" i="1"/>
  <c r="AZ128" i="1"/>
  <c r="BB128" i="1"/>
  <c r="BC128" i="1"/>
  <c r="BI128" i="1"/>
  <c r="BL128" i="1" s="1"/>
  <c r="BO128" i="1"/>
  <c r="BT128" i="1"/>
  <c r="AW128" i="1" s="1"/>
  <c r="BV128" i="1"/>
  <c r="BY128" i="1"/>
  <c r="CB128" i="1"/>
  <c r="CC128" i="1"/>
  <c r="BZ128" i="1" s="1"/>
  <c r="CE128" i="1"/>
  <c r="CF128" i="1"/>
  <c r="CH128" i="1"/>
  <c r="CI128" i="1"/>
  <c r="CJ128" i="1"/>
  <c r="P129" i="1"/>
  <c r="CA129" i="1" s="1"/>
  <c r="X129" i="1"/>
  <c r="Z129" i="1" s="1"/>
  <c r="AC129" i="1"/>
  <c r="AO129" i="1"/>
  <c r="J129" i="1" s="1"/>
  <c r="BB129" i="1"/>
  <c r="BT129" i="1"/>
  <c r="AW129" i="1" s="1"/>
  <c r="BV129" i="1"/>
  <c r="BY129" i="1"/>
  <c r="P130" i="1"/>
  <c r="CA130" i="1" s="1"/>
  <c r="S130" i="1"/>
  <c r="V130" i="1" s="1"/>
  <c r="X130" i="1"/>
  <c r="K130" i="5" s="1"/>
  <c r="L130" i="5" s="1"/>
  <c r="AC130" i="1"/>
  <c r="AI130" i="1"/>
  <c r="AJ130" i="1" s="1"/>
  <c r="AO130" i="1"/>
  <c r="J130" i="1" s="1"/>
  <c r="AX130" i="1"/>
  <c r="AZ130" i="1"/>
  <c r="BB130" i="1"/>
  <c r="BC130" i="1"/>
  <c r="BI130" i="1"/>
  <c r="BO130" i="1"/>
  <c r="BT130" i="1"/>
  <c r="AW130" i="1" s="1"/>
  <c r="BV130" i="1"/>
  <c r="BY130" i="1"/>
  <c r="CB130" i="1"/>
  <c r="CC130" i="1"/>
  <c r="BZ130" i="1" s="1"/>
  <c r="CE130" i="1"/>
  <c r="CF130" i="1"/>
  <c r="CH130" i="1"/>
  <c r="CI130" i="1"/>
  <c r="CJ130" i="1"/>
  <c r="P131" i="1"/>
  <c r="CA131" i="1" s="1"/>
  <c r="S131" i="1"/>
  <c r="T131" i="1" s="1"/>
  <c r="X131" i="1"/>
  <c r="K131" i="5" s="1"/>
  <c r="L131" i="5" s="1"/>
  <c r="AC131" i="1"/>
  <c r="AI131" i="1"/>
  <c r="AO131" i="1"/>
  <c r="J131" i="1" s="1"/>
  <c r="AX131" i="1"/>
  <c r="AZ131" i="1"/>
  <c r="BB131" i="1"/>
  <c r="BC131" i="1"/>
  <c r="BI131" i="1"/>
  <c r="BO131" i="1"/>
  <c r="BT131" i="1"/>
  <c r="AW131" i="1" s="1"/>
  <c r="BV131" i="1"/>
  <c r="BY131" i="1"/>
  <c r="CB131" i="1"/>
  <c r="CC131" i="1"/>
  <c r="BZ131" i="1" s="1"/>
  <c r="CE131" i="1"/>
  <c r="CF131" i="1"/>
  <c r="CH131" i="1"/>
  <c r="CI131" i="1"/>
  <c r="CJ131" i="1"/>
  <c r="P132" i="1"/>
  <c r="CA132" i="1" s="1"/>
  <c r="X132" i="1"/>
  <c r="Z132" i="1" s="1"/>
  <c r="AC132" i="1"/>
  <c r="BB132" i="1"/>
  <c r="BT132" i="1"/>
  <c r="AW132" i="1" s="1"/>
  <c r="BV132" i="1"/>
  <c r="BY132" i="1"/>
  <c r="P133" i="1"/>
  <c r="CA133" i="1" s="1"/>
  <c r="S133" i="1"/>
  <c r="W133" i="1" s="1"/>
  <c r="X133" i="1"/>
  <c r="AB133" i="1" s="1"/>
  <c r="AC133" i="1"/>
  <c r="AO133" i="1"/>
  <c r="J133" i="1" s="1"/>
  <c r="AX133" i="1"/>
  <c r="AZ133" i="1"/>
  <c r="BB133" i="1"/>
  <c r="BC133" i="1"/>
  <c r="BI133" i="1"/>
  <c r="BO133" i="1"/>
  <c r="BT133" i="1"/>
  <c r="AW133" i="1" s="1"/>
  <c r="BV133" i="1"/>
  <c r="BY133" i="1"/>
  <c r="CB133" i="1"/>
  <c r="CC133" i="1"/>
  <c r="BZ133" i="1" s="1"/>
  <c r="CE133" i="1"/>
  <c r="CF133" i="1"/>
  <c r="CH133" i="1"/>
  <c r="CI133" i="1"/>
  <c r="CJ133" i="1"/>
  <c r="P134" i="1"/>
  <c r="CA134" i="1" s="1"/>
  <c r="S134" i="1"/>
  <c r="G134" i="5" s="1"/>
  <c r="X134" i="1"/>
  <c r="AA134" i="1" s="1"/>
  <c r="AC134" i="1"/>
  <c r="AO134" i="1"/>
  <c r="J134" i="1" s="1"/>
  <c r="AX134" i="1"/>
  <c r="AZ134" i="1"/>
  <c r="BB134" i="1"/>
  <c r="BC134" i="1"/>
  <c r="BI134" i="1"/>
  <c r="BL134" i="1" s="1"/>
  <c r="BO134" i="1"/>
  <c r="BT134" i="1"/>
  <c r="AW134" i="1" s="1"/>
  <c r="BV134" i="1"/>
  <c r="BY134" i="1"/>
  <c r="CB134" i="1"/>
  <c r="CC134" i="1"/>
  <c r="BZ134" i="1" s="1"/>
  <c r="CE134" i="1"/>
  <c r="CF134" i="1"/>
  <c r="CH134" i="1"/>
  <c r="CI134" i="1"/>
  <c r="CJ134" i="1"/>
  <c r="P135" i="1"/>
  <c r="CA135" i="1" s="1"/>
  <c r="X135" i="1"/>
  <c r="K135" i="5" s="1"/>
  <c r="AC135" i="1"/>
  <c r="BB135" i="1"/>
  <c r="BT135" i="1"/>
  <c r="AW135" i="1" s="1"/>
  <c r="BV135" i="1"/>
  <c r="BY135" i="1"/>
  <c r="P136" i="1"/>
  <c r="CA136" i="1" s="1"/>
  <c r="S136" i="1"/>
  <c r="G136" i="5" s="1"/>
  <c r="H136" i="5" s="1"/>
  <c r="X136" i="1"/>
  <c r="AB136" i="1" s="1"/>
  <c r="AC136" i="1"/>
  <c r="AI136" i="1"/>
  <c r="AX136" i="1"/>
  <c r="AZ136" i="1"/>
  <c r="BB136" i="1"/>
  <c r="BC136" i="1"/>
  <c r="BI136" i="1"/>
  <c r="BO136" i="1"/>
  <c r="BT136" i="1"/>
  <c r="AW136" i="1" s="1"/>
  <c r="BV136" i="1"/>
  <c r="BY136" i="1"/>
  <c r="CB136" i="1"/>
  <c r="CC136" i="1"/>
  <c r="CE136" i="1"/>
  <c r="CF136" i="1"/>
  <c r="CH136" i="1"/>
  <c r="CI136" i="1"/>
  <c r="CJ136" i="1"/>
  <c r="P137" i="1"/>
  <c r="CA137" i="1" s="1"/>
  <c r="AC137" i="1"/>
  <c r="AI137" i="1"/>
  <c r="AJ137" i="1" s="1"/>
  <c r="AX137" i="1"/>
  <c r="AZ137" i="1"/>
  <c r="BB137" i="1"/>
  <c r="BC137" i="1"/>
  <c r="BI137" i="1"/>
  <c r="BO137" i="1"/>
  <c r="BT137" i="1"/>
  <c r="AW137" i="1" s="1"/>
  <c r="BV137" i="1"/>
  <c r="BY137" i="1"/>
  <c r="CB137" i="1"/>
  <c r="CC137" i="1"/>
  <c r="CE137" i="1"/>
  <c r="CF137" i="1"/>
  <c r="CH137" i="1"/>
  <c r="CI137" i="1"/>
  <c r="CJ137" i="1"/>
  <c r="P138" i="1"/>
  <c r="CA138" i="1" s="1"/>
  <c r="S138" i="1"/>
  <c r="V138" i="1" s="1"/>
  <c r="X138" i="1"/>
  <c r="Y138" i="1" s="1"/>
  <c r="AC138" i="1"/>
  <c r="AO138" i="1"/>
  <c r="J138" i="1" s="1"/>
  <c r="AX138" i="1"/>
  <c r="AZ138" i="1"/>
  <c r="BB138" i="1"/>
  <c r="BC138" i="1"/>
  <c r="BI138" i="1"/>
  <c r="BO138" i="1"/>
  <c r="BT138" i="1"/>
  <c r="AW138" i="1" s="1"/>
  <c r="BV138" i="1"/>
  <c r="BY138" i="1"/>
  <c r="CB138" i="1"/>
  <c r="CC138" i="1"/>
  <c r="BZ138" i="1" s="1"/>
  <c r="CE138" i="1"/>
  <c r="CF138" i="1"/>
  <c r="CH138" i="1"/>
  <c r="CI138" i="1"/>
  <c r="CJ138" i="1"/>
  <c r="P139" i="1"/>
  <c r="CA139" i="1" s="1"/>
  <c r="S139" i="1"/>
  <c r="G139" i="5" s="1"/>
  <c r="H139" i="5" s="1"/>
  <c r="X139" i="1"/>
  <c r="Z139" i="1" s="1"/>
  <c r="AC139" i="1"/>
  <c r="AI139" i="1"/>
  <c r="AJ139" i="1" s="1"/>
  <c r="AX139" i="1"/>
  <c r="AZ139" i="1"/>
  <c r="BB139" i="1"/>
  <c r="BC139" i="1"/>
  <c r="BI139" i="1"/>
  <c r="BL139" i="1" s="1"/>
  <c r="BO139" i="1"/>
  <c r="BT139" i="1"/>
  <c r="AW139" i="1" s="1"/>
  <c r="BV139" i="1"/>
  <c r="BY139" i="1"/>
  <c r="CB139" i="1"/>
  <c r="CC139" i="1"/>
  <c r="CE139" i="1"/>
  <c r="CF139" i="1"/>
  <c r="CH139" i="1"/>
  <c r="CI139" i="1"/>
  <c r="CJ139" i="1"/>
  <c r="P140" i="1"/>
  <c r="CA140" i="1" s="1"/>
  <c r="S140" i="1"/>
  <c r="X140" i="1"/>
  <c r="AB140" i="1" s="1"/>
  <c r="AC140" i="1"/>
  <c r="AI140" i="1"/>
  <c r="AJ140" i="1" s="1"/>
  <c r="AO140" i="1"/>
  <c r="J140" i="1" s="1"/>
  <c r="AX140" i="1"/>
  <c r="AZ140" i="1"/>
  <c r="BB140" i="1"/>
  <c r="BC140" i="1"/>
  <c r="BI140" i="1"/>
  <c r="BL140" i="1" s="1"/>
  <c r="BO140" i="1"/>
  <c r="BT140" i="1"/>
  <c r="AW140" i="1" s="1"/>
  <c r="BV140" i="1"/>
  <c r="BY140" i="1"/>
  <c r="CB140" i="1"/>
  <c r="CC140" i="1"/>
  <c r="BZ140" i="1" s="1"/>
  <c r="CE140" i="1"/>
  <c r="CF140" i="1"/>
  <c r="CH140" i="1"/>
  <c r="CI140" i="1"/>
  <c r="CJ140" i="1"/>
  <c r="P141" i="1"/>
  <c r="CA141" i="1" s="1"/>
  <c r="S141" i="1"/>
  <c r="T141" i="1" s="1"/>
  <c r="X141" i="1"/>
  <c r="Y141" i="1" s="1"/>
  <c r="AC141" i="1"/>
  <c r="AI141" i="1"/>
  <c r="AJ141" i="1" s="1"/>
  <c r="AX141" i="1"/>
  <c r="AZ141" i="1"/>
  <c r="BB141" i="1"/>
  <c r="BC141" i="1"/>
  <c r="BI141" i="1"/>
  <c r="BL141" i="1" s="1"/>
  <c r="BO141" i="1"/>
  <c r="BT141" i="1"/>
  <c r="AW141" i="1" s="1"/>
  <c r="BV141" i="1"/>
  <c r="BY141" i="1"/>
  <c r="CB141" i="1"/>
  <c r="CC141" i="1"/>
  <c r="CE141" i="1"/>
  <c r="CF141" i="1"/>
  <c r="CH141" i="1"/>
  <c r="CI141" i="1"/>
  <c r="CJ141" i="1"/>
  <c r="P142" i="1"/>
  <c r="CA142" i="1" s="1"/>
  <c r="S142" i="1"/>
  <c r="W142" i="1" s="1"/>
  <c r="X142" i="1"/>
  <c r="AA142" i="1" s="1"/>
  <c r="AC142" i="1"/>
  <c r="AI142" i="1"/>
  <c r="AX142" i="1"/>
  <c r="AZ142" i="1"/>
  <c r="BB142" i="1"/>
  <c r="BC142" i="1"/>
  <c r="BI142" i="1"/>
  <c r="BL142" i="1" s="1"/>
  <c r="BO142" i="1"/>
  <c r="BT142" i="1"/>
  <c r="AW142" i="1" s="1"/>
  <c r="BV142" i="1"/>
  <c r="BY142" i="1"/>
  <c r="CB142" i="1"/>
  <c r="CC142" i="1"/>
  <c r="CE142" i="1"/>
  <c r="CF142" i="1"/>
  <c r="CH142" i="1"/>
  <c r="CI142" i="1"/>
  <c r="CJ142" i="1"/>
  <c r="P143" i="1"/>
  <c r="CA143" i="1" s="1"/>
  <c r="S143" i="1"/>
  <c r="V143" i="1" s="1"/>
  <c r="X143" i="1"/>
  <c r="AC143" i="1"/>
  <c r="AI143" i="1"/>
  <c r="AJ143" i="1" s="1"/>
  <c r="AX143" i="1"/>
  <c r="AZ143" i="1"/>
  <c r="BB143" i="1"/>
  <c r="BC143" i="1"/>
  <c r="BI143" i="1"/>
  <c r="BL143" i="1" s="1"/>
  <c r="BO143" i="1"/>
  <c r="BT143" i="1"/>
  <c r="AW143" i="1" s="1"/>
  <c r="BV143" i="1"/>
  <c r="BY143" i="1"/>
  <c r="CB143" i="1"/>
  <c r="CC143" i="1"/>
  <c r="CE143" i="1"/>
  <c r="CF143" i="1"/>
  <c r="CH143" i="1"/>
  <c r="CI143" i="1"/>
  <c r="CJ143" i="1"/>
  <c r="P144" i="1"/>
  <c r="CA144" i="1" s="1"/>
  <c r="S144" i="1"/>
  <c r="T144" i="1" s="1"/>
  <c r="X144" i="1"/>
  <c r="AA144" i="1" s="1"/>
  <c r="AC144" i="1"/>
  <c r="AI144" i="1"/>
  <c r="AJ144" i="1" s="1"/>
  <c r="AX144" i="1"/>
  <c r="AZ144" i="1"/>
  <c r="BB144" i="1"/>
  <c r="BC144" i="1"/>
  <c r="BI144" i="1"/>
  <c r="BL144" i="1" s="1"/>
  <c r="BO144" i="1"/>
  <c r="BT144" i="1"/>
  <c r="AW144" i="1" s="1"/>
  <c r="BV144" i="1"/>
  <c r="BY144" i="1"/>
  <c r="CB144" i="1"/>
  <c r="CC144" i="1"/>
  <c r="CE144" i="1"/>
  <c r="CF144" i="1"/>
  <c r="CH144" i="1"/>
  <c r="CI144" i="1"/>
  <c r="CJ144" i="1"/>
  <c r="P145" i="1"/>
  <c r="CA145" i="1" s="1"/>
  <c r="S145" i="1"/>
  <c r="V145" i="1" s="1"/>
  <c r="X145" i="1"/>
  <c r="AC145" i="1"/>
  <c r="AI145" i="1"/>
  <c r="AJ145" i="1" s="1"/>
  <c r="AX145" i="1"/>
  <c r="AZ145" i="1"/>
  <c r="BB145" i="1"/>
  <c r="BC145" i="1"/>
  <c r="BI145" i="1"/>
  <c r="BL145" i="1" s="1"/>
  <c r="BO145" i="1"/>
  <c r="BT145" i="1"/>
  <c r="AW145" i="1" s="1"/>
  <c r="BV145" i="1"/>
  <c r="BY145" i="1"/>
  <c r="CB145" i="1"/>
  <c r="CC145" i="1"/>
  <c r="CE145" i="1"/>
  <c r="CF145" i="1"/>
  <c r="CH145" i="1"/>
  <c r="CI145" i="1"/>
  <c r="CJ145" i="1"/>
  <c r="P146" i="1"/>
  <c r="CA146" i="1" s="1"/>
  <c r="S146" i="1"/>
  <c r="T146" i="1" s="1"/>
  <c r="X146" i="1"/>
  <c r="K146" i="5" s="1"/>
  <c r="L146" i="5" s="1"/>
  <c r="AC146" i="1"/>
  <c r="AI146" i="1"/>
  <c r="AJ146" i="1" s="1"/>
  <c r="AX146" i="1"/>
  <c r="AZ146" i="1"/>
  <c r="BB146" i="1"/>
  <c r="BC146" i="1"/>
  <c r="BI146" i="1"/>
  <c r="BL146" i="1" s="1"/>
  <c r="BO146" i="1"/>
  <c r="BT146" i="1"/>
  <c r="AW146" i="1" s="1"/>
  <c r="BV146" i="1"/>
  <c r="BY146" i="1"/>
  <c r="CB146" i="1"/>
  <c r="CC146" i="1"/>
  <c r="CE146" i="1"/>
  <c r="CF146" i="1"/>
  <c r="CH146" i="1"/>
  <c r="CI146" i="1"/>
  <c r="CJ146" i="1"/>
  <c r="P147" i="1"/>
  <c r="CA147" i="1" s="1"/>
  <c r="S147" i="1"/>
  <c r="V147" i="1" s="1"/>
  <c r="X147" i="1"/>
  <c r="Z147" i="1" s="1"/>
  <c r="AC147" i="1"/>
  <c r="AI147" i="1"/>
  <c r="AX147" i="1"/>
  <c r="AZ147" i="1"/>
  <c r="BB147" i="1"/>
  <c r="BC147" i="1"/>
  <c r="BI147" i="1"/>
  <c r="BL147" i="1" s="1"/>
  <c r="BO147" i="1"/>
  <c r="BT147" i="1"/>
  <c r="AW147" i="1" s="1"/>
  <c r="BV147" i="1"/>
  <c r="BY147" i="1"/>
  <c r="CB147" i="1"/>
  <c r="CC147" i="1"/>
  <c r="CE147" i="1"/>
  <c r="CF147" i="1"/>
  <c r="CH147" i="1"/>
  <c r="CI147" i="1"/>
  <c r="CJ147" i="1"/>
  <c r="P148" i="1"/>
  <c r="CA148" i="1" s="1"/>
  <c r="S148" i="1"/>
  <c r="W148" i="1" s="1"/>
  <c r="X148" i="1"/>
  <c r="K148" i="5" s="1"/>
  <c r="AC148" i="1"/>
  <c r="AI148" i="1"/>
  <c r="AJ148" i="1" s="1"/>
  <c r="AX148" i="1"/>
  <c r="AZ148" i="1"/>
  <c r="BB148" i="1"/>
  <c r="BC148" i="1"/>
  <c r="BI148" i="1"/>
  <c r="BL148" i="1" s="1"/>
  <c r="BO148" i="1"/>
  <c r="BT148" i="1"/>
  <c r="AW148" i="1" s="1"/>
  <c r="BV148" i="1"/>
  <c r="BY148" i="1"/>
  <c r="CB148" i="1"/>
  <c r="CC148" i="1"/>
  <c r="CE148" i="1"/>
  <c r="CF148" i="1"/>
  <c r="CH148" i="1"/>
  <c r="CI148" i="1"/>
  <c r="CJ148" i="1"/>
  <c r="P149" i="1"/>
  <c r="CA149" i="1" s="1"/>
  <c r="S149" i="1"/>
  <c r="V149" i="1" s="1"/>
  <c r="X149" i="1"/>
  <c r="Z149" i="1" s="1"/>
  <c r="AC149" i="1"/>
  <c r="AI149" i="1"/>
  <c r="AJ149" i="1" s="1"/>
  <c r="AX149" i="1"/>
  <c r="AZ149" i="1"/>
  <c r="BB149" i="1"/>
  <c r="BC149" i="1"/>
  <c r="BI149" i="1"/>
  <c r="BO149" i="1"/>
  <c r="BT149" i="1"/>
  <c r="AW149" i="1" s="1"/>
  <c r="BV149" i="1"/>
  <c r="BY149" i="1"/>
  <c r="CB149" i="1"/>
  <c r="CC149" i="1"/>
  <c r="CE149" i="1"/>
  <c r="CF149" i="1"/>
  <c r="CH149" i="1"/>
  <c r="CI149" i="1"/>
  <c r="CJ149" i="1"/>
  <c r="P150" i="1"/>
  <c r="CA150" i="1" s="1"/>
  <c r="S150" i="1"/>
  <c r="G150" i="5" s="1"/>
  <c r="X150" i="1"/>
  <c r="AB150" i="1" s="1"/>
  <c r="AC150" i="1"/>
  <c r="AO150" i="1"/>
  <c r="J150" i="1" s="1"/>
  <c r="AX150" i="1"/>
  <c r="AZ150" i="1"/>
  <c r="BB150" i="1"/>
  <c r="BC150" i="1"/>
  <c r="BI150" i="1"/>
  <c r="BL150" i="1" s="1"/>
  <c r="BO150" i="1"/>
  <c r="BT150" i="1"/>
  <c r="AW150" i="1" s="1"/>
  <c r="BV150" i="1"/>
  <c r="BY150" i="1"/>
  <c r="CB150" i="1"/>
  <c r="CC150" i="1"/>
  <c r="BZ150" i="1" s="1"/>
  <c r="CE150" i="1"/>
  <c r="CF150" i="1"/>
  <c r="CH150" i="1"/>
  <c r="CI150" i="1"/>
  <c r="CJ150" i="1"/>
  <c r="P151" i="1"/>
  <c r="CA151" i="1" s="1"/>
  <c r="S151" i="1"/>
  <c r="V151" i="1" s="1"/>
  <c r="X151" i="1"/>
  <c r="AA151" i="1" s="1"/>
  <c r="AC151" i="1"/>
  <c r="AX151" i="1"/>
  <c r="AZ151" i="1"/>
  <c r="BB151" i="1"/>
  <c r="BC151" i="1"/>
  <c r="BI151" i="1"/>
  <c r="BL151" i="1" s="1"/>
  <c r="BO151" i="1"/>
  <c r="BT151" i="1"/>
  <c r="AW151" i="1" s="1"/>
  <c r="BV151" i="1"/>
  <c r="BY151" i="1"/>
  <c r="CB151" i="1"/>
  <c r="CC151" i="1"/>
  <c r="CE151" i="1"/>
  <c r="CF151" i="1"/>
  <c r="CH151" i="1"/>
  <c r="CI151" i="1"/>
  <c r="CJ151" i="1"/>
  <c r="P152" i="1"/>
  <c r="CA152" i="1" s="1"/>
  <c r="S152" i="1"/>
  <c r="U152" i="1" s="1"/>
  <c r="X152" i="1"/>
  <c r="Z152" i="1" s="1"/>
  <c r="AC152" i="1"/>
  <c r="AX152" i="1"/>
  <c r="AZ152" i="1"/>
  <c r="BB152" i="1"/>
  <c r="BC152" i="1"/>
  <c r="BI152" i="1"/>
  <c r="BO152" i="1"/>
  <c r="BT152" i="1"/>
  <c r="AW152" i="1" s="1"/>
  <c r="BV152" i="1"/>
  <c r="BY152" i="1"/>
  <c r="CB152" i="1"/>
  <c r="CC152" i="1"/>
  <c r="CE152" i="1"/>
  <c r="CF152" i="1"/>
  <c r="CH152" i="1"/>
  <c r="CI152" i="1"/>
  <c r="CJ152" i="1"/>
  <c r="P153" i="1"/>
  <c r="CA153" i="1" s="1"/>
  <c r="S153" i="1"/>
  <c r="V153" i="1" s="1"/>
  <c r="X153" i="1"/>
  <c r="Y153" i="1" s="1"/>
  <c r="AC153" i="1"/>
  <c r="AX153" i="1"/>
  <c r="AZ153" i="1"/>
  <c r="BB153" i="1"/>
  <c r="BC153" i="1"/>
  <c r="BI153" i="1"/>
  <c r="BL153" i="1" s="1"/>
  <c r="BO153" i="1"/>
  <c r="BT153" i="1"/>
  <c r="AW153" i="1" s="1"/>
  <c r="BV153" i="1"/>
  <c r="BY153" i="1"/>
  <c r="CB153" i="1"/>
  <c r="CC153" i="1"/>
  <c r="CE153" i="1"/>
  <c r="CF153" i="1"/>
  <c r="CH153" i="1"/>
  <c r="CI153" i="1"/>
  <c r="CJ153" i="1"/>
  <c r="P154" i="1"/>
  <c r="CA154" i="1" s="1"/>
  <c r="S154" i="1"/>
  <c r="X154" i="1"/>
  <c r="Y154" i="1" s="1"/>
  <c r="AC154" i="1"/>
  <c r="AX154" i="1"/>
  <c r="AZ154" i="1"/>
  <c r="BB154" i="1"/>
  <c r="BC154" i="1"/>
  <c r="BI154" i="1"/>
  <c r="BO154" i="1"/>
  <c r="BT154" i="1"/>
  <c r="AW154" i="1" s="1"/>
  <c r="BV154" i="1"/>
  <c r="BY154" i="1"/>
  <c r="CB154" i="1"/>
  <c r="CC154" i="1"/>
  <c r="CE154" i="1"/>
  <c r="CF154" i="1"/>
  <c r="CH154" i="1"/>
  <c r="CI154" i="1"/>
  <c r="CJ154" i="1"/>
  <c r="P155" i="1"/>
  <c r="CA155" i="1" s="1"/>
  <c r="S155" i="1"/>
  <c r="X155" i="1"/>
  <c r="K155" i="5" s="1"/>
  <c r="L155" i="5" s="1"/>
  <c r="AC155" i="1"/>
  <c r="AX155" i="1"/>
  <c r="AZ155" i="1"/>
  <c r="BB155" i="1"/>
  <c r="BC155" i="1"/>
  <c r="BI155" i="1"/>
  <c r="BO155" i="1"/>
  <c r="BT155" i="1"/>
  <c r="AW155" i="1" s="1"/>
  <c r="BV155" i="1"/>
  <c r="BY155" i="1"/>
  <c r="CB155" i="1"/>
  <c r="CC155" i="1"/>
  <c r="CE155" i="1"/>
  <c r="CF155" i="1"/>
  <c r="CH155" i="1"/>
  <c r="CI155" i="1"/>
  <c r="CJ155" i="1"/>
  <c r="P156" i="1"/>
  <c r="CA156" i="1" s="1"/>
  <c r="S156" i="1"/>
  <c r="U156" i="1" s="1"/>
  <c r="X156" i="1"/>
  <c r="AC156" i="1"/>
  <c r="AX156" i="1"/>
  <c r="AZ156" i="1"/>
  <c r="BB156" i="1"/>
  <c r="BC156" i="1"/>
  <c r="BI156" i="1"/>
  <c r="BL156" i="1" s="1"/>
  <c r="BO156" i="1"/>
  <c r="BT156" i="1"/>
  <c r="AW156" i="1" s="1"/>
  <c r="BV156" i="1"/>
  <c r="BY156" i="1"/>
  <c r="CB156" i="1"/>
  <c r="CC156" i="1"/>
  <c r="CE156" i="1"/>
  <c r="CF156" i="1"/>
  <c r="CH156" i="1"/>
  <c r="CI156" i="1"/>
  <c r="CJ156" i="1"/>
  <c r="P157" i="1"/>
  <c r="CA157" i="1" s="1"/>
  <c r="S157" i="1"/>
  <c r="U157" i="1" s="1"/>
  <c r="X157" i="1"/>
  <c r="K157" i="5" s="1"/>
  <c r="L157" i="5" s="1"/>
  <c r="AC157" i="1"/>
  <c r="AX157" i="1"/>
  <c r="AZ157" i="1"/>
  <c r="BB157" i="1"/>
  <c r="BC157" i="1"/>
  <c r="BI157" i="1"/>
  <c r="BL157" i="1" s="1"/>
  <c r="BO157" i="1"/>
  <c r="BT157" i="1"/>
  <c r="AW157" i="1" s="1"/>
  <c r="BV157" i="1"/>
  <c r="BY157" i="1"/>
  <c r="CB157" i="1"/>
  <c r="CC157" i="1"/>
  <c r="CE157" i="1"/>
  <c r="CF157" i="1"/>
  <c r="CH157" i="1"/>
  <c r="CI157" i="1"/>
  <c r="CJ157" i="1"/>
  <c r="P158" i="1"/>
  <c r="CA158" i="1" s="1"/>
  <c r="S158" i="1"/>
  <c r="W158" i="1" s="1"/>
  <c r="X158" i="1"/>
  <c r="AA158" i="1" s="1"/>
  <c r="AC158" i="1"/>
  <c r="AO158" i="1"/>
  <c r="J158" i="1" s="1"/>
  <c r="AX158" i="1"/>
  <c r="AZ158" i="1"/>
  <c r="BB158" i="1"/>
  <c r="BC158" i="1"/>
  <c r="BI158" i="1"/>
  <c r="BL158" i="1" s="1"/>
  <c r="BO158" i="1"/>
  <c r="BT158" i="1"/>
  <c r="AW158" i="1" s="1"/>
  <c r="BV158" i="1"/>
  <c r="BY158" i="1"/>
  <c r="CB158" i="1"/>
  <c r="CC158" i="1"/>
  <c r="BZ158" i="1" s="1"/>
  <c r="CE158" i="1"/>
  <c r="CF158" i="1"/>
  <c r="CH158" i="1"/>
  <c r="CI158" i="1"/>
  <c r="CJ158" i="1"/>
  <c r="P159" i="1"/>
  <c r="CA159" i="1" s="1"/>
  <c r="S159" i="1"/>
  <c r="T159" i="1" s="1"/>
  <c r="X159" i="1"/>
  <c r="AB159" i="1" s="1"/>
  <c r="AC159" i="1"/>
  <c r="AX159" i="1"/>
  <c r="AZ159" i="1"/>
  <c r="BB159" i="1"/>
  <c r="BC159" i="1"/>
  <c r="BI159" i="1"/>
  <c r="BO159" i="1"/>
  <c r="BT159" i="1"/>
  <c r="AW159" i="1" s="1"/>
  <c r="BV159" i="1"/>
  <c r="BY159" i="1"/>
  <c r="CB159" i="1"/>
  <c r="CC159" i="1"/>
  <c r="CE159" i="1"/>
  <c r="CF159" i="1"/>
  <c r="CH159" i="1"/>
  <c r="CI159" i="1"/>
  <c r="CJ159" i="1"/>
  <c r="P160" i="1"/>
  <c r="X160" i="1"/>
  <c r="K160" i="5" s="1"/>
  <c r="L160" i="5" s="1"/>
  <c r="AC160" i="1"/>
  <c r="AO160" i="1"/>
  <c r="BB160" i="1"/>
  <c r="BT160" i="1"/>
  <c r="AW160" i="1" s="1"/>
  <c r="BV160" i="1"/>
  <c r="BY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I2" i="3"/>
  <c r="X2" i="1"/>
  <c r="K2" i="5" s="1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Q193" i="1" l="1"/>
  <c r="R193" i="1" s="1"/>
  <c r="Q189" i="1"/>
  <c r="R189" i="1" s="1"/>
  <c r="Q184" i="1"/>
  <c r="R184" i="1" s="1"/>
  <c r="Q183" i="1"/>
  <c r="R183" i="1" s="1"/>
  <c r="BG94" i="3"/>
  <c r="E196" i="5" s="1"/>
  <c r="Q196" i="1"/>
  <c r="R196" i="1" s="1"/>
  <c r="BG89" i="3"/>
  <c r="BK89" i="3" s="1"/>
  <c r="F190" i="5" s="1"/>
  <c r="Q190" i="1"/>
  <c r="R190" i="1" s="1"/>
  <c r="BG62" i="3"/>
  <c r="E181" i="5" s="1"/>
  <c r="Q181" i="1"/>
  <c r="R181" i="1" s="1"/>
  <c r="AV184" i="3"/>
  <c r="AW184" i="3"/>
  <c r="I164" i="5"/>
  <c r="J164" i="5"/>
  <c r="CG65" i="1"/>
  <c r="BJ65" i="1"/>
  <c r="AY65" i="1"/>
  <c r="CG73" i="1"/>
  <c r="AY73" i="1"/>
  <c r="BJ73" i="1"/>
  <c r="AD196" i="1"/>
  <c r="BB89" i="3"/>
  <c r="BH89" i="3"/>
  <c r="BT89" i="3" s="1"/>
  <c r="AI190" i="1"/>
  <c r="E190" i="5"/>
  <c r="BB62" i="3"/>
  <c r="BH62" i="3"/>
  <c r="AI181" i="1"/>
  <c r="X122" i="5"/>
  <c r="Q188" i="1"/>
  <c r="R188" i="1" s="1"/>
  <c r="Q187" i="1"/>
  <c r="R187" i="1" s="1"/>
  <c r="Q195" i="1"/>
  <c r="R195" i="1" s="1"/>
  <c r="Q194" i="1"/>
  <c r="R194" i="1" s="1"/>
  <c r="Q182" i="1"/>
  <c r="R182" i="1" s="1"/>
  <c r="BK101" i="1"/>
  <c r="CA99" i="1"/>
  <c r="CA55" i="1"/>
  <c r="BK115" i="1"/>
  <c r="BK137" i="1"/>
  <c r="BK102" i="1"/>
  <c r="BK98" i="1"/>
  <c r="BK60" i="1"/>
  <c r="BK94" i="1"/>
  <c r="BK118" i="1"/>
  <c r="BK79" i="1"/>
  <c r="BK62" i="1"/>
  <c r="BK131" i="1"/>
  <c r="BK128" i="1"/>
  <c r="BK116" i="1"/>
  <c r="BK92" i="1"/>
  <c r="BK93" i="1"/>
  <c r="BK130" i="1"/>
  <c r="BK122" i="1"/>
  <c r="BK110" i="1"/>
  <c r="BK134" i="1"/>
  <c r="BK81" i="1"/>
  <c r="BK117" i="1"/>
  <c r="BK133" i="1"/>
  <c r="BK89" i="1"/>
  <c r="BK76" i="1"/>
  <c r="BK150" i="1"/>
  <c r="BK58" i="1"/>
  <c r="BK77" i="1"/>
  <c r="BK56" i="1"/>
  <c r="BK123" i="1"/>
  <c r="BK109" i="1"/>
  <c r="BK99" i="1"/>
  <c r="BK114" i="1"/>
  <c r="BK55" i="1"/>
  <c r="BK140" i="1"/>
  <c r="BK158" i="1"/>
  <c r="BK138" i="1"/>
  <c r="BK59" i="1"/>
  <c r="BK119" i="1"/>
  <c r="BK57" i="1"/>
  <c r="BK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E133" i="3"/>
  <c r="BL133" i="3" s="1"/>
  <c r="BD133" i="1"/>
  <c r="BE133" i="1"/>
  <c r="BD85" i="1"/>
  <c r="BE85" i="1"/>
  <c r="BD67" i="1"/>
  <c r="BE67" i="1"/>
  <c r="BD58" i="1"/>
  <c r="BE58" i="1"/>
  <c r="BD37" i="1"/>
  <c r="BE37" i="1"/>
  <c r="BD24" i="1"/>
  <c r="BE24" i="1"/>
  <c r="BD20" i="1"/>
  <c r="BE20" i="1"/>
  <c r="BD10" i="1"/>
  <c r="BE10" i="1"/>
  <c r="BD140" i="1"/>
  <c r="BE140" i="1"/>
  <c r="W158" i="5"/>
  <c r="BE81" i="3"/>
  <c r="BL81" i="3" s="1"/>
  <c r="BD81" i="1"/>
  <c r="BE81" i="1"/>
  <c r="BE98" i="3"/>
  <c r="BL98" i="3" s="1"/>
  <c r="BD98" i="1"/>
  <c r="BE98" i="1"/>
  <c r="X57" i="5"/>
  <c r="BD126" i="1"/>
  <c r="BE126" i="1"/>
  <c r="BE119" i="3"/>
  <c r="BL119" i="3" s="1"/>
  <c r="BD119" i="1"/>
  <c r="BE119" i="1"/>
  <c r="BD57" i="1"/>
  <c r="BE57" i="1"/>
  <c r="BD41" i="1"/>
  <c r="BE41" i="1"/>
  <c r="AC140" i="5"/>
  <c r="BD118" i="1"/>
  <c r="BE118" i="1"/>
  <c r="BD100" i="1"/>
  <c r="BE100" i="1"/>
  <c r="BD89" i="1"/>
  <c r="BE89" i="1"/>
  <c r="BD77" i="1"/>
  <c r="BE77" i="1"/>
  <c r="BD68" i="1"/>
  <c r="BE68" i="1"/>
  <c r="BD64" i="1"/>
  <c r="BE64" i="1"/>
  <c r="BD38" i="1"/>
  <c r="BE38" i="1"/>
  <c r="BD4" i="1"/>
  <c r="BE4" i="1"/>
  <c r="W140" i="5"/>
  <c r="X99" i="5"/>
  <c r="BD131" i="1"/>
  <c r="BE131" i="1"/>
  <c r="BD128" i="1"/>
  <c r="BE128" i="1"/>
  <c r="BE117" i="3"/>
  <c r="BL117" i="3" s="1"/>
  <c r="BD117" i="1"/>
  <c r="BE117" i="1"/>
  <c r="BD116" i="1"/>
  <c r="BE116" i="1"/>
  <c r="BD114" i="1"/>
  <c r="BE114" i="1"/>
  <c r="BD101" i="1"/>
  <c r="BE101" i="1"/>
  <c r="BD76" i="1"/>
  <c r="BE76" i="1"/>
  <c r="BD56" i="1"/>
  <c r="BE56" i="1"/>
  <c r="Y99" i="5"/>
  <c r="X123" i="5"/>
  <c r="W99" i="5"/>
  <c r="BD130" i="1"/>
  <c r="BE130" i="1"/>
  <c r="BD123" i="1"/>
  <c r="BE123" i="1"/>
  <c r="BD122" i="1"/>
  <c r="BE122" i="1"/>
  <c r="BD109" i="1"/>
  <c r="BE109" i="1"/>
  <c r="BD99" i="1"/>
  <c r="BE99" i="1"/>
  <c r="BD8" i="1"/>
  <c r="BE8" i="1"/>
  <c r="BE134" i="3"/>
  <c r="BL134" i="3" s="1"/>
  <c r="BD134" i="1"/>
  <c r="BE134" i="1"/>
  <c r="BD129" i="1"/>
  <c r="BE129" i="1"/>
  <c r="BD102" i="1"/>
  <c r="BE102" i="1"/>
  <c r="BD72" i="1"/>
  <c r="BE72" i="1"/>
  <c r="BD69" i="1"/>
  <c r="BE69" i="1"/>
  <c r="BD65" i="1"/>
  <c r="BE65" i="1"/>
  <c r="BD55" i="1"/>
  <c r="BE55" i="1"/>
  <c r="BD35" i="1"/>
  <c r="BE35" i="1"/>
  <c r="AC102" i="5"/>
  <c r="X81" i="5"/>
  <c r="BD158" i="1"/>
  <c r="BE158" i="1"/>
  <c r="BD94" i="1"/>
  <c r="BE94" i="1"/>
  <c r="BD60" i="1"/>
  <c r="BE60" i="1"/>
  <c r="BD84" i="1"/>
  <c r="BE84" i="1"/>
  <c r="BD73" i="1"/>
  <c r="BE73" i="1"/>
  <c r="BD66" i="1"/>
  <c r="BE66" i="1"/>
  <c r="BD62" i="1"/>
  <c r="BE62" i="1"/>
  <c r="BD36" i="1"/>
  <c r="BE36" i="1"/>
  <c r="BD32" i="1"/>
  <c r="BE32" i="1"/>
  <c r="BD23" i="1"/>
  <c r="BE23" i="1"/>
  <c r="BD150" i="1"/>
  <c r="BE150" i="1"/>
  <c r="BE138" i="3"/>
  <c r="BL138" i="3" s="1"/>
  <c r="BD138" i="1"/>
  <c r="BE138" i="1"/>
  <c r="BD93" i="1"/>
  <c r="BE93" i="1"/>
  <c r="BD59" i="1"/>
  <c r="BE5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J147" i="1"/>
  <c r="AN81" i="1"/>
  <c r="S60" i="5"/>
  <c r="T60" i="5" s="1"/>
  <c r="AJ60" i="1"/>
  <c r="S113" i="5"/>
  <c r="T113" i="5" s="1"/>
  <c r="AJ113" i="1"/>
  <c r="S94" i="5"/>
  <c r="T94" i="5" s="1"/>
  <c r="AJ94" i="1"/>
  <c r="AN92" i="1"/>
  <c r="S91" i="5"/>
  <c r="T91" i="5" s="1"/>
  <c r="AJ91" i="1"/>
  <c r="AN116" i="1"/>
  <c r="AN115" i="1"/>
  <c r="S92" i="5"/>
  <c r="U92" i="5" s="1"/>
  <c r="AJ92" i="1"/>
  <c r="S99" i="5"/>
  <c r="V99" i="5" s="1"/>
  <c r="AJ99" i="1"/>
  <c r="AN89" i="1"/>
  <c r="S136" i="5"/>
  <c r="V136" i="5" s="1"/>
  <c r="AJ136" i="1"/>
  <c r="S131" i="5"/>
  <c r="T131" i="5" s="1"/>
  <c r="AJ131" i="1"/>
  <c r="AN102" i="1"/>
  <c r="S98" i="5"/>
  <c r="T98" i="5" s="1"/>
  <c r="AJ98" i="1"/>
  <c r="S142" i="5"/>
  <c r="T142" i="5" s="1"/>
  <c r="AJ142" i="1"/>
  <c r="BE76" i="3"/>
  <c r="BL76" i="3" s="1"/>
  <c r="BE109" i="3"/>
  <c r="BL109" i="3" s="1"/>
  <c r="BE94" i="3"/>
  <c r="BL94" i="3" s="1"/>
  <c r="BE59" i="3"/>
  <c r="BL59" i="3" s="1"/>
  <c r="BE56" i="3"/>
  <c r="BL56" i="3" s="1"/>
  <c r="BE122" i="3"/>
  <c r="BL122" i="3" s="1"/>
  <c r="BE130" i="3"/>
  <c r="BL130" i="3" s="1"/>
  <c r="BE99" i="3"/>
  <c r="BL99" i="3" s="1"/>
  <c r="BE140" i="3"/>
  <c r="BL140" i="3" s="1"/>
  <c r="BE73" i="3"/>
  <c r="BE114" i="3"/>
  <c r="BL114" i="3" s="1"/>
  <c r="BE23" i="3"/>
  <c r="BE150" i="3"/>
  <c r="BL150" i="3" s="1"/>
  <c r="BE128" i="3"/>
  <c r="BL128" i="3" s="1"/>
  <c r="BE93" i="3"/>
  <c r="BL93" i="3" s="1"/>
  <c r="BE89" i="3"/>
  <c r="BE58" i="3"/>
  <c r="BL58" i="3" s="1"/>
  <c r="BE55" i="3"/>
  <c r="BL55" i="3" s="1"/>
  <c r="BE24" i="3"/>
  <c r="BE65" i="3"/>
  <c r="BE118" i="3"/>
  <c r="BL118" i="3" s="1"/>
  <c r="BE62" i="3"/>
  <c r="BL62" i="3" s="1"/>
  <c r="BE77" i="3"/>
  <c r="BL77" i="3" s="1"/>
  <c r="BE60" i="3"/>
  <c r="BL60" i="3" s="1"/>
  <c r="BE57" i="3"/>
  <c r="BL57" i="3" s="1"/>
  <c r="BE100" i="3"/>
  <c r="BL100" i="3" s="1"/>
  <c r="BE64" i="3"/>
  <c r="BE158" i="3"/>
  <c r="BL158" i="3" s="1"/>
  <c r="BE131" i="3"/>
  <c r="BL131" i="3" s="1"/>
  <c r="BE123" i="3"/>
  <c r="BL123" i="3" s="1"/>
  <c r="BE116" i="3"/>
  <c r="BL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F138" i="5"/>
  <c r="AC138" i="5"/>
  <c r="AC73" i="5"/>
  <c r="BR166" i="1"/>
  <c r="AW162" i="3"/>
  <c r="AW165" i="3"/>
  <c r="BH101" i="1"/>
  <c r="AB98" i="5"/>
  <c r="BN161" i="3"/>
  <c r="S161" i="5"/>
  <c r="AM161" i="1"/>
  <c r="AK161" i="1"/>
  <c r="AL161" i="1"/>
  <c r="BL161" i="3"/>
  <c r="BT161" i="3"/>
  <c r="J161" i="5"/>
  <c r="I161" i="5"/>
  <c r="H161" i="5"/>
  <c r="AH161" i="1"/>
  <c r="O161" i="5"/>
  <c r="AG161" i="1"/>
  <c r="AF161" i="1"/>
  <c r="AE161" i="1"/>
  <c r="G81" i="5"/>
  <c r="H81" i="5" s="1"/>
  <c r="AV163" i="3"/>
  <c r="BR163" i="1" s="1"/>
  <c r="BL163" i="3"/>
  <c r="AW163" i="3"/>
  <c r="BQ89" i="1"/>
  <c r="BN89" i="1" s="1"/>
  <c r="BQ117" i="1"/>
  <c r="BN117" i="1" s="1"/>
  <c r="BQ150" i="1"/>
  <c r="BN150" i="1" s="1"/>
  <c r="BQ147" i="1"/>
  <c r="BN147" i="1" s="1"/>
  <c r="BQ144" i="1"/>
  <c r="BN144" i="1" s="1"/>
  <c r="BQ57" i="1"/>
  <c r="BN57" i="1" s="1"/>
  <c r="BQ137" i="1"/>
  <c r="BN137" i="1" s="1"/>
  <c r="G141" i="5"/>
  <c r="J141" i="5" s="1"/>
  <c r="G123" i="5"/>
  <c r="H123" i="5" s="1"/>
  <c r="G147" i="5"/>
  <c r="H147" i="5" s="1"/>
  <c r="K76" i="5"/>
  <c r="M76" i="5" s="1"/>
  <c r="G130" i="5"/>
  <c r="J130" i="5" s="1"/>
  <c r="BQ94" i="1"/>
  <c r="BN94" i="1" s="1"/>
  <c r="G102" i="5"/>
  <c r="H102" i="5" s="1"/>
  <c r="BQ157" i="1"/>
  <c r="BN157" i="1" s="1"/>
  <c r="BN120" i="1"/>
  <c r="BQ114" i="1"/>
  <c r="BN114" i="1" s="1"/>
  <c r="BQ59" i="1"/>
  <c r="BN59" i="1" s="1"/>
  <c r="BQ76" i="1"/>
  <c r="BN76" i="1" s="1"/>
  <c r="G138" i="5"/>
  <c r="H138" i="5" s="1"/>
  <c r="G101" i="5"/>
  <c r="J101" i="5" s="1"/>
  <c r="BQ156" i="1"/>
  <c r="BN156" i="1" s="1"/>
  <c r="BQ119" i="1"/>
  <c r="BN119" i="1" s="1"/>
  <c r="G148" i="5"/>
  <c r="I148" i="5" s="1"/>
  <c r="G144" i="5"/>
  <c r="J144" i="5" s="1"/>
  <c r="G91" i="5"/>
  <c r="J91" i="5" s="1"/>
  <c r="G55" i="5"/>
  <c r="H55" i="5" s="1"/>
  <c r="BQ116" i="1"/>
  <c r="BN116" i="1" s="1"/>
  <c r="BQ99" i="1"/>
  <c r="BN99" i="1" s="1"/>
  <c r="BQ60" i="1"/>
  <c r="BN60" i="1" s="1"/>
  <c r="BQ143" i="1"/>
  <c r="BN143" i="1" s="1"/>
  <c r="BQ155" i="1"/>
  <c r="BN155" i="1" s="1"/>
  <c r="AS65" i="3"/>
  <c r="BH65" i="3" s="1"/>
  <c r="CH65" i="1"/>
  <c r="CC65" i="1"/>
  <c r="AZ65" i="1"/>
  <c r="CE65" i="1"/>
  <c r="CF65" i="1"/>
  <c r="CJ65" i="1"/>
  <c r="BO65" i="1"/>
  <c r="BQ65" i="1" s="1"/>
  <c r="BN65" i="1" s="1"/>
  <c r="AI65" i="1"/>
  <c r="CB65" i="1"/>
  <c r="AX65" i="1"/>
  <c r="CI65" i="1"/>
  <c r="BC65" i="1"/>
  <c r="BI65" i="1"/>
  <c r="BL65" i="1" s="1"/>
  <c r="W65" i="5"/>
  <c r="BQ158" i="1"/>
  <c r="BN158" i="1" s="1"/>
  <c r="AN133" i="1"/>
  <c r="AS73" i="3"/>
  <c r="BH73" i="3" s="1"/>
  <c r="AX73" i="1"/>
  <c r="CB73" i="1"/>
  <c r="CC73" i="1"/>
  <c r="AQ73" i="1" s="1"/>
  <c r="BS73" i="1" s="1"/>
  <c r="CE73" i="1"/>
  <c r="BI73" i="1"/>
  <c r="BL73" i="1" s="1"/>
  <c r="CH73" i="1"/>
  <c r="AI73" i="1"/>
  <c r="AJ73" i="1" s="1"/>
  <c r="CF73" i="1"/>
  <c r="CI73" i="1"/>
  <c r="CJ73" i="1"/>
  <c r="BC73" i="1"/>
  <c r="BO73" i="1"/>
  <c r="BQ73" i="1" s="1"/>
  <c r="BN73" i="1" s="1"/>
  <c r="Y73" i="5"/>
  <c r="X73" i="5"/>
  <c r="AN130" i="1"/>
  <c r="W73" i="5"/>
  <c r="BQ134" i="1"/>
  <c r="BN134" i="1" s="1"/>
  <c r="BQ159" i="1"/>
  <c r="BN159" i="1" s="1"/>
  <c r="BQ149" i="1"/>
  <c r="BN149" i="1" s="1"/>
  <c r="BQ145" i="1"/>
  <c r="BN145" i="1" s="1"/>
  <c r="BQ131" i="1"/>
  <c r="BN131" i="1" s="1"/>
  <c r="BQ153" i="1"/>
  <c r="BN153" i="1" s="1"/>
  <c r="BQ146" i="1"/>
  <c r="BN146" i="1" s="1"/>
  <c r="AB65" i="5"/>
  <c r="BQ151" i="1"/>
  <c r="BN151" i="1" s="1"/>
  <c r="BQ140" i="1"/>
  <c r="BN140" i="1" s="1"/>
  <c r="BQ133" i="1"/>
  <c r="BN133" i="1" s="1"/>
  <c r="BQ101" i="1"/>
  <c r="BN101" i="1" s="1"/>
  <c r="Q82" i="1"/>
  <c r="R82" i="1" s="1"/>
  <c r="Q106" i="1"/>
  <c r="R106" i="1" s="1"/>
  <c r="BQ100" i="1"/>
  <c r="BN100" i="1" s="1"/>
  <c r="BQ102" i="1"/>
  <c r="BN102" i="1" s="1"/>
  <c r="BQ56" i="1"/>
  <c r="BN56" i="1" s="1"/>
  <c r="BQ93" i="1"/>
  <c r="BN93" i="1" s="1"/>
  <c r="Q108" i="1"/>
  <c r="R108" i="1" s="1"/>
  <c r="Q67" i="1"/>
  <c r="R67" i="1" s="1"/>
  <c r="Q73" i="1"/>
  <c r="R73" i="1" s="1"/>
  <c r="S55" i="5"/>
  <c r="AM55" i="1"/>
  <c r="Q22" i="1"/>
  <c r="R22" i="1" s="1"/>
  <c r="BQ81" i="1"/>
  <c r="BN81" i="1" s="1"/>
  <c r="Q35" i="1"/>
  <c r="R35" i="1" s="1"/>
  <c r="Q72" i="1"/>
  <c r="R72" i="1" s="1"/>
  <c r="Q68" i="1"/>
  <c r="R68" i="1" s="1"/>
  <c r="Q10" i="1"/>
  <c r="R10" i="1" s="1"/>
  <c r="Q5" i="1"/>
  <c r="R5" i="1" s="1"/>
  <c r="BQ55" i="1"/>
  <c r="BN55" i="1" s="1"/>
  <c r="BK150" i="3"/>
  <c r="F150" i="5" s="1"/>
  <c r="E150" i="5"/>
  <c r="Q44" i="1"/>
  <c r="R44" i="1" s="1"/>
  <c r="Q42" i="1"/>
  <c r="R42" i="1" s="1"/>
  <c r="Q54" i="1"/>
  <c r="R54" i="1" s="1"/>
  <c r="Q34" i="1"/>
  <c r="R34" i="1" s="1"/>
  <c r="Q17" i="1"/>
  <c r="R17" i="1" s="1"/>
  <c r="BQ98" i="1"/>
  <c r="BN98" i="1" s="1"/>
  <c r="BO93" i="3"/>
  <c r="BO128" i="3"/>
  <c r="BT128" i="3"/>
  <c r="BT134" i="3"/>
  <c r="BO134" i="3"/>
  <c r="BO98" i="3"/>
  <c r="E130" i="5"/>
  <c r="BK130" i="3"/>
  <c r="F130" i="5" s="1"/>
  <c r="AT73" i="3"/>
  <c r="BJ73" i="3" s="1"/>
  <c r="BR73" i="3" s="1"/>
  <c r="BO116" i="3"/>
  <c r="BT116" i="3"/>
  <c r="BO122" i="3"/>
  <c r="E102" i="5"/>
  <c r="BK102" i="3"/>
  <c r="F102" i="5" s="1"/>
  <c r="BO99" i="3"/>
  <c r="BO140" i="3"/>
  <c r="AT65" i="3"/>
  <c r="AU65" i="3" s="1"/>
  <c r="BT133" i="3"/>
  <c r="BG65" i="3"/>
  <c r="BT62" i="3"/>
  <c r="BO55" i="3"/>
  <c r="BG73" i="3"/>
  <c r="BK73" i="3" s="1"/>
  <c r="F73" i="5" s="1"/>
  <c r="BO158" i="3"/>
  <c r="BO62" i="3"/>
  <c r="BF65" i="3"/>
  <c r="BP65" i="3" a="1"/>
  <c r="BP65" i="3" s="1"/>
  <c r="BF73" i="3"/>
  <c r="BP73" i="3" a="1"/>
  <c r="BP73" i="3" s="1"/>
  <c r="BH158" i="1"/>
  <c r="AB150" i="5"/>
  <c r="AK149" i="1"/>
  <c r="S149" i="5"/>
  <c r="U149" i="5" s="1"/>
  <c r="S148" i="5"/>
  <c r="U148" i="5" s="1"/>
  <c r="AL146" i="1"/>
  <c r="S146" i="5"/>
  <c r="AL145" i="1"/>
  <c r="S145" i="5"/>
  <c r="S144" i="5"/>
  <c r="S143" i="5"/>
  <c r="U143" i="5" s="1"/>
  <c r="AL141" i="1"/>
  <c r="S141" i="5"/>
  <c r="V141" i="5" s="1"/>
  <c r="S140" i="5"/>
  <c r="AL139" i="1"/>
  <c r="S139" i="5"/>
  <c r="S137" i="5"/>
  <c r="K130" i="1"/>
  <c r="S130" i="5"/>
  <c r="BH128" i="1"/>
  <c r="Q123" i="1"/>
  <c r="R123" i="1" s="1"/>
  <c r="S122" i="5"/>
  <c r="S119" i="5"/>
  <c r="S118" i="5"/>
  <c r="AB116" i="5"/>
  <c r="AQ114" i="1"/>
  <c r="BS114" i="1" s="1"/>
  <c r="S110" i="5"/>
  <c r="AK109" i="1"/>
  <c r="S109" i="5"/>
  <c r="AK100" i="1"/>
  <c r="S100" i="5"/>
  <c r="Q99" i="1"/>
  <c r="R99" i="1" s="1"/>
  <c r="AB94" i="5"/>
  <c r="Q93" i="1"/>
  <c r="R93" i="1" s="1"/>
  <c r="AL93" i="1"/>
  <c r="S93" i="5"/>
  <c r="S81" i="5"/>
  <c r="U81" i="5" s="1"/>
  <c r="AL79" i="1"/>
  <c r="S79" i="5"/>
  <c r="AM77" i="1"/>
  <c r="S77" i="5"/>
  <c r="Q76" i="1"/>
  <c r="R76" i="1" s="1"/>
  <c r="S76" i="5"/>
  <c r="BH62" i="1"/>
  <c r="AM59" i="1"/>
  <c r="S59" i="5"/>
  <c r="BH58" i="1"/>
  <c r="AK58" i="1"/>
  <c r="S58" i="5"/>
  <c r="AB57" i="5"/>
  <c r="AM57" i="1"/>
  <c r="S57" i="5"/>
  <c r="U57" i="5" s="1"/>
  <c r="AN56" i="1"/>
  <c r="AK56" i="1"/>
  <c r="S56" i="5"/>
  <c r="BK158" i="3"/>
  <c r="F158" i="5" s="1"/>
  <c r="BK140" i="3"/>
  <c r="F140" i="5" s="1"/>
  <c r="E140" i="5"/>
  <c r="BO138" i="3"/>
  <c r="E138" i="5"/>
  <c r="BK134" i="3"/>
  <c r="F134" i="5" s="1"/>
  <c r="E134" i="5"/>
  <c r="BK133" i="3"/>
  <c r="F133" i="5" s="1"/>
  <c r="E133" i="5"/>
  <c r="BO131" i="3"/>
  <c r="E131" i="5"/>
  <c r="BO130" i="3"/>
  <c r="BK128" i="3"/>
  <c r="F128" i="5" s="1"/>
  <c r="E128" i="5"/>
  <c r="BK123" i="3"/>
  <c r="F123" i="5" s="1"/>
  <c r="E123" i="5"/>
  <c r="E122" i="5"/>
  <c r="BO119" i="3"/>
  <c r="E119" i="5"/>
  <c r="BO118" i="3"/>
  <c r="E118" i="5"/>
  <c r="BO117" i="3"/>
  <c r="E117" i="5"/>
  <c r="BK117" i="3"/>
  <c r="F117" i="5" s="1"/>
  <c r="BK116" i="3"/>
  <c r="F116" i="5" s="1"/>
  <c r="E116" i="5"/>
  <c r="BO114" i="3"/>
  <c r="BK114" i="3"/>
  <c r="F114" i="5" s="1"/>
  <c r="E114" i="5"/>
  <c r="BK109" i="3"/>
  <c r="F109" i="5" s="1"/>
  <c r="E109" i="5"/>
  <c r="BL102" i="3"/>
  <c r="BO102" i="3"/>
  <c r="BO101" i="3"/>
  <c r="BL101" i="3"/>
  <c r="BK101" i="3"/>
  <c r="F101" i="5" s="1"/>
  <c r="E101" i="5"/>
  <c r="BO100" i="3"/>
  <c r="BK100" i="3"/>
  <c r="F100" i="5" s="1"/>
  <c r="E100" i="5"/>
  <c r="E99" i="5"/>
  <c r="BK98" i="3"/>
  <c r="F98" i="5" s="1"/>
  <c r="E98" i="5"/>
  <c r="BO94" i="3"/>
  <c r="BK94" i="3"/>
  <c r="E94" i="5"/>
  <c r="BK93" i="3"/>
  <c r="F93" i="5" s="1"/>
  <c r="E93" i="5"/>
  <c r="E89" i="5"/>
  <c r="BO81" i="3"/>
  <c r="E81" i="5"/>
  <c r="BO77" i="3"/>
  <c r="E77" i="5"/>
  <c r="BO76" i="3"/>
  <c r="E76" i="5"/>
  <c r="BO60" i="3"/>
  <c r="E60" i="5"/>
  <c r="BO59" i="3"/>
  <c r="BK59" i="3"/>
  <c r="F59" i="5" s="1"/>
  <c r="E59" i="5"/>
  <c r="E58" i="5"/>
  <c r="BK58" i="3"/>
  <c r="F58" i="5" s="1"/>
  <c r="BO57" i="3"/>
  <c r="E57" i="5"/>
  <c r="E56" i="5"/>
  <c r="BK56" i="3"/>
  <c r="F56" i="5" s="1"/>
  <c r="BK55" i="3"/>
  <c r="F55" i="5" s="1"/>
  <c r="E55" i="5"/>
  <c r="BV99" i="3"/>
  <c r="BR56" i="3"/>
  <c r="BV56" i="3" s="1"/>
  <c r="BB117" i="3"/>
  <c r="BN117" i="3" s="1"/>
  <c r="BB93" i="3"/>
  <c r="BN93" i="3" s="1"/>
  <c r="BB99" i="3"/>
  <c r="BB138" i="3"/>
  <c r="BB56" i="3"/>
  <c r="BB109" i="3"/>
  <c r="AU158" i="3"/>
  <c r="BB158" i="3"/>
  <c r="BJ158" i="3"/>
  <c r="AU150" i="3"/>
  <c r="BJ150" i="3"/>
  <c r="BR150" i="3" s="1"/>
  <c r="BV150" i="3" s="1"/>
  <c r="AU140" i="3"/>
  <c r="BJ140" i="3"/>
  <c r="BR138" i="3"/>
  <c r="BV138" i="3" s="1"/>
  <c r="BJ137" i="3"/>
  <c r="AU134" i="3"/>
  <c r="BJ134" i="3"/>
  <c r="BR134" i="3" s="1"/>
  <c r="BV134" i="3" s="1"/>
  <c r="AU133" i="3"/>
  <c r="BB133" i="3"/>
  <c r="BJ133" i="3"/>
  <c r="BR133" i="3" s="1"/>
  <c r="BV133" i="3" s="1"/>
  <c r="AU131" i="3"/>
  <c r="BJ131" i="3"/>
  <c r="BB131" i="3"/>
  <c r="AU130" i="3"/>
  <c r="BJ130" i="3"/>
  <c r="BB130" i="3"/>
  <c r="AU128" i="3"/>
  <c r="BJ128" i="3"/>
  <c r="BR128" i="3" s="1"/>
  <c r="BV128" i="3" s="1"/>
  <c r="AU123" i="3"/>
  <c r="BJ123" i="3"/>
  <c r="AU122" i="3"/>
  <c r="BJ122" i="3"/>
  <c r="BB119" i="3"/>
  <c r="BJ119" i="3"/>
  <c r="BR119" i="3" s="1"/>
  <c r="BV119" i="3" s="1"/>
  <c r="BJ118" i="3"/>
  <c r="BB118" i="3"/>
  <c r="BR117" i="3"/>
  <c r="BV117" i="3" s="1"/>
  <c r="AU116" i="3"/>
  <c r="BJ116" i="3"/>
  <c r="BB116" i="3"/>
  <c r="AU114" i="3"/>
  <c r="BJ114" i="3"/>
  <c r="BR114" i="3" s="1"/>
  <c r="BV114" i="3" s="1"/>
  <c r="AU110" i="3"/>
  <c r="BJ110" i="3"/>
  <c r="BR109" i="3"/>
  <c r="BV109" i="3" s="1"/>
  <c r="AU102" i="3"/>
  <c r="BJ102" i="3"/>
  <c r="AU101" i="3"/>
  <c r="BB101" i="3"/>
  <c r="BJ101" i="3"/>
  <c r="BB100" i="3"/>
  <c r="BJ100" i="3"/>
  <c r="BB98" i="3"/>
  <c r="BJ98" i="3"/>
  <c r="AU94" i="3"/>
  <c r="BJ94" i="3"/>
  <c r="BB94" i="3"/>
  <c r="AU89" i="3"/>
  <c r="BJ89" i="3"/>
  <c r="BR89" i="3" s="1"/>
  <c r="BV89" i="3" s="1"/>
  <c r="AU81" i="3"/>
  <c r="BJ81" i="3"/>
  <c r="BV79" i="3"/>
  <c r="BR79" i="3"/>
  <c r="AU77" i="3"/>
  <c r="BJ77" i="3"/>
  <c r="BR77" i="3" s="1"/>
  <c r="BV77" i="3" s="1"/>
  <c r="AU76" i="3"/>
  <c r="BB76" i="3"/>
  <c r="BJ76" i="3"/>
  <c r="BR76" i="3" s="1"/>
  <c r="BV76" i="3" s="1"/>
  <c r="AU62" i="3"/>
  <c r="BJ62" i="3"/>
  <c r="BR62" i="3" s="1"/>
  <c r="BV62" i="3" s="1"/>
  <c r="BB60" i="3"/>
  <c r="BJ60" i="3"/>
  <c r="BJ59" i="3"/>
  <c r="BB59" i="3"/>
  <c r="AU58" i="3"/>
  <c r="BB58" i="3"/>
  <c r="BJ58" i="3"/>
  <c r="BB57" i="3"/>
  <c r="BJ57" i="3"/>
  <c r="BB55" i="3"/>
  <c r="BJ55" i="3"/>
  <c r="G131" i="5"/>
  <c r="H131" i="5" s="1"/>
  <c r="G56" i="5"/>
  <c r="H56" i="5" s="1"/>
  <c r="AK79" i="1"/>
  <c r="G149" i="5"/>
  <c r="I149" i="5" s="1"/>
  <c r="G119" i="5"/>
  <c r="J119" i="5" s="1"/>
  <c r="AM79" i="1"/>
  <c r="G60" i="5"/>
  <c r="H60" i="5" s="1"/>
  <c r="AB58" i="5"/>
  <c r="BH65" i="1"/>
  <c r="G89" i="5"/>
  <c r="H89" i="5" s="1"/>
  <c r="T109" i="1"/>
  <c r="AQ116" i="1"/>
  <c r="BS116" i="1" s="1"/>
  <c r="Q116" i="1"/>
  <c r="R116" i="1" s="1"/>
  <c r="AN99" i="1"/>
  <c r="AK77" i="1"/>
  <c r="G145" i="5"/>
  <c r="H145" i="5" s="1"/>
  <c r="BH94" i="1"/>
  <c r="G99" i="5"/>
  <c r="J99" i="5" s="1"/>
  <c r="AQ99" i="1"/>
  <c r="BS99" i="1" s="1"/>
  <c r="W99" i="1"/>
  <c r="W94" i="1"/>
  <c r="T99" i="1"/>
  <c r="V58" i="1"/>
  <c r="G153" i="5"/>
  <c r="J153" i="5" s="1"/>
  <c r="AQ77" i="1"/>
  <c r="BS77" i="1" s="1"/>
  <c r="V141" i="1"/>
  <c r="AB128" i="5"/>
  <c r="AQ118" i="1"/>
  <c r="BS118" i="1" s="1"/>
  <c r="U94" i="1"/>
  <c r="AB158" i="5"/>
  <c r="AB102" i="5"/>
  <c r="BH57" i="1"/>
  <c r="AQ93" i="1"/>
  <c r="BS93" i="1" s="1"/>
  <c r="V89" i="1"/>
  <c r="AB77" i="5"/>
  <c r="V60" i="1"/>
  <c r="AQ58" i="1"/>
  <c r="BS58" i="1" s="1"/>
  <c r="U55" i="1"/>
  <c r="G98" i="5"/>
  <c r="I98" i="5" s="1"/>
  <c r="G77" i="5"/>
  <c r="H77" i="5" s="1"/>
  <c r="AL77" i="1"/>
  <c r="Q128" i="1"/>
  <c r="R128" i="1" s="1"/>
  <c r="BH122" i="1"/>
  <c r="BH118" i="1"/>
  <c r="K59" i="1"/>
  <c r="AM140" i="1"/>
  <c r="K57" i="1"/>
  <c r="Q47" i="1"/>
  <c r="R47" i="1" s="1"/>
  <c r="T153" i="1"/>
  <c r="K128" i="1"/>
  <c r="V99" i="1"/>
  <c r="T157" i="1"/>
  <c r="AQ128" i="1"/>
  <c r="BS128" i="1" s="1"/>
  <c r="BH98" i="1"/>
  <c r="Q69" i="1"/>
  <c r="R69" i="1" s="1"/>
  <c r="AQ60" i="1"/>
  <c r="BS60" i="1" s="1"/>
  <c r="AQ55" i="1"/>
  <c r="BS55" i="1" s="1"/>
  <c r="W149" i="1"/>
  <c r="AQ101" i="1"/>
  <c r="BS101" i="1" s="1"/>
  <c r="AI101" i="1"/>
  <c r="T152" i="1"/>
  <c r="AQ150" i="1"/>
  <c r="BS150" i="1" s="1"/>
  <c r="U149" i="1"/>
  <c r="V148" i="1"/>
  <c r="AB122" i="5"/>
  <c r="AB118" i="5"/>
  <c r="Q101" i="1"/>
  <c r="R101" i="1" s="1"/>
  <c r="AB93" i="5"/>
  <c r="W91" i="1"/>
  <c r="U76" i="1"/>
  <c r="BH140" i="1"/>
  <c r="AB140" i="5"/>
  <c r="K140" i="1"/>
  <c r="G109" i="5"/>
  <c r="I109" i="5" s="1"/>
  <c r="T149" i="1"/>
  <c r="T148" i="1"/>
  <c r="U147" i="1"/>
  <c r="Q98" i="1"/>
  <c r="R98" i="1" s="1"/>
  <c r="U91" i="1"/>
  <c r="AQ59" i="1"/>
  <c r="BS59" i="1" s="1"/>
  <c r="BH59" i="1"/>
  <c r="Q140" i="1"/>
  <c r="R140" i="1" s="1"/>
  <c r="AB62" i="5"/>
  <c r="AB56" i="5"/>
  <c r="W130" i="1"/>
  <c r="Q33" i="1"/>
  <c r="R33" i="1" s="1"/>
  <c r="K158" i="1"/>
  <c r="U130" i="1"/>
  <c r="K98" i="1"/>
  <c r="T130" i="1"/>
  <c r="AQ122" i="1"/>
  <c r="BS122" i="1" s="1"/>
  <c r="K76" i="1"/>
  <c r="K55" i="1"/>
  <c r="AL144" i="1"/>
  <c r="T122" i="1"/>
  <c r="W109" i="1"/>
  <c r="AB101" i="5"/>
  <c r="AB76" i="5"/>
  <c r="AQ62" i="1"/>
  <c r="BS62" i="1" s="1"/>
  <c r="V62" i="1"/>
  <c r="AB60" i="5"/>
  <c r="AQ56" i="1"/>
  <c r="BS56" i="1" s="1"/>
  <c r="BH55" i="1"/>
  <c r="K122" i="1"/>
  <c r="Q80" i="1"/>
  <c r="R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U60" i="3"/>
  <c r="AU138" i="3"/>
  <c r="AU98" i="3"/>
  <c r="AU57" i="3"/>
  <c r="AU59" i="3"/>
  <c r="AU56" i="3"/>
  <c r="AU93" i="3"/>
  <c r="AU55" i="3"/>
  <c r="AU117" i="3"/>
  <c r="AN122" i="1"/>
  <c r="AN101" i="1"/>
  <c r="AN128" i="1"/>
  <c r="AU118" i="3"/>
  <c r="AU100" i="3"/>
  <c r="AU99" i="3"/>
  <c r="AU109" i="3"/>
  <c r="AU119" i="3"/>
  <c r="K124" i="5"/>
  <c r="K99" i="5"/>
  <c r="K83" i="5"/>
  <c r="M83" i="5" s="1"/>
  <c r="K77" i="5"/>
  <c r="L77" i="5" s="1"/>
  <c r="U59" i="1"/>
  <c r="G59" i="5"/>
  <c r="AA57" i="1"/>
  <c r="K57" i="5"/>
  <c r="L57" i="5" s="1"/>
  <c r="AA8" i="1"/>
  <c r="K8" i="5"/>
  <c r="L8" i="5" s="1"/>
  <c r="G133" i="5"/>
  <c r="H133" i="5" s="1"/>
  <c r="AM143" i="1"/>
  <c r="G58" i="5"/>
  <c r="AL56" i="1"/>
  <c r="K17" i="5"/>
  <c r="AK147" i="1"/>
  <c r="AK76" i="1"/>
  <c r="AL76" i="1"/>
  <c r="T57" i="1"/>
  <c r="U57" i="1"/>
  <c r="W152" i="1"/>
  <c r="AB30" i="1"/>
  <c r="K30" i="5"/>
  <c r="T120" i="1"/>
  <c r="U120" i="1"/>
  <c r="G120" i="5"/>
  <c r="Z21" i="1"/>
  <c r="K21" i="5"/>
  <c r="M21" i="5" s="1"/>
  <c r="G117" i="5"/>
  <c r="K10" i="5"/>
  <c r="V146" i="1"/>
  <c r="U146" i="1"/>
  <c r="G146" i="5"/>
  <c r="T140" i="1"/>
  <c r="G140" i="5"/>
  <c r="H140" i="5" s="1"/>
  <c r="W128" i="1"/>
  <c r="G128" i="5"/>
  <c r="H128" i="5" s="1"/>
  <c r="T115" i="1"/>
  <c r="G115" i="5"/>
  <c r="F99" i="5"/>
  <c r="G151" i="5"/>
  <c r="U148" i="1"/>
  <c r="U109" i="1"/>
  <c r="F77" i="5"/>
  <c r="G94" i="5"/>
  <c r="H94" i="5" s="1"/>
  <c r="G93" i="5"/>
  <c r="H93" i="5" s="1"/>
  <c r="K6" i="5"/>
  <c r="Q158" i="1"/>
  <c r="R158" i="1" s="1"/>
  <c r="U153" i="1"/>
  <c r="V94" i="1"/>
  <c r="F131" i="5"/>
  <c r="K60" i="5"/>
  <c r="L60" i="5" s="1"/>
  <c r="G157" i="5"/>
  <c r="G113" i="5"/>
  <c r="H113" i="5" s="1"/>
  <c r="G152" i="5"/>
  <c r="W153" i="1"/>
  <c r="W146" i="1"/>
  <c r="W59" i="1"/>
  <c r="W144" i="1"/>
  <c r="W141" i="1"/>
  <c r="U113" i="1"/>
  <c r="G76" i="5"/>
  <c r="H76" i="5" s="1"/>
  <c r="U141" i="1"/>
  <c r="AL137" i="1"/>
  <c r="AM130" i="1"/>
  <c r="V128" i="1"/>
  <c r="G122" i="5"/>
  <c r="H122" i="5" s="1"/>
  <c r="W159" i="1"/>
  <c r="AM148" i="1"/>
  <c r="T128" i="1"/>
  <c r="V93" i="1"/>
  <c r="G143" i="5"/>
  <c r="H143" i="5" s="1"/>
  <c r="U159" i="1"/>
  <c r="V152" i="1"/>
  <c r="V115" i="1"/>
  <c r="V101" i="1"/>
  <c r="W57" i="1"/>
  <c r="W157" i="1"/>
  <c r="W122" i="1"/>
  <c r="G159" i="5"/>
  <c r="H159" i="5" s="1"/>
  <c r="AM139" i="1"/>
  <c r="V122" i="1"/>
  <c r="AL119" i="1"/>
  <c r="T60" i="1"/>
  <c r="AM56" i="1"/>
  <c r="V157" i="1"/>
  <c r="G62" i="5"/>
  <c r="AM144" i="1"/>
  <c r="AK119" i="1"/>
  <c r="W76" i="1"/>
  <c r="K133" i="5"/>
  <c r="K66" i="5"/>
  <c r="AA30" i="1"/>
  <c r="K144" i="5"/>
  <c r="K94" i="5"/>
  <c r="L94" i="5" s="1"/>
  <c r="K24" i="5"/>
  <c r="L24" i="5" s="1"/>
  <c r="K140" i="5"/>
  <c r="L140" i="5" s="1"/>
  <c r="K138" i="5"/>
  <c r="K64" i="5"/>
  <c r="L64" i="5" s="1"/>
  <c r="AA124" i="1"/>
  <c r="K134" i="5"/>
  <c r="L134" i="5" s="1"/>
  <c r="AA6" i="1"/>
  <c r="K84" i="5"/>
  <c r="L84" i="5" s="1"/>
  <c r="K147" i="5"/>
  <c r="Z151" i="1"/>
  <c r="K86" i="5"/>
  <c r="L86" i="5" s="1"/>
  <c r="AA94" i="1"/>
  <c r="Z68" i="1"/>
  <c r="Y125" i="1"/>
  <c r="AA107" i="1"/>
  <c r="K67" i="5"/>
  <c r="Z159" i="1"/>
  <c r="Z40" i="1"/>
  <c r="Y83" i="1"/>
  <c r="K23" i="5"/>
  <c r="L23" i="5" s="1"/>
  <c r="K153" i="5"/>
  <c r="AB153" i="1"/>
  <c r="K109" i="5"/>
  <c r="L109" i="5" s="1"/>
  <c r="K107" i="5"/>
  <c r="K9" i="5"/>
  <c r="L9" i="5" s="1"/>
  <c r="AA153" i="1"/>
  <c r="AB20" i="1"/>
  <c r="AB10" i="1"/>
  <c r="K129" i="5"/>
  <c r="K111" i="5"/>
  <c r="K35" i="5"/>
  <c r="L35" i="5" s="1"/>
  <c r="Z153" i="1"/>
  <c r="AA138" i="1"/>
  <c r="K36" i="5"/>
  <c r="L36" i="5" s="1"/>
  <c r="K14" i="5"/>
  <c r="K154" i="5"/>
  <c r="K68" i="5"/>
  <c r="L68" i="5" s="1"/>
  <c r="K56" i="5"/>
  <c r="L56" i="5" s="1"/>
  <c r="K13" i="5"/>
  <c r="Z124" i="1"/>
  <c r="Y69" i="1"/>
  <c r="K152" i="5"/>
  <c r="K136" i="5"/>
  <c r="K121" i="5"/>
  <c r="K7" i="5"/>
  <c r="K105" i="5"/>
  <c r="K81" i="5"/>
  <c r="L81" i="5" s="1"/>
  <c r="K62" i="5"/>
  <c r="AA152" i="1"/>
  <c r="AB107" i="1"/>
  <c r="K151" i="5"/>
  <c r="L151" i="5" s="1"/>
  <c r="K40" i="5"/>
  <c r="K113" i="5"/>
  <c r="K92" i="5"/>
  <c r="K70" i="5"/>
  <c r="L70" i="5" s="1"/>
  <c r="K20" i="5"/>
  <c r="L20" i="5" s="1"/>
  <c r="K5" i="5"/>
  <c r="AA86" i="1"/>
  <c r="Y133" i="1"/>
  <c r="AA75" i="1"/>
  <c r="K123" i="5"/>
  <c r="Z140" i="1"/>
  <c r="Y109" i="1"/>
  <c r="K115" i="5"/>
  <c r="L115" i="5" s="1"/>
  <c r="K63" i="5"/>
  <c r="Z154" i="1"/>
  <c r="AB99" i="1"/>
  <c r="Y65" i="1"/>
  <c r="K141" i="5"/>
  <c r="L141" i="5" s="1"/>
  <c r="K139" i="5"/>
  <c r="L139" i="5" s="1"/>
  <c r="K3" i="5"/>
  <c r="L3" i="5" s="1"/>
  <c r="Z107" i="1"/>
  <c r="Z99" i="1"/>
  <c r="Z60" i="1"/>
  <c r="K142" i="5"/>
  <c r="K117" i="5"/>
  <c r="L117" i="5" s="1"/>
  <c r="K106" i="5"/>
  <c r="AB142" i="1"/>
  <c r="Z123" i="1"/>
  <c r="Y105" i="1"/>
  <c r="K11" i="5"/>
  <c r="L11" i="5" s="1"/>
  <c r="K69" i="5"/>
  <c r="L69" i="5" s="1"/>
  <c r="K22" i="5"/>
  <c r="K82" i="5"/>
  <c r="Z142" i="1"/>
  <c r="AB124" i="1"/>
  <c r="Y123" i="1"/>
  <c r="Z64" i="1"/>
  <c r="AA22" i="1"/>
  <c r="AB12" i="1"/>
  <c r="Q119" i="1"/>
  <c r="R119" i="1" s="1"/>
  <c r="BH119" i="1"/>
  <c r="K119" i="1"/>
  <c r="AB119" i="5"/>
  <c r="AQ119" i="1"/>
  <c r="BS119" i="1" s="1"/>
  <c r="W114" i="1"/>
  <c r="T114" i="1"/>
  <c r="G114" i="5"/>
  <c r="W155" i="1"/>
  <c r="T155" i="1"/>
  <c r="U155" i="1"/>
  <c r="V155" i="1"/>
  <c r="G155" i="5"/>
  <c r="AL113" i="1"/>
  <c r="AK113" i="1"/>
  <c r="AM113" i="1"/>
  <c r="K133" i="1"/>
  <c r="AB133" i="5"/>
  <c r="Q133" i="1"/>
  <c r="R133" i="1" s="1"/>
  <c r="V150" i="1"/>
  <c r="T150" i="1"/>
  <c r="U150" i="1"/>
  <c r="W150" i="1"/>
  <c r="AQ123" i="1"/>
  <c r="BS123" i="1" s="1"/>
  <c r="Y160" i="1"/>
  <c r="V159" i="1"/>
  <c r="Y158" i="1"/>
  <c r="BQ148" i="1"/>
  <c r="BN148" i="1" s="1"/>
  <c r="T147" i="1"/>
  <c r="W145" i="1"/>
  <c r="V144" i="1"/>
  <c r="Y140" i="1"/>
  <c r="Z138" i="1"/>
  <c r="BQ128" i="1"/>
  <c r="BN128" i="1" s="1"/>
  <c r="U128" i="1"/>
  <c r="K118" i="1"/>
  <c r="T117" i="1"/>
  <c r="AL100" i="1"/>
  <c r="U145" i="1"/>
  <c r="U144" i="1"/>
  <c r="K123" i="1"/>
  <c r="V102" i="1"/>
  <c r="U102" i="1"/>
  <c r="W102" i="1"/>
  <c r="T98" i="1"/>
  <c r="W98" i="1"/>
  <c r="U98" i="1"/>
  <c r="T145" i="1"/>
  <c r="AN140" i="1"/>
  <c r="W138" i="1"/>
  <c r="BQ123" i="1"/>
  <c r="BN123" i="1" s="1"/>
  <c r="AA123" i="1"/>
  <c r="AQ133" i="1"/>
  <c r="BS133" i="1" s="1"/>
  <c r="AN118" i="1"/>
  <c r="Y115" i="1"/>
  <c r="Z115" i="1"/>
  <c r="V100" i="1"/>
  <c r="T100" i="1"/>
  <c r="U100" i="1"/>
  <c r="W100" i="1"/>
  <c r="AB72" i="1"/>
  <c r="Y72" i="1"/>
  <c r="Q150" i="1"/>
  <c r="R150" i="1" s="1"/>
  <c r="BH131" i="1"/>
  <c r="S116" i="1"/>
  <c r="W116" i="1" s="1"/>
  <c r="AI116" i="1"/>
  <c r="AN110" i="1"/>
  <c r="AM149" i="1"/>
  <c r="K131" i="1"/>
  <c r="BH123" i="1"/>
  <c r="Q104" i="1"/>
  <c r="R104" i="1" s="1"/>
  <c r="AB89" i="5"/>
  <c r="BH89" i="1"/>
  <c r="Q89" i="1"/>
  <c r="R89" i="1" s="1"/>
  <c r="AI89" i="1"/>
  <c r="AJ89" i="1" s="1"/>
  <c r="AB154" i="1"/>
  <c r="BQ142" i="1"/>
  <c r="BN142" i="1" s="1"/>
  <c r="AA133" i="1"/>
  <c r="AB131" i="5"/>
  <c r="AI128" i="1"/>
  <c r="V120" i="1"/>
  <c r="Y103" i="1"/>
  <c r="Z103" i="1"/>
  <c r="AA103" i="1"/>
  <c r="AB103" i="1"/>
  <c r="AN58" i="1"/>
  <c r="W143" i="1"/>
  <c r="Q125" i="1"/>
  <c r="R125" i="1" s="1"/>
  <c r="AN114" i="1"/>
  <c r="Q66" i="1"/>
  <c r="R66" i="1" s="1"/>
  <c r="AB61" i="1"/>
  <c r="Y61" i="1"/>
  <c r="U143" i="1"/>
  <c r="Y117" i="1"/>
  <c r="BQ152" i="1"/>
  <c r="BN152" i="1" s="1"/>
  <c r="W147" i="1"/>
  <c r="T143" i="1"/>
  <c r="AB138" i="1"/>
  <c r="AB123" i="5"/>
  <c r="BH114" i="1"/>
  <c r="V113" i="1"/>
  <c r="W113" i="1"/>
  <c r="AA108" i="1"/>
  <c r="Y108" i="1"/>
  <c r="K58" i="5"/>
  <c r="Z58" i="1"/>
  <c r="K114" i="1"/>
  <c r="AB114" i="5"/>
  <c r="AL60" i="1"/>
  <c r="AK60" i="1"/>
  <c r="AM60" i="1"/>
  <c r="AB105" i="1"/>
  <c r="BH99" i="1"/>
  <c r="V91" i="1"/>
  <c r="W58" i="1"/>
  <c r="Q37" i="1"/>
  <c r="R37" i="1" s="1"/>
  <c r="Q27" i="1"/>
  <c r="R27" i="1" s="1"/>
  <c r="W101" i="1"/>
  <c r="AB99" i="5"/>
  <c r="W93" i="1"/>
  <c r="BQ79" i="1"/>
  <c r="BN79" i="1" s="1"/>
  <c r="Y77" i="1"/>
  <c r="AA76" i="1"/>
  <c r="BQ62" i="1"/>
  <c r="BN62" i="1" s="1"/>
  <c r="W62" i="1"/>
  <c r="U58" i="1"/>
  <c r="Z31" i="1"/>
  <c r="Y31" i="1"/>
  <c r="AA31" i="1"/>
  <c r="Q18" i="1"/>
  <c r="R18" i="1" s="1"/>
  <c r="BQ77" i="1"/>
  <c r="BN77" i="1" s="1"/>
  <c r="U101" i="1"/>
  <c r="U93" i="1"/>
  <c r="AQ76" i="1"/>
  <c r="BS76" i="1" s="1"/>
  <c r="S65" i="1"/>
  <c r="U62" i="1"/>
  <c r="Q58" i="1"/>
  <c r="R58" i="1" s="1"/>
  <c r="BQ115" i="1"/>
  <c r="BN115" i="1" s="1"/>
  <c r="AL98" i="1"/>
  <c r="Q94" i="1"/>
  <c r="R94" i="1" s="1"/>
  <c r="BH76" i="1"/>
  <c r="V76" i="1"/>
  <c r="AB69" i="1"/>
  <c r="AM58" i="1"/>
  <c r="Q49" i="1"/>
  <c r="R49" i="1" s="1"/>
  <c r="AN100" i="1"/>
  <c r="K99" i="1"/>
  <c r="AM81" i="1"/>
  <c r="AL58" i="1"/>
  <c r="AN60" i="1"/>
  <c r="K58" i="1"/>
  <c r="BH100" i="1"/>
  <c r="AB57" i="1"/>
  <c r="Y57" i="1"/>
  <c r="AB100" i="5"/>
  <c r="Q100" i="1"/>
  <c r="R100" i="1" s="1"/>
  <c r="AN93" i="1"/>
  <c r="AB92" i="1"/>
  <c r="K65" i="1"/>
  <c r="U56" i="1"/>
  <c r="T56" i="1"/>
  <c r="Z34" i="1"/>
  <c r="Y34" i="1"/>
  <c r="K94" i="1"/>
  <c r="K93" i="1"/>
  <c r="Q62" i="1"/>
  <c r="R62" i="1" s="1"/>
  <c r="K62" i="1"/>
  <c r="AI62" i="1"/>
  <c r="BQ58" i="1"/>
  <c r="BN58" i="1" s="1"/>
  <c r="Q45" i="1"/>
  <c r="R45" i="1" s="1"/>
  <c r="Y35" i="1"/>
  <c r="AA35" i="1"/>
  <c r="AB35" i="1"/>
  <c r="Y24" i="1"/>
  <c r="Y20" i="1"/>
  <c r="Q41" i="1"/>
  <c r="R41" i="1" s="1"/>
  <c r="AA21" i="1"/>
  <c r="Y21" i="1"/>
  <c r="Y8" i="1"/>
  <c r="Q24" i="1"/>
  <c r="R24" i="1" s="1"/>
  <c r="AA11" i="1"/>
  <c r="AB7" i="1"/>
  <c r="Y11" i="1"/>
  <c r="Y7" i="1"/>
  <c r="Z3" i="1"/>
  <c r="F76" i="5"/>
  <c r="F122" i="5"/>
  <c r="F118" i="5"/>
  <c r="F57" i="5"/>
  <c r="AB156" i="1"/>
  <c r="Y156" i="1"/>
  <c r="K156" i="5"/>
  <c r="AA156" i="1"/>
  <c r="AB131" i="1"/>
  <c r="Y131" i="1"/>
  <c r="Z90" i="1"/>
  <c r="K90" i="5"/>
  <c r="Z38" i="1"/>
  <c r="Y38" i="1"/>
  <c r="AA38" i="1"/>
  <c r="AB38" i="1"/>
  <c r="Y101" i="1"/>
  <c r="Z101" i="1"/>
  <c r="K101" i="5"/>
  <c r="AB101" i="1"/>
  <c r="Z73" i="1"/>
  <c r="K73" i="5"/>
  <c r="Y73" i="1"/>
  <c r="AA73" i="1"/>
  <c r="Z37" i="1"/>
  <c r="Y37" i="1"/>
  <c r="K37" i="5"/>
  <c r="Z15" i="1"/>
  <c r="Y15" i="1"/>
  <c r="AA15" i="1"/>
  <c r="AB15" i="1"/>
  <c r="K15" i="5"/>
  <c r="L15" i="5" s="1"/>
  <c r="Z14" i="1"/>
  <c r="AA14" i="1"/>
  <c r="Y14" i="1"/>
  <c r="K102" i="5"/>
  <c r="Y150" i="1"/>
  <c r="Z150" i="1"/>
  <c r="Y128" i="1"/>
  <c r="K128" i="5"/>
  <c r="L128" i="5" s="1"/>
  <c r="AA128" i="1"/>
  <c r="AA126" i="1"/>
  <c r="AB126" i="1"/>
  <c r="K122" i="5"/>
  <c r="AB122" i="1"/>
  <c r="Y121" i="1"/>
  <c r="Y111" i="1"/>
  <c r="AA111" i="1"/>
  <c r="AB111" i="1"/>
  <c r="AB82" i="1"/>
  <c r="AA82" i="1"/>
  <c r="AB149" i="1"/>
  <c r="Y149" i="1"/>
  <c r="AA149" i="1"/>
  <c r="K149" i="5"/>
  <c r="AB119" i="1"/>
  <c r="Y119" i="1"/>
  <c r="Z119" i="1"/>
  <c r="AB102" i="1"/>
  <c r="Y102" i="1"/>
  <c r="Z102" i="1"/>
  <c r="Z145" i="1"/>
  <c r="K145" i="5"/>
  <c r="Y144" i="1"/>
  <c r="Z144" i="1"/>
  <c r="AB109" i="1"/>
  <c r="AA100" i="1"/>
  <c r="AB91" i="1"/>
  <c r="Z32" i="1"/>
  <c r="AB32" i="1"/>
  <c r="Z18" i="1"/>
  <c r="K18" i="5"/>
  <c r="Y18" i="1"/>
  <c r="K32" i="5"/>
  <c r="Z113" i="1"/>
  <c r="Y113" i="1"/>
  <c r="AA93" i="1"/>
  <c r="Y87" i="1"/>
  <c r="AA87" i="1"/>
  <c r="AA56" i="1"/>
  <c r="K38" i="5"/>
  <c r="Y132" i="1"/>
  <c r="K132" i="5"/>
  <c r="L132" i="5" s="1"/>
  <c r="AB132" i="1"/>
  <c r="Y120" i="1"/>
  <c r="Z120" i="1"/>
  <c r="AB120" i="1"/>
  <c r="K120" i="5"/>
  <c r="Z158" i="1"/>
  <c r="K158" i="5"/>
  <c r="Z13" i="1"/>
  <c r="Y13" i="1"/>
  <c r="K119" i="5"/>
  <c r="K91" i="5"/>
  <c r="L91" i="5" s="1"/>
  <c r="AB33" i="1"/>
  <c r="K33" i="5"/>
  <c r="Y33" i="1"/>
  <c r="Y4" i="1"/>
  <c r="Z4" i="1"/>
  <c r="AA4" i="1"/>
  <c r="AB129" i="1"/>
  <c r="AA129" i="1"/>
  <c r="Z116" i="1"/>
  <c r="K116" i="5"/>
  <c r="AB100" i="1"/>
  <c r="Z100" i="1"/>
  <c r="Y100" i="1"/>
  <c r="K150" i="5"/>
  <c r="L150" i="5" s="1"/>
  <c r="Z156" i="1"/>
  <c r="AA146" i="1"/>
  <c r="Z146" i="1"/>
  <c r="Z134" i="1"/>
  <c r="AB134" i="1"/>
  <c r="Y134" i="1"/>
  <c r="AA131" i="1"/>
  <c r="AB110" i="1"/>
  <c r="K110" i="5"/>
  <c r="AB98" i="1"/>
  <c r="Y98" i="1"/>
  <c r="K98" i="5"/>
  <c r="Z19" i="1"/>
  <c r="AA19" i="1"/>
  <c r="Z16" i="1"/>
  <c r="AB16" i="1"/>
  <c r="Y16" i="1"/>
  <c r="K16" i="5"/>
  <c r="L16" i="5" s="1"/>
  <c r="K39" i="5"/>
  <c r="AA61" i="1"/>
  <c r="AB58" i="1"/>
  <c r="AA40" i="1"/>
  <c r="AB9" i="1"/>
  <c r="AA7" i="1"/>
  <c r="AB3" i="1"/>
  <c r="AB47" i="1"/>
  <c r="AB21" i="1"/>
  <c r="Y9" i="1"/>
  <c r="AA3" i="1"/>
  <c r="AB39" i="1"/>
  <c r="K61" i="5"/>
  <c r="AA160" i="1"/>
  <c r="Y142" i="1"/>
  <c r="Z39" i="1"/>
  <c r="AB24" i="1"/>
  <c r="AA20" i="1"/>
  <c r="AB17" i="1"/>
  <c r="Z12" i="1"/>
  <c r="AA10" i="1"/>
  <c r="K65" i="5"/>
  <c r="K48" i="5"/>
  <c r="L48" i="5" s="1"/>
  <c r="Z160" i="1"/>
  <c r="Z108" i="1"/>
  <c r="Z48" i="1"/>
  <c r="Y39" i="1"/>
  <c r="AB31" i="1"/>
  <c r="AA24" i="1"/>
  <c r="Y17" i="1"/>
  <c r="Y12" i="1"/>
  <c r="AB11" i="1"/>
  <c r="Y10" i="1"/>
  <c r="AB8" i="1"/>
  <c r="AA154" i="1"/>
  <c r="Z133" i="1"/>
  <c r="AA99" i="1"/>
  <c r="AA83" i="1"/>
  <c r="AA77" i="1"/>
  <c r="AA69" i="1"/>
  <c r="Z8" i="1"/>
  <c r="AB6" i="1"/>
  <c r="K12" i="5"/>
  <c r="Z136" i="1"/>
  <c r="Y94" i="1"/>
  <c r="Z92" i="1"/>
  <c r="Z76" i="1"/>
  <c r="AB70" i="1"/>
  <c r="AB40" i="1"/>
  <c r="Y6" i="1"/>
  <c r="Y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V158" i="1"/>
  <c r="AB157" i="1"/>
  <c r="AB155" i="1"/>
  <c r="Y155" i="1"/>
  <c r="AA155" i="1"/>
  <c r="Y148" i="1"/>
  <c r="AB148" i="1"/>
  <c r="Z148" i="1"/>
  <c r="AA148" i="1"/>
  <c r="Y143" i="1"/>
  <c r="Z143" i="1"/>
  <c r="AB143" i="1"/>
  <c r="K143" i="5"/>
  <c r="L143" i="5" s="1"/>
  <c r="AQ140" i="1"/>
  <c r="BS140" i="1" s="1"/>
  <c r="N4" i="5"/>
  <c r="I139" i="5"/>
  <c r="N125" i="5"/>
  <c r="M19" i="5"/>
  <c r="N19" i="5"/>
  <c r="AA159" i="1"/>
  <c r="Y159" i="1"/>
  <c r="K159" i="5"/>
  <c r="L159" i="5" s="1"/>
  <c r="AN158" i="1"/>
  <c r="AK146" i="1"/>
  <c r="AM146" i="1"/>
  <c r="AK145" i="1"/>
  <c r="AM145" i="1"/>
  <c r="V142" i="1"/>
  <c r="T142" i="1"/>
  <c r="U142" i="1"/>
  <c r="G142" i="5"/>
  <c r="H142" i="5" s="1"/>
  <c r="AM141" i="1"/>
  <c r="AK141" i="1"/>
  <c r="M34" i="5"/>
  <c r="M74" i="5"/>
  <c r="N55" i="5"/>
  <c r="BQ154" i="1"/>
  <c r="BN154" i="1" s="1"/>
  <c r="V134" i="1"/>
  <c r="T134" i="1"/>
  <c r="U134" i="1"/>
  <c r="W134" i="1"/>
  <c r="M71" i="5"/>
  <c r="N71" i="5"/>
  <c r="Y157" i="1"/>
  <c r="Z157" i="1"/>
  <c r="AA157" i="1"/>
  <c r="N103" i="5"/>
  <c r="Y147" i="1"/>
  <c r="AB147" i="1"/>
  <c r="AA147" i="1"/>
  <c r="BL159" i="1"/>
  <c r="M155" i="5"/>
  <c r="M87" i="5"/>
  <c r="N87" i="5"/>
  <c r="T156" i="1"/>
  <c r="V156" i="1"/>
  <c r="G156" i="5"/>
  <c r="H156" i="5" s="1"/>
  <c r="W156" i="1"/>
  <c r="N114" i="5"/>
  <c r="M31" i="5"/>
  <c r="N31" i="5"/>
  <c r="AQ158" i="1"/>
  <c r="BS158" i="1" s="1"/>
  <c r="AK142" i="1"/>
  <c r="AL142" i="1"/>
  <c r="AM142" i="1"/>
  <c r="I134" i="5"/>
  <c r="N72" i="5"/>
  <c r="M4" i="5"/>
  <c r="M160" i="5"/>
  <c r="N160" i="5"/>
  <c r="T154" i="1"/>
  <c r="U154" i="1"/>
  <c r="V154" i="1"/>
  <c r="W154" i="1"/>
  <c r="G154" i="5"/>
  <c r="Q138" i="1"/>
  <c r="R138" i="1" s="1"/>
  <c r="BH138" i="1"/>
  <c r="AI138" i="1"/>
  <c r="K138" i="1"/>
  <c r="AB138" i="5"/>
  <c r="AB134" i="5"/>
  <c r="K134" i="1"/>
  <c r="BH134" i="1"/>
  <c r="Q134" i="1"/>
  <c r="R134" i="1" s="1"/>
  <c r="AI134" i="1"/>
  <c r="U158" i="1"/>
  <c r="BL155" i="1"/>
  <c r="BL149" i="1"/>
  <c r="AK148" i="1"/>
  <c r="AL148" i="1"/>
  <c r="BL152" i="1"/>
  <c r="Q160" i="1"/>
  <c r="R160" i="1" s="1"/>
  <c r="T158" i="1"/>
  <c r="Z155" i="1"/>
  <c r="AA143" i="1"/>
  <c r="T139" i="1"/>
  <c r="U139" i="1"/>
  <c r="W139" i="1"/>
  <c r="V139" i="1"/>
  <c r="AB160" i="1"/>
  <c r="AQ134" i="1"/>
  <c r="BS134" i="1" s="1"/>
  <c r="Y130" i="1"/>
  <c r="Z130" i="1"/>
  <c r="AA130" i="1"/>
  <c r="AB130" i="1"/>
  <c r="Y151" i="1"/>
  <c r="AB151" i="1"/>
  <c r="AK139" i="1"/>
  <c r="BL154" i="1"/>
  <c r="W151" i="1"/>
  <c r="AM147" i="1"/>
  <c r="T136" i="1"/>
  <c r="U136" i="1"/>
  <c r="V136" i="1"/>
  <c r="W136" i="1"/>
  <c r="Y152" i="1"/>
  <c r="AB152" i="1"/>
  <c r="U151" i="1"/>
  <c r="BH150" i="1"/>
  <c r="AL149" i="1"/>
  <c r="AL147" i="1"/>
  <c r="AA145" i="1"/>
  <c r="AB158" i="1"/>
  <c r="T151" i="1"/>
  <c r="AA150" i="1"/>
  <c r="AB146" i="1"/>
  <c r="Y146" i="1"/>
  <c r="BQ141" i="1"/>
  <c r="BN141" i="1" s="1"/>
  <c r="Z141" i="1"/>
  <c r="AA141" i="1"/>
  <c r="AB141" i="1"/>
  <c r="BQ138" i="1"/>
  <c r="BN138" i="1" s="1"/>
  <c r="BL136" i="1"/>
  <c r="K150" i="1"/>
  <c r="Y145" i="1"/>
  <c r="AB145" i="1"/>
  <c r="U140" i="1"/>
  <c r="V140" i="1"/>
  <c r="W140" i="1"/>
  <c r="Y139" i="1"/>
  <c r="AA139" i="1"/>
  <c r="AB139" i="1"/>
  <c r="N146" i="5"/>
  <c r="AN150" i="1"/>
  <c r="BQ139" i="1"/>
  <c r="BN139" i="1" s="1"/>
  <c r="AN138" i="1"/>
  <c r="Y135" i="1"/>
  <c r="AA135" i="1"/>
  <c r="AB135" i="1"/>
  <c r="Z135" i="1"/>
  <c r="AK143" i="1"/>
  <c r="AL143" i="1"/>
  <c r="AQ138" i="1"/>
  <c r="BS138" i="1" s="1"/>
  <c r="AK136" i="1"/>
  <c r="AL136" i="1"/>
  <c r="AM136" i="1"/>
  <c r="AK131" i="1"/>
  <c r="AL131" i="1"/>
  <c r="AM131" i="1"/>
  <c r="BL138" i="1"/>
  <c r="AN137" i="1"/>
  <c r="AB144" i="1"/>
  <c r="AA140" i="1"/>
  <c r="AM137" i="1"/>
  <c r="AA136" i="1"/>
  <c r="BL123" i="1"/>
  <c r="AL140" i="1"/>
  <c r="U138" i="1"/>
  <c r="BL137" i="1"/>
  <c r="AK137" i="1"/>
  <c r="Y136" i="1"/>
  <c r="BL133" i="1"/>
  <c r="AI133" i="1"/>
  <c r="BH133" i="1"/>
  <c r="T133" i="1"/>
  <c r="U133" i="1"/>
  <c r="V133" i="1"/>
  <c r="Y118" i="1"/>
  <c r="Z118" i="1"/>
  <c r="AA118" i="1"/>
  <c r="AB118" i="1"/>
  <c r="AK144" i="1"/>
  <c r="AK140" i="1"/>
  <c r="T138" i="1"/>
  <c r="AN131" i="1"/>
  <c r="BL131" i="1"/>
  <c r="BL130" i="1"/>
  <c r="AB130" i="5"/>
  <c r="Q130" i="1"/>
  <c r="R130" i="1" s="1"/>
  <c r="AB117" i="5"/>
  <c r="K117" i="1"/>
  <c r="AI117" i="1"/>
  <c r="BH117" i="1"/>
  <c r="Q117" i="1"/>
  <c r="R117" i="1" s="1"/>
  <c r="AQ117" i="1"/>
  <c r="BS117" i="1" s="1"/>
  <c r="V131" i="1"/>
  <c r="U131" i="1"/>
  <c r="W131" i="1"/>
  <c r="BH130" i="1"/>
  <c r="AQ130" i="1"/>
  <c r="BS130" i="1" s="1"/>
  <c r="AN134" i="1"/>
  <c r="AA132" i="1"/>
  <c r="AQ131" i="1"/>
  <c r="BS131" i="1" s="1"/>
  <c r="AB128" i="1"/>
  <c r="AN119" i="1"/>
  <c r="Y95" i="1"/>
  <c r="Z95" i="1"/>
  <c r="AA95" i="1"/>
  <c r="AB95" i="1"/>
  <c r="AN109" i="1"/>
  <c r="Z131" i="1"/>
  <c r="Z128" i="1"/>
  <c r="AK122" i="1"/>
  <c r="AL122" i="1"/>
  <c r="AM122" i="1"/>
  <c r="Q121" i="1"/>
  <c r="R121" i="1" s="1"/>
  <c r="Y114" i="1"/>
  <c r="Z114" i="1"/>
  <c r="AA114" i="1"/>
  <c r="AB114" i="1"/>
  <c r="AK130" i="1"/>
  <c r="AL130" i="1"/>
  <c r="Q129" i="1"/>
  <c r="R129" i="1" s="1"/>
  <c r="AB109" i="5"/>
  <c r="BH109" i="1"/>
  <c r="K109" i="1"/>
  <c r="Q109" i="1"/>
  <c r="R109" i="1" s="1"/>
  <c r="AK99" i="1"/>
  <c r="AL99" i="1"/>
  <c r="AM99" i="1"/>
  <c r="V123" i="1"/>
  <c r="T123" i="1"/>
  <c r="U123" i="1"/>
  <c r="Y126" i="1"/>
  <c r="Z126" i="1"/>
  <c r="AN123" i="1"/>
  <c r="BQ122" i="1"/>
  <c r="BN122" i="1" s="1"/>
  <c r="AK118" i="1"/>
  <c r="AL118" i="1"/>
  <c r="AM118" i="1"/>
  <c r="AB125" i="1"/>
  <c r="Z125" i="1"/>
  <c r="AA125" i="1"/>
  <c r="AM119" i="1"/>
  <c r="V119" i="1"/>
  <c r="T119" i="1"/>
  <c r="U119" i="1"/>
  <c r="Y129" i="1"/>
  <c r="Y122" i="1"/>
  <c r="Z122" i="1"/>
  <c r="AA122" i="1"/>
  <c r="AN117" i="1"/>
  <c r="V117" i="1"/>
  <c r="W117" i="1"/>
  <c r="AA121" i="1"/>
  <c r="AA117" i="1"/>
  <c r="Y110" i="1"/>
  <c r="AA110" i="1"/>
  <c r="BL98" i="1"/>
  <c r="Q126" i="1"/>
  <c r="R126" i="1" s="1"/>
  <c r="Q122" i="1"/>
  <c r="R122" i="1" s="1"/>
  <c r="Z121" i="1"/>
  <c r="W120" i="1"/>
  <c r="Q118" i="1"/>
  <c r="R118" i="1" s="1"/>
  <c r="Z117" i="1"/>
  <c r="BQ109" i="1"/>
  <c r="BN109" i="1" s="1"/>
  <c r="AL109" i="1"/>
  <c r="AM109" i="1"/>
  <c r="AN94" i="1"/>
  <c r="W115" i="1"/>
  <c r="Y106" i="1"/>
  <c r="Z106" i="1"/>
  <c r="AA106" i="1"/>
  <c r="AQ94" i="1"/>
  <c r="BS94" i="1" s="1"/>
  <c r="AA116" i="1"/>
  <c r="AB116" i="1"/>
  <c r="K116" i="1"/>
  <c r="AL110" i="1"/>
  <c r="Q131" i="1"/>
  <c r="R131" i="1" s="1"/>
  <c r="Q127" i="1"/>
  <c r="R127" i="1" s="1"/>
  <c r="U115" i="1"/>
  <c r="AB113" i="1"/>
  <c r="BQ110" i="1"/>
  <c r="BN110" i="1" s="1"/>
  <c r="AK110" i="1"/>
  <c r="AM110" i="1"/>
  <c r="AQ109" i="1"/>
  <c r="BS109" i="1" s="1"/>
  <c r="AB104" i="1"/>
  <c r="Y104" i="1"/>
  <c r="Z104" i="1"/>
  <c r="AA104" i="1"/>
  <c r="AK94" i="1"/>
  <c r="AM94" i="1"/>
  <c r="AL94" i="1"/>
  <c r="Q103" i="1"/>
  <c r="R103" i="1" s="1"/>
  <c r="AK92" i="1"/>
  <c r="AL92" i="1"/>
  <c r="AM92" i="1"/>
  <c r="U114" i="1"/>
  <c r="V114" i="1"/>
  <c r="Q107" i="1"/>
  <c r="R107" i="1" s="1"/>
  <c r="Q105" i="1"/>
  <c r="R105" i="1" s="1"/>
  <c r="AQ102" i="1"/>
  <c r="BS102" i="1" s="1"/>
  <c r="BH116" i="1"/>
  <c r="Z110" i="1"/>
  <c r="BL102" i="1"/>
  <c r="V92" i="1"/>
  <c r="T92" i="1"/>
  <c r="W92" i="1"/>
  <c r="AA84" i="1"/>
  <c r="Y84" i="1"/>
  <c r="AB84" i="1"/>
  <c r="AB90" i="1"/>
  <c r="Y90" i="1"/>
  <c r="AA90" i="1"/>
  <c r="AA109" i="1"/>
  <c r="AA105" i="1"/>
  <c r="AI102" i="1"/>
  <c r="AK91" i="1"/>
  <c r="AL91" i="1"/>
  <c r="AM91" i="1"/>
  <c r="Q114" i="1"/>
  <c r="R114" i="1" s="1"/>
  <c r="AQ98" i="1"/>
  <c r="BS98" i="1" s="1"/>
  <c r="Y93" i="1"/>
  <c r="Z93" i="1"/>
  <c r="AB93" i="1"/>
  <c r="BH102" i="1"/>
  <c r="Q102" i="1"/>
  <c r="R102" i="1" s="1"/>
  <c r="Q95" i="1"/>
  <c r="R95" i="1" s="1"/>
  <c r="Q97" i="1"/>
  <c r="R97" i="1" s="1"/>
  <c r="Q85" i="1"/>
  <c r="R85" i="1" s="1"/>
  <c r="AB115" i="1"/>
  <c r="AA101" i="1"/>
  <c r="AQ100" i="1"/>
  <c r="BS100" i="1" s="1"/>
  <c r="AB81" i="5"/>
  <c r="Q81" i="1"/>
  <c r="R81" i="1" s="1"/>
  <c r="AQ81" i="1"/>
  <c r="BS81" i="1" s="1"/>
  <c r="BH81" i="1"/>
  <c r="K81" i="1"/>
  <c r="AK98" i="1"/>
  <c r="AM98" i="1"/>
  <c r="K101" i="1"/>
  <c r="Y85" i="1"/>
  <c r="Z85" i="1"/>
  <c r="AA85" i="1"/>
  <c r="AB85" i="1"/>
  <c r="AB108" i="1"/>
  <c r="AM100" i="1"/>
  <c r="AQ89" i="1"/>
  <c r="BS89" i="1" s="1"/>
  <c r="Y89" i="1"/>
  <c r="Z89" i="1"/>
  <c r="AA89" i="1"/>
  <c r="AB89" i="1"/>
  <c r="K102" i="1"/>
  <c r="K100" i="1"/>
  <c r="AN98" i="1"/>
  <c r="Q96" i="1"/>
  <c r="R96" i="1" s="1"/>
  <c r="AK93" i="1"/>
  <c r="AM93" i="1"/>
  <c r="U92" i="1"/>
  <c r="Z71" i="1"/>
  <c r="AB71" i="1"/>
  <c r="Y71" i="1"/>
  <c r="AA71" i="1"/>
  <c r="Z78" i="1"/>
  <c r="Y78" i="1"/>
  <c r="AA78" i="1"/>
  <c r="AB78" i="1"/>
  <c r="Q83" i="1"/>
  <c r="R83" i="1" s="1"/>
  <c r="Z98" i="1"/>
  <c r="K89" i="1"/>
  <c r="AK81" i="1"/>
  <c r="AL81" i="1"/>
  <c r="AN77" i="1"/>
  <c r="AA92" i="1"/>
  <c r="W89" i="1"/>
  <c r="Q87" i="1"/>
  <c r="R87" i="1" s="1"/>
  <c r="Y74" i="1"/>
  <c r="Z74" i="1"/>
  <c r="AA74" i="1"/>
  <c r="AB74" i="1"/>
  <c r="K73" i="1"/>
  <c r="BH73" i="1"/>
  <c r="AB73" i="5"/>
  <c r="AA91" i="1"/>
  <c r="U89" i="1"/>
  <c r="AN76" i="1"/>
  <c r="BH93" i="1"/>
  <c r="Z91" i="1"/>
  <c r="Y81" i="1"/>
  <c r="Z81" i="1"/>
  <c r="AB81" i="1"/>
  <c r="T77" i="1"/>
  <c r="W77" i="1"/>
  <c r="U77" i="1"/>
  <c r="Z94" i="1"/>
  <c r="Z87" i="1"/>
  <c r="AB87" i="1"/>
  <c r="AB86" i="1"/>
  <c r="Y86" i="1"/>
  <c r="T81" i="1"/>
  <c r="U81" i="1"/>
  <c r="V81" i="1"/>
  <c r="Q64" i="1"/>
  <c r="R64" i="1" s="1"/>
  <c r="Z67" i="1"/>
  <c r="AB67" i="1"/>
  <c r="Y67" i="1"/>
  <c r="AB83" i="1"/>
  <c r="Y82" i="1"/>
  <c r="K77" i="1"/>
  <c r="BH77" i="1"/>
  <c r="AB77" i="1"/>
  <c r="AM76" i="1"/>
  <c r="Y76" i="1"/>
  <c r="Z75" i="1"/>
  <c r="AB75" i="1"/>
  <c r="Y70" i="1"/>
  <c r="Z70" i="1"/>
  <c r="BL56" i="1"/>
  <c r="Q88" i="1"/>
  <c r="R88" i="1" s="1"/>
  <c r="Q84" i="1"/>
  <c r="R84" i="1" s="1"/>
  <c r="AB73" i="1"/>
  <c r="Z63" i="1"/>
  <c r="AA63" i="1"/>
  <c r="AB63" i="1"/>
  <c r="Y55" i="1"/>
  <c r="Z55" i="1"/>
  <c r="AB55" i="1"/>
  <c r="AA55" i="1"/>
  <c r="Y66" i="1"/>
  <c r="Z66" i="1"/>
  <c r="AA66" i="1"/>
  <c r="BL59" i="1"/>
  <c r="AA68" i="1"/>
  <c r="AN62" i="1"/>
  <c r="Z62" i="1"/>
  <c r="AA62" i="1"/>
  <c r="AB62" i="1"/>
  <c r="Q53" i="1"/>
  <c r="R53" i="1" s="1"/>
  <c r="Y68" i="1"/>
  <c r="Q40" i="1"/>
  <c r="R40" i="1" s="1"/>
  <c r="BL60" i="1"/>
  <c r="AA72" i="1"/>
  <c r="Y59" i="1"/>
  <c r="Z59" i="1"/>
  <c r="AB59" i="1"/>
  <c r="AA59" i="1"/>
  <c r="BL55" i="1"/>
  <c r="AN79" i="1"/>
  <c r="Q77" i="1"/>
  <c r="R77" i="1" s="1"/>
  <c r="Z72" i="1"/>
  <c r="Y64" i="1"/>
  <c r="AB64" i="1"/>
  <c r="AN57" i="1"/>
  <c r="AK59" i="1"/>
  <c r="AL59" i="1"/>
  <c r="AL57" i="1"/>
  <c r="AK55" i="1"/>
  <c r="AL55" i="1"/>
  <c r="Z41" i="1"/>
  <c r="AA41" i="1"/>
  <c r="Y41" i="1"/>
  <c r="AB41" i="1"/>
  <c r="AQ57" i="1"/>
  <c r="BS57" i="1" s="1"/>
  <c r="AB65" i="1"/>
  <c r="Z65" i="1"/>
  <c r="Y28" i="1"/>
  <c r="AA28" i="1"/>
  <c r="AB28" i="1"/>
  <c r="Z28" i="1"/>
  <c r="Y58" i="1"/>
  <c r="AA58" i="1"/>
  <c r="Y60" i="1"/>
  <c r="AB60" i="1"/>
  <c r="V59" i="1"/>
  <c r="T59" i="1"/>
  <c r="Y56" i="1"/>
  <c r="AB56" i="1"/>
  <c r="V55" i="1"/>
  <c r="T55" i="1"/>
  <c r="Q65" i="1"/>
  <c r="R65" i="1" s="1"/>
  <c r="Q61" i="1"/>
  <c r="R61" i="1" s="1"/>
  <c r="AB59" i="5"/>
  <c r="Q59" i="1"/>
  <c r="R59" i="1" s="1"/>
  <c r="Q48" i="1"/>
  <c r="R48" i="1" s="1"/>
  <c r="AK57" i="1"/>
  <c r="Q57" i="1"/>
  <c r="R57" i="1" s="1"/>
  <c r="Q50" i="1"/>
  <c r="R50" i="1" s="1"/>
  <c r="Z61" i="1"/>
  <c r="BH60" i="1"/>
  <c r="W60" i="1"/>
  <c r="K60" i="1"/>
  <c r="Z57" i="1"/>
  <c r="BH56" i="1"/>
  <c r="W56" i="1"/>
  <c r="K56" i="1"/>
  <c r="Z36" i="1"/>
  <c r="Q38" i="1"/>
  <c r="R38" i="1" s="1"/>
  <c r="AB55" i="5"/>
  <c r="Y47" i="1"/>
  <c r="Z47" i="1"/>
  <c r="AA47" i="1"/>
  <c r="AA36" i="1"/>
  <c r="AB36" i="1"/>
  <c r="Q55" i="1"/>
  <c r="R55" i="1" s="1"/>
  <c r="AN59" i="1"/>
  <c r="V57" i="1"/>
  <c r="AN55" i="1"/>
  <c r="AA48" i="1"/>
  <c r="Q60" i="1"/>
  <c r="R60" i="1" s="1"/>
  <c r="Q56" i="1"/>
  <c r="R56" i="1" s="1"/>
  <c r="Y48" i="1"/>
  <c r="Q32" i="1"/>
  <c r="R32" i="1" s="1"/>
  <c r="Q29" i="1"/>
  <c r="R29" i="1" s="1"/>
  <c r="AB34" i="1"/>
  <c r="AA33" i="1"/>
  <c r="AB37" i="1"/>
  <c r="AA34" i="1"/>
  <c r="Z33" i="1"/>
  <c r="Y23" i="1"/>
  <c r="Z23" i="1"/>
  <c r="AB23" i="1"/>
  <c r="Q36" i="1"/>
  <c r="R36" i="1" s="1"/>
  <c r="Y32" i="1"/>
  <c r="AA32" i="1"/>
  <c r="Z30" i="1"/>
  <c r="Y22" i="1"/>
  <c r="Y19" i="1"/>
  <c r="Y30" i="1"/>
  <c r="Q21" i="1"/>
  <c r="R21" i="1" s="1"/>
  <c r="AA18" i="1"/>
  <c r="AB22" i="1"/>
  <c r="AB19" i="1"/>
  <c r="Q23" i="1"/>
  <c r="R23" i="1" s="1"/>
  <c r="Q20" i="1"/>
  <c r="R20" i="1" s="1"/>
  <c r="Q12" i="1"/>
  <c r="R12" i="1" s="1"/>
  <c r="Q8" i="1"/>
  <c r="R8" i="1" s="1"/>
  <c r="Q4" i="1"/>
  <c r="R4" i="1" s="1"/>
  <c r="AB4" i="1"/>
  <c r="AB5" i="1"/>
  <c r="AA17" i="1"/>
  <c r="AA13" i="1"/>
  <c r="AA9" i="1"/>
  <c r="AA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Z73" i="1" l="1"/>
  <c r="BZ65" i="1"/>
  <c r="BK62" i="3"/>
  <c r="E62" i="5"/>
  <c r="BL89" i="3"/>
  <c r="BO89" i="3"/>
  <c r="F89" i="5"/>
  <c r="V147" i="5"/>
  <c r="BO65" i="3"/>
  <c r="S181" i="5"/>
  <c r="AJ181" i="1"/>
  <c r="AM181" i="1"/>
  <c r="AL181" i="1"/>
  <c r="AK181" i="1"/>
  <c r="F62" i="5"/>
  <c r="F181" i="5"/>
  <c r="S190" i="5"/>
  <c r="AM190" i="1"/>
  <c r="AL190" i="1"/>
  <c r="AK190" i="1"/>
  <c r="AJ190" i="1"/>
  <c r="F94" i="5"/>
  <c r="F196" i="5"/>
  <c r="O196" i="5"/>
  <c r="AE196" i="1"/>
  <c r="AG196" i="1"/>
  <c r="AF196" i="1"/>
  <c r="AH196" i="1"/>
  <c r="BW163" i="1"/>
  <c r="BW166" i="1"/>
  <c r="BK73" i="1"/>
  <c r="BK65" i="1"/>
  <c r="CA65" i="1"/>
  <c r="BF94" i="1"/>
  <c r="BG94" i="1" s="1"/>
  <c r="BP94" i="1" s="1" a="1"/>
  <c r="BP94" i="1" s="1"/>
  <c r="BF102" i="1"/>
  <c r="BF65" i="1"/>
  <c r="BF131" i="1"/>
  <c r="BF100" i="1"/>
  <c r="CD60" i="1"/>
  <c r="CD62" i="1"/>
  <c r="BG118" i="1"/>
  <c r="BP118" i="1" s="1" a="1"/>
  <c r="BP118" i="1" s="1"/>
  <c r="BF55" i="1"/>
  <c r="BG55" i="1" s="1"/>
  <c r="BP55" i="1" s="1" a="1"/>
  <c r="BP55" i="1" s="1"/>
  <c r="BF58" i="1"/>
  <c r="BG58" i="1" s="1"/>
  <c r="BP58" i="1" s="1" a="1"/>
  <c r="BP58" i="1" s="1"/>
  <c r="CD89" i="1"/>
  <c r="BF114" i="1"/>
  <c r="CD140" i="1"/>
  <c r="BG99" i="1"/>
  <c r="BP99" i="1" s="1" a="1"/>
  <c r="BP99" i="1" s="1"/>
  <c r="BF122" i="1"/>
  <c r="CD56" i="1"/>
  <c r="AZ76" i="1"/>
  <c r="U99" i="5"/>
  <c r="U147" i="5"/>
  <c r="T136" i="5"/>
  <c r="U60" i="5"/>
  <c r="V60" i="5"/>
  <c r="CD102" i="1"/>
  <c r="V91" i="5"/>
  <c r="U91" i="5"/>
  <c r="U136" i="5"/>
  <c r="U131" i="5"/>
  <c r="V94" i="5"/>
  <c r="T99" i="5"/>
  <c r="V131" i="5"/>
  <c r="BB65" i="3"/>
  <c r="T92" i="5"/>
  <c r="V113" i="5"/>
  <c r="U113" i="5"/>
  <c r="V92" i="5"/>
  <c r="V98" i="5"/>
  <c r="U98" i="5"/>
  <c r="U94" i="5"/>
  <c r="V142" i="5"/>
  <c r="U142" i="5"/>
  <c r="BT65" i="3"/>
  <c r="AZ102" i="1"/>
  <c r="BG102" i="1"/>
  <c r="BP102" i="1" s="1" a="1"/>
  <c r="BP102" i="1" s="1"/>
  <c r="BL65" i="3"/>
  <c r="S62" i="5"/>
  <c r="T62" i="5" s="1"/>
  <c r="AJ62" i="1"/>
  <c r="S133" i="5"/>
  <c r="U133" i="5" s="1"/>
  <c r="AJ133" i="1"/>
  <c r="S134" i="5"/>
  <c r="T134" i="5" s="1"/>
  <c r="AJ134" i="1"/>
  <c r="S128" i="5"/>
  <c r="U128" i="5" s="1"/>
  <c r="AJ128" i="1"/>
  <c r="S101" i="5"/>
  <c r="V101" i="5" s="1"/>
  <c r="AJ101" i="1"/>
  <c r="AN65" i="1"/>
  <c r="S138" i="5"/>
  <c r="V138" i="5" s="1"/>
  <c r="AJ138" i="1"/>
  <c r="S102" i="5"/>
  <c r="V102" i="5" s="1"/>
  <c r="AJ102" i="1"/>
  <c r="S117" i="5"/>
  <c r="T117" i="5" s="1"/>
  <c r="AJ117" i="1"/>
  <c r="S116" i="5"/>
  <c r="U116" i="5" s="1"/>
  <c r="AJ116" i="1"/>
  <c r="S65" i="5"/>
  <c r="U65" i="5" s="1"/>
  <c r="AJ65" i="1"/>
  <c r="BU102" i="1"/>
  <c r="J148" i="5"/>
  <c r="BT73" i="3"/>
  <c r="S89" i="5"/>
  <c r="V89" i="5" s="1"/>
  <c r="S73" i="1"/>
  <c r="V73" i="1" s="1"/>
  <c r="BR161" i="1"/>
  <c r="I130" i="5"/>
  <c r="H148" i="5"/>
  <c r="J81" i="5"/>
  <c r="I81" i="5"/>
  <c r="Q161" i="5"/>
  <c r="P161" i="5"/>
  <c r="R161" i="5"/>
  <c r="T161" i="5"/>
  <c r="U161" i="5"/>
  <c r="V161" i="5"/>
  <c r="AK65" i="1"/>
  <c r="BG89" i="1"/>
  <c r="BP89" i="1" s="1" a="1"/>
  <c r="BP89" i="1" s="1"/>
  <c r="AM65" i="1"/>
  <c r="AL65" i="1"/>
  <c r="BF62" i="1"/>
  <c r="I141" i="5"/>
  <c r="BF89" i="1"/>
  <c r="AQ65" i="1"/>
  <c r="BS65" i="1" s="1"/>
  <c r="H141" i="5"/>
  <c r="BU89" i="1"/>
  <c r="BF60" i="1"/>
  <c r="BG60" i="1" s="1"/>
  <c r="BP60" i="1" s="1" a="1"/>
  <c r="BP60" i="1" s="1"/>
  <c r="BU60" i="1"/>
  <c r="BG114" i="1"/>
  <c r="BP114" i="1" s="1" a="1"/>
  <c r="BP114" i="1" s="1"/>
  <c r="AM73" i="1"/>
  <c r="AL73" i="1"/>
  <c r="BU55" i="1"/>
  <c r="CD55" i="1"/>
  <c r="AK73" i="1"/>
  <c r="BU131" i="1"/>
  <c r="I101" i="5"/>
  <c r="H101" i="5"/>
  <c r="CD131" i="1"/>
  <c r="BG131" i="1"/>
  <c r="BP131" i="1" s="1" a="1"/>
  <c r="BP131" i="1" s="1"/>
  <c r="BU65" i="1"/>
  <c r="BG65" i="1"/>
  <c r="BP65" i="1" s="1" a="1"/>
  <c r="BP65" i="1" s="1"/>
  <c r="J147" i="5"/>
  <c r="H130" i="5"/>
  <c r="I147" i="5"/>
  <c r="N76" i="5"/>
  <c r="J138" i="5"/>
  <c r="L76" i="5"/>
  <c r="I138" i="5"/>
  <c r="I145" i="5"/>
  <c r="CD118" i="1"/>
  <c r="CD100" i="1"/>
  <c r="BG100" i="1"/>
  <c r="BP100" i="1" s="1" a="1"/>
  <c r="BP100" i="1" s="1"/>
  <c r="H91" i="5"/>
  <c r="BU100" i="1"/>
  <c r="BF118" i="1"/>
  <c r="AK62" i="1"/>
  <c r="BJ65" i="3"/>
  <c r="BR65" i="3" s="1"/>
  <c r="BV65" i="3" s="1"/>
  <c r="CD65" i="1"/>
  <c r="I56" i="5"/>
  <c r="CD99" i="1"/>
  <c r="J56" i="5"/>
  <c r="BU122" i="1"/>
  <c r="J145" i="5"/>
  <c r="CD114" i="1"/>
  <c r="BU118" i="1"/>
  <c r="BU128" i="1"/>
  <c r="I91" i="5"/>
  <c r="I55" i="5"/>
  <c r="J55" i="5"/>
  <c r="I153" i="5"/>
  <c r="AM101" i="1"/>
  <c r="AK128" i="1"/>
  <c r="H144" i="5"/>
  <c r="AL101" i="1"/>
  <c r="I102" i="5"/>
  <c r="I144" i="5"/>
  <c r="J102" i="5"/>
  <c r="AU73" i="3"/>
  <c r="AK101" i="1"/>
  <c r="S73" i="5"/>
  <c r="T73" i="5" s="1"/>
  <c r="BB73" i="3"/>
  <c r="AK116" i="1"/>
  <c r="BU62" i="1"/>
  <c r="J123" i="5"/>
  <c r="I123" i="5"/>
  <c r="AM128" i="1"/>
  <c r="BU114" i="1"/>
  <c r="E73" i="5"/>
  <c r="AL128" i="1"/>
  <c r="BF56" i="1"/>
  <c r="BU56" i="1"/>
  <c r="CD94" i="1"/>
  <c r="BU94" i="1"/>
  <c r="BG56" i="1"/>
  <c r="BP56" i="1" s="1" a="1"/>
  <c r="BP56" i="1" s="1"/>
  <c r="BG62" i="1"/>
  <c r="BP62" i="1" s="1" a="1"/>
  <c r="BP62" i="1" s="1"/>
  <c r="J131" i="5"/>
  <c r="AN73" i="1"/>
  <c r="BU99" i="1"/>
  <c r="AL116" i="1"/>
  <c r="BF99" i="1"/>
  <c r="I131" i="5"/>
  <c r="AM116" i="1"/>
  <c r="BV73" i="3"/>
  <c r="CD58" i="1"/>
  <c r="I119" i="5"/>
  <c r="BU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O73" i="3"/>
  <c r="BL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K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R158" i="3"/>
  <c r="BV158" i="3" s="1"/>
  <c r="BR81" i="3"/>
  <c r="BV81" i="3" s="1"/>
  <c r="BN81" i="3"/>
  <c r="BN77" i="3"/>
  <c r="BN76" i="3"/>
  <c r="BR55" i="3"/>
  <c r="BV55" i="3" s="1"/>
  <c r="BR57" i="3"/>
  <c r="BV57" i="3" s="1"/>
  <c r="BR58" i="3"/>
  <c r="BV58" i="3" s="1"/>
  <c r="BR59" i="3"/>
  <c r="BV59" i="3" s="1"/>
  <c r="BR60" i="3"/>
  <c r="BV60" i="3" s="1"/>
  <c r="BN94" i="3"/>
  <c r="BR94" i="3"/>
  <c r="BV94" i="3" s="1"/>
  <c r="BN98" i="3"/>
  <c r="BR98" i="3"/>
  <c r="BV98" i="3" s="1"/>
  <c r="BR100" i="3"/>
  <c r="BV100" i="3" s="1"/>
  <c r="BR101" i="3"/>
  <c r="BV101" i="3"/>
  <c r="BV102" i="3"/>
  <c r="BR102" i="3"/>
  <c r="BV110" i="3"/>
  <c r="BR110" i="3"/>
  <c r="BR116" i="3"/>
  <c r="BV116" i="3"/>
  <c r="BN118" i="3"/>
  <c r="BR118" i="3"/>
  <c r="BV118" i="3" s="1"/>
  <c r="BN122" i="3"/>
  <c r="BR122" i="3"/>
  <c r="BV122" i="3" s="1"/>
  <c r="BR123" i="3"/>
  <c r="BV123" i="3" s="1"/>
  <c r="BR130" i="3"/>
  <c r="BV130" i="3" s="1"/>
  <c r="BN131" i="3"/>
  <c r="BR131" i="3"/>
  <c r="BV131" i="3" s="1"/>
  <c r="BV137" i="3"/>
  <c r="BR137" i="3"/>
  <c r="BR140" i="3"/>
  <c r="BV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U140" i="1"/>
  <c r="BF140" i="1"/>
  <c r="BG140" i="1" s="1"/>
  <c r="BP140" i="1" s="1" a="1"/>
  <c r="BP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M62" i="1"/>
  <c r="AL62" i="1"/>
  <c r="U65" i="1"/>
  <c r="T65" i="1"/>
  <c r="V65" i="1"/>
  <c r="G65" i="5"/>
  <c r="H65" i="5" s="1"/>
  <c r="W65" i="1"/>
  <c r="BU76" i="1"/>
  <c r="BF76" i="1"/>
  <c r="BG76" i="1"/>
  <c r="BP76" i="1" s="1" a="1"/>
  <c r="BP76" i="1" s="1"/>
  <c r="CD76" i="1"/>
  <c r="BF128" i="1"/>
  <c r="BG128" i="1"/>
  <c r="BP128" i="1" s="1" a="1"/>
  <c r="BP128" i="1" s="1"/>
  <c r="CD128" i="1"/>
  <c r="AK89" i="1"/>
  <c r="AL89" i="1"/>
  <c r="AM89" i="1"/>
  <c r="V116" i="1"/>
  <c r="T116" i="1"/>
  <c r="U116" i="1"/>
  <c r="G116" i="5"/>
  <c r="H116" i="5" s="1"/>
  <c r="BU123" i="1"/>
  <c r="BF123" i="1"/>
  <c r="BG123" i="1"/>
  <c r="BP123" i="1" s="1" a="1"/>
  <c r="BP123" i="1" s="1"/>
  <c r="CD123" i="1"/>
  <c r="AZ122" i="1"/>
  <c r="BG122" i="1"/>
  <c r="BP122" i="1" s="1" a="1"/>
  <c r="BP122" i="1" s="1"/>
  <c r="CD122" i="1"/>
  <c r="CD119" i="1"/>
  <c r="BU119" i="1"/>
  <c r="BF119" i="1"/>
  <c r="BG119" i="1" s="1"/>
  <c r="BP119" i="1" s="1" a="1"/>
  <c r="BP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G57" i="1"/>
  <c r="BP57" i="1" s="1" a="1"/>
  <c r="BP57" i="1" s="1"/>
  <c r="CD57" i="1"/>
  <c r="BU57" i="1"/>
  <c r="BF57" i="1"/>
  <c r="CD59" i="1"/>
  <c r="BU59" i="1"/>
  <c r="BF59" i="1"/>
  <c r="BG59" i="1" s="1"/>
  <c r="BP59" i="1" s="1" a="1"/>
  <c r="BP59" i="1" s="1"/>
  <c r="BG77" i="1"/>
  <c r="BP77" i="1" s="1" a="1"/>
  <c r="BP77" i="1" s="1"/>
  <c r="BU77" i="1"/>
  <c r="AZ77" i="1"/>
  <c r="CD77" i="1"/>
  <c r="BF77" i="1"/>
  <c r="BG73" i="1"/>
  <c r="BP73" i="1" s="1" a="1"/>
  <c r="BP73" i="1" s="1"/>
  <c r="CD73" i="1"/>
  <c r="BU73" i="1"/>
  <c r="BF73" i="1"/>
  <c r="AZ73" i="1"/>
  <c r="BU93" i="1"/>
  <c r="BF93" i="1"/>
  <c r="BG93" i="1" s="1"/>
  <c r="BP93" i="1" s="1" a="1"/>
  <c r="BP93" i="1" s="1"/>
  <c r="CD93" i="1"/>
  <c r="BU101" i="1"/>
  <c r="AZ101" i="1"/>
  <c r="BF101" i="1"/>
  <c r="BG101" i="1"/>
  <c r="BP101" i="1" s="1" a="1"/>
  <c r="BP101" i="1" s="1"/>
  <c r="CD101" i="1"/>
  <c r="BU81" i="1"/>
  <c r="BF81" i="1"/>
  <c r="BG81" i="1"/>
  <c r="BP81" i="1" s="1" a="1"/>
  <c r="BP81" i="1" s="1"/>
  <c r="CD81" i="1"/>
  <c r="BG98" i="1"/>
  <c r="BP98" i="1" s="1" a="1"/>
  <c r="BP98" i="1" s="1"/>
  <c r="CD98" i="1"/>
  <c r="BF98" i="1"/>
  <c r="BU98" i="1"/>
  <c r="AL102" i="1"/>
  <c r="AM102" i="1"/>
  <c r="AK102" i="1"/>
  <c r="AZ116" i="1"/>
  <c r="BF116" i="1"/>
  <c r="BG116" i="1"/>
  <c r="BP116" i="1" s="1" a="1"/>
  <c r="BP116" i="1" s="1"/>
  <c r="BU116" i="1"/>
  <c r="CD116" i="1"/>
  <c r="CD109" i="1"/>
  <c r="BF109" i="1"/>
  <c r="BG109" i="1" s="1"/>
  <c r="BP109" i="1" s="1" a="1"/>
  <c r="BP109" i="1" s="1"/>
  <c r="BU109" i="1"/>
  <c r="AL117" i="1"/>
  <c r="AM117" i="1"/>
  <c r="AK117" i="1"/>
  <c r="BG117" i="1"/>
  <c r="BP117" i="1" s="1" a="1"/>
  <c r="BP117" i="1" s="1"/>
  <c r="CD117" i="1"/>
  <c r="BF117" i="1"/>
  <c r="BU117" i="1"/>
  <c r="BU130" i="1"/>
  <c r="BF130" i="1"/>
  <c r="BG130" i="1" s="1"/>
  <c r="BP130" i="1" s="1" a="1"/>
  <c r="BP130" i="1" s="1"/>
  <c r="CD130" i="1"/>
  <c r="AM133" i="1"/>
  <c r="AK133" i="1"/>
  <c r="AL133" i="1"/>
  <c r="BF133" i="1"/>
  <c r="BG133" i="1" s="1"/>
  <c r="BP133" i="1" s="1" a="1"/>
  <c r="BP133" i="1" s="1"/>
  <c r="CD133" i="1"/>
  <c r="BU133" i="1"/>
  <c r="CD150" i="1"/>
  <c r="BU150" i="1"/>
  <c r="BF150" i="1"/>
  <c r="BG150" i="1" s="1"/>
  <c r="BP150" i="1" s="1" a="1"/>
  <c r="BP150" i="1" s="1"/>
  <c r="CD158" i="1"/>
  <c r="BF158" i="1"/>
  <c r="BG158" i="1" s="1"/>
  <c r="BP158" i="1" s="1" a="1"/>
  <c r="BP158" i="1" s="1"/>
  <c r="BU158" i="1"/>
  <c r="AK134" i="1"/>
  <c r="AL134" i="1"/>
  <c r="AM134" i="1"/>
  <c r="CD134" i="1"/>
  <c r="BU134" i="1"/>
  <c r="BF134" i="1"/>
  <c r="BG134" i="1" s="1"/>
  <c r="BP134" i="1" s="1" a="1"/>
  <c r="BP134" i="1" s="1"/>
  <c r="AK138" i="1"/>
  <c r="AL138" i="1"/>
  <c r="AM138" i="1"/>
  <c r="CD138" i="1"/>
  <c r="BF138" i="1"/>
  <c r="BG138" i="1" s="1"/>
  <c r="BP138" i="1" s="1" a="1"/>
  <c r="BP138" i="1" s="1"/>
  <c r="BU138" i="1"/>
  <c r="I154" i="5"/>
  <c r="I156" i="5"/>
  <c r="J156" i="5"/>
  <c r="I142" i="5"/>
  <c r="J142" i="5"/>
  <c r="N159" i="5"/>
  <c r="M159" i="5"/>
  <c r="M143" i="5"/>
  <c r="N143" i="5"/>
  <c r="I158" i="5"/>
  <c r="J158" i="5"/>
  <c r="T190" i="5" l="1"/>
  <c r="U190" i="5"/>
  <c r="V190" i="5"/>
  <c r="R196" i="5"/>
  <c r="Q196" i="5"/>
  <c r="P196" i="5"/>
  <c r="T181" i="5"/>
  <c r="U181" i="5"/>
  <c r="V181" i="5"/>
  <c r="BW161" i="1"/>
  <c r="T73" i="1"/>
  <c r="V62" i="5"/>
  <c r="T133" i="5"/>
  <c r="U102" i="5"/>
  <c r="V128" i="5"/>
  <c r="G73" i="5"/>
  <c r="H73" i="5" s="1"/>
  <c r="U73" i="1"/>
  <c r="W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AA204" i="5"/>
  <c r="O204" i="1" s="1"/>
  <c r="W29" i="3"/>
  <c r="V29" i="3"/>
  <c r="BM2" i="3"/>
  <c r="CG135" i="1" l="1"/>
  <c r="BJ135" i="1"/>
  <c r="AY135" i="1"/>
  <c r="J73" i="5"/>
  <c r="I73" i="5"/>
  <c r="BC135" i="1"/>
  <c r="CC135" i="1"/>
  <c r="BI135" i="1"/>
  <c r="BL135" i="1" s="1"/>
  <c r="CE135" i="1"/>
  <c r="CF135" i="1"/>
  <c r="CH135" i="1"/>
  <c r="AI135" i="1"/>
  <c r="AJ135" i="1" s="1"/>
  <c r="BO135" i="1"/>
  <c r="BQ135" i="1" s="1"/>
  <c r="BN135" i="1" s="1"/>
  <c r="CI135" i="1"/>
  <c r="CJ135" i="1"/>
  <c r="AX135" i="1"/>
  <c r="AC135" i="5"/>
  <c r="CB135" i="1"/>
  <c r="AD76" i="1"/>
  <c r="O76" i="5" s="1"/>
  <c r="AD118" i="1"/>
  <c r="O118" i="5" s="1"/>
  <c r="AD98" i="1"/>
  <c r="O98" i="5" s="1"/>
  <c r="AD122" i="1"/>
  <c r="O122" i="5" s="1"/>
  <c r="AD94" i="1"/>
  <c r="O94" i="5" s="1"/>
  <c r="AD116" i="1"/>
  <c r="O116" i="5" s="1"/>
  <c r="AD102" i="1"/>
  <c r="O102" i="5" s="1"/>
  <c r="AD117" i="1"/>
  <c r="O117" i="5" s="1"/>
  <c r="AD137" i="1"/>
  <c r="O137" i="5" s="1"/>
  <c r="AD93" i="1"/>
  <c r="O93" i="5" s="1"/>
  <c r="AD101" i="1"/>
  <c r="O101" i="5" s="1"/>
  <c r="AD81" i="1"/>
  <c r="O81" i="5" s="1"/>
  <c r="AD110" i="1"/>
  <c r="O110" i="5" s="1"/>
  <c r="Q110" i="5" s="1"/>
  <c r="AD131" i="1"/>
  <c r="O131" i="5" s="1"/>
  <c r="R131" i="5" s="1"/>
  <c r="AD79" i="1"/>
  <c r="O79" i="5" s="1"/>
  <c r="AD77" i="1"/>
  <c r="O77" i="5" s="1"/>
  <c r="AX135" i="3"/>
  <c r="V158" i="3"/>
  <c r="BN158" i="3" s="1"/>
  <c r="V150" i="3"/>
  <c r="BN150" i="3" s="1"/>
  <c r="V140" i="3"/>
  <c r="BN140" i="3" s="1"/>
  <c r="V138" i="3"/>
  <c r="BN138" i="3" s="1"/>
  <c r="V137" i="3"/>
  <c r="BN137" i="3" s="1"/>
  <c r="V134" i="3"/>
  <c r="BN134" i="3" s="1"/>
  <c r="V133" i="3"/>
  <c r="BN133" i="3" s="1"/>
  <c r="V123" i="3"/>
  <c r="BN123" i="3" s="1"/>
  <c r="V100" i="3"/>
  <c r="BN100" i="3" s="1"/>
  <c r="V99" i="3"/>
  <c r="BN99" i="3" s="1"/>
  <c r="V89" i="3"/>
  <c r="BN89" i="3" s="1"/>
  <c r="V79" i="3"/>
  <c r="BN79" i="3" s="1"/>
  <c r="V60" i="3"/>
  <c r="BN60" i="3" s="1"/>
  <c r="V59" i="3"/>
  <c r="BN59" i="3" s="1"/>
  <c r="V58" i="3"/>
  <c r="BN58" i="3" s="1"/>
  <c r="V57" i="3"/>
  <c r="BN57" i="3" s="1"/>
  <c r="V56" i="3"/>
  <c r="BN56" i="3" s="1"/>
  <c r="V55" i="3"/>
  <c r="BN55" i="3" s="1"/>
  <c r="V119" i="3"/>
  <c r="BN119" i="3" s="1"/>
  <c r="V116" i="3"/>
  <c r="BN116" i="3" s="1"/>
  <c r="V114" i="3"/>
  <c r="BN114" i="3" s="1"/>
  <c r="V110" i="3"/>
  <c r="BN110" i="3" s="1"/>
  <c r="V109" i="3"/>
  <c r="BN109" i="3" s="1"/>
  <c r="V102" i="3"/>
  <c r="BN102" i="3" s="1"/>
  <c r="V101" i="3"/>
  <c r="BN101" i="3" s="1"/>
  <c r="V40" i="3"/>
  <c r="V130" i="3"/>
  <c r="H38" i="17"/>
  <c r="H41" i="17"/>
  <c r="H40" i="17"/>
  <c r="A29" i="1"/>
  <c r="A30" i="1"/>
  <c r="A31" i="1"/>
  <c r="A32" i="1"/>
  <c r="A33" i="1"/>
  <c r="AT33" i="1" s="1"/>
  <c r="AU33" i="1" s="1"/>
  <c r="A34" i="1"/>
  <c r="AT34" i="1" s="1"/>
  <c r="AU34" i="1" s="1"/>
  <c r="A35" i="1"/>
  <c r="A36" i="1"/>
  <c r="A37" i="1"/>
  <c r="A38" i="1"/>
  <c r="A39" i="1"/>
  <c r="A40" i="1"/>
  <c r="A41" i="1"/>
  <c r="AT41" i="1" s="1"/>
  <c r="AU41" i="1" s="1"/>
  <c r="A42" i="1"/>
  <c r="A43" i="1"/>
  <c r="A44" i="1"/>
  <c r="AT44" i="1" s="1"/>
  <c r="AU44" i="1" s="1"/>
  <c r="A45" i="1"/>
  <c r="A46" i="1"/>
  <c r="A47" i="1"/>
  <c r="AT47" i="1" s="1"/>
  <c r="AU47" i="1" s="1"/>
  <c r="A48" i="1"/>
  <c r="AT48" i="1" s="1"/>
  <c r="AU48" i="1" s="1"/>
  <c r="A49" i="1"/>
  <c r="A50" i="1"/>
  <c r="A51" i="1"/>
  <c r="A52" i="1"/>
  <c r="A53" i="1"/>
  <c r="A54" i="1"/>
  <c r="A55" i="1"/>
  <c r="AT55" i="1" s="1"/>
  <c r="AU55" i="1" s="1"/>
  <c r="A56" i="1"/>
  <c r="A57" i="1"/>
  <c r="A58" i="1"/>
  <c r="A59" i="1"/>
  <c r="A60" i="1"/>
  <c r="A61" i="1"/>
  <c r="AT61" i="1" s="1"/>
  <c r="AU61" i="1" s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T75" i="1" s="1"/>
  <c r="AU75" i="1" s="1"/>
  <c r="A76" i="1"/>
  <c r="A77" i="1"/>
  <c r="AT77" i="1" s="1"/>
  <c r="AU77" i="1" s="1"/>
  <c r="A78" i="1"/>
  <c r="A79" i="1"/>
  <c r="AT79" i="1" s="1"/>
  <c r="AU79" i="1" s="1"/>
  <c r="A80" i="1"/>
  <c r="AT80" i="1" s="1"/>
  <c r="AU80" i="1" s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T95" i="1" s="1"/>
  <c r="AU95" i="1" s="1"/>
  <c r="A96" i="1"/>
  <c r="A97" i="1"/>
  <c r="A98" i="1"/>
  <c r="AT98" i="1" s="1"/>
  <c r="AU98" i="1" s="1"/>
  <c r="A99" i="1"/>
  <c r="A100" i="1"/>
  <c r="A101" i="1"/>
  <c r="AT101" i="1" s="1"/>
  <c r="AU101" i="1" s="1"/>
  <c r="A102" i="1"/>
  <c r="AT102" i="1" s="1"/>
  <c r="AU102" i="1" s="1"/>
  <c r="A103" i="1"/>
  <c r="AT103" i="1" s="1"/>
  <c r="AU103" i="1" s="1"/>
  <c r="A104" i="1"/>
  <c r="AT104" i="1" s="1"/>
  <c r="AU104" i="1" s="1"/>
  <c r="A105" i="1"/>
  <c r="AT105" i="1" s="1"/>
  <c r="AU105" i="1" s="1"/>
  <c r="A106" i="1"/>
  <c r="AT106" i="1" s="1"/>
  <c r="AU106" i="1" s="1"/>
  <c r="A107" i="1"/>
  <c r="AT107" i="1" s="1"/>
  <c r="AU107" i="1" s="1"/>
  <c r="A108" i="1"/>
  <c r="AT108" i="1" s="1"/>
  <c r="AU108" i="1" s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T122" i="1" s="1"/>
  <c r="AU122" i="1" s="1"/>
  <c r="A123" i="1"/>
  <c r="A124" i="1"/>
  <c r="AT124" i="1" s="1"/>
  <c r="AU124" i="1" s="1"/>
  <c r="A125" i="1"/>
  <c r="A126" i="1"/>
  <c r="AT126" i="1" s="1"/>
  <c r="AU126" i="1" s="1"/>
  <c r="A127" i="1"/>
  <c r="AT127" i="1" s="1"/>
  <c r="AU127" i="1" s="1"/>
  <c r="A128" i="1"/>
  <c r="A129" i="1"/>
  <c r="A130" i="1"/>
  <c r="A131" i="1"/>
  <c r="A132" i="1"/>
  <c r="A133" i="1"/>
  <c r="A134" i="1"/>
  <c r="A135" i="1"/>
  <c r="A136" i="1"/>
  <c r="A137" i="1"/>
  <c r="A138" i="1"/>
  <c r="AT138" i="1" s="1"/>
  <c r="AU138" i="1" s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T160" i="1" s="1"/>
  <c r="AU160" i="1" s="1"/>
  <c r="AZ80" i="3"/>
  <c r="AO80" i="3"/>
  <c r="F80" i="3"/>
  <c r="AS80" i="1" s="1"/>
  <c r="I24" i="17"/>
  <c r="H24" i="17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1" i="17"/>
  <c r="K40" i="17"/>
  <c r="AZ2" i="3"/>
  <c r="BQ127" i="3" l="1"/>
  <c r="CG127" i="1"/>
  <c r="BJ127" i="1"/>
  <c r="AY127" i="1"/>
  <c r="BD127" i="1"/>
  <c r="BE127" i="1"/>
  <c r="CG104" i="1"/>
  <c r="BJ104" i="1"/>
  <c r="AY104" i="1"/>
  <c r="BD104" i="1"/>
  <c r="BE104" i="1"/>
  <c r="CG80" i="1"/>
  <c r="BJ80" i="1"/>
  <c r="AY80" i="1"/>
  <c r="BD80" i="1"/>
  <c r="BE80" i="1"/>
  <c r="CG105" i="1"/>
  <c r="BJ105" i="1"/>
  <c r="AY105" i="1"/>
  <c r="BE105" i="1"/>
  <c r="BD105" i="1"/>
  <c r="CG106" i="1"/>
  <c r="AY106" i="1"/>
  <c r="BJ106" i="1"/>
  <c r="BD106" i="1"/>
  <c r="BE106" i="1"/>
  <c r="CG111" i="1"/>
  <c r="BJ111" i="1"/>
  <c r="AY111" i="1"/>
  <c r="CG107" i="1"/>
  <c r="AY107" i="1"/>
  <c r="BJ107" i="1"/>
  <c r="BD107" i="1"/>
  <c r="BE107" i="1"/>
  <c r="CG108" i="1"/>
  <c r="BJ108" i="1"/>
  <c r="AY108" i="1"/>
  <c r="BE108" i="1"/>
  <c r="BD108" i="1"/>
  <c r="AA175" i="5"/>
  <c r="Z175" i="5"/>
  <c r="CG51" i="1"/>
  <c r="BJ51" i="1"/>
  <c r="AY51" i="1"/>
  <c r="CG103" i="1"/>
  <c r="BJ103" i="1"/>
  <c r="AY103" i="1"/>
  <c r="BE103" i="1"/>
  <c r="BD103" i="1"/>
  <c r="BK135" i="1"/>
  <c r="BE105" i="3"/>
  <c r="BE104" i="3"/>
  <c r="BW80" i="1"/>
  <c r="BE80" i="3"/>
  <c r="BE106" i="3"/>
  <c r="BE127" i="3"/>
  <c r="BE107" i="3"/>
  <c r="BE108" i="3"/>
  <c r="BE103" i="3"/>
  <c r="AS106" i="3"/>
  <c r="BH106" i="3" s="1"/>
  <c r="AX106" i="1"/>
  <c r="AZ106" i="1"/>
  <c r="CB106" i="1"/>
  <c r="CC106" i="1"/>
  <c r="S106" i="1"/>
  <c r="BI106" i="1"/>
  <c r="BL106" i="1" s="1"/>
  <c r="CF106" i="1"/>
  <c r="CH106" i="1"/>
  <c r="CJ106" i="1"/>
  <c r="CI106" i="1"/>
  <c r="BC106" i="1"/>
  <c r="BO106" i="1"/>
  <c r="BQ106" i="1" s="1"/>
  <c r="BN106" i="1" s="1"/>
  <c r="W106" i="5"/>
  <c r="CE106" i="1"/>
  <c r="AC106" i="5"/>
  <c r="AI106" i="1"/>
  <c r="AJ106" i="1" s="1"/>
  <c r="X106" i="5"/>
  <c r="Y106" i="5"/>
  <c r="AT106" i="3"/>
  <c r="BJ106" i="3" s="1"/>
  <c r="BG106" i="3"/>
  <c r="BH106" i="1"/>
  <c r="K106" i="1"/>
  <c r="AB106" i="5"/>
  <c r="AS103" i="3"/>
  <c r="BH103" i="3" s="1"/>
  <c r="BB103" i="3"/>
  <c r="AI103" i="1"/>
  <c r="AJ103" i="1" s="1"/>
  <c r="BO103" i="1"/>
  <c r="BQ103" i="1" s="1"/>
  <c r="BN103" i="1" s="1"/>
  <c r="CI103" i="1"/>
  <c r="CJ103" i="1"/>
  <c r="AX103" i="1"/>
  <c r="AZ103" i="1"/>
  <c r="CB103" i="1"/>
  <c r="CC103" i="1"/>
  <c r="BC103" i="1"/>
  <c r="CE103" i="1"/>
  <c r="CH103" i="1"/>
  <c r="CF103" i="1"/>
  <c r="BI103" i="1"/>
  <c r="BL103" i="1" s="1"/>
  <c r="W103" i="5"/>
  <c r="S103" i="1"/>
  <c r="X103" i="5"/>
  <c r="AT103" i="3"/>
  <c r="BJ103" i="3" s="1"/>
  <c r="BG103" i="3"/>
  <c r="K103" i="1"/>
  <c r="BH103" i="1"/>
  <c r="Y103" i="5"/>
  <c r="AB103" i="5"/>
  <c r="AC103" i="5"/>
  <c r="AS107" i="3"/>
  <c r="BH107" i="3" s="1"/>
  <c r="BC107" i="1"/>
  <c r="CC107" i="1"/>
  <c r="S107" i="1"/>
  <c r="BI107" i="1"/>
  <c r="BL107" i="1" s="1"/>
  <c r="CE107" i="1"/>
  <c r="CF107" i="1"/>
  <c r="AI107" i="1"/>
  <c r="AJ107" i="1" s="1"/>
  <c r="CH107" i="1"/>
  <c r="CJ107" i="1"/>
  <c r="AX107" i="1"/>
  <c r="AZ107" i="1"/>
  <c r="CB107" i="1"/>
  <c r="CI107" i="1"/>
  <c r="BO107" i="1"/>
  <c r="BQ107" i="1" s="1"/>
  <c r="BN107" i="1" s="1"/>
  <c r="X107" i="5"/>
  <c r="AT107" i="3"/>
  <c r="BJ107" i="3" s="1"/>
  <c r="BG107" i="3"/>
  <c r="K107" i="1"/>
  <c r="BH107" i="1"/>
  <c r="Y107" i="5"/>
  <c r="W107" i="5"/>
  <c r="AC107" i="5"/>
  <c r="AB107" i="5"/>
  <c r="AS108" i="3"/>
  <c r="BH108" i="3" s="1"/>
  <c r="BB108" i="3"/>
  <c r="AI108" i="1"/>
  <c r="AJ108" i="1" s="1"/>
  <c r="CH108" i="1"/>
  <c r="BO108" i="1"/>
  <c r="BQ108" i="1" s="1"/>
  <c r="BN108" i="1" s="1"/>
  <c r="CI108" i="1"/>
  <c r="CJ108" i="1"/>
  <c r="AZ108" i="1"/>
  <c r="CB108" i="1"/>
  <c r="S108" i="1"/>
  <c r="BI108" i="1"/>
  <c r="BL108" i="1" s="1"/>
  <c r="CE108" i="1"/>
  <c r="CF108" i="1"/>
  <c r="CC108" i="1"/>
  <c r="AX108" i="1"/>
  <c r="BC108" i="1"/>
  <c r="W108" i="5"/>
  <c r="AT108" i="3"/>
  <c r="BJ108" i="3" s="1"/>
  <c r="BG108" i="3"/>
  <c r="BH108" i="1"/>
  <c r="K108" i="1"/>
  <c r="AB108" i="5"/>
  <c r="AC108" i="5"/>
  <c r="X108" i="5"/>
  <c r="Y108" i="5"/>
  <c r="AX130" i="3"/>
  <c r="AD130" i="1" s="1"/>
  <c r="O130" i="5" s="1"/>
  <c r="P130" i="5" s="1"/>
  <c r="BN130" i="3"/>
  <c r="AN135" i="1"/>
  <c r="BI111" i="1"/>
  <c r="BL111" i="1" s="1"/>
  <c r="CE111" i="1"/>
  <c r="CF111" i="1"/>
  <c r="AI111" i="1"/>
  <c r="AJ111" i="1" s="1"/>
  <c r="CH111" i="1"/>
  <c r="CI111" i="1"/>
  <c r="AX111" i="1"/>
  <c r="CB111" i="1"/>
  <c r="BC111" i="1"/>
  <c r="CC111" i="1"/>
  <c r="BO111" i="1"/>
  <c r="BQ111" i="1" s="1"/>
  <c r="BN111" i="1" s="1"/>
  <c r="CJ111" i="1"/>
  <c r="AC111" i="5"/>
  <c r="AT51" i="3"/>
  <c r="BJ51" i="3" s="1"/>
  <c r="CJ51" i="1"/>
  <c r="CC51" i="1"/>
  <c r="BC51" i="1"/>
  <c r="CE51" i="1"/>
  <c r="BI51" i="1"/>
  <c r="BL51" i="1" s="1"/>
  <c r="CH51" i="1"/>
  <c r="BO51" i="1"/>
  <c r="BQ51" i="1" s="1"/>
  <c r="BN51" i="1" s="1"/>
  <c r="AI51" i="1"/>
  <c r="AJ51" i="1" s="1"/>
  <c r="CB51" i="1"/>
  <c r="CF51" i="1"/>
  <c r="CI51" i="1"/>
  <c r="AC51" i="5"/>
  <c r="AX51" i="1"/>
  <c r="BB105" i="3"/>
  <c r="AS105" i="3"/>
  <c r="BH105" i="3" s="1"/>
  <c r="S105" i="1"/>
  <c r="CH105" i="1"/>
  <c r="BO105" i="1"/>
  <c r="BQ105" i="1" s="1"/>
  <c r="BN105" i="1" s="1"/>
  <c r="CI105" i="1"/>
  <c r="CJ105" i="1"/>
  <c r="AX105" i="1"/>
  <c r="AZ105" i="1"/>
  <c r="CB105" i="1"/>
  <c r="BC105" i="1"/>
  <c r="CE105" i="1"/>
  <c r="BI105" i="1"/>
  <c r="BL105" i="1" s="1"/>
  <c r="CF105" i="1"/>
  <c r="CC105" i="1"/>
  <c r="AC105" i="5"/>
  <c r="AT105" i="3"/>
  <c r="BJ105" i="3" s="1"/>
  <c r="BG105" i="3"/>
  <c r="Y105" i="5"/>
  <c r="AB105" i="5"/>
  <c r="K105" i="1"/>
  <c r="BH105" i="1"/>
  <c r="W105" i="5"/>
  <c r="X105" i="5"/>
  <c r="AS104" i="3"/>
  <c r="BH104" i="3" s="1"/>
  <c r="AZ104" i="1"/>
  <c r="CB104" i="1"/>
  <c r="CC104" i="1"/>
  <c r="BC104" i="1"/>
  <c r="CE104" i="1"/>
  <c r="BI104" i="1"/>
  <c r="BL104" i="1" s="1"/>
  <c r="CF104" i="1"/>
  <c r="CH104" i="1"/>
  <c r="BO104" i="1"/>
  <c r="BQ104" i="1" s="1"/>
  <c r="BN104" i="1" s="1"/>
  <c r="CI104" i="1"/>
  <c r="CJ104" i="1"/>
  <c r="AX104" i="1"/>
  <c r="S104" i="1"/>
  <c r="AT104" i="3"/>
  <c r="BJ104" i="3" s="1"/>
  <c r="BG104" i="3"/>
  <c r="K104" i="1"/>
  <c r="AB104" i="5"/>
  <c r="BH104" i="1"/>
  <c r="AC104" i="5"/>
  <c r="X104" i="5"/>
  <c r="Y104" i="5"/>
  <c r="W104" i="5"/>
  <c r="AS127" i="3"/>
  <c r="BH127" i="3" s="1"/>
  <c r="BI127" i="3" s="1"/>
  <c r="BU127" i="3" s="1"/>
  <c r="CC127" i="1"/>
  <c r="S127" i="1"/>
  <c r="BI127" i="1"/>
  <c r="BL127" i="1" s="1"/>
  <c r="CE127" i="1"/>
  <c r="AX127" i="1"/>
  <c r="AZ127" i="1"/>
  <c r="CB127" i="1"/>
  <c r="CF127" i="1"/>
  <c r="BC127" i="1"/>
  <c r="CI127" i="1"/>
  <c r="X127" i="5"/>
  <c r="W127" i="5"/>
  <c r="BO127" i="1"/>
  <c r="BQ127" i="1" s="1"/>
  <c r="BN127" i="1" s="1"/>
  <c r="Y127" i="5"/>
  <c r="CH127" i="1"/>
  <c r="AC127" i="5"/>
  <c r="CJ127" i="1"/>
  <c r="BG127" i="3"/>
  <c r="K127" i="1"/>
  <c r="AT127" i="3"/>
  <c r="BJ127" i="3" s="1"/>
  <c r="BH127" i="1"/>
  <c r="AB127" i="5"/>
  <c r="AS80" i="3"/>
  <c r="BH80" i="3" s="1"/>
  <c r="AT80" i="3"/>
  <c r="BJ80" i="3" s="1"/>
  <c r="BI80" i="1"/>
  <c r="BL80" i="1" s="1"/>
  <c r="CF80" i="1"/>
  <c r="CH80" i="1"/>
  <c r="CC80" i="1"/>
  <c r="BO80" i="1"/>
  <c r="BQ80" i="1" s="1"/>
  <c r="BN80" i="1" s="1"/>
  <c r="AI80" i="1"/>
  <c r="AJ80" i="1" s="1"/>
  <c r="AX80" i="1"/>
  <c r="CE80" i="1"/>
  <c r="CI80" i="1"/>
  <c r="AZ80" i="1"/>
  <c r="CJ80" i="1"/>
  <c r="BC80" i="1"/>
  <c r="CB80" i="1"/>
  <c r="W80" i="5"/>
  <c r="X80" i="5"/>
  <c r="BG80" i="3"/>
  <c r="K80" i="1"/>
  <c r="AU80" i="3"/>
  <c r="X80" i="1" s="1"/>
  <c r="BH80" i="1"/>
  <c r="AB80" i="5"/>
  <c r="Y80" i="5"/>
  <c r="AC80" i="5"/>
  <c r="AL135" i="1"/>
  <c r="S135" i="5"/>
  <c r="AK135" i="1"/>
  <c r="AM135" i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C127" i="3" s="1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X123" i="3"/>
  <c r="AD123" i="1" s="1"/>
  <c r="O123" i="5" s="1"/>
  <c r="AG110" i="1"/>
  <c r="AE110" i="1"/>
  <c r="AF110" i="1"/>
  <c r="AH110" i="1"/>
  <c r="AH117" i="1"/>
  <c r="AE117" i="1"/>
  <c r="AF117" i="1"/>
  <c r="AG117" i="1"/>
  <c r="AE122" i="1"/>
  <c r="AF122" i="1"/>
  <c r="AH122" i="1"/>
  <c r="AG122" i="1"/>
  <c r="AE101" i="1"/>
  <c r="AF101" i="1"/>
  <c r="AG101" i="1"/>
  <c r="AH101" i="1"/>
  <c r="AF81" i="1"/>
  <c r="AG81" i="1"/>
  <c r="AH81" i="1"/>
  <c r="AE81" i="1"/>
  <c r="AG76" i="1"/>
  <c r="AH76" i="1"/>
  <c r="AE76" i="1"/>
  <c r="AF76" i="1"/>
  <c r="AX55" i="3"/>
  <c r="AD55" i="1" s="1"/>
  <c r="O55" i="5" s="1"/>
  <c r="AX137" i="3"/>
  <c r="AF94" i="1"/>
  <c r="AH94" i="1"/>
  <c r="AE94" i="1"/>
  <c r="AG94" i="1"/>
  <c r="AH98" i="1"/>
  <c r="AE98" i="1"/>
  <c r="AG98" i="1"/>
  <c r="AF98" i="1"/>
  <c r="AX150" i="3"/>
  <c r="AD150" i="1" s="1"/>
  <c r="O150" i="5" s="1"/>
  <c r="AX102" i="3"/>
  <c r="AX60" i="3"/>
  <c r="AD60" i="1" s="1"/>
  <c r="O60" i="5" s="1"/>
  <c r="AF79" i="1"/>
  <c r="AE79" i="1"/>
  <c r="AG79" i="1"/>
  <c r="AH79" i="1"/>
  <c r="AE93" i="1"/>
  <c r="AF93" i="1"/>
  <c r="AG93" i="1"/>
  <c r="AH93" i="1"/>
  <c r="AX134" i="3"/>
  <c r="AD134" i="1" s="1"/>
  <c r="O134" i="5" s="1"/>
  <c r="AE116" i="1"/>
  <c r="AG116" i="1"/>
  <c r="AF116" i="1"/>
  <c r="AH116" i="1"/>
  <c r="AH77" i="1"/>
  <c r="AE77" i="1"/>
  <c r="AG77" i="1"/>
  <c r="AF77" i="1"/>
  <c r="AX119" i="3"/>
  <c r="AD119" i="1" s="1"/>
  <c r="O119" i="5" s="1"/>
  <c r="AG131" i="1"/>
  <c r="AH131" i="1"/>
  <c r="AE131" i="1"/>
  <c r="AF131" i="1"/>
  <c r="AH102" i="1"/>
  <c r="AF102" i="1"/>
  <c r="AG102" i="1"/>
  <c r="AE102" i="1"/>
  <c r="AG137" i="1"/>
  <c r="AH137" i="1"/>
  <c r="AF137" i="1"/>
  <c r="AE137" i="1"/>
  <c r="AE118" i="1"/>
  <c r="AF118" i="1"/>
  <c r="AG118" i="1"/>
  <c r="AH118" i="1"/>
  <c r="AX104" i="3"/>
  <c r="AX107" i="3"/>
  <c r="AX106" i="3"/>
  <c r="AX103" i="3"/>
  <c r="AX108" i="3"/>
  <c r="AX127" i="3"/>
  <c r="AX105" i="3"/>
  <c r="AX110" i="3"/>
  <c r="AX158" i="3"/>
  <c r="AD158" i="1" s="1"/>
  <c r="O158" i="5" s="1"/>
  <c r="AX138" i="3"/>
  <c r="AD138" i="1" s="1"/>
  <c r="O138" i="5" s="1"/>
  <c r="AX99" i="3"/>
  <c r="AD99" i="1" s="1"/>
  <c r="O99" i="5" s="1"/>
  <c r="AX59" i="3"/>
  <c r="AD59" i="1" s="1"/>
  <c r="O59" i="5" s="1"/>
  <c r="AX114" i="3"/>
  <c r="AD114" i="1" s="1"/>
  <c r="O114" i="5" s="1"/>
  <c r="AX133" i="3"/>
  <c r="AD133" i="1" s="1"/>
  <c r="O133" i="5" s="1"/>
  <c r="AX116" i="3"/>
  <c r="AX109" i="3"/>
  <c r="AD109" i="1" s="1"/>
  <c r="O109" i="5" s="1"/>
  <c r="AX101" i="3"/>
  <c r="AX56" i="3"/>
  <c r="AD56" i="1" s="1"/>
  <c r="O56" i="5" s="1"/>
  <c r="AX57" i="3"/>
  <c r="AD57" i="1" s="1"/>
  <c r="O57" i="5" s="1"/>
  <c r="AX58" i="3"/>
  <c r="AD58" i="1" s="1"/>
  <c r="O58" i="5" s="1"/>
  <c r="AX79" i="3"/>
  <c r="AX89" i="3"/>
  <c r="AX100" i="3"/>
  <c r="AD100" i="1" s="1"/>
  <c r="O100" i="5" s="1"/>
  <c r="AX140" i="3"/>
  <c r="AD140" i="1" s="1"/>
  <c r="O140" i="5" s="1"/>
  <c r="R140" i="5" s="1"/>
  <c r="M2" i="5"/>
  <c r="AP80" i="3"/>
  <c r="AQ80" i="3" s="1"/>
  <c r="Z80" i="5" s="1"/>
  <c r="N80" i="1" s="1"/>
  <c r="I9" i="12"/>
  <c r="BZ103" i="1" l="1"/>
  <c r="BZ107" i="1"/>
  <c r="BZ104" i="1"/>
  <c r="BZ105" i="1"/>
  <c r="BZ127" i="1"/>
  <c r="BZ80" i="1"/>
  <c r="BZ108" i="1"/>
  <c r="BZ106" i="1"/>
  <c r="BM127" i="3"/>
  <c r="AD89" i="1"/>
  <c r="O89" i="5" s="1"/>
  <c r="R89" i="5" s="1"/>
  <c r="AD190" i="1"/>
  <c r="BK80" i="1"/>
  <c r="CA80" i="1"/>
  <c r="BK111" i="1"/>
  <c r="BK104" i="1"/>
  <c r="CA104" i="1"/>
  <c r="BK105" i="1"/>
  <c r="CA105" i="1"/>
  <c r="BK107" i="1"/>
  <c r="CA107" i="1"/>
  <c r="BK51" i="1"/>
  <c r="BK106" i="1"/>
  <c r="CA106" i="1"/>
  <c r="BK127" i="1"/>
  <c r="CA127" i="1"/>
  <c r="BK108" i="1"/>
  <c r="CA108" i="1"/>
  <c r="BK103" i="1"/>
  <c r="CA103" i="1"/>
  <c r="BT104" i="3"/>
  <c r="BT105" i="3"/>
  <c r="AA80" i="5"/>
  <c r="O80" i="1" s="1"/>
  <c r="BT80" i="3"/>
  <c r="BT127" i="3"/>
  <c r="AH130" i="1"/>
  <c r="AI105" i="1"/>
  <c r="AI127" i="1"/>
  <c r="AE130" i="1"/>
  <c r="R130" i="5"/>
  <c r="Q130" i="5"/>
  <c r="AG130" i="1"/>
  <c r="AF130" i="1"/>
  <c r="AI104" i="1"/>
  <c r="S80" i="1"/>
  <c r="G80" i="5" s="1"/>
  <c r="AU104" i="3"/>
  <c r="AU103" i="3"/>
  <c r="AU127" i="3"/>
  <c r="X127" i="1" s="1"/>
  <c r="BR127" i="3"/>
  <c r="BV127" i="3" s="1"/>
  <c r="BN127" i="3"/>
  <c r="AQ104" i="1"/>
  <c r="BS104" i="1" s="1"/>
  <c r="CD105" i="1"/>
  <c r="BF105" i="1"/>
  <c r="BU105" i="1"/>
  <c r="BG105" i="1"/>
  <c r="BP105" i="1" s="1" a="1"/>
  <c r="BP105" i="1" s="1"/>
  <c r="CD108" i="1"/>
  <c r="BU108" i="1"/>
  <c r="BF108" i="1"/>
  <c r="BG108" i="1"/>
  <c r="BP108" i="1" s="1" a="1"/>
  <c r="BP108" i="1" s="1"/>
  <c r="W108" i="1"/>
  <c r="G108" i="5"/>
  <c r="U108" i="1"/>
  <c r="V108" i="1"/>
  <c r="T108" i="1"/>
  <c r="BR107" i="3"/>
  <c r="BV107" i="3" s="1"/>
  <c r="BN107" i="3"/>
  <c r="AN107" i="1"/>
  <c r="BS80" i="3"/>
  <c r="D80" i="5" s="1"/>
  <c r="BK80" i="3"/>
  <c r="F80" i="5" s="1"/>
  <c r="E80" i="5"/>
  <c r="AQ80" i="1"/>
  <c r="BS80" i="1" s="1"/>
  <c r="G104" i="5"/>
  <c r="U104" i="1"/>
  <c r="W104" i="1"/>
  <c r="V104" i="1"/>
  <c r="T104" i="1"/>
  <c r="BU103" i="1"/>
  <c r="CD103" i="1"/>
  <c r="BF103" i="1"/>
  <c r="BG103" i="1"/>
  <c r="BP103" i="1" s="1" a="1"/>
  <c r="BP103" i="1" s="1"/>
  <c r="S103" i="5"/>
  <c r="AK103" i="1"/>
  <c r="AM103" i="1"/>
  <c r="AL103" i="1"/>
  <c r="BK106" i="3"/>
  <c r="F106" i="5" s="1"/>
  <c r="E106" i="5"/>
  <c r="U127" i="1"/>
  <c r="G127" i="5"/>
  <c r="W127" i="1"/>
  <c r="T127" i="1"/>
  <c r="V127" i="1"/>
  <c r="S51" i="5"/>
  <c r="AM51" i="1"/>
  <c r="AL51" i="1"/>
  <c r="AK51" i="1"/>
  <c r="S111" i="5"/>
  <c r="AL111" i="1"/>
  <c r="AK111" i="1"/>
  <c r="AM111" i="1"/>
  <c r="BK108" i="3"/>
  <c r="F108" i="5" s="1"/>
  <c r="E108" i="5"/>
  <c r="BN106" i="3"/>
  <c r="BR106" i="3"/>
  <c r="BV106" i="3" s="1"/>
  <c r="BI80" i="3"/>
  <c r="K80" i="5" s="1"/>
  <c r="L80" i="5" s="1"/>
  <c r="AN127" i="1"/>
  <c r="AQ127" i="1"/>
  <c r="BS127" i="1" s="1"/>
  <c r="BL104" i="3"/>
  <c r="BO104" i="3"/>
  <c r="AU105" i="3"/>
  <c r="BR51" i="3"/>
  <c r="BV51" i="3"/>
  <c r="BR108" i="3"/>
  <c r="BV108" i="3" s="1"/>
  <c r="BN108" i="3"/>
  <c r="W107" i="1"/>
  <c r="G107" i="5"/>
  <c r="U107" i="1"/>
  <c r="V107" i="1"/>
  <c r="T107" i="1"/>
  <c r="AN103" i="1"/>
  <c r="BO103" i="3"/>
  <c r="BL103" i="3"/>
  <c r="AN106" i="1"/>
  <c r="AN80" i="1"/>
  <c r="E127" i="5"/>
  <c r="BK127" i="3"/>
  <c r="F127" i="5" s="1"/>
  <c r="BL127" i="3"/>
  <c r="BO127" i="3"/>
  <c r="BK105" i="3"/>
  <c r="F105" i="5" s="1"/>
  <c r="E105" i="5"/>
  <c r="AQ107" i="1"/>
  <c r="BS107" i="1" s="1"/>
  <c r="BK103" i="3"/>
  <c r="F103" i="5" s="1"/>
  <c r="E103" i="5"/>
  <c r="BU104" i="1"/>
  <c r="BF104" i="1"/>
  <c r="BG104" i="1"/>
  <c r="BP104" i="1" s="1" a="1"/>
  <c r="BP104" i="1" s="1"/>
  <c r="CD104" i="1"/>
  <c r="BN105" i="3"/>
  <c r="BR105" i="3"/>
  <c r="BV105" i="3" s="1"/>
  <c r="AN111" i="1"/>
  <c r="S106" i="5"/>
  <c r="AL106" i="1"/>
  <c r="AK106" i="1"/>
  <c r="AM106" i="1"/>
  <c r="CD127" i="1"/>
  <c r="BU127" i="1"/>
  <c r="BG127" i="1"/>
  <c r="BP127" i="1" s="1" a="1"/>
  <c r="BP127" i="1" s="1"/>
  <c r="BF127" i="1"/>
  <c r="AN51" i="1"/>
  <c r="BF107" i="1"/>
  <c r="BU107" i="1"/>
  <c r="BG107" i="1"/>
  <c r="BP107" i="1" s="1" a="1"/>
  <c r="BP107" i="1" s="1"/>
  <c r="CD107" i="1"/>
  <c r="BL107" i="3"/>
  <c r="BO107" i="3"/>
  <c r="BR103" i="3"/>
  <c r="BV103" i="3" s="1"/>
  <c r="BN103" i="3"/>
  <c r="AQ103" i="1"/>
  <c r="BS103" i="1" s="1"/>
  <c r="AU106" i="3"/>
  <c r="T106" i="1"/>
  <c r="U106" i="1"/>
  <c r="G106" i="5"/>
  <c r="V106" i="1"/>
  <c r="W106" i="1"/>
  <c r="BV80" i="3"/>
  <c r="BR80" i="3"/>
  <c r="AQ105" i="1"/>
  <c r="BS105" i="1" s="1"/>
  <c r="AQ108" i="1"/>
  <c r="BS108" i="1" s="1"/>
  <c r="AM108" i="1"/>
  <c r="S108" i="5"/>
  <c r="AL108" i="1"/>
  <c r="AK108" i="1"/>
  <c r="AQ106" i="1"/>
  <c r="BS106" i="1" s="1"/>
  <c r="BB80" i="3"/>
  <c r="BL80" i="3"/>
  <c r="BO80" i="3"/>
  <c r="BU106" i="1"/>
  <c r="BF106" i="1"/>
  <c r="CD106" i="1"/>
  <c r="BG106" i="1"/>
  <c r="BP106" i="1" s="1" a="1"/>
  <c r="BP106" i="1" s="1"/>
  <c r="U135" i="5"/>
  <c r="T135" i="5"/>
  <c r="V135" i="5"/>
  <c r="BF80" i="1"/>
  <c r="CD80" i="1"/>
  <c r="BU80" i="1"/>
  <c r="BG80" i="1"/>
  <c r="BP80" i="1" s="1" a="1"/>
  <c r="BP80" i="1" s="1"/>
  <c r="BK104" i="3"/>
  <c r="F104" i="5" s="1"/>
  <c r="E104" i="5"/>
  <c r="AN105" i="1"/>
  <c r="AN108" i="1"/>
  <c r="AM107" i="1"/>
  <c r="S107" i="5"/>
  <c r="AK107" i="1"/>
  <c r="AL107" i="1"/>
  <c r="U103" i="1"/>
  <c r="G103" i="5"/>
  <c r="T103" i="1"/>
  <c r="V103" i="1"/>
  <c r="W103" i="1"/>
  <c r="BN104" i="3"/>
  <c r="BR104" i="3"/>
  <c r="BV104" i="3" s="1"/>
  <c r="W105" i="1"/>
  <c r="U105" i="1"/>
  <c r="V105" i="1"/>
  <c r="G105" i="5"/>
  <c r="T105" i="1"/>
  <c r="AU108" i="3"/>
  <c r="BO108" i="3"/>
  <c r="BL108" i="3"/>
  <c r="AU107" i="3"/>
  <c r="AM80" i="1"/>
  <c r="S80" i="5"/>
  <c r="AL80" i="1"/>
  <c r="AK80" i="1"/>
  <c r="AN104" i="1"/>
  <c r="BL105" i="3"/>
  <c r="BO105" i="3"/>
  <c r="E107" i="5"/>
  <c r="BK107" i="3"/>
  <c r="F107" i="5" s="1"/>
  <c r="BO106" i="3"/>
  <c r="BL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F114" i="1"/>
  <c r="AE114" i="1"/>
  <c r="AG114" i="1"/>
  <c r="AH114" i="1"/>
  <c r="AD51" i="1"/>
  <c r="O51" i="5" s="1"/>
  <c r="AG134" i="1"/>
  <c r="AH134" i="1"/>
  <c r="AE134" i="1"/>
  <c r="AF134" i="1"/>
  <c r="AF99" i="1"/>
  <c r="AG99" i="1"/>
  <c r="AH99" i="1"/>
  <c r="AE99" i="1"/>
  <c r="AD104" i="1"/>
  <c r="O104" i="5" s="1"/>
  <c r="AH55" i="1"/>
  <c r="AF55" i="1"/>
  <c r="AE55" i="1"/>
  <c r="AG55" i="1"/>
  <c r="AE133" i="1"/>
  <c r="AG133" i="1"/>
  <c r="AH133" i="1"/>
  <c r="AF133" i="1"/>
  <c r="AH140" i="1"/>
  <c r="AE140" i="1"/>
  <c r="AF140" i="1"/>
  <c r="AG140" i="1"/>
  <c r="AH100" i="1"/>
  <c r="AF100" i="1"/>
  <c r="AG100" i="1"/>
  <c r="AE100" i="1"/>
  <c r="AF89" i="1"/>
  <c r="AE89" i="1"/>
  <c r="AH89" i="1"/>
  <c r="AG89" i="1"/>
  <c r="AH138" i="1"/>
  <c r="AE138" i="1"/>
  <c r="AF138" i="1"/>
  <c r="AG138" i="1"/>
  <c r="AD80" i="1"/>
  <c r="O80" i="5" s="1"/>
  <c r="Q80" i="5" s="1"/>
  <c r="AH158" i="1"/>
  <c r="AF158" i="1"/>
  <c r="AE158" i="1"/>
  <c r="AG158" i="1"/>
  <c r="AG58" i="1"/>
  <c r="AE58" i="1"/>
  <c r="AH58" i="1"/>
  <c r="AF58" i="1"/>
  <c r="AG150" i="1"/>
  <c r="AE150" i="1"/>
  <c r="AH150" i="1"/>
  <c r="AF150" i="1"/>
  <c r="AD108" i="1"/>
  <c r="O108" i="5" s="1"/>
  <c r="AH59" i="1"/>
  <c r="AF59" i="1"/>
  <c r="AE59" i="1"/>
  <c r="AG59" i="1"/>
  <c r="AD103" i="1"/>
  <c r="O103" i="5" s="1"/>
  <c r="AG57" i="1"/>
  <c r="AE57" i="1"/>
  <c r="AF57" i="1"/>
  <c r="AH57" i="1"/>
  <c r="AD127" i="1"/>
  <c r="O127" i="5" s="1"/>
  <c r="AF60" i="1"/>
  <c r="AH60" i="1"/>
  <c r="AE60" i="1"/>
  <c r="AG60" i="1"/>
  <c r="Z80" i="1"/>
  <c r="Y80" i="1"/>
  <c r="AA80" i="1"/>
  <c r="AB80" i="1"/>
  <c r="AD105" i="1"/>
  <c r="O105" i="5" s="1"/>
  <c r="AF56" i="1"/>
  <c r="AH56" i="1"/>
  <c r="AE56" i="1"/>
  <c r="AG56" i="1"/>
  <c r="AD106" i="1"/>
  <c r="O106" i="5" s="1"/>
  <c r="AH119" i="1"/>
  <c r="AE119" i="1"/>
  <c r="AF119" i="1"/>
  <c r="AG119" i="1"/>
  <c r="AD107" i="1"/>
  <c r="O107" i="5" s="1"/>
  <c r="AE109" i="1"/>
  <c r="AH109" i="1"/>
  <c r="AF109" i="1"/>
  <c r="AG109" i="1"/>
  <c r="AH123" i="1"/>
  <c r="AE123" i="1"/>
  <c r="AG123" i="1"/>
  <c r="AF123" i="1"/>
  <c r="V51" i="3"/>
  <c r="BN51" i="3" s="1"/>
  <c r="V80" i="3"/>
  <c r="BN80" i="3" s="1"/>
  <c r="U2" i="3"/>
  <c r="AY2" i="3" s="1"/>
  <c r="Y127" i="1" l="1"/>
  <c r="AB127" i="1"/>
  <c r="AA127" i="1"/>
  <c r="K127" i="5"/>
  <c r="Z127" i="1"/>
  <c r="P89" i="5"/>
  <c r="Q89" i="5"/>
  <c r="O190" i="5"/>
  <c r="AG190" i="1"/>
  <c r="AF190" i="1"/>
  <c r="AE190" i="1"/>
  <c r="AH190" i="1"/>
  <c r="AM104" i="1"/>
  <c r="AJ104" i="1"/>
  <c r="AL127" i="1"/>
  <c r="AJ127" i="1"/>
  <c r="AL105" i="1"/>
  <c r="AJ105" i="1"/>
  <c r="AK104" i="1"/>
  <c r="S104" i="5"/>
  <c r="V104" i="5" s="1"/>
  <c r="AM105" i="1"/>
  <c r="AK105" i="1"/>
  <c r="S105" i="5"/>
  <c r="T105" i="5" s="1"/>
  <c r="AM127" i="1"/>
  <c r="S127" i="5"/>
  <c r="V127" i="5" s="1"/>
  <c r="U80" i="1"/>
  <c r="AK127" i="1"/>
  <c r="T80" i="1"/>
  <c r="W80" i="1"/>
  <c r="V80" i="1"/>
  <c r="AL104" i="1"/>
  <c r="BU80" i="3"/>
  <c r="M80" i="5" s="1"/>
  <c r="BM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G106" i="1"/>
  <c r="AF106" i="1"/>
  <c r="AE106" i="1"/>
  <c r="AH106" i="1"/>
  <c r="AF107" i="1"/>
  <c r="AG107" i="1"/>
  <c r="AH107" i="1"/>
  <c r="AE107" i="1"/>
  <c r="AE104" i="1"/>
  <c r="AF104" i="1"/>
  <c r="AH104" i="1"/>
  <c r="AG104" i="1"/>
  <c r="AF51" i="1"/>
  <c r="AG51" i="1"/>
  <c r="AE51" i="1"/>
  <c r="AH51" i="1"/>
  <c r="AE105" i="1"/>
  <c r="AF105" i="1"/>
  <c r="AH105" i="1"/>
  <c r="AG105" i="1"/>
  <c r="AG80" i="1"/>
  <c r="AE80" i="1"/>
  <c r="AF80" i="1"/>
  <c r="AH80" i="1"/>
  <c r="AE103" i="1"/>
  <c r="AG103" i="1"/>
  <c r="AH103" i="1"/>
  <c r="AF103" i="1"/>
  <c r="AG127" i="1"/>
  <c r="AE127" i="1"/>
  <c r="AH127" i="1"/>
  <c r="AF127" i="1"/>
  <c r="AH108" i="1"/>
  <c r="AF108" i="1"/>
  <c r="AE108" i="1"/>
  <c r="AG108" i="1"/>
  <c r="AX51" i="3"/>
  <c r="AX80" i="3"/>
  <c r="AW80" i="3"/>
  <c r="G1" i="5"/>
  <c r="BU2" i="3"/>
  <c r="BW160" i="1"/>
  <c r="L127" i="5" l="1"/>
  <c r="N127" i="5"/>
  <c r="M127" i="5"/>
  <c r="CG160" i="1"/>
  <c r="AY160" i="1"/>
  <c r="BJ160" i="1"/>
  <c r="BD160" i="1"/>
  <c r="BE160" i="1"/>
  <c r="R190" i="5"/>
  <c r="P190" i="5"/>
  <c r="Q190" i="5"/>
  <c r="BE160" i="3"/>
  <c r="T104" i="5"/>
  <c r="V105" i="5"/>
  <c r="U104" i="5"/>
  <c r="T127" i="5"/>
  <c r="U127" i="5"/>
  <c r="U105" i="5"/>
  <c r="AS160" i="3"/>
  <c r="BH160" i="3" s="1"/>
  <c r="BO160" i="1"/>
  <c r="BQ160" i="1" s="1"/>
  <c r="BN160" i="1" s="1"/>
  <c r="CE160" i="1"/>
  <c r="AX160" i="1"/>
  <c r="CB160" i="1"/>
  <c r="CC160" i="1"/>
  <c r="AZ160" i="1"/>
  <c r="CF160" i="1"/>
  <c r="BC160" i="1"/>
  <c r="CH160" i="1"/>
  <c r="BI160" i="1"/>
  <c r="BL160" i="1" s="1"/>
  <c r="CI160" i="1"/>
  <c r="S160" i="1"/>
  <c r="CJ160" i="1"/>
  <c r="W160" i="5"/>
  <c r="BG160" i="3"/>
  <c r="AT160" i="3"/>
  <c r="BJ160" i="3" s="1"/>
  <c r="AB160" i="5"/>
  <c r="K160" i="1"/>
  <c r="AC160" i="5"/>
  <c r="BH160" i="1"/>
  <c r="Y160" i="5"/>
  <c r="X160" i="5"/>
  <c r="BP160" i="3" a="1"/>
  <c r="BP160" i="3" s="1"/>
  <c r="BF160" i="3"/>
  <c r="AX160" i="3"/>
  <c r="BZ160" i="1" l="1"/>
  <c r="CA160" i="1" s="1"/>
  <c r="AI160" i="1"/>
  <c r="AJ160" i="1" s="1"/>
  <c r="BK160" i="1"/>
  <c r="BT160" i="3"/>
  <c r="AU160" i="3"/>
  <c r="BR160" i="3"/>
  <c r="BV160" i="3" s="1"/>
  <c r="E160" i="5"/>
  <c r="BK160" i="3"/>
  <c r="F160" i="5" s="1"/>
  <c r="AQ160" i="1"/>
  <c r="BS160" i="1" s="1"/>
  <c r="BB160" i="3"/>
  <c r="BN160" i="3" s="1"/>
  <c r="AN160" i="1"/>
  <c r="U160" i="1"/>
  <c r="T160" i="1"/>
  <c r="G160" i="5"/>
  <c r="V160" i="1"/>
  <c r="W160" i="1"/>
  <c r="CD160" i="1"/>
  <c r="BF160" i="1"/>
  <c r="BG160" i="1"/>
  <c r="BP160" i="1" s="1" a="1"/>
  <c r="BP160" i="1" s="1"/>
  <c r="BU160" i="1"/>
  <c r="BO160" i="3"/>
  <c r="BL160" i="3"/>
  <c r="AD160" i="1"/>
  <c r="O160" i="5" s="1"/>
  <c r="J1" i="5"/>
  <c r="AM160" i="1" l="1"/>
  <c r="AL160" i="1"/>
  <c r="S160" i="5"/>
  <c r="T160" i="5" s="1"/>
  <c r="AK160" i="1"/>
  <c r="J160" i="5"/>
  <c r="H160" i="5"/>
  <c r="I160" i="5"/>
  <c r="Q160" i="5"/>
  <c r="R160" i="5"/>
  <c r="P160" i="5"/>
  <c r="AH160" i="1"/>
  <c r="AE160" i="1"/>
  <c r="AG160" i="1"/>
  <c r="AF160" i="1"/>
  <c r="C2" i="5"/>
  <c r="V160" i="5" l="1"/>
  <c r="U160" i="5"/>
  <c r="CG43" i="1"/>
  <c r="BJ43" i="1"/>
  <c r="AY43" i="1"/>
  <c r="AT43" i="3"/>
  <c r="BJ43" i="3" s="1"/>
  <c r="AI43" i="1"/>
  <c r="AJ43" i="1" s="1"/>
  <c r="BO43" i="1"/>
  <c r="BQ43" i="1" s="1"/>
  <c r="BN43" i="1" s="1"/>
  <c r="CJ43" i="1"/>
  <c r="AX43" i="1"/>
  <c r="CB43" i="1"/>
  <c r="CC43" i="1"/>
  <c r="BC43" i="1"/>
  <c r="CI43" i="1"/>
  <c r="BI43" i="1"/>
  <c r="BL43" i="1" s="1"/>
  <c r="CE43" i="1"/>
  <c r="CF43" i="1"/>
  <c r="CH43" i="1"/>
  <c r="AC43" i="5"/>
  <c r="CG126" i="1" l="1"/>
  <c r="BJ126" i="1"/>
  <c r="AY126" i="1"/>
  <c r="CG33" i="1"/>
  <c r="BJ33" i="1"/>
  <c r="AY33" i="1"/>
  <c r="BD33" i="1"/>
  <c r="BE33" i="1"/>
  <c r="BK43" i="1"/>
  <c r="BE126" i="3"/>
  <c r="BE33" i="3"/>
  <c r="AS126" i="3"/>
  <c r="BH126" i="3" s="1"/>
  <c r="AX126" i="1"/>
  <c r="AZ126" i="1"/>
  <c r="CC126" i="1"/>
  <c r="CE126" i="1"/>
  <c r="BC126" i="1"/>
  <c r="CF126" i="1"/>
  <c r="BI126" i="1"/>
  <c r="BL126" i="1" s="1"/>
  <c r="CH126" i="1"/>
  <c r="S126" i="1"/>
  <c r="CI126" i="1"/>
  <c r="BO126" i="1"/>
  <c r="BQ126" i="1" s="1"/>
  <c r="BN126" i="1" s="1"/>
  <c r="CJ126" i="1"/>
  <c r="AC126" i="5"/>
  <c r="CB126" i="1"/>
  <c r="AI126" i="1"/>
  <c r="AJ126" i="1" s="1"/>
  <c r="W126" i="5"/>
  <c r="Y126" i="5"/>
  <c r="AT126" i="3"/>
  <c r="BJ126" i="3" s="1"/>
  <c r="BR126" i="3" s="1"/>
  <c r="BV126" i="3" s="1"/>
  <c r="BG126" i="3"/>
  <c r="X126" i="5"/>
  <c r="AB126" i="5"/>
  <c r="K126" i="1"/>
  <c r="BH126" i="1"/>
  <c r="AK43" i="1"/>
  <c r="S43" i="5"/>
  <c r="AL43" i="1"/>
  <c r="AM43" i="1"/>
  <c r="AN43" i="1"/>
  <c r="BV43" i="3"/>
  <c r="BR43" i="3"/>
  <c r="AS33" i="3"/>
  <c r="BH33" i="3" s="1"/>
  <c r="AI33" i="1"/>
  <c r="AJ33" i="1" s="1"/>
  <c r="CH33" i="1"/>
  <c r="CC33" i="1"/>
  <c r="BC33" i="1"/>
  <c r="CE33" i="1"/>
  <c r="S33" i="1"/>
  <c r="AX33" i="1"/>
  <c r="CB33" i="1"/>
  <c r="AZ33" i="1"/>
  <c r="CI33" i="1"/>
  <c r="BI33" i="1"/>
  <c r="BL33" i="1" s="1"/>
  <c r="BO33" i="1"/>
  <c r="BQ33" i="1" s="1"/>
  <c r="BN33" i="1" s="1"/>
  <c r="CF33" i="1"/>
  <c r="CJ33" i="1"/>
  <c r="AT33" i="3"/>
  <c r="BJ33" i="3" s="1"/>
  <c r="BR33" i="3" s="1"/>
  <c r="BV33" i="3" s="1"/>
  <c r="BG33" i="3"/>
  <c r="Y33" i="5"/>
  <c r="BH33" i="1"/>
  <c r="W33" i="5"/>
  <c r="X33" i="5"/>
  <c r="AB33" i="5"/>
  <c r="K33" i="1"/>
  <c r="AC33" i="5"/>
  <c r="BF126" i="3"/>
  <c r="BP126" i="3" a="1"/>
  <c r="BP126" i="3" s="1"/>
  <c r="BT126" i="3" s="1"/>
  <c r="BF33" i="3"/>
  <c r="BP33" i="3" a="1"/>
  <c r="BP33" i="3" s="1"/>
  <c r="BT33" i="3" s="1"/>
  <c r="AD43" i="1"/>
  <c r="O43" i="5" s="1"/>
  <c r="AX126" i="3"/>
  <c r="V43" i="3"/>
  <c r="BN43" i="3" s="1"/>
  <c r="I48" i="17"/>
  <c r="H48" i="17"/>
  <c r="K35" i="17"/>
  <c r="AP177" i="3" s="1"/>
  <c r="AQ177" i="3" s="1"/>
  <c r="I35" i="17"/>
  <c r="H35" i="17"/>
  <c r="H34" i="17"/>
  <c r="I34" i="17"/>
  <c r="K34" i="17"/>
  <c r="K10" i="17"/>
  <c r="I10" i="17"/>
  <c r="H10" i="17"/>
  <c r="AW4" i="3"/>
  <c r="AW5" i="3"/>
  <c r="AW8" i="3"/>
  <c r="AW10" i="3"/>
  <c r="AW12" i="3"/>
  <c r="AW17" i="3"/>
  <c r="AW18" i="3"/>
  <c r="AW20" i="3"/>
  <c r="AW21" i="3"/>
  <c r="AW22" i="3"/>
  <c r="AW23" i="3"/>
  <c r="AW24" i="3"/>
  <c r="AW27" i="3"/>
  <c r="AW29" i="3"/>
  <c r="AW32" i="3"/>
  <c r="AW33" i="3"/>
  <c r="AW34" i="3"/>
  <c r="AW35" i="3"/>
  <c r="AW36" i="3"/>
  <c r="AW37" i="3"/>
  <c r="AW38" i="3"/>
  <c r="AW40" i="3"/>
  <c r="AW41" i="3"/>
  <c r="AW42" i="3"/>
  <c r="AW44" i="3"/>
  <c r="AW45" i="3"/>
  <c r="AW47" i="3"/>
  <c r="AW48" i="3"/>
  <c r="AW49" i="3"/>
  <c r="AW50" i="3"/>
  <c r="AW53" i="3"/>
  <c r="AW54" i="3"/>
  <c r="AW55" i="3"/>
  <c r="AW56" i="3"/>
  <c r="AW57" i="3"/>
  <c r="AW58" i="3"/>
  <c r="AW59" i="3"/>
  <c r="AW60" i="3"/>
  <c r="AW61" i="3"/>
  <c r="AW62" i="3"/>
  <c r="AW64" i="3"/>
  <c r="AW65" i="3"/>
  <c r="AW66" i="3"/>
  <c r="AW67" i="3"/>
  <c r="AW68" i="3"/>
  <c r="AW69" i="3"/>
  <c r="AW72" i="3"/>
  <c r="AW73" i="3"/>
  <c r="AW76" i="3"/>
  <c r="AW77" i="3"/>
  <c r="AW81" i="3"/>
  <c r="AW82" i="3"/>
  <c r="AW83" i="3"/>
  <c r="AW84" i="3"/>
  <c r="AW85" i="3"/>
  <c r="AW87" i="3"/>
  <c r="AW88" i="3"/>
  <c r="AW89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4" i="3"/>
  <c r="AW116" i="3"/>
  <c r="AW117" i="3"/>
  <c r="AW118" i="3"/>
  <c r="AW119" i="3"/>
  <c r="AW121" i="3"/>
  <c r="AW122" i="3"/>
  <c r="AW123" i="3"/>
  <c r="AW125" i="3"/>
  <c r="AW126" i="3"/>
  <c r="AW127" i="3"/>
  <c r="AW128" i="3"/>
  <c r="AW129" i="3"/>
  <c r="AW131" i="3"/>
  <c r="AW133" i="3"/>
  <c r="AW134" i="3"/>
  <c r="AW138" i="3"/>
  <c r="AW140" i="3"/>
  <c r="AN118" i="3"/>
  <c r="BY2" i="1"/>
  <c r="BV2" i="1"/>
  <c r="AV55" i="3"/>
  <c r="BB2" i="1"/>
  <c r="BT2" i="1"/>
  <c r="I46" i="17"/>
  <c r="H46" i="17"/>
  <c r="I38" i="17"/>
  <c r="K33" i="17"/>
  <c r="I33" i="17"/>
  <c r="H33" i="17"/>
  <c r="K19" i="17"/>
  <c r="I19" i="17"/>
  <c r="H19" i="17"/>
  <c r="I50" i="17"/>
  <c r="H50" i="17"/>
  <c r="I43" i="17"/>
  <c r="H43" i="17"/>
  <c r="V128" i="3"/>
  <c r="BN128" i="3" s="1"/>
  <c r="V62" i="3"/>
  <c r="BN62" i="3" s="1"/>
  <c r="BZ33" i="1" l="1"/>
  <c r="BZ126" i="1"/>
  <c r="Z177" i="5"/>
  <c r="AA207" i="5"/>
  <c r="Z207" i="5"/>
  <c r="BD61" i="1"/>
  <c r="BE61" i="1"/>
  <c r="AZ183" i="1"/>
  <c r="AZ68" i="1"/>
  <c r="AZ184" i="1"/>
  <c r="AZ72" i="1"/>
  <c r="AZ187" i="1"/>
  <c r="CG61" i="1"/>
  <c r="AY61" i="1"/>
  <c r="BJ61" i="1"/>
  <c r="BK61" i="1" s="1"/>
  <c r="CG13" i="1"/>
  <c r="AY13" i="1"/>
  <c r="BJ13" i="1"/>
  <c r="CG72" i="1"/>
  <c r="CE184" i="1"/>
  <c r="AX184" i="1"/>
  <c r="CC184" i="1"/>
  <c r="AQ184" i="1" s="1"/>
  <c r="BS184" i="1" s="1"/>
  <c r="AI184" i="1"/>
  <c r="CI184" i="1"/>
  <c r="BO184" i="1"/>
  <c r="BQ184" i="1" s="1"/>
  <c r="BN184" i="1" s="1"/>
  <c r="CJ184" i="1"/>
  <c r="BI184" i="1"/>
  <c r="BL184" i="1" s="1"/>
  <c r="BJ72" i="1"/>
  <c r="BZ72" i="1" s="1"/>
  <c r="BC184" i="1"/>
  <c r="AY72" i="1"/>
  <c r="AY184" i="1"/>
  <c r="CH184" i="1"/>
  <c r="CG184" i="1"/>
  <c r="BJ184" i="1"/>
  <c r="BZ184" i="1" s="1"/>
  <c r="CF184" i="1"/>
  <c r="CB184" i="1"/>
  <c r="AB184" i="5"/>
  <c r="AC184" i="5"/>
  <c r="X184" i="5"/>
  <c r="Y184" i="5"/>
  <c r="BH184" i="1"/>
  <c r="K184" i="1"/>
  <c r="W184" i="5"/>
  <c r="CG49" i="1"/>
  <c r="AY49" i="1"/>
  <c r="BJ49" i="1"/>
  <c r="BZ49" i="1" s="1"/>
  <c r="BE49" i="1"/>
  <c r="BD49" i="1"/>
  <c r="CG112" i="1"/>
  <c r="BJ112" i="1"/>
  <c r="AY112" i="1"/>
  <c r="CG129" i="1"/>
  <c r="BJ129" i="1"/>
  <c r="BZ129" i="1" s="1"/>
  <c r="AY129" i="1"/>
  <c r="CG87" i="1"/>
  <c r="BO194" i="1"/>
  <c r="BQ194" i="1" s="1"/>
  <c r="BN194" i="1" s="1"/>
  <c r="BJ87" i="1"/>
  <c r="BZ87" i="1" s="1"/>
  <c r="CJ194" i="1"/>
  <c r="BI194" i="1"/>
  <c r="BL194" i="1" s="1"/>
  <c r="CH194" i="1"/>
  <c r="CG194" i="1"/>
  <c r="AZ194" i="1"/>
  <c r="CF194" i="1"/>
  <c r="AY194" i="1"/>
  <c r="AY87" i="1"/>
  <c r="CE194" i="1"/>
  <c r="AX194" i="1"/>
  <c r="CB194" i="1"/>
  <c r="CC194" i="1"/>
  <c r="AQ194" i="1" s="1"/>
  <c r="BS194" i="1" s="1"/>
  <c r="BJ194" i="1"/>
  <c r="BZ194" i="1" s="1"/>
  <c r="AI194" i="1"/>
  <c r="CI194" i="1"/>
  <c r="S194" i="1"/>
  <c r="BC194" i="1"/>
  <c r="X194" i="5"/>
  <c r="AB194" i="5"/>
  <c r="BD194" i="1"/>
  <c r="K194" i="1"/>
  <c r="BH194" i="1"/>
  <c r="AC194" i="5"/>
  <c r="Y194" i="5"/>
  <c r="BE194" i="1"/>
  <c r="W194" i="5"/>
  <c r="BD87" i="1"/>
  <c r="BE87" i="1"/>
  <c r="CG16" i="1"/>
  <c r="BJ16" i="1"/>
  <c r="AY16" i="1"/>
  <c r="CG31" i="1"/>
  <c r="BJ31" i="1"/>
  <c r="AY31" i="1"/>
  <c r="CG53" i="1"/>
  <c r="BJ53" i="1"/>
  <c r="BZ53" i="1" s="1"/>
  <c r="AY53" i="1"/>
  <c r="BD53" i="1"/>
  <c r="BE53" i="1"/>
  <c r="CG66" i="1"/>
  <c r="BJ66" i="1"/>
  <c r="BZ66" i="1" s="1"/>
  <c r="AY66" i="1"/>
  <c r="CG83" i="1"/>
  <c r="AY83" i="1"/>
  <c r="BJ83" i="1"/>
  <c r="BZ83" i="1" s="1"/>
  <c r="BD83" i="1"/>
  <c r="BE83" i="1"/>
  <c r="CG78" i="1"/>
  <c r="BO192" i="1"/>
  <c r="BQ192" i="1" s="1"/>
  <c r="BN192" i="1" s="1"/>
  <c r="CJ192" i="1"/>
  <c r="BI192" i="1"/>
  <c r="BL192" i="1" s="1"/>
  <c r="S192" i="1"/>
  <c r="CH192" i="1"/>
  <c r="BJ78" i="1"/>
  <c r="CG192" i="1"/>
  <c r="AY192" i="1"/>
  <c r="CF192" i="1"/>
  <c r="AX192" i="1"/>
  <c r="CE192" i="1"/>
  <c r="CB192" i="1"/>
  <c r="CC192" i="1"/>
  <c r="BJ192" i="1"/>
  <c r="AI192" i="1"/>
  <c r="CI192" i="1"/>
  <c r="AY78" i="1"/>
  <c r="BC192" i="1"/>
  <c r="AC192" i="5"/>
  <c r="CG86" i="1"/>
  <c r="BJ86" i="1"/>
  <c r="BZ86" i="1" s="1"/>
  <c r="AY86" i="1"/>
  <c r="CG17" i="1"/>
  <c r="BJ17" i="1"/>
  <c r="BZ17" i="1" s="1"/>
  <c r="AY17" i="1"/>
  <c r="BD17" i="1"/>
  <c r="BE17" i="1"/>
  <c r="CG6" i="1"/>
  <c r="BJ6" i="1"/>
  <c r="AY6" i="1"/>
  <c r="CG52" i="1"/>
  <c r="BJ52" i="1"/>
  <c r="AY52" i="1"/>
  <c r="CG29" i="1"/>
  <c r="BJ29" i="1"/>
  <c r="BZ29" i="1" s="1"/>
  <c r="AY29" i="1"/>
  <c r="BD29" i="1"/>
  <c r="BE29" i="1"/>
  <c r="CG68" i="1"/>
  <c r="CE183" i="1"/>
  <c r="AX183" i="1"/>
  <c r="BJ183" i="1"/>
  <c r="BZ183" i="1" s="1"/>
  <c r="CC183" i="1"/>
  <c r="AQ183" i="1" s="1"/>
  <c r="BS183" i="1" s="1"/>
  <c r="AI183" i="1"/>
  <c r="S183" i="1"/>
  <c r="BJ68" i="1"/>
  <c r="BZ68" i="1" s="1"/>
  <c r="BO183" i="1"/>
  <c r="BQ183" i="1" s="1"/>
  <c r="BN183" i="1" s="1"/>
  <c r="CI183" i="1"/>
  <c r="CJ183" i="1"/>
  <c r="BI183" i="1"/>
  <c r="BL183" i="1" s="1"/>
  <c r="BC183" i="1"/>
  <c r="AY183" i="1"/>
  <c r="CH183" i="1"/>
  <c r="CG183" i="1"/>
  <c r="CB183" i="1"/>
  <c r="CF183" i="1"/>
  <c r="AY68" i="1"/>
  <c r="Y183" i="5"/>
  <c r="W183" i="5"/>
  <c r="K183" i="1"/>
  <c r="X183" i="5"/>
  <c r="AB183" i="5"/>
  <c r="BH183" i="1"/>
  <c r="AC183" i="5"/>
  <c r="CG95" i="1"/>
  <c r="AY95" i="1"/>
  <c r="BJ95" i="1"/>
  <c r="BZ95" i="1" s="1"/>
  <c r="BD95" i="1"/>
  <c r="BE95" i="1"/>
  <c r="CG121" i="1"/>
  <c r="AY121" i="1"/>
  <c r="BJ121" i="1"/>
  <c r="BZ121" i="1" s="1"/>
  <c r="BD121" i="1"/>
  <c r="BE121" i="1"/>
  <c r="CG30" i="1"/>
  <c r="BJ30" i="1"/>
  <c r="AY30" i="1"/>
  <c r="CG18" i="1"/>
  <c r="BJ18" i="1"/>
  <c r="BZ18" i="1" s="1"/>
  <c r="AY18" i="1"/>
  <c r="BD18" i="1"/>
  <c r="BE18" i="1"/>
  <c r="AA173" i="5"/>
  <c r="Z173" i="5"/>
  <c r="CG19" i="1"/>
  <c r="BJ19" i="1"/>
  <c r="BZ19" i="1" s="1"/>
  <c r="AY19" i="1"/>
  <c r="CG90" i="1"/>
  <c r="BJ90" i="1"/>
  <c r="BZ90" i="1" s="1"/>
  <c r="AY90" i="1"/>
  <c r="CG96" i="1"/>
  <c r="AI187" i="1"/>
  <c r="CJ187" i="1"/>
  <c r="BI187" i="1"/>
  <c r="BL187" i="1" s="1"/>
  <c r="CI187" i="1"/>
  <c r="BC187" i="1"/>
  <c r="BJ187" i="1"/>
  <c r="BZ187" i="1" s="1"/>
  <c r="CH187" i="1"/>
  <c r="CG187" i="1"/>
  <c r="AY187" i="1"/>
  <c r="CF187" i="1"/>
  <c r="AX187" i="1"/>
  <c r="BJ96" i="1"/>
  <c r="BZ96" i="1" s="1"/>
  <c r="CE187" i="1"/>
  <c r="CC187" i="1"/>
  <c r="AQ187" i="1" s="1"/>
  <c r="BS187" i="1" s="1"/>
  <c r="AY96" i="1"/>
  <c r="CB187" i="1"/>
  <c r="Y187" i="5"/>
  <c r="BO187" i="1"/>
  <c r="BQ187" i="1" s="1"/>
  <c r="BN187" i="1" s="1"/>
  <c r="AC187" i="5"/>
  <c r="W187" i="5"/>
  <c r="K187" i="1"/>
  <c r="BH187" i="1"/>
  <c r="X187" i="5"/>
  <c r="BE187" i="1"/>
  <c r="AB187" i="5"/>
  <c r="BD187" i="1"/>
  <c r="BD96" i="1"/>
  <c r="BE96" i="1"/>
  <c r="CG69" i="1"/>
  <c r="BJ69" i="1"/>
  <c r="BZ69" i="1" s="1"/>
  <c r="AY69" i="1"/>
  <c r="CG124" i="1"/>
  <c r="BJ124" i="1"/>
  <c r="AY124" i="1"/>
  <c r="CG50" i="1"/>
  <c r="BJ50" i="1"/>
  <c r="BZ50" i="1" s="1"/>
  <c r="AY50" i="1"/>
  <c r="BD50" i="1"/>
  <c r="BE50" i="1"/>
  <c r="CG67" i="1"/>
  <c r="BJ182" i="1"/>
  <c r="BZ182" i="1" s="1"/>
  <c r="BO182" i="1"/>
  <c r="BQ182" i="1" s="1"/>
  <c r="BN182" i="1" s="1"/>
  <c r="CI182" i="1"/>
  <c r="BC182" i="1"/>
  <c r="CH182" i="1"/>
  <c r="BJ67" i="1"/>
  <c r="BZ67" i="1" s="1"/>
  <c r="CG182" i="1"/>
  <c r="AY182" i="1"/>
  <c r="CF182" i="1"/>
  <c r="AX182" i="1"/>
  <c r="CC182" i="1"/>
  <c r="AQ182" i="1" s="1"/>
  <c r="BS182" i="1" s="1"/>
  <c r="CE182" i="1"/>
  <c r="AY67" i="1"/>
  <c r="AI182" i="1"/>
  <c r="CJ182" i="1"/>
  <c r="CB182" i="1"/>
  <c r="BI182" i="1"/>
  <c r="BL182" i="1" s="1"/>
  <c r="AB182" i="5"/>
  <c r="Y182" i="5"/>
  <c r="BH182" i="1"/>
  <c r="X182" i="5"/>
  <c r="W182" i="5"/>
  <c r="AC182" i="5"/>
  <c r="K182" i="1"/>
  <c r="CG82" i="1"/>
  <c r="AY82" i="1"/>
  <c r="BJ82" i="1"/>
  <c r="BZ82" i="1" s="1"/>
  <c r="BD82" i="1"/>
  <c r="BE82" i="1"/>
  <c r="CG20" i="1"/>
  <c r="BJ20" i="1"/>
  <c r="BZ20" i="1" s="1"/>
  <c r="AY20" i="1"/>
  <c r="CG32" i="1"/>
  <c r="BJ32" i="1"/>
  <c r="BZ32" i="1" s="1"/>
  <c r="AY32" i="1"/>
  <c r="CG97" i="1"/>
  <c r="CJ188" i="1"/>
  <c r="BI188" i="1"/>
  <c r="BL188" i="1" s="1"/>
  <c r="CI188" i="1"/>
  <c r="BC188" i="1"/>
  <c r="CG188" i="1"/>
  <c r="AY188" i="1"/>
  <c r="AY97" i="1"/>
  <c r="CF188" i="1"/>
  <c r="AX188" i="1"/>
  <c r="CE188" i="1"/>
  <c r="BJ188" i="1"/>
  <c r="BZ188" i="1" s="1"/>
  <c r="CC188" i="1"/>
  <c r="AQ188" i="1" s="1"/>
  <c r="BS188" i="1" s="1"/>
  <c r="CB188" i="1"/>
  <c r="BJ97" i="1"/>
  <c r="BZ97" i="1" s="1"/>
  <c r="BO188" i="1"/>
  <c r="BQ188" i="1" s="1"/>
  <c r="BN188" i="1" s="1"/>
  <c r="AI188" i="1"/>
  <c r="CH188" i="1"/>
  <c r="Y188" i="5"/>
  <c r="BD188" i="1"/>
  <c r="K188" i="1"/>
  <c r="BH188" i="1"/>
  <c r="W188" i="5"/>
  <c r="AB188" i="5"/>
  <c r="AC188" i="5"/>
  <c r="X188" i="5"/>
  <c r="BE188" i="1"/>
  <c r="BE97" i="1"/>
  <c r="BD97" i="1"/>
  <c r="CG70" i="1"/>
  <c r="AY70" i="1"/>
  <c r="BJ70" i="1"/>
  <c r="CG39" i="1"/>
  <c r="BJ39" i="1"/>
  <c r="AY39" i="1"/>
  <c r="CG34" i="1"/>
  <c r="AY34" i="1"/>
  <c r="BJ34" i="1"/>
  <c r="BZ34" i="1" s="1"/>
  <c r="BD34" i="1"/>
  <c r="BE34" i="1"/>
  <c r="CG15" i="1"/>
  <c r="BJ15" i="1"/>
  <c r="AY15" i="1"/>
  <c r="CG35" i="1"/>
  <c r="AY35" i="1"/>
  <c r="BJ35" i="1"/>
  <c r="BZ35" i="1" s="1"/>
  <c r="CG12" i="1"/>
  <c r="BJ12" i="1"/>
  <c r="BZ12" i="1" s="1"/>
  <c r="AY12" i="1"/>
  <c r="BD12" i="1"/>
  <c r="BE12" i="1"/>
  <c r="CG21" i="1"/>
  <c r="BJ21" i="1"/>
  <c r="BZ21" i="1" s="1"/>
  <c r="AY21" i="1"/>
  <c r="BD21" i="1"/>
  <c r="BE21" i="1"/>
  <c r="CG54" i="1"/>
  <c r="BJ54" i="1"/>
  <c r="BZ54" i="1" s="1"/>
  <c r="AY54" i="1"/>
  <c r="BD54" i="1"/>
  <c r="BE54" i="1"/>
  <c r="CG132" i="1"/>
  <c r="BJ132" i="1"/>
  <c r="BZ132" i="1" s="1"/>
  <c r="AY132" i="1"/>
  <c r="CG71" i="1"/>
  <c r="X191" i="5"/>
  <c r="BO191" i="1"/>
  <c r="CJ191" i="1"/>
  <c r="BI191" i="1"/>
  <c r="BL191" i="1" s="1"/>
  <c r="S191" i="1"/>
  <c r="AY71" i="1"/>
  <c r="CH191" i="1"/>
  <c r="CG191" i="1"/>
  <c r="AY191" i="1"/>
  <c r="CF191" i="1"/>
  <c r="AX191" i="1"/>
  <c r="CB191" i="1"/>
  <c r="CE191" i="1"/>
  <c r="CC191" i="1"/>
  <c r="AQ191" i="1" s="1"/>
  <c r="BS191" i="1" s="1"/>
  <c r="W191" i="5"/>
  <c r="AI191" i="1"/>
  <c r="CI191" i="1"/>
  <c r="BJ71" i="1"/>
  <c r="BZ71" i="1" s="1"/>
  <c r="BC191" i="1"/>
  <c r="BJ191" i="1"/>
  <c r="BZ191" i="1" s="1"/>
  <c r="AC191" i="5"/>
  <c r="BD191" i="1"/>
  <c r="AZ191" i="1"/>
  <c r="BE191" i="1"/>
  <c r="K191" i="1"/>
  <c r="BH191" i="1"/>
  <c r="Y191" i="5"/>
  <c r="AB191" i="5"/>
  <c r="AA177" i="5"/>
  <c r="CG22" i="1"/>
  <c r="AY22" i="1"/>
  <c r="BJ22" i="1"/>
  <c r="BZ22" i="1" s="1"/>
  <c r="BD22" i="1"/>
  <c r="BE22" i="1"/>
  <c r="CG85" i="1"/>
  <c r="CE193" i="1"/>
  <c r="AX193" i="1"/>
  <c r="CC193" i="1"/>
  <c r="AQ193" i="1" s="1"/>
  <c r="BS193" i="1" s="1"/>
  <c r="AY85" i="1"/>
  <c r="CI193" i="1"/>
  <c r="BO193" i="1"/>
  <c r="BJ193" i="1"/>
  <c r="BZ193" i="1" s="1"/>
  <c r="CJ193" i="1"/>
  <c r="BI193" i="1"/>
  <c r="BL193" i="1" s="1"/>
  <c r="S193" i="1"/>
  <c r="BC193" i="1"/>
  <c r="BJ85" i="1"/>
  <c r="BZ85" i="1" s="1"/>
  <c r="AZ193" i="1"/>
  <c r="AY193" i="1"/>
  <c r="CH193" i="1"/>
  <c r="CG193" i="1"/>
  <c r="CF193" i="1"/>
  <c r="CB193" i="1"/>
  <c r="Y193" i="5"/>
  <c r="K193" i="1"/>
  <c r="BH193" i="1"/>
  <c r="AB193" i="5"/>
  <c r="W193" i="5"/>
  <c r="X193" i="5"/>
  <c r="AC193" i="5"/>
  <c r="CG48" i="1"/>
  <c r="BJ48" i="1"/>
  <c r="AY48" i="1"/>
  <c r="BE48" i="1"/>
  <c r="BD48" i="1"/>
  <c r="CG26" i="1"/>
  <c r="BJ26" i="1"/>
  <c r="AY26" i="1"/>
  <c r="CG44" i="1"/>
  <c r="BJ44" i="1"/>
  <c r="BZ44" i="1" s="1"/>
  <c r="AY44" i="1"/>
  <c r="BD44" i="1"/>
  <c r="BE44" i="1"/>
  <c r="CG37" i="1"/>
  <c r="AY37" i="1"/>
  <c r="BJ37" i="1"/>
  <c r="BZ37" i="1" s="1"/>
  <c r="CG74" i="1"/>
  <c r="BJ74" i="1"/>
  <c r="CJ185" i="1"/>
  <c r="BI185" i="1"/>
  <c r="BL185" i="1" s="1"/>
  <c r="S185" i="1"/>
  <c r="CI185" i="1"/>
  <c r="BC185" i="1"/>
  <c r="BJ185" i="1"/>
  <c r="CG185" i="1"/>
  <c r="AZ185" i="1"/>
  <c r="CF185" i="1"/>
  <c r="AY185" i="1"/>
  <c r="CE185" i="1"/>
  <c r="AX185" i="1"/>
  <c r="CC185" i="1"/>
  <c r="CB185" i="1"/>
  <c r="BO185" i="1"/>
  <c r="BQ185" i="1" s="1"/>
  <c r="BN185" i="1" s="1"/>
  <c r="AY74" i="1"/>
  <c r="CH185" i="1"/>
  <c r="AC185" i="5"/>
  <c r="CG9" i="1"/>
  <c r="BJ9" i="1"/>
  <c r="AY9" i="1"/>
  <c r="CG38" i="1"/>
  <c r="BJ38" i="1"/>
  <c r="BZ38" i="1" s="1"/>
  <c r="AY38" i="1"/>
  <c r="CG125" i="1"/>
  <c r="BJ125" i="1"/>
  <c r="BZ125" i="1" s="1"/>
  <c r="AY125" i="1"/>
  <c r="BD125" i="1"/>
  <c r="BE125" i="1"/>
  <c r="CG25" i="1"/>
  <c r="AY25" i="1"/>
  <c r="BJ25" i="1"/>
  <c r="BZ25" i="1" s="1"/>
  <c r="CG42" i="1"/>
  <c r="BJ42" i="1"/>
  <c r="BZ42" i="1" s="1"/>
  <c r="AY42" i="1"/>
  <c r="BD42" i="1"/>
  <c r="BE42" i="1"/>
  <c r="CG36" i="1"/>
  <c r="BJ36" i="1"/>
  <c r="BZ36" i="1" s="1"/>
  <c r="AY36" i="1"/>
  <c r="CG84" i="1"/>
  <c r="CE189" i="1"/>
  <c r="AX189" i="1"/>
  <c r="CC189" i="1"/>
  <c r="AQ189" i="1" s="1"/>
  <c r="BS189" i="1" s="1"/>
  <c r="BO189" i="1"/>
  <c r="BQ189" i="1" s="1"/>
  <c r="BN189" i="1" s="1"/>
  <c r="BJ189" i="1"/>
  <c r="BZ189" i="1" s="1"/>
  <c r="CJ189" i="1"/>
  <c r="BI189" i="1"/>
  <c r="BL189" i="1" s="1"/>
  <c r="S189" i="1"/>
  <c r="BJ84" i="1"/>
  <c r="BZ84" i="1" s="1"/>
  <c r="AY189" i="1"/>
  <c r="CI189" i="1"/>
  <c r="CH189" i="1"/>
  <c r="CG189" i="1"/>
  <c r="CF189" i="1"/>
  <c r="CB189" i="1"/>
  <c r="BC189" i="1"/>
  <c r="AY84" i="1"/>
  <c r="AZ189" i="1"/>
  <c r="AB189" i="5"/>
  <c r="K189" i="1"/>
  <c r="Y189" i="5"/>
  <c r="W189" i="5"/>
  <c r="BH189" i="1"/>
  <c r="X189" i="5"/>
  <c r="AC189" i="5"/>
  <c r="CG75" i="1"/>
  <c r="BJ75" i="1"/>
  <c r="AY75" i="1"/>
  <c r="CG47" i="1"/>
  <c r="AY47" i="1"/>
  <c r="BJ47" i="1"/>
  <c r="BZ47" i="1" s="1"/>
  <c r="BD47" i="1"/>
  <c r="BE47" i="1"/>
  <c r="CG27" i="1"/>
  <c r="BJ27" i="1"/>
  <c r="BZ27" i="1" s="1"/>
  <c r="AY27" i="1"/>
  <c r="BE27" i="1"/>
  <c r="BD27" i="1"/>
  <c r="CG45" i="1"/>
  <c r="BJ45" i="1"/>
  <c r="BZ45" i="1" s="1"/>
  <c r="AY45" i="1"/>
  <c r="BE45" i="1"/>
  <c r="BD45" i="1"/>
  <c r="CG10" i="1"/>
  <c r="AY10" i="1"/>
  <c r="BJ10" i="1"/>
  <c r="BZ10" i="1" s="1"/>
  <c r="CG14" i="1"/>
  <c r="BJ14" i="1"/>
  <c r="AY14" i="1"/>
  <c r="CG28" i="1"/>
  <c r="BJ28" i="1"/>
  <c r="AY28" i="1"/>
  <c r="CG46" i="1"/>
  <c r="AY46" i="1"/>
  <c r="BJ46" i="1"/>
  <c r="BZ46" i="1" s="1"/>
  <c r="CG40" i="1"/>
  <c r="BJ40" i="1"/>
  <c r="BZ40" i="1" s="1"/>
  <c r="AY40" i="1"/>
  <c r="BD40" i="1"/>
  <c r="BE40" i="1"/>
  <c r="CG88" i="1"/>
  <c r="BJ195" i="1"/>
  <c r="BZ195" i="1" s="1"/>
  <c r="CE195" i="1"/>
  <c r="AY195" i="1"/>
  <c r="CC195" i="1"/>
  <c r="AQ195" i="1" s="1"/>
  <c r="BS195" i="1" s="1"/>
  <c r="AX195" i="1"/>
  <c r="BJ88" i="1"/>
  <c r="BZ88" i="1" s="1"/>
  <c r="BO195" i="1"/>
  <c r="BQ195" i="1" s="1"/>
  <c r="BN195" i="1" s="1"/>
  <c r="AI195" i="1"/>
  <c r="AY88" i="1"/>
  <c r="BI195" i="1"/>
  <c r="BL195" i="1" s="1"/>
  <c r="CJ195" i="1"/>
  <c r="CI195" i="1"/>
  <c r="S195" i="1"/>
  <c r="BC195" i="1"/>
  <c r="AZ195" i="1"/>
  <c r="CH195" i="1"/>
  <c r="CG195" i="1"/>
  <c r="CF195" i="1"/>
  <c r="CB195" i="1"/>
  <c r="X195" i="5"/>
  <c r="W195" i="5"/>
  <c r="BH195" i="1"/>
  <c r="AB195" i="5"/>
  <c r="AC195" i="5"/>
  <c r="Y195" i="5"/>
  <c r="BD195" i="1"/>
  <c r="K195" i="1"/>
  <c r="BE195" i="1"/>
  <c r="BD88" i="1"/>
  <c r="BE88" i="1"/>
  <c r="CG41" i="1"/>
  <c r="BJ41" i="1"/>
  <c r="BZ41" i="1" s="1"/>
  <c r="AY41" i="1"/>
  <c r="BK126" i="1"/>
  <c r="BK33" i="1"/>
  <c r="BE35" i="3"/>
  <c r="AZ53" i="1"/>
  <c r="BE53" i="3"/>
  <c r="BE66" i="3"/>
  <c r="BE83" i="3"/>
  <c r="BE17" i="3"/>
  <c r="BE29" i="3"/>
  <c r="BE68" i="3"/>
  <c r="BE95" i="3"/>
  <c r="BE61" i="3"/>
  <c r="BE84" i="3"/>
  <c r="BE47" i="3"/>
  <c r="BE50" i="3"/>
  <c r="BE121" i="3"/>
  <c r="BW27" i="1"/>
  <c r="BE27" i="3"/>
  <c r="BE38" i="3"/>
  <c r="BE18" i="3"/>
  <c r="AZ67" i="1"/>
  <c r="BE67" i="3"/>
  <c r="AA163" i="5"/>
  <c r="Z163" i="5"/>
  <c r="AZ96" i="1"/>
  <c r="BE96" i="3"/>
  <c r="BE69" i="3"/>
  <c r="BE82" i="3"/>
  <c r="BE20" i="3"/>
  <c r="BE32" i="3"/>
  <c r="BE97" i="3"/>
  <c r="AZ42" i="1"/>
  <c r="BE42" i="3"/>
  <c r="BE12" i="3"/>
  <c r="BE21" i="3"/>
  <c r="BE54" i="3"/>
  <c r="AZ22" i="1"/>
  <c r="BE22" i="3"/>
  <c r="BE34" i="3"/>
  <c r="BE85" i="3"/>
  <c r="BE72" i="3"/>
  <c r="BE48" i="3"/>
  <c r="BE44" i="3"/>
  <c r="BE37" i="3"/>
  <c r="BE40" i="3"/>
  <c r="BE88" i="3"/>
  <c r="BE125" i="3"/>
  <c r="BE36" i="3"/>
  <c r="BE45" i="3"/>
  <c r="BE10" i="3"/>
  <c r="BE49" i="3"/>
  <c r="BE129" i="3"/>
  <c r="BE87" i="3"/>
  <c r="BE41" i="3"/>
  <c r="AS45" i="3"/>
  <c r="BH45" i="3" s="1"/>
  <c r="BI45" i="3" s="1"/>
  <c r="AT45" i="3"/>
  <c r="BJ45" i="3" s="1"/>
  <c r="CH45" i="1"/>
  <c r="CC45" i="1"/>
  <c r="CE45" i="1"/>
  <c r="BI45" i="1"/>
  <c r="BL45" i="1" s="1"/>
  <c r="CJ45" i="1"/>
  <c r="BO45" i="1"/>
  <c r="BQ45" i="1" s="1"/>
  <c r="BN45" i="1" s="1"/>
  <c r="CB45" i="1"/>
  <c r="CF45" i="1"/>
  <c r="AX45" i="1"/>
  <c r="CI45" i="1"/>
  <c r="BC45" i="1"/>
  <c r="AI45" i="1"/>
  <c r="AJ45" i="1" s="1"/>
  <c r="Y45" i="5"/>
  <c r="W45" i="5"/>
  <c r="X45" i="5"/>
  <c r="AC45" i="5"/>
  <c r="BH45" i="1"/>
  <c r="BG45" i="3"/>
  <c r="AB45" i="5"/>
  <c r="K45" i="1"/>
  <c r="T43" i="5"/>
  <c r="U43" i="5"/>
  <c r="V43" i="5"/>
  <c r="AS18" i="3"/>
  <c r="BH18" i="3" s="1"/>
  <c r="AZ18" i="1"/>
  <c r="CB18" i="1"/>
  <c r="BC18" i="1"/>
  <c r="CE18" i="1"/>
  <c r="BO18" i="1"/>
  <c r="BQ18" i="1" s="1"/>
  <c r="BN18" i="1" s="1"/>
  <c r="S18" i="1"/>
  <c r="CC18" i="1"/>
  <c r="AX18" i="1"/>
  <c r="CF18" i="1"/>
  <c r="CH18" i="1"/>
  <c r="CI18" i="1"/>
  <c r="CJ18" i="1"/>
  <c r="BI18" i="1"/>
  <c r="BL18" i="1" s="1"/>
  <c r="X18" i="5"/>
  <c r="AC18" i="5"/>
  <c r="BG18" i="3"/>
  <c r="AT18" i="3"/>
  <c r="AU18" i="3" s="1"/>
  <c r="AB18" i="5"/>
  <c r="K18" i="1"/>
  <c r="BH18" i="1"/>
  <c r="W18" i="5"/>
  <c r="Y18" i="5"/>
  <c r="CF31" i="1"/>
  <c r="BO31" i="1"/>
  <c r="BQ31" i="1" s="1"/>
  <c r="BN31" i="1" s="1"/>
  <c r="CI31" i="1"/>
  <c r="AZ31" i="1"/>
  <c r="CE31" i="1"/>
  <c r="CH31" i="1"/>
  <c r="BI31" i="1"/>
  <c r="BL31" i="1" s="1"/>
  <c r="BC31" i="1"/>
  <c r="S31" i="1"/>
  <c r="CB31" i="1"/>
  <c r="CC31" i="1"/>
  <c r="AX31" i="1"/>
  <c r="CJ31" i="1"/>
  <c r="AC31" i="5"/>
  <c r="AT46" i="3"/>
  <c r="BJ46" i="3" s="1"/>
  <c r="CH46" i="1"/>
  <c r="CB46" i="1"/>
  <c r="CE46" i="1"/>
  <c r="BC46" i="1"/>
  <c r="BI46" i="1"/>
  <c r="BL46" i="1" s="1"/>
  <c r="CI46" i="1"/>
  <c r="BO46" i="1"/>
  <c r="BQ46" i="1" s="1"/>
  <c r="BN46" i="1" s="1"/>
  <c r="CC46" i="1"/>
  <c r="CF46" i="1"/>
  <c r="CJ46" i="1"/>
  <c r="AX46" i="1"/>
  <c r="AI46" i="1"/>
  <c r="AJ46" i="1" s="1"/>
  <c r="AC46" i="5"/>
  <c r="AS40" i="3"/>
  <c r="BH40" i="3" s="1"/>
  <c r="BI40" i="1"/>
  <c r="BL40" i="1" s="1"/>
  <c r="CH40" i="1"/>
  <c r="AX40" i="1"/>
  <c r="CC40" i="1"/>
  <c r="CE40" i="1"/>
  <c r="AI40" i="1"/>
  <c r="AJ40" i="1" s="1"/>
  <c r="CB40" i="1"/>
  <c r="CI40" i="1"/>
  <c r="AZ40" i="1"/>
  <c r="CJ40" i="1"/>
  <c r="BC40" i="1"/>
  <c r="BO40" i="1"/>
  <c r="CF40" i="1"/>
  <c r="S40" i="1"/>
  <c r="AC40" i="5"/>
  <c r="AT40" i="3"/>
  <c r="AU40" i="3" s="1"/>
  <c r="BG40" i="3"/>
  <c r="BH40" i="1"/>
  <c r="AB40" i="5"/>
  <c r="W40" i="5"/>
  <c r="X40" i="5"/>
  <c r="Y40" i="5"/>
  <c r="K40" i="1"/>
  <c r="AT88" i="3"/>
  <c r="AS88" i="3"/>
  <c r="BH88" i="3" s="1"/>
  <c r="BI88" i="3" s="1"/>
  <c r="BC88" i="1"/>
  <c r="CH88" i="1"/>
  <c r="BI88" i="1"/>
  <c r="BL88" i="1" s="1"/>
  <c r="CI88" i="1"/>
  <c r="CJ88" i="1"/>
  <c r="S88" i="1"/>
  <c r="BO88" i="1"/>
  <c r="CB88" i="1"/>
  <c r="CE88" i="1"/>
  <c r="AZ88" i="1"/>
  <c r="CF88" i="1"/>
  <c r="AI88" i="1"/>
  <c r="AJ88" i="1" s="1"/>
  <c r="AX88" i="1"/>
  <c r="CC88" i="1"/>
  <c r="X88" i="5"/>
  <c r="Y88" i="5"/>
  <c r="AC88" i="5"/>
  <c r="BG88" i="3"/>
  <c r="E195" i="5" s="1"/>
  <c r="BH88" i="1"/>
  <c r="AB88" i="5"/>
  <c r="K88" i="1"/>
  <c r="W88" i="5"/>
  <c r="BU33" i="1"/>
  <c r="BG33" i="1"/>
  <c r="BP33" i="1" s="1" a="1"/>
  <c r="BP33" i="1" s="1"/>
  <c r="CD33" i="1"/>
  <c r="BF33" i="1"/>
  <c r="AL33" i="1"/>
  <c r="S33" i="5"/>
  <c r="AM33" i="1"/>
  <c r="AK33" i="1"/>
  <c r="AZ19" i="1"/>
  <c r="CC19" i="1"/>
  <c r="S19" i="1"/>
  <c r="CI19" i="1"/>
  <c r="CJ19" i="1"/>
  <c r="BO19" i="1"/>
  <c r="BQ19" i="1" s="1"/>
  <c r="BN19" i="1" s="1"/>
  <c r="CB19" i="1"/>
  <c r="BC19" i="1"/>
  <c r="BI19" i="1"/>
  <c r="BL19" i="1" s="1"/>
  <c r="CH19" i="1"/>
  <c r="CF19" i="1"/>
  <c r="AX19" i="1"/>
  <c r="CE19" i="1"/>
  <c r="AC19" i="5"/>
  <c r="AS64" i="3"/>
  <c r="BH64" i="3" s="1"/>
  <c r="BI64" i="1"/>
  <c r="BL64" i="1" s="1"/>
  <c r="CC64" i="1"/>
  <c r="BZ64" i="1" s="1"/>
  <c r="AX64" i="1"/>
  <c r="CB64" i="1"/>
  <c r="AI64" i="1"/>
  <c r="AJ64" i="1" s="1"/>
  <c r="BO64" i="1"/>
  <c r="BQ64" i="1" s="1"/>
  <c r="BN64" i="1" s="1"/>
  <c r="CI64" i="1"/>
  <c r="CE64" i="1"/>
  <c r="CF64" i="1"/>
  <c r="CH64" i="1"/>
  <c r="CJ64" i="1"/>
  <c r="BC64" i="1"/>
  <c r="BG64" i="3"/>
  <c r="AT64" i="3"/>
  <c r="BJ64" i="3" s="1"/>
  <c r="K64" i="1"/>
  <c r="X64" i="5"/>
  <c r="BH64" i="1"/>
  <c r="AB64" i="5"/>
  <c r="AZ64" i="1"/>
  <c r="Y64" i="5"/>
  <c r="AC64" i="5"/>
  <c r="W64" i="5"/>
  <c r="AS66" i="3"/>
  <c r="BH66" i="3" s="1"/>
  <c r="AI66" i="1"/>
  <c r="AJ66" i="1" s="1"/>
  <c r="AZ66" i="1"/>
  <c r="CC66" i="1"/>
  <c r="CI66" i="1"/>
  <c r="AX66" i="1"/>
  <c r="CB66" i="1"/>
  <c r="CF66" i="1"/>
  <c r="BC66" i="1"/>
  <c r="BI66" i="1"/>
  <c r="BL66" i="1" s="1"/>
  <c r="CH66" i="1"/>
  <c r="BO66" i="1"/>
  <c r="BQ66" i="1" s="1"/>
  <c r="BN66" i="1" s="1"/>
  <c r="CE66" i="1"/>
  <c r="CJ66" i="1"/>
  <c r="K66" i="1"/>
  <c r="AT66" i="3"/>
  <c r="BJ66" i="3" s="1"/>
  <c r="BG66" i="3"/>
  <c r="BH66" i="1"/>
  <c r="AB66" i="5"/>
  <c r="AC66" i="5"/>
  <c r="Y66" i="5"/>
  <c r="X66" i="5"/>
  <c r="W66" i="5"/>
  <c r="AT83" i="3"/>
  <c r="BJ83" i="3" s="1"/>
  <c r="BR83" i="3" s="1"/>
  <c r="BV83" i="3" s="1"/>
  <c r="AS83" i="3"/>
  <c r="BH83" i="3" s="1"/>
  <c r="BI83" i="1"/>
  <c r="BL83" i="1" s="1"/>
  <c r="CI83" i="1"/>
  <c r="BC83" i="1"/>
  <c r="CJ83" i="1"/>
  <c r="S83" i="1"/>
  <c r="BO83" i="1"/>
  <c r="BQ83" i="1" s="1"/>
  <c r="BN83" i="1" s="1"/>
  <c r="CB83" i="1"/>
  <c r="AX83" i="1"/>
  <c r="CC83" i="1"/>
  <c r="AZ83" i="1"/>
  <c r="CF83" i="1"/>
  <c r="CH83" i="1"/>
  <c r="CE83" i="1"/>
  <c r="Y83" i="5"/>
  <c r="X83" i="5"/>
  <c r="BG83" i="3"/>
  <c r="AB83" i="5"/>
  <c r="K83" i="1"/>
  <c r="BH83" i="1"/>
  <c r="W83" i="5"/>
  <c r="AC83" i="5"/>
  <c r="BI78" i="1"/>
  <c r="BL78" i="1" s="1"/>
  <c r="CH78" i="1"/>
  <c r="S78" i="1"/>
  <c r="CI78" i="1"/>
  <c r="AI78" i="1"/>
  <c r="AJ78" i="1" s="1"/>
  <c r="CE78" i="1"/>
  <c r="CB78" i="1"/>
  <c r="CC78" i="1"/>
  <c r="CJ78" i="1"/>
  <c r="BC78" i="1"/>
  <c r="BO78" i="1"/>
  <c r="BQ78" i="1" s="1"/>
  <c r="BN78" i="1" s="1"/>
  <c r="CF78" i="1"/>
  <c r="AX78" i="1"/>
  <c r="AC78" i="5"/>
  <c r="BO86" i="1"/>
  <c r="CJ86" i="1"/>
  <c r="AZ86" i="1"/>
  <c r="CF86" i="1"/>
  <c r="BC86" i="1"/>
  <c r="CH86" i="1"/>
  <c r="S86" i="1"/>
  <c r="BI86" i="1"/>
  <c r="BL86" i="1" s="1"/>
  <c r="CI86" i="1"/>
  <c r="AI86" i="1"/>
  <c r="AJ86" i="1" s="1"/>
  <c r="AX86" i="1"/>
  <c r="CC86" i="1"/>
  <c r="CE86" i="1"/>
  <c r="CB86" i="1"/>
  <c r="AC86" i="5"/>
  <c r="AS35" i="3"/>
  <c r="BH35" i="3" s="1"/>
  <c r="CE35" i="1"/>
  <c r="AZ35" i="1"/>
  <c r="CC35" i="1"/>
  <c r="CF35" i="1"/>
  <c r="BI35" i="1"/>
  <c r="BL35" i="1" s="1"/>
  <c r="CH35" i="1"/>
  <c r="BO35" i="1"/>
  <c r="BQ35" i="1" s="1"/>
  <c r="BN35" i="1" s="1"/>
  <c r="AI35" i="1"/>
  <c r="AJ35" i="1" s="1"/>
  <c r="CB35" i="1"/>
  <c r="AX35" i="1"/>
  <c r="S35" i="1"/>
  <c r="CI35" i="1"/>
  <c r="CJ35" i="1"/>
  <c r="BC35" i="1"/>
  <c r="Y35" i="5"/>
  <c r="W35" i="5"/>
  <c r="AT35" i="3"/>
  <c r="BJ35" i="3" s="1"/>
  <c r="BR35" i="3" s="1"/>
  <c r="BV35" i="3" s="1"/>
  <c r="K35" i="1"/>
  <c r="BG35" i="3"/>
  <c r="BH35" i="1"/>
  <c r="AB35" i="5"/>
  <c r="X35" i="5"/>
  <c r="AC35" i="5"/>
  <c r="AU33" i="3"/>
  <c r="BO33" i="3"/>
  <c r="BL33" i="3"/>
  <c r="S126" i="5"/>
  <c r="AM126" i="1"/>
  <c r="AK126" i="1"/>
  <c r="AL126" i="1"/>
  <c r="AS17" i="3"/>
  <c r="BH17" i="3" s="1"/>
  <c r="CJ17" i="1"/>
  <c r="AX17" i="1"/>
  <c r="AZ17" i="1"/>
  <c r="CB17" i="1"/>
  <c r="BC17" i="1"/>
  <c r="CE17" i="1"/>
  <c r="BI17" i="1"/>
  <c r="BL17" i="1" s="1"/>
  <c r="CF17" i="1"/>
  <c r="S17" i="1"/>
  <c r="CH17" i="1"/>
  <c r="BO17" i="1"/>
  <c r="BQ17" i="1" s="1"/>
  <c r="BN17" i="1" s="1"/>
  <c r="CI17" i="1"/>
  <c r="CC17" i="1"/>
  <c r="Y17" i="5"/>
  <c r="AC17" i="5"/>
  <c r="X17" i="5"/>
  <c r="AT17" i="3"/>
  <c r="BJ17" i="3" s="1"/>
  <c r="BG17" i="3"/>
  <c r="BH17" i="1"/>
  <c r="W17" i="5"/>
  <c r="K17" i="1"/>
  <c r="AB17" i="5"/>
  <c r="AS38" i="3"/>
  <c r="BH38" i="3" s="1"/>
  <c r="AZ38" i="1"/>
  <c r="CB38" i="1"/>
  <c r="S38" i="1"/>
  <c r="CH38" i="1"/>
  <c r="CI38" i="1"/>
  <c r="AI38" i="1"/>
  <c r="AJ38" i="1" s="1"/>
  <c r="BC38" i="1"/>
  <c r="BI38" i="1"/>
  <c r="BL38" i="1" s="1"/>
  <c r="CJ38" i="1"/>
  <c r="BO38" i="1"/>
  <c r="BQ38" i="1" s="1"/>
  <c r="BN38" i="1" s="1"/>
  <c r="AX38" i="1"/>
  <c r="CC38" i="1"/>
  <c r="CE38" i="1"/>
  <c r="CF38" i="1"/>
  <c r="X38" i="5"/>
  <c r="Y38" i="5"/>
  <c r="AC38" i="5"/>
  <c r="W38" i="5"/>
  <c r="AB38" i="5"/>
  <c r="BG38" i="3"/>
  <c r="AT38" i="3"/>
  <c r="BJ38" i="3" s="1"/>
  <c r="BH38" i="1"/>
  <c r="K38" i="1"/>
  <c r="AS20" i="3"/>
  <c r="BH20" i="3" s="1"/>
  <c r="S20" i="1"/>
  <c r="CH20" i="1"/>
  <c r="AX20" i="1"/>
  <c r="CB20" i="1"/>
  <c r="CC20" i="1"/>
  <c r="CF20" i="1"/>
  <c r="BI20" i="1"/>
  <c r="BL20" i="1" s="1"/>
  <c r="CE20" i="1"/>
  <c r="CI20" i="1"/>
  <c r="AZ20" i="1"/>
  <c r="CJ20" i="1"/>
  <c r="BO20" i="1"/>
  <c r="BQ20" i="1" s="1"/>
  <c r="BN20" i="1" s="1"/>
  <c r="BC20" i="1"/>
  <c r="W20" i="5"/>
  <c r="AT20" i="3"/>
  <c r="BJ20" i="3" s="1"/>
  <c r="BR20" i="3" s="1"/>
  <c r="BV20" i="3" s="1"/>
  <c r="BG20" i="3"/>
  <c r="K20" i="1"/>
  <c r="AB20" i="5"/>
  <c r="BH20" i="1"/>
  <c r="Y20" i="5"/>
  <c r="X20" i="5"/>
  <c r="AC20" i="5"/>
  <c r="AS53" i="3"/>
  <c r="BH53" i="3" s="1"/>
  <c r="BI53" i="3" s="1"/>
  <c r="AT53" i="3"/>
  <c r="BJ53" i="3" s="1"/>
  <c r="CF53" i="1"/>
  <c r="CB53" i="1"/>
  <c r="BC53" i="1"/>
  <c r="CC53" i="1"/>
  <c r="CI53" i="1"/>
  <c r="CJ53" i="1"/>
  <c r="AX53" i="1"/>
  <c r="CH53" i="1"/>
  <c r="BI53" i="1"/>
  <c r="BL53" i="1" s="1"/>
  <c r="CE53" i="1"/>
  <c r="BO53" i="1"/>
  <c r="BQ53" i="1" s="1"/>
  <c r="BN53" i="1" s="1"/>
  <c r="AI53" i="1"/>
  <c r="AJ53" i="1" s="1"/>
  <c r="AC53" i="5"/>
  <c r="W53" i="5"/>
  <c r="K53" i="1"/>
  <c r="AB53" i="5"/>
  <c r="X53" i="5"/>
  <c r="BG53" i="3"/>
  <c r="Y53" i="5"/>
  <c r="BH53" i="1"/>
  <c r="AS12" i="3"/>
  <c r="BH12" i="3" s="1"/>
  <c r="CH12" i="1"/>
  <c r="BO12" i="1"/>
  <c r="BQ12" i="1" s="1"/>
  <c r="BN12" i="1" s="1"/>
  <c r="AI12" i="1"/>
  <c r="AJ12" i="1" s="1"/>
  <c r="CB12" i="1"/>
  <c r="AX12" i="1"/>
  <c r="CE12" i="1"/>
  <c r="CF12" i="1"/>
  <c r="CC12" i="1"/>
  <c r="CJ12" i="1"/>
  <c r="BC12" i="1"/>
  <c r="BI12" i="1"/>
  <c r="BL12" i="1" s="1"/>
  <c r="CI12" i="1"/>
  <c r="BG12" i="3"/>
  <c r="AB12" i="5"/>
  <c r="AT12" i="3"/>
  <c r="BJ12" i="3" s="1"/>
  <c r="BR12" i="3" s="1"/>
  <c r="BV12" i="3" s="1"/>
  <c r="K12" i="1"/>
  <c r="X12" i="5"/>
  <c r="W12" i="5"/>
  <c r="BH12" i="1"/>
  <c r="AC12" i="5"/>
  <c r="Y12" i="5"/>
  <c r="AS21" i="3"/>
  <c r="BH21" i="3" s="1"/>
  <c r="CI21" i="1"/>
  <c r="BO21" i="1"/>
  <c r="BQ21" i="1" s="1"/>
  <c r="BN21" i="1" s="1"/>
  <c r="CJ21" i="1"/>
  <c r="CF21" i="1"/>
  <c r="BC21" i="1"/>
  <c r="AI21" i="1"/>
  <c r="AJ21" i="1" s="1"/>
  <c r="CB21" i="1"/>
  <c r="CC21" i="1"/>
  <c r="CE21" i="1"/>
  <c r="AX21" i="1"/>
  <c r="CH21" i="1"/>
  <c r="BI21" i="1"/>
  <c r="BL21" i="1" s="1"/>
  <c r="W21" i="5"/>
  <c r="AC21" i="5"/>
  <c r="AT21" i="3"/>
  <c r="BJ21" i="3" s="1"/>
  <c r="BR21" i="3" s="1"/>
  <c r="BV21" i="3" s="1"/>
  <c r="BG21" i="3"/>
  <c r="AB21" i="5"/>
  <c r="K21" i="1"/>
  <c r="Y21" i="5"/>
  <c r="X21" i="5"/>
  <c r="BH21" i="1"/>
  <c r="CC6" i="1"/>
  <c r="CH6" i="1"/>
  <c r="CI6" i="1"/>
  <c r="BO6" i="1"/>
  <c r="BQ6" i="1" s="1"/>
  <c r="BN6" i="1" s="1"/>
  <c r="CJ6" i="1"/>
  <c r="BI6" i="1"/>
  <c r="BL6" i="1" s="1"/>
  <c r="AX6" i="1"/>
  <c r="BC6" i="1"/>
  <c r="CE6" i="1"/>
  <c r="CF6" i="1"/>
  <c r="AI6" i="1"/>
  <c r="AJ6" i="1" s="1"/>
  <c r="CB6" i="1"/>
  <c r="AC6" i="5"/>
  <c r="AT52" i="3"/>
  <c r="BJ52" i="3" s="1"/>
  <c r="CC52" i="1"/>
  <c r="AI52" i="1"/>
  <c r="AJ52" i="1" s="1"/>
  <c r="CE52" i="1"/>
  <c r="BC52" i="1"/>
  <c r="CF52" i="1"/>
  <c r="CJ52" i="1"/>
  <c r="AX52" i="1"/>
  <c r="CB52" i="1"/>
  <c r="CH52" i="1"/>
  <c r="BO52" i="1"/>
  <c r="BQ52" i="1" s="1"/>
  <c r="BN52" i="1" s="1"/>
  <c r="CI52" i="1"/>
  <c r="BI52" i="1"/>
  <c r="BL52" i="1" s="1"/>
  <c r="AC52" i="5"/>
  <c r="AS29" i="3"/>
  <c r="BH29" i="3" s="1"/>
  <c r="AI29" i="1"/>
  <c r="AJ29" i="1" s="1"/>
  <c r="CI29" i="1"/>
  <c r="S29" i="1"/>
  <c r="CJ29" i="1"/>
  <c r="BO29" i="1"/>
  <c r="BQ29" i="1" s="1"/>
  <c r="BN29" i="1" s="1"/>
  <c r="AX29" i="1"/>
  <c r="CB29" i="1"/>
  <c r="CC29" i="1"/>
  <c r="CE29" i="1"/>
  <c r="BC29" i="1"/>
  <c r="CH29" i="1"/>
  <c r="CF29" i="1"/>
  <c r="BI29" i="1"/>
  <c r="BL29" i="1" s="1"/>
  <c r="BG29" i="3"/>
  <c r="AT29" i="3"/>
  <c r="BJ29" i="3" s="1"/>
  <c r="AB29" i="5"/>
  <c r="X29" i="5"/>
  <c r="AC29" i="5"/>
  <c r="K29" i="1"/>
  <c r="BH29" i="1"/>
  <c r="W29" i="5"/>
  <c r="Y29" i="5"/>
  <c r="BQ29" i="3"/>
  <c r="AS68" i="3"/>
  <c r="BH68" i="3" s="1"/>
  <c r="CI68" i="1"/>
  <c r="BO68" i="1"/>
  <c r="BQ68" i="1" s="1"/>
  <c r="BN68" i="1" s="1"/>
  <c r="AI68" i="1"/>
  <c r="AJ68" i="1" s="1"/>
  <c r="AX68" i="1"/>
  <c r="CB68" i="1"/>
  <c r="S68" i="1"/>
  <c r="CH68" i="1"/>
  <c r="CE68" i="1"/>
  <c r="CF68" i="1"/>
  <c r="CJ68" i="1"/>
  <c r="BC68" i="1"/>
  <c r="CC68" i="1"/>
  <c r="Y68" i="5"/>
  <c r="BI68" i="1"/>
  <c r="BL68" i="1" s="1"/>
  <c r="AT68" i="3"/>
  <c r="BG68" i="3"/>
  <c r="E183" i="5" s="1"/>
  <c r="BH68" i="1"/>
  <c r="K68" i="1"/>
  <c r="AB68" i="5"/>
  <c r="W68" i="5"/>
  <c r="X68" i="5"/>
  <c r="AC68" i="5"/>
  <c r="AS95" i="3"/>
  <c r="BH95" i="3" s="1"/>
  <c r="S95" i="1"/>
  <c r="BI95" i="1"/>
  <c r="BL95" i="1" s="1"/>
  <c r="AX95" i="1"/>
  <c r="CB95" i="1"/>
  <c r="CC95" i="1"/>
  <c r="AZ95" i="1"/>
  <c r="CE95" i="1"/>
  <c r="BC95" i="1"/>
  <c r="CH95" i="1"/>
  <c r="CI95" i="1"/>
  <c r="CJ95" i="1"/>
  <c r="AI95" i="1"/>
  <c r="AJ95" i="1" s="1"/>
  <c r="BO95" i="1"/>
  <c r="BQ95" i="1" s="1"/>
  <c r="BN95" i="1" s="1"/>
  <c r="X95" i="5"/>
  <c r="W95" i="5"/>
  <c r="CF95" i="1"/>
  <c r="BG95" i="3"/>
  <c r="Y95" i="5"/>
  <c r="AT95" i="3"/>
  <c r="BJ95" i="3" s="1"/>
  <c r="BH95" i="1"/>
  <c r="AB95" i="5"/>
  <c r="AC95" i="5"/>
  <c r="K95" i="1"/>
  <c r="AS61" i="3"/>
  <c r="BH61" i="3" s="1"/>
  <c r="BO61" i="1"/>
  <c r="BQ61" i="1" s="1"/>
  <c r="BN61" i="1" s="1"/>
  <c r="CJ61" i="1"/>
  <c r="BC61" i="1"/>
  <c r="CH61" i="1"/>
  <c r="S61" i="1"/>
  <c r="BI61" i="1"/>
  <c r="BL61" i="1" s="1"/>
  <c r="CI61" i="1"/>
  <c r="AZ61" i="1"/>
  <c r="CE61" i="1"/>
  <c r="AI61" i="1"/>
  <c r="AJ61" i="1" s="1"/>
  <c r="CB61" i="1"/>
  <c r="CC61" i="1"/>
  <c r="AX61" i="1"/>
  <c r="CF61" i="1"/>
  <c r="X61" i="5"/>
  <c r="Y61" i="5"/>
  <c r="AC61" i="5"/>
  <c r="W61" i="5"/>
  <c r="K61" i="1"/>
  <c r="AT61" i="3"/>
  <c r="BJ61" i="3" s="1"/>
  <c r="BR61" i="3" s="1"/>
  <c r="BV61" i="3" s="1"/>
  <c r="BG61" i="3"/>
  <c r="AB61" i="5"/>
  <c r="BH61" i="1"/>
  <c r="BB33" i="3"/>
  <c r="CH16" i="1"/>
  <c r="BC16" i="1"/>
  <c r="CF16" i="1"/>
  <c r="S16" i="1"/>
  <c r="BI16" i="1"/>
  <c r="BL16" i="1" s="1"/>
  <c r="CJ16" i="1"/>
  <c r="CB16" i="1"/>
  <c r="AX16" i="1"/>
  <c r="CC16" i="1"/>
  <c r="AZ16" i="1"/>
  <c r="CI16" i="1"/>
  <c r="AI16" i="1"/>
  <c r="AJ16" i="1" s="1"/>
  <c r="CE16" i="1"/>
  <c r="BO16" i="1"/>
  <c r="BQ16" i="1" s="1"/>
  <c r="BN16" i="1" s="1"/>
  <c r="AC16" i="5"/>
  <c r="AS10" i="3"/>
  <c r="BH10" i="3" s="1"/>
  <c r="AI10" i="1"/>
  <c r="AJ10" i="1" s="1"/>
  <c r="CI10" i="1"/>
  <c r="CH10" i="1"/>
  <c r="CJ10" i="1"/>
  <c r="AX10" i="1"/>
  <c r="CB10" i="1"/>
  <c r="CE10" i="1"/>
  <c r="BI10" i="1"/>
  <c r="BL10" i="1" s="1"/>
  <c r="CC10" i="1"/>
  <c r="CF10" i="1"/>
  <c r="BC10" i="1"/>
  <c r="S10" i="1"/>
  <c r="Y10" i="5"/>
  <c r="X10" i="5"/>
  <c r="BO10" i="1"/>
  <c r="BQ10" i="1" s="1"/>
  <c r="BN10" i="1" s="1"/>
  <c r="W10" i="5"/>
  <c r="BG10" i="3"/>
  <c r="AT10" i="3"/>
  <c r="BJ10" i="3" s="1"/>
  <c r="K10" i="1"/>
  <c r="BH10" i="1"/>
  <c r="AB10" i="5"/>
  <c r="AC10" i="5"/>
  <c r="AI63" i="1"/>
  <c r="AJ63" i="1" s="1"/>
  <c r="CH63" i="1"/>
  <c r="CI63" i="1"/>
  <c r="AX63" i="1"/>
  <c r="BI63" i="1"/>
  <c r="BL63" i="1" s="1"/>
  <c r="CE63" i="1"/>
  <c r="BC63" i="1"/>
  <c r="BO63" i="1"/>
  <c r="BQ63" i="1" s="1"/>
  <c r="BN63" i="1" s="1"/>
  <c r="CB63" i="1"/>
  <c r="CF63" i="1"/>
  <c r="CJ63" i="1"/>
  <c r="CC63" i="1"/>
  <c r="AC63" i="5"/>
  <c r="AS49" i="3"/>
  <c r="BH49" i="3" s="1"/>
  <c r="BI49" i="3" s="1"/>
  <c r="AT49" i="3"/>
  <c r="BJ49" i="3" s="1"/>
  <c r="CB49" i="1"/>
  <c r="K49" i="1"/>
  <c r="BC49" i="1"/>
  <c r="CE49" i="1"/>
  <c r="AI49" i="1"/>
  <c r="AJ49" i="1" s="1"/>
  <c r="CH49" i="1"/>
  <c r="BO49" i="1"/>
  <c r="BQ49" i="1" s="1"/>
  <c r="BN49" i="1" s="1"/>
  <c r="BI49" i="1"/>
  <c r="BL49" i="1" s="1"/>
  <c r="CC49" i="1"/>
  <c r="AX49" i="1"/>
  <c r="CI49" i="1"/>
  <c r="CJ49" i="1"/>
  <c r="W49" i="5"/>
  <c r="X49" i="5"/>
  <c r="Y49" i="5"/>
  <c r="CF49" i="1"/>
  <c r="AC49" i="5"/>
  <c r="BG49" i="3"/>
  <c r="AB49" i="5"/>
  <c r="BH49" i="1"/>
  <c r="AT112" i="3"/>
  <c r="BJ112" i="3" s="1"/>
  <c r="AI112" i="1"/>
  <c r="AJ112" i="1" s="1"/>
  <c r="BO112" i="1"/>
  <c r="BQ112" i="1" s="1"/>
  <c r="BN112" i="1" s="1"/>
  <c r="CJ112" i="1"/>
  <c r="AX112" i="1"/>
  <c r="CC112" i="1"/>
  <c r="BC112" i="1"/>
  <c r="CE112" i="1"/>
  <c r="BI112" i="1"/>
  <c r="BL112" i="1" s="1"/>
  <c r="CF112" i="1"/>
  <c r="CH112" i="1"/>
  <c r="CI112" i="1"/>
  <c r="CB112" i="1"/>
  <c r="AC112" i="5"/>
  <c r="AS129" i="3"/>
  <c r="BH129" i="3" s="1"/>
  <c r="S129" i="1"/>
  <c r="CH129" i="1"/>
  <c r="CI129" i="1"/>
  <c r="AI129" i="1"/>
  <c r="AJ129" i="1" s="1"/>
  <c r="BO129" i="1"/>
  <c r="BQ129" i="1" s="1"/>
  <c r="BN129" i="1" s="1"/>
  <c r="CJ129" i="1"/>
  <c r="AX129" i="1"/>
  <c r="CC129" i="1"/>
  <c r="BC129" i="1"/>
  <c r="BI129" i="1"/>
  <c r="BL129" i="1" s="1"/>
  <c r="CF129" i="1"/>
  <c r="CB129" i="1"/>
  <c r="CE129" i="1"/>
  <c r="AT129" i="3"/>
  <c r="BJ129" i="3" s="1"/>
  <c r="BR129" i="3" s="1"/>
  <c r="BV129" i="3" s="1"/>
  <c r="BG129" i="3"/>
  <c r="AB129" i="5"/>
  <c r="K129" i="1"/>
  <c r="BH129" i="1"/>
  <c r="AC129" i="5"/>
  <c r="Y129" i="5"/>
  <c r="X129" i="5"/>
  <c r="W129" i="5"/>
  <c r="AS87" i="3"/>
  <c r="BH87" i="3" s="1"/>
  <c r="AI87" i="1"/>
  <c r="AJ87" i="1" s="1"/>
  <c r="AX87" i="1"/>
  <c r="CB87" i="1"/>
  <c r="CC87" i="1"/>
  <c r="CF87" i="1"/>
  <c r="BC87" i="1"/>
  <c r="BI87" i="1"/>
  <c r="BL87" i="1" s="1"/>
  <c r="CH87" i="1"/>
  <c r="BO87" i="1"/>
  <c r="CJ87" i="1"/>
  <c r="AZ87" i="1"/>
  <c r="CI87" i="1"/>
  <c r="W87" i="5"/>
  <c r="CE87" i="1"/>
  <c r="S87" i="1"/>
  <c r="BG87" i="3"/>
  <c r="E194" i="5" s="1"/>
  <c r="AT87" i="3"/>
  <c r="BH87" i="1"/>
  <c r="AB87" i="5"/>
  <c r="K87" i="1"/>
  <c r="AC87" i="5"/>
  <c r="X87" i="5"/>
  <c r="Y87" i="5"/>
  <c r="CB13" i="1"/>
  <c r="CC13" i="1"/>
  <c r="BI13" i="1"/>
  <c r="BL13" i="1" s="1"/>
  <c r="CF13" i="1"/>
  <c r="BO13" i="1"/>
  <c r="BQ13" i="1" s="1"/>
  <c r="BN13" i="1" s="1"/>
  <c r="AX13" i="1"/>
  <c r="CE13" i="1"/>
  <c r="CI13" i="1"/>
  <c r="CJ13" i="1"/>
  <c r="BC13" i="1"/>
  <c r="AI13" i="1"/>
  <c r="AJ13" i="1" s="1"/>
  <c r="CH13" i="1"/>
  <c r="AC13" i="5"/>
  <c r="AS22" i="3"/>
  <c r="BH22" i="3" s="1"/>
  <c r="CB22" i="1"/>
  <c r="AX22" i="1"/>
  <c r="CE22" i="1"/>
  <c r="CC22" i="1"/>
  <c r="CF22" i="1"/>
  <c r="BI22" i="1"/>
  <c r="BL22" i="1" s="1"/>
  <c r="CH22" i="1"/>
  <c r="CJ22" i="1"/>
  <c r="BO22" i="1"/>
  <c r="BQ22" i="1" s="1"/>
  <c r="BN22" i="1" s="1"/>
  <c r="BC22" i="1"/>
  <c r="AI22" i="1"/>
  <c r="AJ22" i="1" s="1"/>
  <c r="W22" i="5"/>
  <c r="Y22" i="5"/>
  <c r="X22" i="5"/>
  <c r="CI22" i="1"/>
  <c r="AT22" i="3"/>
  <c r="BJ22" i="3" s="1"/>
  <c r="BR22" i="3" s="1"/>
  <c r="BV22" i="3" s="1"/>
  <c r="BG22" i="3"/>
  <c r="AB22" i="5"/>
  <c r="BH22" i="1"/>
  <c r="K22" i="1"/>
  <c r="AC22" i="5"/>
  <c r="BO124" i="1"/>
  <c r="BQ124" i="1" s="1"/>
  <c r="BN124" i="1" s="1"/>
  <c r="CJ124" i="1"/>
  <c r="BC124" i="1"/>
  <c r="CE124" i="1"/>
  <c r="BI124" i="1"/>
  <c r="BL124" i="1" s="1"/>
  <c r="CF124" i="1"/>
  <c r="S124" i="1"/>
  <c r="CB124" i="1"/>
  <c r="AX124" i="1"/>
  <c r="CC124" i="1"/>
  <c r="AZ124" i="1"/>
  <c r="CH124" i="1"/>
  <c r="AC124" i="5"/>
  <c r="CI124" i="1"/>
  <c r="AT50" i="3"/>
  <c r="BJ50" i="3" s="1"/>
  <c r="AS50" i="3"/>
  <c r="BH50" i="3" s="1"/>
  <c r="CF50" i="1"/>
  <c r="BO50" i="1"/>
  <c r="BQ50" i="1" s="1"/>
  <c r="BN50" i="1" s="1"/>
  <c r="CB50" i="1"/>
  <c r="AI50" i="1"/>
  <c r="AJ50" i="1" s="1"/>
  <c r="CC50" i="1"/>
  <c r="CE50" i="1"/>
  <c r="CI50" i="1"/>
  <c r="BC50" i="1"/>
  <c r="CJ50" i="1"/>
  <c r="CH50" i="1"/>
  <c r="AX50" i="1"/>
  <c r="BI50" i="1"/>
  <c r="BL50" i="1" s="1"/>
  <c r="Y50" i="5"/>
  <c r="BG50" i="3"/>
  <c r="K50" i="1"/>
  <c r="W50" i="5"/>
  <c r="BH50" i="1"/>
  <c r="X50" i="5"/>
  <c r="AB50" i="5"/>
  <c r="AC50" i="5"/>
  <c r="AS67" i="3"/>
  <c r="BC67" i="1"/>
  <c r="CF67" i="1"/>
  <c r="BI67" i="1"/>
  <c r="BL67" i="1" s="1"/>
  <c r="CH67" i="1"/>
  <c r="CI67" i="1"/>
  <c r="AX67" i="1"/>
  <c r="CC67" i="1"/>
  <c r="AI67" i="1"/>
  <c r="AJ67" i="1" s="1"/>
  <c r="CB67" i="1"/>
  <c r="CE67" i="1"/>
  <c r="CJ67" i="1"/>
  <c r="BO67" i="1"/>
  <c r="BQ67" i="1" s="1"/>
  <c r="BN67" i="1" s="1"/>
  <c r="W67" i="5"/>
  <c r="X67" i="5"/>
  <c r="Y67" i="5"/>
  <c r="AT67" i="3"/>
  <c r="BG67" i="3"/>
  <c r="E182" i="5" s="1"/>
  <c r="BH67" i="1"/>
  <c r="AB67" i="5"/>
  <c r="K67" i="1"/>
  <c r="AC67" i="5"/>
  <c r="AS121" i="3"/>
  <c r="BH121" i="3" s="1"/>
  <c r="S121" i="1"/>
  <c r="BI121" i="1"/>
  <c r="BL121" i="1" s="1"/>
  <c r="AX121" i="1"/>
  <c r="CB121" i="1"/>
  <c r="BC121" i="1"/>
  <c r="CF121" i="1"/>
  <c r="BO121" i="1"/>
  <c r="BQ121" i="1" s="1"/>
  <c r="BN121" i="1" s="1"/>
  <c r="AI121" i="1"/>
  <c r="AJ121" i="1" s="1"/>
  <c r="CC121" i="1"/>
  <c r="CH121" i="1"/>
  <c r="CJ121" i="1"/>
  <c r="AZ121" i="1"/>
  <c r="CI121" i="1"/>
  <c r="X121" i="5"/>
  <c r="CE121" i="1"/>
  <c r="AT121" i="3"/>
  <c r="BJ121" i="3" s="1"/>
  <c r="BR121" i="3" s="1"/>
  <c r="BV121" i="3" s="1"/>
  <c r="BG121" i="3"/>
  <c r="AB121" i="5"/>
  <c r="K121" i="1"/>
  <c r="BH121" i="1"/>
  <c r="AC121" i="5"/>
  <c r="W121" i="5"/>
  <c r="Y121" i="5"/>
  <c r="AU126" i="3"/>
  <c r="AS41" i="3"/>
  <c r="BH41" i="3" s="1"/>
  <c r="CJ41" i="1"/>
  <c r="AI41" i="1"/>
  <c r="AJ41" i="1" s="1"/>
  <c r="CH41" i="1"/>
  <c r="BO41" i="1"/>
  <c r="BQ41" i="1" s="1"/>
  <c r="BN41" i="1" s="1"/>
  <c r="AX41" i="1"/>
  <c r="BC41" i="1"/>
  <c r="BI41" i="1"/>
  <c r="BL41" i="1" s="1"/>
  <c r="S41" i="1"/>
  <c r="AZ41" i="1"/>
  <c r="CF41" i="1"/>
  <c r="CB41" i="1"/>
  <c r="CE41" i="1"/>
  <c r="CI41" i="1"/>
  <c r="CC41" i="1"/>
  <c r="X41" i="5"/>
  <c r="Y41" i="5"/>
  <c r="AC41" i="5"/>
  <c r="K41" i="1"/>
  <c r="AB41" i="5"/>
  <c r="BG41" i="3"/>
  <c r="AT41" i="3"/>
  <c r="BJ41" i="3" s="1"/>
  <c r="BH41" i="1"/>
  <c r="W41" i="5"/>
  <c r="AS125" i="3"/>
  <c r="BH125" i="3" s="1"/>
  <c r="BO125" i="1"/>
  <c r="BQ125" i="1" s="1"/>
  <c r="BN125" i="1" s="1"/>
  <c r="CI125" i="1"/>
  <c r="AI125" i="1"/>
  <c r="AJ125" i="1" s="1"/>
  <c r="CJ125" i="1"/>
  <c r="CH125" i="1"/>
  <c r="AX125" i="1"/>
  <c r="CB125" i="1"/>
  <c r="CE125" i="1"/>
  <c r="CC125" i="1"/>
  <c r="CF125" i="1"/>
  <c r="W125" i="5"/>
  <c r="Y125" i="5"/>
  <c r="BC125" i="1"/>
  <c r="BI125" i="1"/>
  <c r="BL125" i="1" s="1"/>
  <c r="AB125" i="5"/>
  <c r="BG125" i="3"/>
  <c r="AT125" i="3"/>
  <c r="BJ125" i="3" s="1"/>
  <c r="BR125" i="3" s="1"/>
  <c r="BV125" i="3" s="1"/>
  <c r="K125" i="1"/>
  <c r="AC125" i="5"/>
  <c r="BH125" i="1"/>
  <c r="X125" i="5"/>
  <c r="AS23" i="3"/>
  <c r="BH23" i="3" s="1"/>
  <c r="BC23" i="1"/>
  <c r="CC23" i="1"/>
  <c r="BZ23" i="1" s="1"/>
  <c r="CE23" i="1"/>
  <c r="BI23" i="1"/>
  <c r="BL23" i="1" s="1"/>
  <c r="CF23" i="1"/>
  <c r="CH23" i="1"/>
  <c r="BO23" i="1"/>
  <c r="BQ23" i="1" s="1"/>
  <c r="BN23" i="1" s="1"/>
  <c r="AI23" i="1"/>
  <c r="AJ23" i="1" s="1"/>
  <c r="AX23" i="1"/>
  <c r="CB23" i="1"/>
  <c r="S23" i="1"/>
  <c r="CI23" i="1"/>
  <c r="CJ23" i="1"/>
  <c r="AT23" i="3"/>
  <c r="BJ23" i="3" s="1"/>
  <c r="BG23" i="3"/>
  <c r="AZ23" i="1"/>
  <c r="AB23" i="5"/>
  <c r="K23" i="1"/>
  <c r="BH23" i="1"/>
  <c r="W23" i="5"/>
  <c r="AC23" i="5"/>
  <c r="Y23" i="5"/>
  <c r="X23" i="5"/>
  <c r="AX90" i="1"/>
  <c r="CB90" i="1"/>
  <c r="BC90" i="1"/>
  <c r="CC90" i="1"/>
  <c r="BI90" i="1"/>
  <c r="BL90" i="1" s="1"/>
  <c r="CE90" i="1"/>
  <c r="CF90" i="1"/>
  <c r="S90" i="1"/>
  <c r="CI90" i="1"/>
  <c r="BO90" i="1"/>
  <c r="BQ90" i="1" s="1"/>
  <c r="BN90" i="1" s="1"/>
  <c r="CJ90" i="1"/>
  <c r="AZ90" i="1"/>
  <c r="CH90" i="1"/>
  <c r="AC90" i="5"/>
  <c r="AT96" i="3"/>
  <c r="AS96" i="3"/>
  <c r="CH96" i="1"/>
  <c r="BO96" i="1"/>
  <c r="BQ96" i="1" s="1"/>
  <c r="BN96" i="1" s="1"/>
  <c r="CI96" i="1"/>
  <c r="AI96" i="1"/>
  <c r="AJ96" i="1" s="1"/>
  <c r="CJ96" i="1"/>
  <c r="CB96" i="1"/>
  <c r="BC96" i="1"/>
  <c r="CC96" i="1"/>
  <c r="CF96" i="1"/>
  <c r="CE96" i="1"/>
  <c r="AX96" i="1"/>
  <c r="BI96" i="1"/>
  <c r="BL96" i="1" s="1"/>
  <c r="W96" i="5"/>
  <c r="Y96" i="5"/>
  <c r="BG96" i="3"/>
  <c r="E187" i="5" s="1"/>
  <c r="X96" i="5"/>
  <c r="K96" i="1"/>
  <c r="AB96" i="5"/>
  <c r="BH96" i="1"/>
  <c r="AC96" i="5"/>
  <c r="AS69" i="3"/>
  <c r="BH69" i="3" s="1"/>
  <c r="CB69" i="1"/>
  <c r="CC69" i="1"/>
  <c r="BC69" i="1"/>
  <c r="CE69" i="1"/>
  <c r="S69" i="1"/>
  <c r="CH69" i="1"/>
  <c r="CJ69" i="1"/>
  <c r="BI69" i="1"/>
  <c r="BL69" i="1" s="1"/>
  <c r="BO69" i="1"/>
  <c r="BQ69" i="1" s="1"/>
  <c r="BN69" i="1" s="1"/>
  <c r="AI69" i="1"/>
  <c r="AJ69" i="1" s="1"/>
  <c r="AX69" i="1"/>
  <c r="CI69" i="1"/>
  <c r="CF69" i="1"/>
  <c r="Y69" i="5"/>
  <c r="AB69" i="5"/>
  <c r="AT69" i="3"/>
  <c r="BJ69" i="3" s="1"/>
  <c r="BR69" i="3" s="1"/>
  <c r="BV69" i="3" s="1"/>
  <c r="BG69" i="3"/>
  <c r="BH69" i="1"/>
  <c r="K69" i="1"/>
  <c r="W69" i="5"/>
  <c r="AC69" i="5"/>
  <c r="X69" i="5"/>
  <c r="AS82" i="3"/>
  <c r="BH82" i="3" s="1"/>
  <c r="CB82" i="1"/>
  <c r="AZ82" i="1"/>
  <c r="AX82" i="1"/>
  <c r="CC82" i="1"/>
  <c r="CE82" i="1"/>
  <c r="BC82" i="1"/>
  <c r="CF82" i="1"/>
  <c r="CH82" i="1"/>
  <c r="CI82" i="1"/>
  <c r="S82" i="1"/>
  <c r="BO82" i="1"/>
  <c r="BQ82" i="1" s="1"/>
  <c r="BN82" i="1" s="1"/>
  <c r="CJ82" i="1"/>
  <c r="AC82" i="5"/>
  <c r="BI82" i="1"/>
  <c r="BL82" i="1" s="1"/>
  <c r="W82" i="5"/>
  <c r="X82" i="5"/>
  <c r="Y82" i="5"/>
  <c r="BG82" i="3"/>
  <c r="AT82" i="3"/>
  <c r="BJ82" i="3" s="1"/>
  <c r="BR82" i="3" s="1"/>
  <c r="BV82" i="3" s="1"/>
  <c r="AB82" i="5"/>
  <c r="K82" i="1"/>
  <c r="BH82" i="1"/>
  <c r="AN33" i="1"/>
  <c r="AS48" i="3"/>
  <c r="BH48" i="3" s="1"/>
  <c r="BO48" i="1"/>
  <c r="BQ48" i="1" s="1"/>
  <c r="BN48" i="1" s="1"/>
  <c r="CI48" i="1"/>
  <c r="BK48" i="1"/>
  <c r="CE48" i="1"/>
  <c r="BC48" i="1"/>
  <c r="CF48" i="1"/>
  <c r="CJ48" i="1"/>
  <c r="AI48" i="1"/>
  <c r="AJ48" i="1" s="1"/>
  <c r="CC48" i="1"/>
  <c r="AX48" i="1"/>
  <c r="CH48" i="1"/>
  <c r="CB48" i="1"/>
  <c r="BI48" i="1"/>
  <c r="BL48" i="1" s="1"/>
  <c r="AC48" i="5"/>
  <c r="AT48" i="3"/>
  <c r="AU48" i="3" s="1"/>
  <c r="BG48" i="3"/>
  <c r="W48" i="5"/>
  <c r="K48" i="1"/>
  <c r="AB48" i="5"/>
  <c r="X48" i="5"/>
  <c r="Y48" i="5"/>
  <c r="BH48" i="1"/>
  <c r="AS24" i="3"/>
  <c r="BH24" i="3" s="1"/>
  <c r="CH24" i="1"/>
  <c r="BO24" i="1"/>
  <c r="BQ24" i="1" s="1"/>
  <c r="BN24" i="1" s="1"/>
  <c r="CJ24" i="1"/>
  <c r="AI24" i="1"/>
  <c r="AJ24" i="1" s="1"/>
  <c r="CI24" i="1"/>
  <c r="S24" i="1"/>
  <c r="AX24" i="1"/>
  <c r="CC24" i="1"/>
  <c r="BZ24" i="1" s="1"/>
  <c r="CE24" i="1"/>
  <c r="BI24" i="1"/>
  <c r="BL24" i="1" s="1"/>
  <c r="CB24" i="1"/>
  <c r="CF24" i="1"/>
  <c r="BC24" i="1"/>
  <c r="Y24" i="5"/>
  <c r="W24" i="5"/>
  <c r="AC24" i="5"/>
  <c r="K24" i="1"/>
  <c r="AT24" i="3"/>
  <c r="BJ24" i="3" s="1"/>
  <c r="BR24" i="3" s="1"/>
  <c r="BV24" i="3" s="1"/>
  <c r="BG24" i="3"/>
  <c r="AB24" i="5"/>
  <c r="AZ24" i="1"/>
  <c r="BH24" i="1"/>
  <c r="X24" i="5"/>
  <c r="AS97" i="3"/>
  <c r="AT97" i="3"/>
  <c r="BI97" i="1"/>
  <c r="BL97" i="1" s="1"/>
  <c r="CF97" i="1"/>
  <c r="CC97" i="1"/>
  <c r="CE97" i="1"/>
  <c r="BC97" i="1"/>
  <c r="CH97" i="1"/>
  <c r="CI97" i="1"/>
  <c r="AI97" i="1"/>
  <c r="AJ97" i="1" s="1"/>
  <c r="AX97" i="1"/>
  <c r="CB97" i="1"/>
  <c r="CJ97" i="1"/>
  <c r="BO97" i="1"/>
  <c r="BQ97" i="1" s="1"/>
  <c r="BN97" i="1" s="1"/>
  <c r="AC97" i="5"/>
  <c r="Y97" i="5"/>
  <c r="BG97" i="3"/>
  <c r="E188" i="5" s="1"/>
  <c r="BH97" i="1"/>
  <c r="AB97" i="5"/>
  <c r="K97" i="1"/>
  <c r="X97" i="5"/>
  <c r="W97" i="5"/>
  <c r="CB70" i="1"/>
  <c r="CH70" i="1"/>
  <c r="CI70" i="1"/>
  <c r="AI70" i="1"/>
  <c r="AJ70" i="1" s="1"/>
  <c r="BO70" i="1"/>
  <c r="BQ70" i="1" s="1"/>
  <c r="BN70" i="1" s="1"/>
  <c r="CJ70" i="1"/>
  <c r="BC70" i="1"/>
  <c r="CF70" i="1"/>
  <c r="BI70" i="1"/>
  <c r="BL70" i="1" s="1"/>
  <c r="S70" i="1"/>
  <c r="CC70" i="1"/>
  <c r="AX70" i="1"/>
  <c r="CE70" i="1"/>
  <c r="AC70" i="5"/>
  <c r="BC39" i="1"/>
  <c r="CE39" i="1"/>
  <c r="AX39" i="1"/>
  <c r="AZ39" i="1"/>
  <c r="CC39" i="1"/>
  <c r="CF39" i="1"/>
  <c r="CH39" i="1"/>
  <c r="BO39" i="1"/>
  <c r="BQ39" i="1" s="1"/>
  <c r="BN39" i="1" s="1"/>
  <c r="CJ39" i="1"/>
  <c r="S39" i="1"/>
  <c r="CB39" i="1"/>
  <c r="AI39" i="1"/>
  <c r="AJ39" i="1" s="1"/>
  <c r="BI39" i="1"/>
  <c r="BL39" i="1" s="1"/>
  <c r="AC39" i="5"/>
  <c r="CI39" i="1"/>
  <c r="BK33" i="3"/>
  <c r="F33" i="5" s="1"/>
  <c r="E33" i="5"/>
  <c r="G33" i="5"/>
  <c r="W33" i="1"/>
  <c r="T33" i="1"/>
  <c r="U33" i="1"/>
  <c r="V33" i="1"/>
  <c r="BF126" i="1"/>
  <c r="BG126" i="1"/>
  <c r="CD126" i="1"/>
  <c r="BU126" i="1"/>
  <c r="AQ126" i="1"/>
  <c r="BS126" i="1" s="1"/>
  <c r="AS44" i="3"/>
  <c r="BH44" i="3" s="1"/>
  <c r="AT44" i="3"/>
  <c r="BJ44" i="3" s="1"/>
  <c r="CB44" i="1"/>
  <c r="BC44" i="1"/>
  <c r="CF44" i="1"/>
  <c r="CH44" i="1"/>
  <c r="BI44" i="1"/>
  <c r="BL44" i="1" s="1"/>
  <c r="CJ44" i="1"/>
  <c r="BO44" i="1"/>
  <c r="BQ44" i="1" s="1"/>
  <c r="BN44" i="1" s="1"/>
  <c r="AI44" i="1"/>
  <c r="AJ44" i="1" s="1"/>
  <c r="CC44" i="1"/>
  <c r="CE44" i="1"/>
  <c r="CI44" i="1"/>
  <c r="AX44" i="1"/>
  <c r="AC44" i="5"/>
  <c r="W44" i="5"/>
  <c r="BH44" i="1"/>
  <c r="BG44" i="3"/>
  <c r="K44" i="1"/>
  <c r="Y44" i="5"/>
  <c r="AB44" i="5"/>
  <c r="X44" i="5"/>
  <c r="AS37" i="3"/>
  <c r="BH37" i="3" s="1"/>
  <c r="AZ37" i="1"/>
  <c r="CB37" i="1"/>
  <c r="BC37" i="1"/>
  <c r="CE37" i="1"/>
  <c r="CJ37" i="1"/>
  <c r="AI37" i="1"/>
  <c r="AJ37" i="1" s="1"/>
  <c r="AX37" i="1"/>
  <c r="CH37" i="1"/>
  <c r="CI37" i="1"/>
  <c r="BI37" i="1"/>
  <c r="BL37" i="1" s="1"/>
  <c r="BO37" i="1"/>
  <c r="BQ37" i="1" s="1"/>
  <c r="BN37" i="1" s="1"/>
  <c r="CC37" i="1"/>
  <c r="S37" i="1"/>
  <c r="W37" i="5"/>
  <c r="X37" i="5"/>
  <c r="Y37" i="5"/>
  <c r="AC37" i="5"/>
  <c r="CF37" i="1"/>
  <c r="AT37" i="3"/>
  <c r="BJ37" i="3" s="1"/>
  <c r="BG37" i="3"/>
  <c r="AB37" i="5"/>
  <c r="K37" i="1"/>
  <c r="BH37" i="1"/>
  <c r="AS32" i="3"/>
  <c r="BH32" i="3" s="1"/>
  <c r="BI32" i="1"/>
  <c r="BL32" i="1" s="1"/>
  <c r="AX32" i="1"/>
  <c r="CB32" i="1"/>
  <c r="CE32" i="1"/>
  <c r="AZ32" i="1"/>
  <c r="CF32" i="1"/>
  <c r="BC32" i="1"/>
  <c r="CI32" i="1"/>
  <c r="BO32" i="1"/>
  <c r="BQ32" i="1" s="1"/>
  <c r="BN32" i="1" s="1"/>
  <c r="S32" i="1"/>
  <c r="CC32" i="1"/>
  <c r="CH32" i="1"/>
  <c r="CJ32" i="1"/>
  <c r="AT32" i="3"/>
  <c r="BJ32" i="3" s="1"/>
  <c r="BR32" i="3" s="1"/>
  <c r="BV32" i="3" s="1"/>
  <c r="BG32" i="3"/>
  <c r="AB32" i="5"/>
  <c r="W32" i="5"/>
  <c r="BH32" i="1"/>
  <c r="K32" i="1"/>
  <c r="X32" i="5"/>
  <c r="Y32" i="5"/>
  <c r="AC32" i="5"/>
  <c r="AS47" i="3"/>
  <c r="BH47" i="3" s="1"/>
  <c r="AX47" i="1"/>
  <c r="CC47" i="1"/>
  <c r="AI47" i="1"/>
  <c r="AJ47" i="1" s="1"/>
  <c r="CF47" i="1"/>
  <c r="CH47" i="1"/>
  <c r="BO47" i="1"/>
  <c r="BQ47" i="1" s="1"/>
  <c r="BN47" i="1" s="1"/>
  <c r="BC47" i="1"/>
  <c r="BI47" i="1"/>
  <c r="BL47" i="1" s="1"/>
  <c r="CB47" i="1"/>
  <c r="CE47" i="1"/>
  <c r="CJ47" i="1"/>
  <c r="CI47" i="1"/>
  <c r="BG47" i="3"/>
  <c r="AT47" i="3"/>
  <c r="BJ47" i="3" s="1"/>
  <c r="BR47" i="3" s="1"/>
  <c r="BV47" i="3" s="1"/>
  <c r="AB47" i="5"/>
  <c r="AC47" i="5"/>
  <c r="K47" i="1"/>
  <c r="BH47" i="1"/>
  <c r="W47" i="5"/>
  <c r="X47" i="5"/>
  <c r="Y47" i="5"/>
  <c r="CC25" i="1"/>
  <c r="CE25" i="1"/>
  <c r="BI25" i="1"/>
  <c r="BL25" i="1" s="1"/>
  <c r="BC25" i="1"/>
  <c r="CJ25" i="1"/>
  <c r="BO25" i="1"/>
  <c r="BQ25" i="1" s="1"/>
  <c r="BN25" i="1" s="1"/>
  <c r="AI25" i="1"/>
  <c r="AJ25" i="1" s="1"/>
  <c r="CF25" i="1"/>
  <c r="CH25" i="1"/>
  <c r="CI25" i="1"/>
  <c r="AX25" i="1"/>
  <c r="S25" i="1"/>
  <c r="AC25" i="5"/>
  <c r="CB25" i="1"/>
  <c r="AT54" i="3"/>
  <c r="BJ54" i="3" s="1"/>
  <c r="AS54" i="3"/>
  <c r="BH54" i="3" s="1"/>
  <c r="AI54" i="1"/>
  <c r="AJ54" i="1" s="1"/>
  <c r="CJ54" i="1"/>
  <c r="BC54" i="1"/>
  <c r="CE54" i="1"/>
  <c r="BI54" i="1"/>
  <c r="BL54" i="1" s="1"/>
  <c r="CF54" i="1"/>
  <c r="BO54" i="1"/>
  <c r="BQ54" i="1" s="1"/>
  <c r="BN54" i="1" s="1"/>
  <c r="CB54" i="1"/>
  <c r="CC54" i="1"/>
  <c r="CI54" i="1"/>
  <c r="AX54" i="1"/>
  <c r="CH54" i="1"/>
  <c r="X54" i="5"/>
  <c r="BG54" i="3"/>
  <c r="K54" i="1"/>
  <c r="AB54" i="5"/>
  <c r="BH54" i="1"/>
  <c r="W54" i="5"/>
  <c r="Y54" i="5"/>
  <c r="AC54" i="5"/>
  <c r="BI132" i="1"/>
  <c r="BL132" i="1" s="1"/>
  <c r="S132" i="1"/>
  <c r="CH132" i="1"/>
  <c r="CI132" i="1"/>
  <c r="BO132" i="1"/>
  <c r="BQ132" i="1" s="1"/>
  <c r="BN132" i="1" s="1"/>
  <c r="CJ132" i="1"/>
  <c r="AX132" i="1"/>
  <c r="AZ132" i="1"/>
  <c r="CC132" i="1"/>
  <c r="CB132" i="1"/>
  <c r="CE132" i="1"/>
  <c r="CF132" i="1"/>
  <c r="BC132" i="1"/>
  <c r="AC132" i="5"/>
  <c r="BI71" i="1"/>
  <c r="BL71" i="1" s="1"/>
  <c r="CF71" i="1"/>
  <c r="CE71" i="1"/>
  <c r="BO71" i="1"/>
  <c r="S71" i="1"/>
  <c r="AI71" i="1"/>
  <c r="AJ71" i="1" s="1"/>
  <c r="CB71" i="1"/>
  <c r="AX71" i="1"/>
  <c r="CC71" i="1"/>
  <c r="BC71" i="1"/>
  <c r="CI71" i="1"/>
  <c r="CJ71" i="1"/>
  <c r="CH71" i="1"/>
  <c r="AC71" i="5"/>
  <c r="CB14" i="1"/>
  <c r="CI14" i="1"/>
  <c r="CJ14" i="1"/>
  <c r="BC14" i="1"/>
  <c r="CH14" i="1"/>
  <c r="BI14" i="1"/>
  <c r="BL14" i="1" s="1"/>
  <c r="BO14" i="1"/>
  <c r="BQ14" i="1" s="1"/>
  <c r="BN14" i="1" s="1"/>
  <c r="AI14" i="1"/>
  <c r="AJ14" i="1" s="1"/>
  <c r="CC14" i="1"/>
  <c r="CE14" i="1"/>
  <c r="AZ14" i="1"/>
  <c r="AX14" i="1"/>
  <c r="CF14" i="1"/>
  <c r="S14" i="1"/>
  <c r="AC14" i="5"/>
  <c r="AT26" i="3"/>
  <c r="BJ26" i="3" s="1"/>
  <c r="BC26" i="1"/>
  <c r="CF26" i="1"/>
  <c r="AI26" i="1"/>
  <c r="AJ26" i="1" s="1"/>
  <c r="CI26" i="1"/>
  <c r="CJ26" i="1"/>
  <c r="BO26" i="1"/>
  <c r="BQ26" i="1" s="1"/>
  <c r="BN26" i="1" s="1"/>
  <c r="CB26" i="1"/>
  <c r="AX26" i="1"/>
  <c r="CC26" i="1"/>
  <c r="BI26" i="1"/>
  <c r="BL26" i="1" s="1"/>
  <c r="AZ26" i="1"/>
  <c r="CE26" i="1"/>
  <c r="CH26" i="1"/>
  <c r="AC26" i="5"/>
  <c r="AS34" i="3"/>
  <c r="BH34" i="3" s="1"/>
  <c r="AX34" i="1"/>
  <c r="CC34" i="1"/>
  <c r="CB34" i="1"/>
  <c r="CE34" i="1"/>
  <c r="BC34" i="1"/>
  <c r="CI34" i="1"/>
  <c r="CJ34" i="1"/>
  <c r="BI34" i="1"/>
  <c r="BL34" i="1" s="1"/>
  <c r="BO34" i="1"/>
  <c r="BQ34" i="1" s="1"/>
  <c r="BN34" i="1" s="1"/>
  <c r="CF34" i="1"/>
  <c r="S34" i="1"/>
  <c r="CH34" i="1"/>
  <c r="AI34" i="1"/>
  <c r="AJ34" i="1" s="1"/>
  <c r="Y34" i="5"/>
  <c r="X34" i="5"/>
  <c r="W34" i="5"/>
  <c r="BG34" i="3"/>
  <c r="AT34" i="3"/>
  <c r="BJ34" i="3" s="1"/>
  <c r="K34" i="1"/>
  <c r="BH34" i="1"/>
  <c r="AC34" i="5"/>
  <c r="AB34" i="5"/>
  <c r="AS85" i="3"/>
  <c r="CF85" i="1"/>
  <c r="AX85" i="1"/>
  <c r="CB85" i="1"/>
  <c r="CC85" i="1"/>
  <c r="BC85" i="1"/>
  <c r="CH85" i="1"/>
  <c r="BI85" i="1"/>
  <c r="BL85" i="1" s="1"/>
  <c r="CI85" i="1"/>
  <c r="BO85" i="1"/>
  <c r="S85" i="1"/>
  <c r="CE85" i="1"/>
  <c r="CJ85" i="1"/>
  <c r="AC85" i="5"/>
  <c r="AZ85" i="1"/>
  <c r="X85" i="5"/>
  <c r="Y85" i="5"/>
  <c r="W85" i="5"/>
  <c r="AT85" i="3"/>
  <c r="BG85" i="3"/>
  <c r="E193" i="5" s="1"/>
  <c r="BH85" i="1"/>
  <c r="K85" i="1"/>
  <c r="AB85" i="5"/>
  <c r="AS72" i="3"/>
  <c r="AI72" i="1"/>
  <c r="AJ72" i="1" s="1"/>
  <c r="BO72" i="1"/>
  <c r="BQ72" i="1" s="1"/>
  <c r="BN72" i="1" s="1"/>
  <c r="CJ72" i="1"/>
  <c r="BI72" i="1"/>
  <c r="BL72" i="1" s="1"/>
  <c r="CH72" i="1"/>
  <c r="CI72" i="1"/>
  <c r="CE72" i="1"/>
  <c r="CB72" i="1"/>
  <c r="CF72" i="1"/>
  <c r="AX72" i="1"/>
  <c r="BC72" i="1"/>
  <c r="CC72" i="1"/>
  <c r="AC72" i="5"/>
  <c r="W72" i="5"/>
  <c r="Y72" i="5"/>
  <c r="X72" i="5"/>
  <c r="BG72" i="3"/>
  <c r="E184" i="5" s="1"/>
  <c r="AT72" i="3"/>
  <c r="AB72" i="5"/>
  <c r="K72" i="1"/>
  <c r="BH72" i="1"/>
  <c r="BB126" i="3"/>
  <c r="BN126" i="3" s="1"/>
  <c r="T126" i="1"/>
  <c r="G126" i="5"/>
  <c r="W126" i="1"/>
  <c r="U126" i="1"/>
  <c r="V126" i="1"/>
  <c r="BC28" i="1"/>
  <c r="CF28" i="1"/>
  <c r="AX28" i="1"/>
  <c r="CB28" i="1"/>
  <c r="CC28" i="1"/>
  <c r="S28" i="1"/>
  <c r="BO28" i="1"/>
  <c r="BQ28" i="1" s="1"/>
  <c r="BN28" i="1" s="1"/>
  <c r="CE28" i="1"/>
  <c r="BI28" i="1"/>
  <c r="BL28" i="1" s="1"/>
  <c r="CJ28" i="1"/>
  <c r="CH28" i="1"/>
  <c r="CI28" i="1"/>
  <c r="AZ28" i="1"/>
  <c r="AC28" i="5"/>
  <c r="S74" i="1"/>
  <c r="BO74" i="1"/>
  <c r="BQ74" i="1" s="1"/>
  <c r="BN74" i="1" s="1"/>
  <c r="CJ74" i="1"/>
  <c r="AX74" i="1"/>
  <c r="BI74" i="1"/>
  <c r="BL74" i="1" s="1"/>
  <c r="CH74" i="1"/>
  <c r="AZ74" i="1"/>
  <c r="CI74" i="1"/>
  <c r="BC74" i="1"/>
  <c r="CB74" i="1"/>
  <c r="CE74" i="1"/>
  <c r="CF74" i="1"/>
  <c r="CC74" i="1"/>
  <c r="AC74" i="5"/>
  <c r="BC9" i="1"/>
  <c r="CF9" i="1"/>
  <c r="CB9" i="1"/>
  <c r="AX9" i="1"/>
  <c r="CC9" i="1"/>
  <c r="CH9" i="1"/>
  <c r="CI9" i="1"/>
  <c r="BI9" i="1"/>
  <c r="BL9" i="1" s="1"/>
  <c r="BO9" i="1"/>
  <c r="BQ9" i="1" s="1"/>
  <c r="BN9" i="1" s="1"/>
  <c r="S9" i="1"/>
  <c r="CE9" i="1"/>
  <c r="AI9" i="1"/>
  <c r="AJ9" i="1" s="1"/>
  <c r="CJ9" i="1"/>
  <c r="AC9" i="5"/>
  <c r="CB30" i="1"/>
  <c r="CC30" i="1"/>
  <c r="BI30" i="1"/>
  <c r="BL30" i="1" s="1"/>
  <c r="CF30" i="1"/>
  <c r="CJ30" i="1"/>
  <c r="BO30" i="1"/>
  <c r="BQ30" i="1" s="1"/>
  <c r="BN30" i="1" s="1"/>
  <c r="AI30" i="1"/>
  <c r="AJ30" i="1" s="1"/>
  <c r="AX30" i="1"/>
  <c r="CI30" i="1"/>
  <c r="BC30" i="1"/>
  <c r="CE30" i="1"/>
  <c r="CH30" i="1"/>
  <c r="S30" i="1"/>
  <c r="AC30" i="5"/>
  <c r="S15" i="1"/>
  <c r="BI15" i="1"/>
  <c r="BL15" i="1" s="1"/>
  <c r="CF15" i="1"/>
  <c r="AX15" i="1"/>
  <c r="CB15" i="1"/>
  <c r="CE15" i="1"/>
  <c r="CI15" i="1"/>
  <c r="BC15" i="1"/>
  <c r="CJ15" i="1"/>
  <c r="AI15" i="1"/>
  <c r="AJ15" i="1" s="1"/>
  <c r="CC15" i="1"/>
  <c r="AZ15" i="1"/>
  <c r="CH15" i="1"/>
  <c r="BO15" i="1"/>
  <c r="BQ15" i="1" s="1"/>
  <c r="BN15" i="1" s="1"/>
  <c r="AC15" i="5"/>
  <c r="AS27" i="3"/>
  <c r="BH27" i="3" s="1"/>
  <c r="AT27" i="3"/>
  <c r="BJ27" i="3" s="1"/>
  <c r="BI27" i="1"/>
  <c r="BL27" i="1" s="1"/>
  <c r="CF27" i="1"/>
  <c r="AI27" i="1"/>
  <c r="AJ27" i="1" s="1"/>
  <c r="BO27" i="1"/>
  <c r="BQ27" i="1" s="1"/>
  <c r="BN27" i="1" s="1"/>
  <c r="CI27" i="1"/>
  <c r="BC27" i="1"/>
  <c r="CB27" i="1"/>
  <c r="CC27" i="1"/>
  <c r="AX27" i="1"/>
  <c r="CE27" i="1"/>
  <c r="AZ27" i="1"/>
  <c r="CJ27" i="1"/>
  <c r="CH27" i="1"/>
  <c r="AU27" i="3"/>
  <c r="BG27" i="3"/>
  <c r="BI27" i="3" s="1"/>
  <c r="K27" i="1"/>
  <c r="BH27" i="1"/>
  <c r="AB27" i="5"/>
  <c r="AC27" i="5"/>
  <c r="W27" i="5"/>
  <c r="Y27" i="5"/>
  <c r="X27" i="5"/>
  <c r="AS42" i="3"/>
  <c r="BH42" i="3" s="1"/>
  <c r="AT42" i="3"/>
  <c r="BJ42" i="3" s="1"/>
  <c r="CE42" i="1"/>
  <c r="AX42" i="1"/>
  <c r="CB42" i="1"/>
  <c r="CC42" i="1"/>
  <c r="BC42" i="1"/>
  <c r="BO42" i="1"/>
  <c r="BQ42" i="1" s="1"/>
  <c r="BN42" i="1" s="1"/>
  <c r="CF42" i="1"/>
  <c r="AI42" i="1"/>
  <c r="AJ42" i="1" s="1"/>
  <c r="CH42" i="1"/>
  <c r="CI42" i="1"/>
  <c r="CJ42" i="1"/>
  <c r="BI42" i="1"/>
  <c r="BL42" i="1" s="1"/>
  <c r="X42" i="5"/>
  <c r="AC42" i="5"/>
  <c r="W42" i="5"/>
  <c r="BG42" i="3"/>
  <c r="AB42" i="5"/>
  <c r="BH42" i="1"/>
  <c r="K42" i="1"/>
  <c r="Y42" i="5"/>
  <c r="AS36" i="3"/>
  <c r="BH36" i="3" s="1"/>
  <c r="CI36" i="1"/>
  <c r="CJ36" i="1"/>
  <c r="AI36" i="1"/>
  <c r="AJ36" i="1" s="1"/>
  <c r="BO36" i="1"/>
  <c r="BQ36" i="1" s="1"/>
  <c r="BN36" i="1" s="1"/>
  <c r="S36" i="1"/>
  <c r="AX36" i="1"/>
  <c r="CB36" i="1"/>
  <c r="CC36" i="1"/>
  <c r="CE36" i="1"/>
  <c r="CF36" i="1"/>
  <c r="CH36" i="1"/>
  <c r="BC36" i="1"/>
  <c r="BI36" i="1"/>
  <c r="BL36" i="1" s="1"/>
  <c r="AZ36" i="1"/>
  <c r="AC36" i="5"/>
  <c r="W36" i="5"/>
  <c r="Y36" i="5"/>
  <c r="AT36" i="3"/>
  <c r="BJ36" i="3" s="1"/>
  <c r="BR36" i="3" s="1"/>
  <c r="BV36" i="3" s="1"/>
  <c r="BG36" i="3"/>
  <c r="X36" i="5"/>
  <c r="K36" i="1"/>
  <c r="AB36" i="5"/>
  <c r="BH36" i="1"/>
  <c r="AS84" i="3"/>
  <c r="CB84" i="1"/>
  <c r="AZ84" i="1"/>
  <c r="CE84" i="1"/>
  <c r="CF84" i="1"/>
  <c r="BC84" i="1"/>
  <c r="BI84" i="1"/>
  <c r="BL84" i="1" s="1"/>
  <c r="CH84" i="1"/>
  <c r="CI84" i="1"/>
  <c r="BO84" i="1"/>
  <c r="BQ84" i="1" s="1"/>
  <c r="BN84" i="1" s="1"/>
  <c r="AX84" i="1"/>
  <c r="CC84" i="1"/>
  <c r="S84" i="1"/>
  <c r="CJ84" i="1"/>
  <c r="Y84" i="5"/>
  <c r="AC84" i="5"/>
  <c r="BG84" i="3"/>
  <c r="E189" i="5" s="1"/>
  <c r="AT84" i="3"/>
  <c r="BH84" i="1"/>
  <c r="AB84" i="5"/>
  <c r="K84" i="1"/>
  <c r="W84" i="5"/>
  <c r="X84" i="5"/>
  <c r="CJ75" i="1"/>
  <c r="AZ75" i="1"/>
  <c r="CB75" i="1"/>
  <c r="CC75" i="1"/>
  <c r="BI75" i="1"/>
  <c r="BL75" i="1" s="1"/>
  <c r="BO75" i="1"/>
  <c r="BQ75" i="1" s="1"/>
  <c r="BN75" i="1" s="1"/>
  <c r="S75" i="1"/>
  <c r="AX75" i="1"/>
  <c r="CE75" i="1"/>
  <c r="CH75" i="1"/>
  <c r="BC75" i="1"/>
  <c r="CI75" i="1"/>
  <c r="CF75" i="1"/>
  <c r="AC75" i="5"/>
  <c r="BO126" i="3"/>
  <c r="BL126" i="3"/>
  <c r="AQ33" i="1"/>
  <c r="BS33" i="1" s="1"/>
  <c r="BK126" i="3"/>
  <c r="F126" i="5" s="1"/>
  <c r="E126" i="5"/>
  <c r="AN126" i="1"/>
  <c r="BP126" i="1" a="1"/>
  <c r="BP126" i="1" s="1"/>
  <c r="BF12" i="3"/>
  <c r="BP12" i="3" a="1"/>
  <c r="BP12" i="3" s="1"/>
  <c r="BT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T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T64" i="3" s="1"/>
  <c r="BF32" i="3"/>
  <c r="BP32" i="3" a="1"/>
  <c r="BP32" i="3" s="1"/>
  <c r="BF42" i="3"/>
  <c r="BP42" i="3" a="1"/>
  <c r="BP42" i="3" s="1"/>
  <c r="BQ44" i="3"/>
  <c r="BF44" i="3"/>
  <c r="BC44" i="3" s="1"/>
  <c r="BP44" i="3" a="1"/>
  <c r="BP44" i="3" s="1"/>
  <c r="BI44" i="3"/>
  <c r="BQ45" i="3"/>
  <c r="BF45" i="3"/>
  <c r="BC45" i="3" s="1"/>
  <c r="BP45" i="3" a="1"/>
  <c r="BP45" i="3" s="1"/>
  <c r="BT45" i="3" s="1"/>
  <c r="BQ49" i="3"/>
  <c r="BF49" i="3"/>
  <c r="BC49" i="3" s="1"/>
  <c r="BP49" i="3" a="1"/>
  <c r="BP49" i="3" s="1"/>
  <c r="BT49" i="3" s="1"/>
  <c r="BQ53" i="3"/>
  <c r="BF53" i="3"/>
  <c r="BC53" i="3" s="1"/>
  <c r="BP53" i="3" a="1"/>
  <c r="BP53" i="3" s="1"/>
  <c r="BT53" i="3" s="1"/>
  <c r="BF50" i="3"/>
  <c r="BC50" i="3"/>
  <c r="BI50" i="3"/>
  <c r="BP50" i="3" a="1"/>
  <c r="BP50" i="3" s="1"/>
  <c r="BT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T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C88" i="3" s="1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BT82" i="3" s="1"/>
  <c r="P43" i="5"/>
  <c r="Q43" i="5"/>
  <c r="R43" i="5"/>
  <c r="AD126" i="1"/>
  <c r="O126" i="5" s="1"/>
  <c r="AX43" i="3"/>
  <c r="AH43" i="1"/>
  <c r="AF43" i="1"/>
  <c r="AE43" i="1"/>
  <c r="AG43" i="1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AX62" i="3"/>
  <c r="AX128" i="3"/>
  <c r="AD128" i="1" s="1"/>
  <c r="O128" i="5" s="1"/>
  <c r="AW130" i="3"/>
  <c r="AW160" i="3"/>
  <c r="AW158" i="3"/>
  <c r="AW150" i="3"/>
  <c r="AV119" i="3"/>
  <c r="BR119" i="1" s="1"/>
  <c r="AV116" i="3"/>
  <c r="BR116" i="1" s="1"/>
  <c r="AV77" i="3"/>
  <c r="BR77" i="1" s="1"/>
  <c r="AV146" i="3"/>
  <c r="AV134" i="3"/>
  <c r="AV79" i="3"/>
  <c r="AV99" i="3"/>
  <c r="AV93" i="3"/>
  <c r="AV57" i="3"/>
  <c r="BR57" i="1" s="1"/>
  <c r="AV149" i="3"/>
  <c r="AV150" i="3"/>
  <c r="AV131" i="3"/>
  <c r="AV115" i="3"/>
  <c r="AV76" i="3"/>
  <c r="BR76" i="1" s="1"/>
  <c r="AV123" i="3"/>
  <c r="BR203" i="1" s="1"/>
  <c r="AV109" i="3"/>
  <c r="BR109" i="1" s="1"/>
  <c r="AV59" i="3"/>
  <c r="AV158" i="3"/>
  <c r="AV142" i="3"/>
  <c r="AV137" i="3"/>
  <c r="AV120" i="3"/>
  <c r="AV111" i="3"/>
  <c r="AV89" i="3"/>
  <c r="AV151" i="3"/>
  <c r="AV141" i="3"/>
  <c r="AV110" i="3"/>
  <c r="AV62" i="3"/>
  <c r="AV144" i="3"/>
  <c r="AV130" i="3"/>
  <c r="AV126" i="3"/>
  <c r="AV139" i="3"/>
  <c r="AV136" i="3"/>
  <c r="AV117" i="3"/>
  <c r="AV114" i="3"/>
  <c r="AV100" i="3"/>
  <c r="AV157" i="3"/>
  <c r="AV154" i="3"/>
  <c r="AV148" i="3"/>
  <c r="AV128" i="3"/>
  <c r="AV94" i="3"/>
  <c r="AV60" i="3"/>
  <c r="AV58" i="3"/>
  <c r="BR200" i="1" s="1"/>
  <c r="AV56" i="3"/>
  <c r="BR56" i="1" s="1"/>
  <c r="AV159" i="3"/>
  <c r="AV156" i="3"/>
  <c r="AV153" i="3"/>
  <c r="AV143" i="3"/>
  <c r="AV145" i="3"/>
  <c r="AV138" i="3"/>
  <c r="AV133" i="3"/>
  <c r="AV155" i="3"/>
  <c r="AV152" i="3"/>
  <c r="AV147" i="3"/>
  <c r="AV140" i="3"/>
  <c r="AV118" i="3"/>
  <c r="BW203" i="1" l="1"/>
  <c r="BW200" i="1"/>
  <c r="AN192" i="1"/>
  <c r="BK192" i="1"/>
  <c r="BU194" i="1"/>
  <c r="CD194" i="1"/>
  <c r="BF194" i="1"/>
  <c r="BG194" i="1" s="1"/>
  <c r="BP194" i="1" s="1" a="1"/>
  <c r="BP194" i="1" s="1"/>
  <c r="BK184" i="1"/>
  <c r="AN184" i="1"/>
  <c r="AM191" i="1"/>
  <c r="AK191" i="1"/>
  <c r="AL191" i="1"/>
  <c r="S191" i="5"/>
  <c r="AJ191" i="1"/>
  <c r="AM184" i="1"/>
  <c r="AJ184" i="1"/>
  <c r="AK184" i="1"/>
  <c r="S184" i="5"/>
  <c r="AL184" i="1"/>
  <c r="V185" i="1"/>
  <c r="T185" i="1"/>
  <c r="W185" i="1"/>
  <c r="U185" i="1"/>
  <c r="G185" i="5"/>
  <c r="W191" i="1"/>
  <c r="T191" i="1"/>
  <c r="G191" i="5"/>
  <c r="V191" i="1"/>
  <c r="U191" i="1"/>
  <c r="CD183" i="1"/>
  <c r="BF183" i="1"/>
  <c r="BU183" i="1"/>
  <c r="BG183" i="1"/>
  <c r="BP183" i="1" s="1" a="1"/>
  <c r="BP183" i="1" s="1"/>
  <c r="W192" i="1"/>
  <c r="V192" i="1"/>
  <c r="T192" i="1"/>
  <c r="U192" i="1"/>
  <c r="G192" i="5"/>
  <c r="BU189" i="1"/>
  <c r="CD189" i="1"/>
  <c r="BG189" i="1"/>
  <c r="BP189" i="1" s="1" a="1"/>
  <c r="BP189" i="1" s="1"/>
  <c r="BF189" i="1"/>
  <c r="AN188" i="1"/>
  <c r="BK188" i="1"/>
  <c r="BU195" i="1"/>
  <c r="BG195" i="1"/>
  <c r="BP195" i="1" s="1" a="1"/>
  <c r="BP195" i="1" s="1"/>
  <c r="CD195" i="1"/>
  <c r="BF195" i="1"/>
  <c r="W189" i="1"/>
  <c r="U189" i="1"/>
  <c r="G189" i="5"/>
  <c r="T189" i="1"/>
  <c r="V189" i="1"/>
  <c r="AK182" i="1"/>
  <c r="AM182" i="1"/>
  <c r="AL182" i="1"/>
  <c r="S182" i="5"/>
  <c r="AJ182" i="1"/>
  <c r="AM187" i="1"/>
  <c r="AK187" i="1"/>
  <c r="AJ187" i="1"/>
  <c r="AL187" i="1"/>
  <c r="S187" i="5"/>
  <c r="W194" i="1"/>
  <c r="V194" i="1"/>
  <c r="T194" i="1"/>
  <c r="G194" i="5"/>
  <c r="U194" i="1"/>
  <c r="BU191" i="1"/>
  <c r="CD191" i="1"/>
  <c r="BG191" i="1"/>
  <c r="BP191" i="1" s="1" a="1"/>
  <c r="BP191" i="1" s="1"/>
  <c r="BF191" i="1"/>
  <c r="W195" i="1"/>
  <c r="T195" i="1"/>
  <c r="G195" i="5"/>
  <c r="U195" i="1"/>
  <c r="V195" i="1"/>
  <c r="BK195" i="1"/>
  <c r="AN195" i="1"/>
  <c r="V193" i="1"/>
  <c r="G193" i="5"/>
  <c r="T193" i="1"/>
  <c r="U193" i="1"/>
  <c r="W193" i="1"/>
  <c r="AZ182" i="1"/>
  <c r="BG182" i="1"/>
  <c r="BP182" i="1" s="1" a="1"/>
  <c r="BP182" i="1" s="1"/>
  <c r="BU182" i="1"/>
  <c r="BF182" i="1"/>
  <c r="CD182" i="1"/>
  <c r="BU187" i="1"/>
  <c r="CD187" i="1"/>
  <c r="BG187" i="1"/>
  <c r="BP187" i="1" s="1" a="1"/>
  <c r="BP187" i="1" s="1"/>
  <c r="BF187" i="1"/>
  <c r="AL194" i="1"/>
  <c r="S194" i="5"/>
  <c r="AK194" i="1"/>
  <c r="AJ194" i="1"/>
  <c r="AM194" i="1"/>
  <c r="AN189" i="1"/>
  <c r="BK189" i="1"/>
  <c r="BK182" i="1"/>
  <c r="AN182" i="1"/>
  <c r="AN194" i="1"/>
  <c r="BK194" i="1"/>
  <c r="BU184" i="1"/>
  <c r="BG184" i="1"/>
  <c r="BP184" i="1" s="1" a="1"/>
  <c r="BP184" i="1" s="1"/>
  <c r="BF184" i="1"/>
  <c r="CD184" i="1"/>
  <c r="CD188" i="1"/>
  <c r="BF188" i="1"/>
  <c r="BG188" i="1"/>
  <c r="BP188" i="1" s="1" a="1"/>
  <c r="BP188" i="1" s="1"/>
  <c r="BU188" i="1"/>
  <c r="V183" i="1"/>
  <c r="U183" i="1"/>
  <c r="G183" i="5"/>
  <c r="T183" i="1"/>
  <c r="W183" i="1"/>
  <c r="BK193" i="1"/>
  <c r="AN193" i="1"/>
  <c r="BK191" i="1"/>
  <c r="AN191" i="1"/>
  <c r="AZ188" i="1"/>
  <c r="AN187" i="1"/>
  <c r="BK187" i="1"/>
  <c r="AM183" i="1"/>
  <c r="AL183" i="1"/>
  <c r="S183" i="5"/>
  <c r="AK183" i="1"/>
  <c r="AJ183" i="1"/>
  <c r="AK188" i="1"/>
  <c r="AL188" i="1"/>
  <c r="AJ188" i="1"/>
  <c r="S188" i="5"/>
  <c r="AM188" i="1"/>
  <c r="AJ195" i="1"/>
  <c r="AK195" i="1"/>
  <c r="AL195" i="1"/>
  <c r="S195" i="5"/>
  <c r="AM195" i="1"/>
  <c r="BU193" i="1"/>
  <c r="BG193" i="1"/>
  <c r="BP193" i="1" s="1" a="1"/>
  <c r="BP193" i="1" s="1"/>
  <c r="BF193" i="1"/>
  <c r="CD193" i="1"/>
  <c r="BK183" i="1"/>
  <c r="AN183" i="1"/>
  <c r="AL192" i="1"/>
  <c r="S192" i="5"/>
  <c r="AM192" i="1"/>
  <c r="AK192" i="1"/>
  <c r="AJ192" i="1"/>
  <c r="CA48" i="1"/>
  <c r="CA61" i="1"/>
  <c r="BH84" i="3"/>
  <c r="BL84" i="3" s="1"/>
  <c r="BH72" i="3"/>
  <c r="BT72" i="3" s="1"/>
  <c r="S184" i="1"/>
  <c r="BH85" i="3"/>
  <c r="BT85" i="3" s="1"/>
  <c r="AI193" i="1"/>
  <c r="BL38" i="3"/>
  <c r="BJ72" i="3"/>
  <c r="BR72" i="3" s="1"/>
  <c r="BV72" i="3" s="1"/>
  <c r="AD184" i="1"/>
  <c r="BJ84" i="3"/>
  <c r="BR84" i="3" s="1"/>
  <c r="BV84" i="3" s="1"/>
  <c r="BJ85" i="3"/>
  <c r="BR85" i="3" s="1"/>
  <c r="BV85" i="3" s="1"/>
  <c r="BJ68" i="3"/>
  <c r="BR68" i="3" s="1"/>
  <c r="BV68" i="3" s="1"/>
  <c r="AD62" i="1"/>
  <c r="O62" i="5" s="1"/>
  <c r="R62" i="5" s="1"/>
  <c r="AD181" i="1"/>
  <c r="BJ97" i="3"/>
  <c r="BR97" i="3" s="1"/>
  <c r="AD188" i="1"/>
  <c r="O188" i="5" s="1"/>
  <c r="BH97" i="3"/>
  <c r="BT97" i="3" s="1"/>
  <c r="S188" i="1"/>
  <c r="BH96" i="3"/>
  <c r="BL96" i="3" s="1"/>
  <c r="S187" i="1"/>
  <c r="BJ96" i="3"/>
  <c r="AD187" i="1"/>
  <c r="O187" i="5" s="1"/>
  <c r="BJ88" i="3"/>
  <c r="BR88" i="3" s="1"/>
  <c r="AD195" i="1"/>
  <c r="O195" i="5" s="1"/>
  <c r="BJ87" i="3"/>
  <c r="BR87" i="3" s="1"/>
  <c r="BV87" i="3" s="1"/>
  <c r="BH67" i="3"/>
  <c r="BO67" i="3" s="1"/>
  <c r="S182" i="1"/>
  <c r="AU67" i="3"/>
  <c r="AD182" i="1"/>
  <c r="BW109" i="1"/>
  <c r="BW77" i="1"/>
  <c r="BW116" i="1"/>
  <c r="BW76" i="1"/>
  <c r="BW119" i="1"/>
  <c r="BW57" i="1"/>
  <c r="BW56" i="1"/>
  <c r="BR89" i="1"/>
  <c r="BR190" i="1"/>
  <c r="BK112" i="1"/>
  <c r="BK42" i="1"/>
  <c r="BK25" i="1"/>
  <c r="BK39" i="1"/>
  <c r="BK69" i="1"/>
  <c r="BK96" i="1"/>
  <c r="BK63" i="1"/>
  <c r="BK10" i="1"/>
  <c r="BK95" i="1"/>
  <c r="BK6" i="1"/>
  <c r="BK46" i="1"/>
  <c r="BK27" i="1"/>
  <c r="CA27" i="1"/>
  <c r="BK50" i="1"/>
  <c r="BK22" i="1"/>
  <c r="BK29" i="1"/>
  <c r="CA29" i="1"/>
  <c r="BK26" i="1"/>
  <c r="BK23" i="1"/>
  <c r="BK12" i="1"/>
  <c r="BK13" i="1"/>
  <c r="BK64" i="1"/>
  <c r="BK84" i="1"/>
  <c r="BK72" i="1"/>
  <c r="BK54" i="1"/>
  <c r="BK32" i="1"/>
  <c r="CA32" i="1"/>
  <c r="BK37" i="1"/>
  <c r="BK97" i="1"/>
  <c r="BK40" i="1"/>
  <c r="BK71" i="1"/>
  <c r="BK47" i="1"/>
  <c r="CA47" i="1"/>
  <c r="BK87" i="1"/>
  <c r="BK49" i="1"/>
  <c r="BK20" i="1"/>
  <c r="BK38" i="1"/>
  <c r="BK31" i="1"/>
  <c r="BK44" i="1"/>
  <c r="BK121" i="1"/>
  <c r="BK68" i="1"/>
  <c r="BK18" i="1"/>
  <c r="BK85" i="1"/>
  <c r="BK125" i="1"/>
  <c r="BK28" i="1"/>
  <c r="BK34" i="1"/>
  <c r="BK129" i="1"/>
  <c r="BK21" i="1"/>
  <c r="BK78" i="1"/>
  <c r="BK41" i="1"/>
  <c r="CA41" i="1"/>
  <c r="BK83" i="1"/>
  <c r="BK36" i="1"/>
  <c r="BK30" i="1"/>
  <c r="BK9" i="1"/>
  <c r="BK70" i="1"/>
  <c r="BK24" i="1"/>
  <c r="BK82" i="1"/>
  <c r="BK67" i="1"/>
  <c r="BK53" i="1"/>
  <c r="BK17" i="1"/>
  <c r="BK66" i="1"/>
  <c r="BK88" i="1"/>
  <c r="BK52" i="1"/>
  <c r="BK35" i="1"/>
  <c r="CA35" i="1"/>
  <c r="BK45" i="1"/>
  <c r="AZ69" i="1"/>
  <c r="AZ48" i="1"/>
  <c r="AZ21" i="1"/>
  <c r="AZ129" i="1"/>
  <c r="AZ49" i="1"/>
  <c r="AZ10" i="1"/>
  <c r="AZ45" i="1"/>
  <c r="AZ125" i="1"/>
  <c r="AZ44" i="1"/>
  <c r="AZ12" i="1"/>
  <c r="AZ97" i="1"/>
  <c r="BT22" i="3"/>
  <c r="BT125" i="3"/>
  <c r="BL41" i="3"/>
  <c r="BL53" i="3"/>
  <c r="J206" i="5" s="1"/>
  <c r="S45" i="1"/>
  <c r="W45" i="1" s="1"/>
  <c r="BB45" i="3"/>
  <c r="BT83" i="3"/>
  <c r="BT42" i="3"/>
  <c r="BT32" i="3"/>
  <c r="BT54" i="3"/>
  <c r="BT44" i="3"/>
  <c r="BT27" i="3"/>
  <c r="BT47" i="3"/>
  <c r="BT48" i="3"/>
  <c r="S54" i="1"/>
  <c r="S27" i="1"/>
  <c r="T27" i="1" s="1"/>
  <c r="S125" i="1"/>
  <c r="T125" i="1" s="1"/>
  <c r="AV165" i="3"/>
  <c r="AV162" i="3"/>
  <c r="BB50" i="3"/>
  <c r="BO50" i="3"/>
  <c r="S66" i="1"/>
  <c r="W66" i="1" s="1"/>
  <c r="BB85" i="3"/>
  <c r="S67" i="1"/>
  <c r="U67" i="1" s="1"/>
  <c r="BL17" i="3"/>
  <c r="BU45" i="1"/>
  <c r="S44" i="1"/>
  <c r="U44" i="1" s="1"/>
  <c r="AU66" i="3"/>
  <c r="AU61" i="3"/>
  <c r="BB97" i="3"/>
  <c r="BB96" i="3"/>
  <c r="BB88" i="3"/>
  <c r="BB66" i="3"/>
  <c r="BB68" i="3"/>
  <c r="BB64" i="3"/>
  <c r="BN64" i="3" s="1"/>
  <c r="BL50" i="3"/>
  <c r="AU36" i="3"/>
  <c r="BB53" i="3"/>
  <c r="AU83" i="3"/>
  <c r="AU29" i="3"/>
  <c r="AU125" i="3"/>
  <c r="AU85" i="3"/>
  <c r="BB34" i="3"/>
  <c r="BN34" i="3" s="1"/>
  <c r="AU49" i="3"/>
  <c r="BU48" i="1"/>
  <c r="S42" i="1"/>
  <c r="U42" i="1" s="1"/>
  <c r="AU121" i="3"/>
  <c r="AU129" i="3"/>
  <c r="AU10" i="3"/>
  <c r="BB36" i="3"/>
  <c r="BB42" i="3"/>
  <c r="S97" i="1"/>
  <c r="W97" i="1" s="1"/>
  <c r="AU24" i="3"/>
  <c r="AI82" i="1"/>
  <c r="AU12" i="3"/>
  <c r="BB83" i="3"/>
  <c r="BL125" i="3"/>
  <c r="BB21" i="3"/>
  <c r="AU84" i="3"/>
  <c r="AI85" i="1"/>
  <c r="AJ85" i="1" s="1"/>
  <c r="AI32" i="1"/>
  <c r="AM32" i="1" s="1"/>
  <c r="BB121" i="3"/>
  <c r="AU68" i="3"/>
  <c r="AU21" i="3"/>
  <c r="BB32" i="3"/>
  <c r="BN32" i="3" s="1"/>
  <c r="BU44" i="1"/>
  <c r="BU12" i="1"/>
  <c r="AU35" i="3"/>
  <c r="AU54" i="3"/>
  <c r="AU69" i="3"/>
  <c r="S49" i="1"/>
  <c r="W49" i="1" s="1"/>
  <c r="BB12" i="3"/>
  <c r="BB38" i="3"/>
  <c r="BN38" i="3" s="1"/>
  <c r="S47" i="1"/>
  <c r="AU82" i="3"/>
  <c r="BB69" i="3"/>
  <c r="BB129" i="3"/>
  <c r="AU42" i="3"/>
  <c r="AU32" i="3"/>
  <c r="BB82" i="3"/>
  <c r="BB87" i="3"/>
  <c r="BB95" i="3"/>
  <c r="BN95" i="3" s="1"/>
  <c r="BM45" i="3"/>
  <c r="BU45" i="3"/>
  <c r="BV27" i="3"/>
  <c r="BR27" i="3"/>
  <c r="AN9" i="1"/>
  <c r="AL34" i="1"/>
  <c r="S34" i="5"/>
  <c r="AK34" i="1"/>
  <c r="AM34" i="1"/>
  <c r="AN26" i="1"/>
  <c r="AL14" i="1"/>
  <c r="S14" i="5"/>
  <c r="AM14" i="1"/>
  <c r="AK14" i="1"/>
  <c r="BU54" i="1"/>
  <c r="BF54" i="1"/>
  <c r="BG54" i="1"/>
  <c r="BP54" i="1" s="1" a="1"/>
  <c r="BP54" i="1" s="1"/>
  <c r="CD54" i="1"/>
  <c r="AN25" i="1"/>
  <c r="BF47" i="1"/>
  <c r="BG47" i="1"/>
  <c r="CD47" i="1"/>
  <c r="AN32" i="1"/>
  <c r="E37" i="5"/>
  <c r="BK37" i="3"/>
  <c r="F37" i="5" s="1"/>
  <c r="BR44" i="3"/>
  <c r="BV44" i="3"/>
  <c r="H33" i="5"/>
  <c r="I33" i="5"/>
  <c r="J33" i="5"/>
  <c r="BK97" i="3"/>
  <c r="E97" i="5"/>
  <c r="AN97" i="1"/>
  <c r="S125" i="5"/>
  <c r="AK125" i="1"/>
  <c r="AL125" i="1"/>
  <c r="AM125" i="1"/>
  <c r="V41" i="1"/>
  <c r="G41" i="5"/>
  <c r="W41" i="1"/>
  <c r="U41" i="1"/>
  <c r="T41" i="1"/>
  <c r="BO41" i="3"/>
  <c r="BK121" i="3"/>
  <c r="F121" i="5" s="1"/>
  <c r="E121" i="5"/>
  <c r="AK121" i="1"/>
  <c r="AL121" i="1"/>
  <c r="AM121" i="1"/>
  <c r="S121" i="5"/>
  <c r="BO121" i="3"/>
  <c r="BL121" i="3"/>
  <c r="AN67" i="1"/>
  <c r="BK22" i="3"/>
  <c r="F22" i="5" s="1"/>
  <c r="E22" i="5"/>
  <c r="AL87" i="1"/>
  <c r="S87" i="5"/>
  <c r="AM87" i="1"/>
  <c r="AK87" i="1"/>
  <c r="AN49" i="1"/>
  <c r="BU29" i="1"/>
  <c r="BF29" i="1"/>
  <c r="BG29" i="1"/>
  <c r="BP29" i="1" s="1" a="1"/>
  <c r="BP29" i="1" s="1"/>
  <c r="CD29" i="1"/>
  <c r="E21" i="5"/>
  <c r="BK21" i="3"/>
  <c r="F21" i="5" s="1"/>
  <c r="AQ12" i="1"/>
  <c r="BS12" i="1" s="1"/>
  <c r="BG17" i="1"/>
  <c r="BP17" i="1" s="1" a="1"/>
  <c r="BP17" i="1" s="1"/>
  <c r="CD17" i="1"/>
  <c r="BF17" i="1"/>
  <c r="U86" i="1"/>
  <c r="G86" i="5"/>
  <c r="V86" i="1"/>
  <c r="T86" i="1"/>
  <c r="W86" i="1"/>
  <c r="BG64" i="1"/>
  <c r="BP64" i="1" s="1" a="1"/>
  <c r="BP64" i="1" s="1"/>
  <c r="BU64" i="1"/>
  <c r="BF64" i="1"/>
  <c r="CD64" i="1"/>
  <c r="V33" i="5"/>
  <c r="T33" i="5"/>
  <c r="U33" i="5"/>
  <c r="S46" i="5"/>
  <c r="AM46" i="1"/>
  <c r="AL46" i="1"/>
  <c r="AK46" i="1"/>
  <c r="AQ18" i="1"/>
  <c r="BS18" i="1" s="1"/>
  <c r="AL36" i="1"/>
  <c r="S36" i="5"/>
  <c r="AM36" i="1"/>
  <c r="AK36" i="1"/>
  <c r="BL27" i="3"/>
  <c r="BO27" i="3"/>
  <c r="AN72" i="1"/>
  <c r="BU85" i="1"/>
  <c r="BG85" i="1"/>
  <c r="BP85" i="1" s="1" a="1"/>
  <c r="BP85" i="1" s="1"/>
  <c r="CD85" i="1"/>
  <c r="BF85" i="1"/>
  <c r="AQ85" i="1"/>
  <c r="BS85" i="1" s="1"/>
  <c r="BG34" i="1"/>
  <c r="BP34" i="1" s="1" a="1"/>
  <c r="BP34" i="1" s="1"/>
  <c r="BF34" i="1"/>
  <c r="CD34" i="1"/>
  <c r="BU34" i="1"/>
  <c r="AQ34" i="1"/>
  <c r="BS34" i="1" s="1"/>
  <c r="S26" i="5"/>
  <c r="AK26" i="1"/>
  <c r="AM26" i="1"/>
  <c r="AL26" i="1"/>
  <c r="BR37" i="3"/>
  <c r="BV37" i="3" s="1"/>
  <c r="BB44" i="3"/>
  <c r="BL44" i="3"/>
  <c r="J207" i="5" s="1"/>
  <c r="BO44" i="3"/>
  <c r="AN24" i="1"/>
  <c r="BF82" i="1"/>
  <c r="BU82" i="1"/>
  <c r="BG82" i="1"/>
  <c r="BP82" i="1" s="1" a="1"/>
  <c r="BP82" i="1" s="1"/>
  <c r="CD82" i="1"/>
  <c r="AQ69" i="1"/>
  <c r="BS69" i="1" s="1"/>
  <c r="AN50" i="1"/>
  <c r="S13" i="5"/>
  <c r="AL13" i="1"/>
  <c r="AK13" i="1"/>
  <c r="AM13" i="1"/>
  <c r="BL87" i="3"/>
  <c r="BO87" i="3"/>
  <c r="BR112" i="3"/>
  <c r="BV112" i="3"/>
  <c r="BV49" i="3"/>
  <c r="BR49" i="3"/>
  <c r="S10" i="5"/>
  <c r="AL10" i="1"/>
  <c r="AK10" i="1"/>
  <c r="AM10" i="1"/>
  <c r="AK61" i="1"/>
  <c r="AM61" i="1"/>
  <c r="AL61" i="1"/>
  <c r="S61" i="5"/>
  <c r="S29" i="5"/>
  <c r="AL29" i="1"/>
  <c r="AK29" i="1"/>
  <c r="AM29" i="1"/>
  <c r="CD21" i="1"/>
  <c r="BF21" i="1"/>
  <c r="BG21" i="1"/>
  <c r="BP21" i="1" s="1" a="1"/>
  <c r="BP21" i="1" s="1"/>
  <c r="S21" i="5"/>
  <c r="AL21" i="1"/>
  <c r="AK21" i="1"/>
  <c r="AM21" i="1"/>
  <c r="AQ53" i="1"/>
  <c r="BS53" i="1" s="1"/>
  <c r="BK38" i="3"/>
  <c r="F38" i="5" s="1"/>
  <c r="E38" i="5"/>
  <c r="BB17" i="3"/>
  <c r="BO17" i="3"/>
  <c r="BK83" i="3"/>
  <c r="F83" i="5" s="1"/>
  <c r="E83" i="5"/>
  <c r="T83" i="1"/>
  <c r="V83" i="1"/>
  <c r="W83" i="1"/>
  <c r="G83" i="5"/>
  <c r="U83" i="1"/>
  <c r="CD88" i="1"/>
  <c r="BF88" i="1"/>
  <c r="BG88" i="1"/>
  <c r="BP88" i="1" s="1" a="1"/>
  <c r="BP88" i="1" s="1"/>
  <c r="BU88" i="1"/>
  <c r="G18" i="5"/>
  <c r="V18" i="1"/>
  <c r="T18" i="1"/>
  <c r="U18" i="1"/>
  <c r="W18" i="1"/>
  <c r="AL42" i="1"/>
  <c r="S42" i="5"/>
  <c r="AM42" i="1"/>
  <c r="AK42" i="1"/>
  <c r="BV42" i="3"/>
  <c r="BR42" i="3"/>
  <c r="AQ27" i="1"/>
  <c r="BS27" i="1" s="1"/>
  <c r="AN30" i="1"/>
  <c r="S72" i="1"/>
  <c r="G34" i="5"/>
  <c r="V34" i="1"/>
  <c r="U34" i="1"/>
  <c r="W34" i="1"/>
  <c r="T34" i="1"/>
  <c r="AQ54" i="1"/>
  <c r="BS54" i="1" s="1"/>
  <c r="AM54" i="1"/>
  <c r="S54" i="5"/>
  <c r="AK54" i="1"/>
  <c r="AL54" i="1"/>
  <c r="BK47" i="3"/>
  <c r="F47" i="5" s="1"/>
  <c r="E47" i="5"/>
  <c r="BB37" i="3"/>
  <c r="BN37" i="3" s="1"/>
  <c r="BO37" i="3"/>
  <c r="BL37" i="3"/>
  <c r="BG44" i="1"/>
  <c r="BP44" i="1" s="1" a="1"/>
  <c r="BP44" i="1" s="1"/>
  <c r="CD44" i="1"/>
  <c r="BF44" i="1"/>
  <c r="BU24" i="1"/>
  <c r="BF24" i="1"/>
  <c r="BG24" i="1" s="1"/>
  <c r="BP24" i="1" s="1" a="1"/>
  <c r="BP24" i="1" s="1"/>
  <c r="CD24" i="1"/>
  <c r="S48" i="1"/>
  <c r="AN48" i="1"/>
  <c r="AQ82" i="1"/>
  <c r="BS82" i="1" s="1"/>
  <c r="S69" i="5"/>
  <c r="AK69" i="1"/>
  <c r="AM69" i="1"/>
  <c r="AL69" i="1"/>
  <c r="BV96" i="3"/>
  <c r="BR96" i="3"/>
  <c r="G23" i="5"/>
  <c r="U23" i="1"/>
  <c r="W23" i="1"/>
  <c r="T23" i="1"/>
  <c r="V23" i="1"/>
  <c r="AQ23" i="1"/>
  <c r="BS23" i="1" s="1"/>
  <c r="S22" i="1"/>
  <c r="BK87" i="3"/>
  <c r="E87" i="5"/>
  <c r="BK129" i="3"/>
  <c r="F129" i="5" s="1"/>
  <c r="E129" i="5"/>
  <c r="BL49" i="3"/>
  <c r="BO49" i="3"/>
  <c r="AK63" i="1"/>
  <c r="S63" i="5"/>
  <c r="AM63" i="1"/>
  <c r="AL63" i="1"/>
  <c r="BB10" i="3"/>
  <c r="BN10" i="3" s="1"/>
  <c r="AQ10" i="1"/>
  <c r="BS10" i="1" s="1"/>
  <c r="BL10" i="3"/>
  <c r="BO10" i="3"/>
  <c r="AM16" i="1"/>
  <c r="S16" i="5"/>
  <c r="AK16" i="1"/>
  <c r="AL16" i="1"/>
  <c r="V16" i="1"/>
  <c r="G16" i="5"/>
  <c r="U16" i="1"/>
  <c r="T16" i="1"/>
  <c r="W16" i="1"/>
  <c r="AU95" i="3"/>
  <c r="AM95" i="1"/>
  <c r="S95" i="5"/>
  <c r="AK95" i="1"/>
  <c r="AL95" i="1"/>
  <c r="BO68" i="3"/>
  <c r="BL68" i="3"/>
  <c r="BL29" i="3"/>
  <c r="BO29" i="3"/>
  <c r="AN21" i="1"/>
  <c r="S53" i="1"/>
  <c r="AK53" i="1"/>
  <c r="AM53" i="1"/>
  <c r="AL53" i="1"/>
  <c r="S53" i="5"/>
  <c r="AU20" i="3"/>
  <c r="BF35" i="1"/>
  <c r="BG35" i="1" s="1"/>
  <c r="BP35" i="1" s="1" a="1"/>
  <c r="BP35" i="1" s="1"/>
  <c r="BU35" i="1"/>
  <c r="CD35" i="1"/>
  <c r="AQ35" i="1"/>
  <c r="BS35" i="1" s="1"/>
  <c r="AN66" i="1"/>
  <c r="AQ64" i="1"/>
  <c r="BS64" i="1" s="1"/>
  <c r="BK88" i="3"/>
  <c r="E88" i="5"/>
  <c r="BO88" i="3"/>
  <c r="BL88" i="3"/>
  <c r="E40" i="5"/>
  <c r="BK40" i="3"/>
  <c r="F40" i="5" s="1"/>
  <c r="BO40" i="3"/>
  <c r="BL40" i="3"/>
  <c r="AN46" i="1"/>
  <c r="BF18" i="1"/>
  <c r="CD18" i="1"/>
  <c r="BG18" i="1"/>
  <c r="BP18" i="1" s="1" a="1"/>
  <c r="BP18" i="1" s="1"/>
  <c r="BU18" i="1"/>
  <c r="BM53" i="3"/>
  <c r="N206" i="5" s="1"/>
  <c r="BU53" i="3"/>
  <c r="V84" i="1"/>
  <c r="G84" i="5"/>
  <c r="U84" i="1"/>
  <c r="T84" i="1"/>
  <c r="W84" i="1"/>
  <c r="BO42" i="3"/>
  <c r="BL42" i="3"/>
  <c r="W74" i="1"/>
  <c r="T74" i="1"/>
  <c r="G74" i="5"/>
  <c r="U74" i="1"/>
  <c r="V74" i="1"/>
  <c r="BR34" i="3"/>
  <c r="BV34" i="3" s="1"/>
  <c r="BL34" i="3"/>
  <c r="BO34" i="3"/>
  <c r="U132" i="1"/>
  <c r="T132" i="1"/>
  <c r="W132" i="1"/>
  <c r="G132" i="5"/>
  <c r="V132" i="1"/>
  <c r="BL54" i="3"/>
  <c r="BO54" i="3"/>
  <c r="BB47" i="3"/>
  <c r="BN47" i="3" s="1"/>
  <c r="S47" i="5"/>
  <c r="AM47" i="1"/>
  <c r="AL47" i="1"/>
  <c r="AK47" i="1"/>
  <c r="S32" i="5"/>
  <c r="AL24" i="1"/>
  <c r="S24" i="5"/>
  <c r="AK24" i="1"/>
  <c r="AM24" i="1"/>
  <c r="AN96" i="1"/>
  <c r="AU96" i="3"/>
  <c r="BB125" i="3"/>
  <c r="BO125" i="3"/>
  <c r="AN121" i="1"/>
  <c r="T124" i="1"/>
  <c r="U124" i="1"/>
  <c r="G124" i="5"/>
  <c r="V124" i="1"/>
  <c r="W124" i="1"/>
  <c r="BR10" i="3"/>
  <c r="BV10" i="3" s="1"/>
  <c r="AN10" i="1"/>
  <c r="BB61" i="3"/>
  <c r="BN61" i="3" s="1"/>
  <c r="AN61" i="1"/>
  <c r="BR95" i="3"/>
  <c r="BV95" i="3" s="1"/>
  <c r="S52" i="5"/>
  <c r="AM52" i="1"/>
  <c r="AK52" i="1"/>
  <c r="AL52" i="1"/>
  <c r="BU21" i="1"/>
  <c r="BK12" i="3"/>
  <c r="F12" i="5" s="1"/>
  <c r="E12" i="5"/>
  <c r="AN20" i="1"/>
  <c r="BK17" i="3"/>
  <c r="F17" i="5" s="1"/>
  <c r="E17" i="5"/>
  <c r="V17" i="1"/>
  <c r="G17" i="5"/>
  <c r="T17" i="1"/>
  <c r="U17" i="1"/>
  <c r="W17" i="1"/>
  <c r="G35" i="5"/>
  <c r="U35" i="1"/>
  <c r="V35" i="1"/>
  <c r="T35" i="1"/>
  <c r="W35" i="1"/>
  <c r="AN64" i="1"/>
  <c r="AU88" i="3"/>
  <c r="X195" i="1" s="1"/>
  <c r="K195" i="5" s="1"/>
  <c r="AQ84" i="1"/>
  <c r="BS84" i="1" s="1"/>
  <c r="BK36" i="3"/>
  <c r="F36" i="5" s="1"/>
  <c r="E36" i="5"/>
  <c r="BO36" i="3"/>
  <c r="BL36" i="3"/>
  <c r="E42" i="5"/>
  <c r="BK42" i="3"/>
  <c r="F42" i="5" s="1"/>
  <c r="BM27" i="3"/>
  <c r="BU27" i="3"/>
  <c r="BF27" i="1"/>
  <c r="BU27" i="1"/>
  <c r="BG27" i="1"/>
  <c r="BP27" i="1" s="1" a="1"/>
  <c r="BP27" i="1" s="1"/>
  <c r="CD27" i="1"/>
  <c r="G15" i="5"/>
  <c r="U15" i="1"/>
  <c r="T15" i="1"/>
  <c r="W15" i="1"/>
  <c r="V15" i="1"/>
  <c r="V30" i="1"/>
  <c r="U30" i="1"/>
  <c r="G30" i="5"/>
  <c r="T30" i="1"/>
  <c r="W30" i="1"/>
  <c r="W85" i="1"/>
  <c r="G85" i="5"/>
  <c r="U85" i="1"/>
  <c r="V85" i="1"/>
  <c r="T85" i="1"/>
  <c r="V14" i="1"/>
  <c r="G14" i="5"/>
  <c r="T14" i="1"/>
  <c r="W14" i="1"/>
  <c r="U14" i="1"/>
  <c r="AQ47" i="1"/>
  <c r="BS47" i="1" s="1"/>
  <c r="AQ32" i="1"/>
  <c r="BS32" i="1" s="1"/>
  <c r="AQ97" i="1"/>
  <c r="BS97" i="1" s="1"/>
  <c r="BO69" i="3"/>
  <c r="BL69" i="3"/>
  <c r="BL23" i="3"/>
  <c r="BO23" i="3"/>
  <c r="AQ125" i="1"/>
  <c r="BS125" i="1" s="1"/>
  <c r="BU50" i="1"/>
  <c r="BF50" i="1"/>
  <c r="BG50" i="1"/>
  <c r="BP50" i="1" s="1" a="1"/>
  <c r="BP50" i="1" s="1"/>
  <c r="CD50" i="1"/>
  <c r="U87" i="1"/>
  <c r="G87" i="5"/>
  <c r="V87" i="1"/>
  <c r="W87" i="1"/>
  <c r="T87" i="1"/>
  <c r="AK129" i="1"/>
  <c r="S129" i="5"/>
  <c r="AM129" i="1"/>
  <c r="AL129" i="1"/>
  <c r="E10" i="5"/>
  <c r="BK10" i="3"/>
  <c r="F10" i="5" s="1"/>
  <c r="BO61" i="3"/>
  <c r="BL61" i="3"/>
  <c r="BF95" i="1"/>
  <c r="BG95" i="1"/>
  <c r="BP95" i="1" s="1" a="1"/>
  <c r="BP95" i="1" s="1"/>
  <c r="CD95" i="1"/>
  <c r="T95" i="1"/>
  <c r="W95" i="1"/>
  <c r="G95" i="5"/>
  <c r="V95" i="1"/>
  <c r="U95" i="1"/>
  <c r="CD68" i="1"/>
  <c r="BU68" i="1"/>
  <c r="BG68" i="1"/>
  <c r="BP68" i="1" s="1" a="1"/>
  <c r="BP68" i="1" s="1"/>
  <c r="BF68" i="1"/>
  <c r="AZ29" i="1"/>
  <c r="AQ29" i="1"/>
  <c r="BS29" i="1" s="1"/>
  <c r="G20" i="5"/>
  <c r="T20" i="1"/>
  <c r="W20" i="1"/>
  <c r="V20" i="1"/>
  <c r="U20" i="1"/>
  <c r="BR17" i="3"/>
  <c r="BV17" i="3" s="1"/>
  <c r="BU66" i="1"/>
  <c r="CD66" i="1"/>
  <c r="BF66" i="1"/>
  <c r="BG66" i="1"/>
  <c r="BP66" i="1" s="1" a="1"/>
  <c r="BP66" i="1" s="1"/>
  <c r="AQ66" i="1"/>
  <c r="BS66" i="1" s="1"/>
  <c r="BO64" i="3"/>
  <c r="BL64" i="3"/>
  <c r="V19" i="1"/>
  <c r="G19" i="5"/>
  <c r="T19" i="1"/>
  <c r="U19" i="1"/>
  <c r="W19" i="1"/>
  <c r="V88" i="1"/>
  <c r="G88" i="5"/>
  <c r="W88" i="1"/>
  <c r="U88" i="1"/>
  <c r="T88" i="1"/>
  <c r="BV88" i="3"/>
  <c r="BB40" i="3"/>
  <c r="BJ40" i="3"/>
  <c r="BU88" i="3"/>
  <c r="BM88" i="3"/>
  <c r="E27" i="5"/>
  <c r="BK27" i="3"/>
  <c r="F27" i="5" s="1"/>
  <c r="AU72" i="3"/>
  <c r="AQ72" i="1"/>
  <c r="BS72" i="1" s="1"/>
  <c r="E85" i="5"/>
  <c r="BK85" i="3"/>
  <c r="AN85" i="1"/>
  <c r="AU34" i="3"/>
  <c r="BV54" i="3"/>
  <c r="BR54" i="3"/>
  <c r="G25" i="5"/>
  <c r="W25" i="1"/>
  <c r="V25" i="1"/>
  <c r="T25" i="1"/>
  <c r="U25" i="1"/>
  <c r="AZ47" i="1"/>
  <c r="U32" i="1"/>
  <c r="V32" i="1"/>
  <c r="G32" i="5"/>
  <c r="W32" i="1"/>
  <c r="T32" i="1"/>
  <c r="BO32" i="3"/>
  <c r="BL32" i="3"/>
  <c r="S37" i="5"/>
  <c r="AM37" i="1"/>
  <c r="AK37" i="1"/>
  <c r="AL37" i="1"/>
  <c r="S39" i="5"/>
  <c r="AL39" i="1"/>
  <c r="AM39" i="1"/>
  <c r="AK39" i="1"/>
  <c r="S70" i="5"/>
  <c r="AM70" i="1"/>
  <c r="AK70" i="1"/>
  <c r="AL70" i="1"/>
  <c r="BK24" i="3"/>
  <c r="F24" i="5" s="1"/>
  <c r="E24" i="5"/>
  <c r="BO48" i="3"/>
  <c r="BL48" i="3"/>
  <c r="AN69" i="1"/>
  <c r="BK96" i="3"/>
  <c r="E96" i="5"/>
  <c r="AQ96" i="1"/>
  <c r="BS96" i="1" s="1"/>
  <c r="AU23" i="3"/>
  <c r="BK125" i="3"/>
  <c r="F125" i="5" s="1"/>
  <c r="E125" i="5"/>
  <c r="BB41" i="3"/>
  <c r="BN41" i="3" s="1"/>
  <c r="AQ41" i="1"/>
  <c r="BS41" i="1" s="1"/>
  <c r="AU22" i="3"/>
  <c r="AQ22" i="1"/>
  <c r="BS22" i="1" s="1"/>
  <c r="AN95" i="1"/>
  <c r="BO95" i="3"/>
  <c r="BL95" i="3"/>
  <c r="BK68" i="3"/>
  <c r="E68" i="5"/>
  <c r="AN52" i="1"/>
  <c r="AK12" i="1"/>
  <c r="AM12" i="1"/>
  <c r="AL12" i="1"/>
  <c r="S12" i="5"/>
  <c r="BK53" i="3"/>
  <c r="F53" i="5" s="1"/>
  <c r="E53" i="5"/>
  <c r="CD20" i="1"/>
  <c r="BF20" i="1"/>
  <c r="BG20" i="1" s="1"/>
  <c r="BP20" i="1" s="1" a="1"/>
  <c r="BP20" i="1" s="1"/>
  <c r="BU20" i="1"/>
  <c r="BO20" i="3"/>
  <c r="BL20" i="3"/>
  <c r="BK35" i="3"/>
  <c r="F35" i="5" s="1"/>
  <c r="E35" i="5"/>
  <c r="AN35" i="1"/>
  <c r="S78" i="5"/>
  <c r="AL78" i="1"/>
  <c r="AM78" i="1"/>
  <c r="AK78" i="1"/>
  <c r="BR46" i="3"/>
  <c r="BV46" i="3"/>
  <c r="AL45" i="1"/>
  <c r="S45" i="5"/>
  <c r="AK45" i="1"/>
  <c r="AM45" i="1"/>
  <c r="BM50" i="3"/>
  <c r="BB27" i="3"/>
  <c r="S15" i="5"/>
  <c r="AM15" i="1"/>
  <c r="AK15" i="1"/>
  <c r="AL15" i="1"/>
  <c r="BK34" i="3"/>
  <c r="F34" i="5" s="1"/>
  <c r="E34" i="5"/>
  <c r="BV26" i="3"/>
  <c r="BR26" i="3"/>
  <c r="S71" i="5"/>
  <c r="AM71" i="1"/>
  <c r="AK71" i="1"/>
  <c r="AL71" i="1"/>
  <c r="BB54" i="3"/>
  <c r="AN44" i="1"/>
  <c r="BB24" i="3"/>
  <c r="BN24" i="3" s="1"/>
  <c r="AQ48" i="1"/>
  <c r="BS48" i="1" s="1"/>
  <c r="V82" i="1"/>
  <c r="T82" i="1"/>
  <c r="G82" i="5"/>
  <c r="W82" i="1"/>
  <c r="U82" i="1"/>
  <c r="BK69" i="3"/>
  <c r="F69" i="5" s="1"/>
  <c r="E69" i="5"/>
  <c r="BB23" i="3"/>
  <c r="BN23" i="3" s="1"/>
  <c r="AU41" i="3"/>
  <c r="AU50" i="3"/>
  <c r="BF49" i="1"/>
  <c r="BU49" i="1"/>
  <c r="BG49" i="1"/>
  <c r="BP49" i="1" s="1" a="1"/>
  <c r="BP49" i="1" s="1"/>
  <c r="CD49" i="1"/>
  <c r="S49" i="5"/>
  <c r="AK49" i="1"/>
  <c r="AL49" i="1"/>
  <c r="AM49" i="1"/>
  <c r="BK95" i="3"/>
  <c r="F95" i="5" s="1"/>
  <c r="E95" i="5"/>
  <c r="BB29" i="3"/>
  <c r="BC29" i="3" s="1"/>
  <c r="BG53" i="1"/>
  <c r="BP53" i="1" s="1" a="1"/>
  <c r="BP53" i="1" s="1"/>
  <c r="CD53" i="1"/>
  <c r="BU53" i="1"/>
  <c r="BF53" i="1"/>
  <c r="AU53" i="3"/>
  <c r="BB20" i="3"/>
  <c r="S38" i="5"/>
  <c r="AL38" i="1"/>
  <c r="AM38" i="1"/>
  <c r="AK38" i="1"/>
  <c r="U126" i="5"/>
  <c r="T126" i="5"/>
  <c r="V126" i="5"/>
  <c r="BB35" i="3"/>
  <c r="BO35" i="3"/>
  <c r="BL35" i="3"/>
  <c r="AN83" i="1"/>
  <c r="AK66" i="1"/>
  <c r="S66" i="5"/>
  <c r="AM66" i="1"/>
  <c r="AL66" i="1"/>
  <c r="BR64" i="3"/>
  <c r="BV64" i="3" s="1"/>
  <c r="AN88" i="1"/>
  <c r="S40" i="5"/>
  <c r="AM40" i="1"/>
  <c r="AK40" i="1"/>
  <c r="AL40" i="1"/>
  <c r="AN18" i="1"/>
  <c r="BF45" i="1"/>
  <c r="BG45" i="1"/>
  <c r="BP45" i="1" s="1" a="1"/>
  <c r="BP45" i="1" s="1"/>
  <c r="CD45" i="1"/>
  <c r="AN45" i="1"/>
  <c r="AQ45" i="1"/>
  <c r="BS45" i="1" s="1"/>
  <c r="AQ36" i="1"/>
  <c r="BS36" i="1" s="1"/>
  <c r="AK27" i="1"/>
  <c r="S27" i="5"/>
  <c r="AM27" i="1"/>
  <c r="AL27" i="1"/>
  <c r="AN28" i="1"/>
  <c r="BB72" i="3"/>
  <c r="G71" i="5"/>
  <c r="T71" i="1"/>
  <c r="V71" i="1"/>
  <c r="W71" i="1"/>
  <c r="U71" i="1"/>
  <c r="AZ54" i="1"/>
  <c r="BK54" i="3"/>
  <c r="F54" i="5" s="1"/>
  <c r="E54" i="5"/>
  <c r="BU47" i="1"/>
  <c r="AN47" i="1"/>
  <c r="BP47" i="1" a="1"/>
  <c r="BP47" i="1" s="1"/>
  <c r="CD32" i="1"/>
  <c r="BF32" i="1"/>
  <c r="BG32" i="1"/>
  <c r="BP32" i="1" s="1" a="1"/>
  <c r="BP32" i="1" s="1"/>
  <c r="BU32" i="1"/>
  <c r="AN37" i="1"/>
  <c r="T39" i="1"/>
  <c r="G39" i="5"/>
  <c r="V39" i="1"/>
  <c r="W39" i="1"/>
  <c r="U39" i="1"/>
  <c r="BO24" i="3"/>
  <c r="BL24" i="3"/>
  <c r="S48" i="5"/>
  <c r="AL48" i="1"/>
  <c r="AK48" i="1"/>
  <c r="AM48" i="1"/>
  <c r="BK82" i="3"/>
  <c r="F82" i="5" s="1"/>
  <c r="E82" i="5"/>
  <c r="BO82" i="3"/>
  <c r="BL82" i="3"/>
  <c r="CD96" i="1"/>
  <c r="BF96" i="1"/>
  <c r="BG96" i="1"/>
  <c r="BP96" i="1" s="1" a="1"/>
  <c r="BP96" i="1" s="1"/>
  <c r="BU96" i="1"/>
  <c r="BF23" i="1"/>
  <c r="BG23" i="1" s="1"/>
  <c r="BP23" i="1" s="1" a="1"/>
  <c r="BP23" i="1" s="1"/>
  <c r="CD23" i="1"/>
  <c r="BU23" i="1"/>
  <c r="AL23" i="1"/>
  <c r="S23" i="5"/>
  <c r="AM23" i="1"/>
  <c r="AK23" i="1"/>
  <c r="CD41" i="1"/>
  <c r="BF41" i="1"/>
  <c r="BG41" i="1" s="1"/>
  <c r="BP41" i="1" s="1" a="1"/>
  <c r="BP41" i="1" s="1"/>
  <c r="BU41" i="1"/>
  <c r="BG121" i="1"/>
  <c r="BP121" i="1" s="1" a="1"/>
  <c r="BP121" i="1" s="1"/>
  <c r="CD121" i="1"/>
  <c r="BU121" i="1"/>
  <c r="BF121" i="1"/>
  <c r="BV50" i="3"/>
  <c r="BR50" i="3"/>
  <c r="S22" i="5"/>
  <c r="AM22" i="1"/>
  <c r="AL22" i="1"/>
  <c r="AK22" i="1"/>
  <c r="AN63" i="1"/>
  <c r="AN68" i="1"/>
  <c r="BI29" i="3"/>
  <c r="BU29" i="3" s="1"/>
  <c r="BR29" i="3"/>
  <c r="BV29" i="3" s="1"/>
  <c r="BV52" i="3"/>
  <c r="BR52" i="3"/>
  <c r="BR53" i="3"/>
  <c r="BV53" i="3"/>
  <c r="BU38" i="1"/>
  <c r="BF38" i="1"/>
  <c r="BG38" i="1" s="1"/>
  <c r="BP38" i="1" s="1" a="1"/>
  <c r="BP38" i="1" s="1"/>
  <c r="CD38" i="1"/>
  <c r="U78" i="1"/>
  <c r="G78" i="5"/>
  <c r="W78" i="1"/>
  <c r="T78" i="1"/>
  <c r="V78" i="1"/>
  <c r="BL66" i="3"/>
  <c r="BO66" i="3"/>
  <c r="BK64" i="3"/>
  <c r="F64" i="5" s="1"/>
  <c r="E64" i="5"/>
  <c r="E45" i="5"/>
  <c r="BK45" i="3"/>
  <c r="F45" i="5" s="1"/>
  <c r="BU84" i="1"/>
  <c r="BG84" i="1"/>
  <c r="BP84" i="1" s="1" a="1"/>
  <c r="BP84" i="1" s="1"/>
  <c r="BF84" i="1"/>
  <c r="CD84" i="1"/>
  <c r="AN84" i="1"/>
  <c r="BU36" i="1"/>
  <c r="BF36" i="1"/>
  <c r="BG36" i="1" s="1"/>
  <c r="BP36" i="1" s="1" a="1"/>
  <c r="BP36" i="1" s="1"/>
  <c r="CD36" i="1"/>
  <c r="S72" i="5"/>
  <c r="AK72" i="1"/>
  <c r="AM72" i="1"/>
  <c r="AL72" i="1"/>
  <c r="AZ34" i="1"/>
  <c r="AN34" i="1"/>
  <c r="AN54" i="1"/>
  <c r="BL47" i="3"/>
  <c r="BO47" i="3"/>
  <c r="E32" i="5"/>
  <c r="BK32" i="3"/>
  <c r="F32" i="5" s="1"/>
  <c r="AN70" i="1"/>
  <c r="S97" i="5"/>
  <c r="AL97" i="1"/>
  <c r="AK97" i="1"/>
  <c r="AM97" i="1"/>
  <c r="AU97" i="3"/>
  <c r="BK48" i="3"/>
  <c r="F48" i="5" s="1"/>
  <c r="E48" i="5"/>
  <c r="S96" i="1"/>
  <c r="W90" i="1"/>
  <c r="G90" i="5"/>
  <c r="U90" i="1"/>
  <c r="V90" i="1"/>
  <c r="T90" i="1"/>
  <c r="E23" i="5"/>
  <c r="BK23" i="3"/>
  <c r="F23" i="5" s="1"/>
  <c r="S41" i="5"/>
  <c r="AK41" i="1"/>
  <c r="AL41" i="1"/>
  <c r="AM41" i="1"/>
  <c r="S67" i="5"/>
  <c r="AL67" i="1"/>
  <c r="AM67" i="1"/>
  <c r="AK67" i="1"/>
  <c r="BL67" i="3"/>
  <c r="BB22" i="3"/>
  <c r="AN129" i="1"/>
  <c r="T68" i="1"/>
  <c r="G68" i="5"/>
  <c r="V68" i="1"/>
  <c r="W68" i="1"/>
  <c r="U68" i="1"/>
  <c r="BK29" i="3"/>
  <c r="F29" i="5" s="1"/>
  <c r="E29" i="5"/>
  <c r="S6" i="5"/>
  <c r="AL6" i="1"/>
  <c r="AM6" i="1"/>
  <c r="AK6" i="1"/>
  <c r="AN6" i="1"/>
  <c r="S21" i="1"/>
  <c r="S12" i="1"/>
  <c r="AN12" i="1"/>
  <c r="BO53" i="3"/>
  <c r="E20" i="5"/>
  <c r="BK20" i="3"/>
  <c r="F20" i="5" s="1"/>
  <c r="BU17" i="1"/>
  <c r="AQ17" i="1"/>
  <c r="BS17" i="1" s="1"/>
  <c r="S86" i="5"/>
  <c r="AL86" i="1"/>
  <c r="AK86" i="1"/>
  <c r="AM86" i="1"/>
  <c r="AI83" i="1"/>
  <c r="AJ83" i="1" s="1"/>
  <c r="AU64" i="3"/>
  <c r="AQ88" i="1"/>
  <c r="BS88" i="1" s="1"/>
  <c r="BF40" i="1"/>
  <c r="BG40" i="1" s="1"/>
  <c r="BP40" i="1" s="1" a="1"/>
  <c r="BP40" i="1" s="1"/>
  <c r="CD40" i="1"/>
  <c r="BU40" i="1"/>
  <c r="V40" i="1"/>
  <c r="G40" i="5"/>
  <c r="W40" i="1"/>
  <c r="T40" i="1"/>
  <c r="U40" i="1"/>
  <c r="AN31" i="1"/>
  <c r="BO18" i="3"/>
  <c r="BL18" i="3"/>
  <c r="AU45" i="3"/>
  <c r="AN42" i="1"/>
  <c r="AQ42" i="1"/>
  <c r="BS42" i="1" s="1"/>
  <c r="AN27" i="1"/>
  <c r="AL9" i="1"/>
  <c r="S9" i="5"/>
  <c r="AM9" i="1"/>
  <c r="AK9" i="1"/>
  <c r="BU72" i="1"/>
  <c r="BG72" i="1"/>
  <c r="BP72" i="1" s="1" a="1"/>
  <c r="BP72" i="1" s="1"/>
  <c r="CD72" i="1"/>
  <c r="BF72" i="1"/>
  <c r="T37" i="1"/>
  <c r="G37" i="5"/>
  <c r="U37" i="1"/>
  <c r="W37" i="1"/>
  <c r="V37" i="1"/>
  <c r="CD97" i="1"/>
  <c r="BG97" i="1"/>
  <c r="BP97" i="1" s="1" a="1"/>
  <c r="BP97" i="1" s="1"/>
  <c r="BF97" i="1"/>
  <c r="BU97" i="1"/>
  <c r="AQ24" i="1"/>
  <c r="BS24" i="1" s="1"/>
  <c r="BB48" i="3"/>
  <c r="BJ48" i="3"/>
  <c r="AN82" i="1"/>
  <c r="BF69" i="1"/>
  <c r="BG69" i="1"/>
  <c r="BP69" i="1" s="1" a="1"/>
  <c r="BP69" i="1" s="1"/>
  <c r="CD69" i="1"/>
  <c r="BU69" i="1"/>
  <c r="T69" i="1"/>
  <c r="G69" i="5"/>
  <c r="U69" i="1"/>
  <c r="V69" i="1"/>
  <c r="W69" i="1"/>
  <c r="S96" i="5"/>
  <c r="AL96" i="1"/>
  <c r="AK96" i="1"/>
  <c r="AM96" i="1"/>
  <c r="BR23" i="3"/>
  <c r="BV23" i="3" s="1"/>
  <c r="AN125" i="1"/>
  <c r="BR41" i="3"/>
  <c r="BV41" i="3" s="1"/>
  <c r="CD67" i="1"/>
  <c r="BU67" i="1"/>
  <c r="BG67" i="1"/>
  <c r="BP67" i="1" s="1" a="1"/>
  <c r="BP67" i="1" s="1"/>
  <c r="BF67" i="1"/>
  <c r="AQ67" i="1"/>
  <c r="BS67" i="1" s="1"/>
  <c r="AZ50" i="1"/>
  <c r="AQ50" i="1"/>
  <c r="BS50" i="1" s="1"/>
  <c r="CD22" i="1"/>
  <c r="BG22" i="1"/>
  <c r="BP22" i="1" s="1" a="1"/>
  <c r="BP22" i="1" s="1"/>
  <c r="BF22" i="1"/>
  <c r="BU22" i="1"/>
  <c r="AQ87" i="1"/>
  <c r="BS87" i="1" s="1"/>
  <c r="U129" i="1"/>
  <c r="G129" i="5"/>
  <c r="V129" i="1"/>
  <c r="W129" i="1"/>
  <c r="T129" i="1"/>
  <c r="BK49" i="3"/>
  <c r="F49" i="5" s="1"/>
  <c r="E49" i="5"/>
  <c r="AQ49" i="1"/>
  <c r="BS49" i="1" s="1"/>
  <c r="BF10" i="1"/>
  <c r="BU10" i="1"/>
  <c r="BG10" i="1"/>
  <c r="BP10" i="1" s="1" a="1"/>
  <c r="BP10" i="1" s="1"/>
  <c r="CD10" i="1"/>
  <c r="T61" i="1"/>
  <c r="G61" i="5"/>
  <c r="U61" i="1"/>
  <c r="V61" i="1"/>
  <c r="W61" i="1"/>
  <c r="BU95" i="1"/>
  <c r="AN29" i="1"/>
  <c r="BF12" i="1"/>
  <c r="BG12" i="1"/>
  <c r="BP12" i="1" s="1" a="1"/>
  <c r="BP12" i="1" s="1"/>
  <c r="CD12" i="1"/>
  <c r="BO12" i="3"/>
  <c r="BL12" i="3"/>
  <c r="AN38" i="1"/>
  <c r="AN17" i="1"/>
  <c r="AK35" i="1"/>
  <c r="S35" i="5"/>
  <c r="AL35" i="1"/>
  <c r="AM35" i="1"/>
  <c r="AN78" i="1"/>
  <c r="AQ83" i="1"/>
  <c r="BS83" i="1" s="1"/>
  <c r="BL83" i="3"/>
  <c r="BO83" i="3"/>
  <c r="E66" i="5"/>
  <c r="BK66" i="3"/>
  <c r="F66" i="5" s="1"/>
  <c r="AN40" i="1"/>
  <c r="G31" i="5"/>
  <c r="U31" i="1"/>
  <c r="W31" i="1"/>
  <c r="T31" i="1"/>
  <c r="V31" i="1"/>
  <c r="BV45" i="3"/>
  <c r="BR45" i="3"/>
  <c r="BM44" i="3"/>
  <c r="N207" i="5" s="1"/>
  <c r="BU44" i="3"/>
  <c r="G75" i="5"/>
  <c r="U75" i="1"/>
  <c r="V75" i="1"/>
  <c r="T75" i="1"/>
  <c r="W75" i="1"/>
  <c r="BB84" i="3"/>
  <c r="T36" i="1"/>
  <c r="W36" i="1"/>
  <c r="G36" i="5"/>
  <c r="V36" i="1"/>
  <c r="U36" i="1"/>
  <c r="BF42" i="1"/>
  <c r="BG42" i="1"/>
  <c r="BP42" i="1" s="1" a="1"/>
  <c r="BP42" i="1" s="1"/>
  <c r="CD42" i="1"/>
  <c r="BU42" i="1"/>
  <c r="H126" i="5"/>
  <c r="I126" i="5"/>
  <c r="J126" i="5"/>
  <c r="S25" i="5"/>
  <c r="AM25" i="1"/>
  <c r="AL25" i="1"/>
  <c r="AK25" i="1"/>
  <c r="AU47" i="3"/>
  <c r="AU37" i="3"/>
  <c r="AQ37" i="1"/>
  <c r="BS37" i="1" s="1"/>
  <c r="BK44" i="3"/>
  <c r="F44" i="5" s="1"/>
  <c r="E44" i="5"/>
  <c r="AQ44" i="1"/>
  <c r="BS44" i="1" s="1"/>
  <c r="U70" i="1"/>
  <c r="T70" i="1"/>
  <c r="G70" i="5"/>
  <c r="W70" i="1"/>
  <c r="V70" i="1"/>
  <c r="AN23" i="1"/>
  <c r="BG125" i="1"/>
  <c r="BP125" i="1" s="1" a="1"/>
  <c r="BP125" i="1" s="1"/>
  <c r="CD125" i="1"/>
  <c r="BU125" i="1"/>
  <c r="BF125" i="1"/>
  <c r="BK41" i="3"/>
  <c r="F41" i="5" s="1"/>
  <c r="E41" i="5"/>
  <c r="AN41" i="1"/>
  <c r="E67" i="5"/>
  <c r="BK67" i="3"/>
  <c r="AL50" i="1"/>
  <c r="S50" i="5"/>
  <c r="AM50" i="1"/>
  <c r="AK50" i="1"/>
  <c r="AN22" i="1"/>
  <c r="BO22" i="3"/>
  <c r="BL22" i="3"/>
  <c r="AU87" i="3"/>
  <c r="AN87" i="1"/>
  <c r="BG129" i="1"/>
  <c r="BP129" i="1" s="1" a="1"/>
  <c r="BP129" i="1" s="1"/>
  <c r="BU129" i="1"/>
  <c r="CD129" i="1"/>
  <c r="BF129" i="1"/>
  <c r="BL129" i="3"/>
  <c r="BO129" i="3"/>
  <c r="BB49" i="3"/>
  <c r="G10" i="5"/>
  <c r="T10" i="1"/>
  <c r="V10" i="1"/>
  <c r="U10" i="1"/>
  <c r="W10" i="1"/>
  <c r="BK61" i="3"/>
  <c r="F61" i="5" s="1"/>
  <c r="E61" i="5"/>
  <c r="AQ68" i="1"/>
  <c r="BS68" i="1" s="1"/>
  <c r="BL21" i="3"/>
  <c r="BO21" i="3"/>
  <c r="AU38" i="3"/>
  <c r="AQ38" i="1"/>
  <c r="BS38" i="1" s="1"/>
  <c r="U38" i="1"/>
  <c r="G38" i="5"/>
  <c r="W38" i="1"/>
  <c r="T38" i="1"/>
  <c r="V38" i="1"/>
  <c r="BR66" i="3"/>
  <c r="BV66" i="3" s="1"/>
  <c r="S64" i="1"/>
  <c r="AL64" i="1"/>
  <c r="S64" i="5"/>
  <c r="AM64" i="1"/>
  <c r="AK64" i="1"/>
  <c r="S88" i="5"/>
  <c r="AK88" i="1"/>
  <c r="AL88" i="1"/>
  <c r="AM88" i="1"/>
  <c r="AQ40" i="1"/>
  <c r="BS40" i="1" s="1"/>
  <c r="BB18" i="3"/>
  <c r="BJ18" i="3"/>
  <c r="BR18" i="3" s="1"/>
  <c r="BV18" i="3" s="1"/>
  <c r="E84" i="5"/>
  <c r="BK84" i="3"/>
  <c r="AN36" i="1"/>
  <c r="S30" i="5"/>
  <c r="AM30" i="1"/>
  <c r="AL30" i="1"/>
  <c r="AK30" i="1"/>
  <c r="T9" i="1"/>
  <c r="G9" i="5"/>
  <c r="U9" i="1"/>
  <c r="V9" i="1"/>
  <c r="W9" i="1"/>
  <c r="V28" i="1"/>
  <c r="G28" i="5"/>
  <c r="U28" i="1"/>
  <c r="T28" i="1"/>
  <c r="W28" i="1"/>
  <c r="E72" i="5"/>
  <c r="BK72" i="3"/>
  <c r="AN71" i="1"/>
  <c r="CD37" i="1"/>
  <c r="BU37" i="1"/>
  <c r="BF37" i="1"/>
  <c r="BG37" i="1" s="1"/>
  <c r="BP37" i="1" s="1" a="1"/>
  <c r="BP37" i="1" s="1"/>
  <c r="S44" i="5"/>
  <c r="AL44" i="1"/>
  <c r="AM44" i="1"/>
  <c r="AK44" i="1"/>
  <c r="AU44" i="3"/>
  <c r="AN39" i="1"/>
  <c r="V24" i="1"/>
  <c r="G24" i="5"/>
  <c r="T24" i="1"/>
  <c r="W24" i="1"/>
  <c r="U24" i="1"/>
  <c r="BG48" i="1"/>
  <c r="BP48" i="1" s="1" a="1"/>
  <c r="BP48" i="1" s="1"/>
  <c r="BF48" i="1"/>
  <c r="CD48" i="1"/>
  <c r="AQ121" i="1"/>
  <c r="BS121" i="1" s="1"/>
  <c r="G121" i="5"/>
  <c r="V121" i="1"/>
  <c r="W121" i="1"/>
  <c r="U121" i="1"/>
  <c r="T121" i="1"/>
  <c r="BB67" i="3"/>
  <c r="BJ67" i="3"/>
  <c r="S50" i="1"/>
  <c r="E50" i="5"/>
  <c r="BK50" i="3"/>
  <c r="F50" i="5" s="1"/>
  <c r="AN13" i="1"/>
  <c r="BF87" i="1"/>
  <c r="BG87" i="1" s="1"/>
  <c r="BP87" i="1" s="1" a="1"/>
  <c r="BP87" i="1" s="1"/>
  <c r="CD87" i="1"/>
  <c r="BU87" i="1"/>
  <c r="AQ129" i="1"/>
  <c r="BS129" i="1" s="1"/>
  <c r="AN112" i="1"/>
  <c r="S112" i="5"/>
  <c r="AK112" i="1"/>
  <c r="AL112" i="1"/>
  <c r="AM112" i="1"/>
  <c r="BM49" i="3"/>
  <c r="BU49" i="3"/>
  <c r="CD61" i="1"/>
  <c r="BF61" i="1"/>
  <c r="BG61" i="1" s="1"/>
  <c r="BP61" i="1" s="1" a="1"/>
  <c r="BP61" i="1" s="1"/>
  <c r="BU61" i="1"/>
  <c r="AQ61" i="1"/>
  <c r="BS61" i="1" s="1"/>
  <c r="AQ95" i="1"/>
  <c r="BS95" i="1" s="1"/>
  <c r="AK68" i="1"/>
  <c r="S68" i="5"/>
  <c r="AM68" i="1"/>
  <c r="AL68" i="1"/>
  <c r="T29" i="1"/>
  <c r="G29" i="5"/>
  <c r="U29" i="1"/>
  <c r="V29" i="1"/>
  <c r="W29" i="1"/>
  <c r="AQ21" i="1"/>
  <c r="BS21" i="1" s="1"/>
  <c r="AN53" i="1"/>
  <c r="AQ20" i="1"/>
  <c r="BS20" i="1" s="1"/>
  <c r="BR38" i="3"/>
  <c r="BV38" i="3" s="1"/>
  <c r="AU17" i="3"/>
  <c r="CD83" i="1"/>
  <c r="BF83" i="1"/>
  <c r="BG83" i="1" s="1"/>
  <c r="BP83" i="1" s="1" a="1"/>
  <c r="BP83" i="1" s="1"/>
  <c r="BU83" i="1"/>
  <c r="BK18" i="3"/>
  <c r="F18" i="5" s="1"/>
  <c r="E18" i="5"/>
  <c r="BO45" i="3"/>
  <c r="BL45" i="3"/>
  <c r="P126" i="5"/>
  <c r="Q126" i="5"/>
  <c r="R126" i="5"/>
  <c r="Q128" i="5"/>
  <c r="P128" i="5"/>
  <c r="R128" i="5"/>
  <c r="AD44" i="1"/>
  <c r="O44" i="5" s="1"/>
  <c r="Q44" i="5" s="1"/>
  <c r="AD23" i="1"/>
  <c r="O23" i="5" s="1"/>
  <c r="P23" i="5" s="1"/>
  <c r="AD61" i="1"/>
  <c r="O61" i="5" s="1"/>
  <c r="AD37" i="1"/>
  <c r="O37" i="5" s="1"/>
  <c r="AD27" i="1"/>
  <c r="O27" i="5" s="1"/>
  <c r="AD42" i="1"/>
  <c r="O42" i="5" s="1"/>
  <c r="AD112" i="1"/>
  <c r="O112" i="5" s="1"/>
  <c r="AD46" i="1"/>
  <c r="O46" i="5" s="1"/>
  <c r="AD54" i="1"/>
  <c r="O54" i="5" s="1"/>
  <c r="AD40" i="1"/>
  <c r="O40" i="5" s="1"/>
  <c r="AD53" i="1"/>
  <c r="O53" i="5" s="1"/>
  <c r="AD88" i="1"/>
  <c r="O88" i="5" s="1"/>
  <c r="AG128" i="1"/>
  <c r="AH128" i="1"/>
  <c r="AE128" i="1"/>
  <c r="AF128" i="1"/>
  <c r="AD67" i="1"/>
  <c r="AD72" i="1"/>
  <c r="AD52" i="1"/>
  <c r="O52" i="5" s="1"/>
  <c r="AD49" i="1"/>
  <c r="O49" i="5" s="1"/>
  <c r="AD10" i="1"/>
  <c r="O10" i="5" s="1"/>
  <c r="AD96" i="1"/>
  <c r="O96" i="5" s="1"/>
  <c r="R96" i="5" s="1"/>
  <c r="AD64" i="1"/>
  <c r="O64" i="5" s="1"/>
  <c r="AD95" i="1"/>
  <c r="O95" i="5" s="1"/>
  <c r="AD38" i="1"/>
  <c r="O38" i="5" s="1"/>
  <c r="AD47" i="1"/>
  <c r="O47" i="5" s="1"/>
  <c r="P47" i="5" s="1"/>
  <c r="AD32" i="1"/>
  <c r="O32" i="5" s="1"/>
  <c r="P32" i="5" s="1"/>
  <c r="AD45" i="1"/>
  <c r="O45" i="5" s="1"/>
  <c r="AD34" i="1"/>
  <c r="O34" i="5" s="1"/>
  <c r="AD26" i="1"/>
  <c r="O26" i="5" s="1"/>
  <c r="AD97" i="1"/>
  <c r="O97" i="5" s="1"/>
  <c r="AD24" i="1"/>
  <c r="O24" i="5" s="1"/>
  <c r="AD29" i="1"/>
  <c r="O29" i="5" s="1"/>
  <c r="AD41" i="1"/>
  <c r="O41" i="5" s="1"/>
  <c r="AD48" i="1"/>
  <c r="AD50" i="1"/>
  <c r="O50" i="5" s="1"/>
  <c r="AE126" i="1"/>
  <c r="AF126" i="1"/>
  <c r="AH126" i="1"/>
  <c r="AG126" i="1"/>
  <c r="V121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18" i="3"/>
  <c r="V83" i="3"/>
  <c r="V52" i="3"/>
  <c r="BN52" i="3" s="1"/>
  <c r="V87" i="3"/>
  <c r="V53" i="3"/>
  <c r="BN53" i="3" s="1"/>
  <c r="V20" i="3"/>
  <c r="V54" i="3"/>
  <c r="BN54" i="3" s="1"/>
  <c r="V88" i="3"/>
  <c r="BN88" i="3" s="1"/>
  <c r="V49" i="3"/>
  <c r="BN49" i="3" s="1"/>
  <c r="V45" i="3"/>
  <c r="BN45" i="3" s="1"/>
  <c r="V17" i="3"/>
  <c r="V84" i="3"/>
  <c r="V44" i="3"/>
  <c r="BN44" i="3" s="1"/>
  <c r="V85" i="3"/>
  <c r="V42" i="3"/>
  <c r="BN42" i="3" s="1"/>
  <c r="V82" i="3"/>
  <c r="AV85" i="3"/>
  <c r="AV96" i="3"/>
  <c r="AV45" i="3"/>
  <c r="AV121" i="3"/>
  <c r="AV53" i="3"/>
  <c r="BR206" i="1" s="1"/>
  <c r="AV74" i="3"/>
  <c r="AV87" i="3"/>
  <c r="AV61" i="3"/>
  <c r="AV9" i="3"/>
  <c r="AV17" i="3"/>
  <c r="AV132" i="3"/>
  <c r="AV52" i="3"/>
  <c r="AV36" i="3"/>
  <c r="AV88" i="3"/>
  <c r="AV86" i="3"/>
  <c r="AV95" i="3"/>
  <c r="AV43" i="3"/>
  <c r="AV68" i="3"/>
  <c r="AV70" i="3"/>
  <c r="AV23" i="3"/>
  <c r="AV13" i="3"/>
  <c r="AV10" i="3"/>
  <c r="AV42" i="3"/>
  <c r="AV46" i="3"/>
  <c r="AV31" i="3"/>
  <c r="AV16" i="3"/>
  <c r="AV37" i="3"/>
  <c r="AV65" i="3"/>
  <c r="AV78" i="3"/>
  <c r="AV41" i="3"/>
  <c r="AV75" i="3"/>
  <c r="AV14" i="3"/>
  <c r="AV33" i="3"/>
  <c r="AV112" i="3"/>
  <c r="AV25" i="3"/>
  <c r="AV48" i="3"/>
  <c r="AV15" i="3"/>
  <c r="AV12" i="3"/>
  <c r="AV72" i="3"/>
  <c r="AV83" i="3"/>
  <c r="AV66" i="3"/>
  <c r="AV40" i="3"/>
  <c r="AV38" i="3"/>
  <c r="AV49" i="3"/>
  <c r="AV18" i="3"/>
  <c r="AV24" i="3"/>
  <c r="AV69" i="3"/>
  <c r="AV47" i="3"/>
  <c r="AV44" i="3"/>
  <c r="BR207" i="1" s="1"/>
  <c r="AV30" i="3"/>
  <c r="AV73" i="3"/>
  <c r="AV50" i="3"/>
  <c r="AV84" i="3"/>
  <c r="AV67" i="3"/>
  <c r="AV63" i="3"/>
  <c r="AV125" i="3"/>
  <c r="AV29" i="3"/>
  <c r="BR205" i="1" s="1"/>
  <c r="AV124" i="3"/>
  <c r="AV82" i="3"/>
  <c r="AV32" i="3"/>
  <c r="BR202" i="1" s="1"/>
  <c r="AV90" i="3"/>
  <c r="AV97" i="3"/>
  <c r="AV129" i="3"/>
  <c r="AV54" i="3"/>
  <c r="AV35" i="3"/>
  <c r="AV71" i="3"/>
  <c r="AV22" i="3"/>
  <c r="AV19" i="3"/>
  <c r="AV20" i="3"/>
  <c r="AV39" i="3"/>
  <c r="AV6" i="3"/>
  <c r="AV21" i="3"/>
  <c r="AV26" i="3"/>
  <c r="AV135" i="3"/>
  <c r="I22" i="17"/>
  <c r="H22" i="17"/>
  <c r="I47" i="17"/>
  <c r="H47" i="17"/>
  <c r="K65" i="17"/>
  <c r="I65" i="17"/>
  <c r="H65" i="17"/>
  <c r="I40" i="17"/>
  <c r="Y2" i="1"/>
  <c r="AC2" i="1"/>
  <c r="I54" i="17"/>
  <c r="H54" i="17"/>
  <c r="I53" i="17"/>
  <c r="H53" i="17"/>
  <c r="W137" i="3"/>
  <c r="W112" i="3"/>
  <c r="W97" i="3"/>
  <c r="W96" i="3"/>
  <c r="W54" i="3"/>
  <c r="W51" i="3"/>
  <c r="W42" i="3"/>
  <c r="I23" i="17"/>
  <c r="H23" i="17"/>
  <c r="I37" i="17"/>
  <c r="H37" i="17"/>
  <c r="I56" i="17"/>
  <c r="H56" i="17"/>
  <c r="A28" i="1"/>
  <c r="AT28" i="1" s="1"/>
  <c r="AU28" i="1" s="1"/>
  <c r="A27" i="1"/>
  <c r="AT27" i="1" s="1"/>
  <c r="AU27" i="1" s="1"/>
  <c r="A26" i="1"/>
  <c r="A25" i="1"/>
  <c r="AT25" i="1" s="1"/>
  <c r="AU25" i="1" s="1"/>
  <c r="A24" i="1"/>
  <c r="A23" i="1"/>
  <c r="AT23" i="1" s="1"/>
  <c r="AU23" i="1" s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X91" i="3" s="1"/>
  <c r="V73" i="3"/>
  <c r="V69" i="3"/>
  <c r="V68" i="3"/>
  <c r="AX68" i="3" s="1"/>
  <c r="AD68" i="1" s="1"/>
  <c r="O68" i="5" s="1"/>
  <c r="P68" i="5" s="1"/>
  <c r="V66" i="3"/>
  <c r="V65" i="3"/>
  <c r="V39" i="3"/>
  <c r="V36" i="3"/>
  <c r="AX36" i="3" s="1"/>
  <c r="AD36" i="1" s="1"/>
  <c r="O36" i="5" s="1"/>
  <c r="V35" i="3"/>
  <c r="AX35" i="3" s="1"/>
  <c r="AD35" i="1" s="1"/>
  <c r="O35" i="5" s="1"/>
  <c r="P35" i="5" s="1"/>
  <c r="V33" i="3"/>
  <c r="V25" i="3"/>
  <c r="V22" i="3"/>
  <c r="AX22" i="3" s="1"/>
  <c r="AD22" i="1" s="1"/>
  <c r="O22" i="5" s="1"/>
  <c r="V21" i="3"/>
  <c r="V13" i="3"/>
  <c r="V12" i="3"/>
  <c r="AX12" i="3" s="1"/>
  <c r="AD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P2" i="1"/>
  <c r="CA2" i="1" s="1"/>
  <c r="I36" i="17"/>
  <c r="H36" i="17"/>
  <c r="I64" i="17"/>
  <c r="H64" i="17"/>
  <c r="I11" i="17"/>
  <c r="H11" i="17"/>
  <c r="I18" i="17"/>
  <c r="H18" i="17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BU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36" i="17"/>
  <c r="K11" i="17"/>
  <c r="AP184" i="3" s="1"/>
  <c r="AQ184" i="3" s="1"/>
  <c r="K18" i="17"/>
  <c r="AP187" i="3" s="1"/>
  <c r="AQ187" i="3" s="1"/>
  <c r="K64" i="17"/>
  <c r="I21" i="17"/>
  <c r="H21" i="17"/>
  <c r="I63" i="17"/>
  <c r="J63" i="17"/>
  <c r="I16" i="17"/>
  <c r="H16" i="17"/>
  <c r="H57" i="17"/>
  <c r="I57" i="17"/>
  <c r="I31" i="17"/>
  <c r="H31" i="17"/>
  <c r="I58" i="17"/>
  <c r="I15" i="17"/>
  <c r="I52" i="17"/>
  <c r="H52" i="17"/>
  <c r="I49" i="17"/>
  <c r="H49" i="17"/>
  <c r="I44" i="17"/>
  <c r="H44" i="17"/>
  <c r="I42" i="17"/>
  <c r="H42" i="17"/>
  <c r="I41" i="17"/>
  <c r="I39" i="17"/>
  <c r="H39" i="17"/>
  <c r="I30" i="17"/>
  <c r="H30" i="17"/>
  <c r="I29" i="17"/>
  <c r="H29" i="17"/>
  <c r="I28" i="17"/>
  <c r="H28" i="17"/>
  <c r="I25" i="17"/>
  <c r="H25" i="17"/>
  <c r="I17" i="17"/>
  <c r="H17" i="17"/>
  <c r="G119" i="3"/>
  <c r="AT119" i="1" s="1"/>
  <c r="AU119" i="1" s="1"/>
  <c r="F44" i="3"/>
  <c r="AS44" i="1" s="1"/>
  <c r="F41" i="3"/>
  <c r="AS41" i="1" s="1"/>
  <c r="L138" i="3"/>
  <c r="I138" i="1" s="1"/>
  <c r="BR138" i="1" s="1"/>
  <c r="L134" i="3"/>
  <c r="I134" i="1" s="1"/>
  <c r="BR134" i="1" s="1"/>
  <c r="L133" i="3"/>
  <c r="I133" i="1" s="1"/>
  <c r="BR133" i="1" s="1"/>
  <c r="L131" i="3"/>
  <c r="I131" i="1" s="1"/>
  <c r="BR131" i="1" s="1"/>
  <c r="L130" i="3"/>
  <c r="I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BZ159" i="1" s="1"/>
  <c r="C157" i="3"/>
  <c r="BZ157" i="1" s="1"/>
  <c r="C156" i="3"/>
  <c r="BZ156" i="1" s="1"/>
  <c r="C155" i="3"/>
  <c r="BZ155" i="1" s="1"/>
  <c r="C154" i="3"/>
  <c r="BZ154" i="1" s="1"/>
  <c r="C153" i="3"/>
  <c r="BZ153" i="1" s="1"/>
  <c r="C152" i="3"/>
  <c r="BZ152" i="1" s="1"/>
  <c r="C151" i="3"/>
  <c r="BZ151" i="1" s="1"/>
  <c r="G152" i="3"/>
  <c r="AT152" i="1" s="1"/>
  <c r="AU152" i="1" s="1"/>
  <c r="G153" i="3"/>
  <c r="AT153" i="1" s="1"/>
  <c r="AU153" i="1" s="1"/>
  <c r="G154" i="3"/>
  <c r="AT154" i="1" s="1"/>
  <c r="AU154" i="1" s="1"/>
  <c r="G155" i="3"/>
  <c r="AT155" i="1" s="1"/>
  <c r="AU155" i="1" s="1"/>
  <c r="G156" i="3"/>
  <c r="AT156" i="1" s="1"/>
  <c r="AU156" i="1" s="1"/>
  <c r="G157" i="3"/>
  <c r="AT157" i="1" s="1"/>
  <c r="AU157" i="1" s="1"/>
  <c r="G158" i="3"/>
  <c r="AT158" i="1" s="1"/>
  <c r="AU158" i="1" s="1"/>
  <c r="G159" i="3"/>
  <c r="AT159" i="1" s="1"/>
  <c r="AU159" i="1" s="1"/>
  <c r="G151" i="3"/>
  <c r="AT151" i="1" s="1"/>
  <c r="AU151" i="1" s="1"/>
  <c r="G150" i="3"/>
  <c r="AT150" i="1" s="1"/>
  <c r="AU150" i="1" s="1"/>
  <c r="L140" i="3"/>
  <c r="I140" i="1" s="1"/>
  <c r="BR140" i="1" s="1"/>
  <c r="C149" i="3"/>
  <c r="BZ149" i="1" s="1"/>
  <c r="C148" i="3"/>
  <c r="BZ148" i="1" s="1"/>
  <c r="C147" i="3"/>
  <c r="BZ147" i="1" s="1"/>
  <c r="C146" i="3"/>
  <c r="BZ146" i="1" s="1"/>
  <c r="C145" i="3"/>
  <c r="BZ145" i="1" s="1"/>
  <c r="C144" i="3"/>
  <c r="BZ144" i="1" s="1"/>
  <c r="C143" i="3"/>
  <c r="BZ143" i="1" s="1"/>
  <c r="C142" i="3"/>
  <c r="BZ142" i="1" s="1"/>
  <c r="C141" i="3"/>
  <c r="BZ141" i="1" s="1"/>
  <c r="C139" i="3"/>
  <c r="BZ139" i="1" s="1"/>
  <c r="G141" i="3"/>
  <c r="AT141" i="1" s="1"/>
  <c r="AU141" i="1" s="1"/>
  <c r="G142" i="3"/>
  <c r="AT142" i="1" s="1"/>
  <c r="AU142" i="1" s="1"/>
  <c r="G143" i="3"/>
  <c r="AT143" i="1" s="1"/>
  <c r="AU143" i="1" s="1"/>
  <c r="G144" i="3"/>
  <c r="AT144" i="1" s="1"/>
  <c r="AU144" i="1" s="1"/>
  <c r="G145" i="3"/>
  <c r="AT145" i="1" s="1"/>
  <c r="AU145" i="1" s="1"/>
  <c r="G146" i="3"/>
  <c r="AT146" i="1" s="1"/>
  <c r="AU146" i="1" s="1"/>
  <c r="G147" i="3"/>
  <c r="AT147" i="1" s="1"/>
  <c r="AU147" i="1" s="1"/>
  <c r="G148" i="3"/>
  <c r="AT148" i="1" s="1"/>
  <c r="AU148" i="1" s="1"/>
  <c r="G149" i="3"/>
  <c r="AT149" i="1" s="1"/>
  <c r="AU149" i="1" s="1"/>
  <c r="G140" i="3"/>
  <c r="AT140" i="1" s="1"/>
  <c r="AU140" i="1" s="1"/>
  <c r="G139" i="3"/>
  <c r="AT139" i="1" s="1"/>
  <c r="AU139" i="1" s="1"/>
  <c r="C137" i="3"/>
  <c r="BZ137" i="1" s="1"/>
  <c r="C136" i="3"/>
  <c r="BZ136" i="1" s="1"/>
  <c r="C135" i="3"/>
  <c r="BZ135" i="1" s="1"/>
  <c r="L118" i="3"/>
  <c r="I118" i="1" s="1"/>
  <c r="BM118" i="1" s="1"/>
  <c r="L117" i="3"/>
  <c r="I117" i="1" s="1"/>
  <c r="BR117" i="1" s="1"/>
  <c r="C124" i="3"/>
  <c r="BZ124" i="1" s="1"/>
  <c r="C120" i="3"/>
  <c r="BZ120" i="1" s="1"/>
  <c r="C115" i="3"/>
  <c r="C113" i="3"/>
  <c r="BZ113" i="1" s="1"/>
  <c r="C112" i="3"/>
  <c r="BZ112" i="1" s="1"/>
  <c r="C111" i="3"/>
  <c r="BZ111" i="1" s="1"/>
  <c r="C110" i="3"/>
  <c r="BZ110" i="1" s="1"/>
  <c r="F95" i="3"/>
  <c r="AS95" i="1" s="1"/>
  <c r="L100" i="3"/>
  <c r="I100" i="1" s="1"/>
  <c r="BR100" i="1" s="1"/>
  <c r="L99" i="3"/>
  <c r="I99" i="1" s="1"/>
  <c r="BR99" i="1" s="1"/>
  <c r="L97" i="3"/>
  <c r="L95" i="3"/>
  <c r="I95" i="1" s="1"/>
  <c r="L94" i="3"/>
  <c r="L93" i="3"/>
  <c r="I93" i="1" s="1"/>
  <c r="BR93" i="1" s="1"/>
  <c r="L82" i="3"/>
  <c r="I82" i="1" s="1"/>
  <c r="L83" i="3"/>
  <c r="I83" i="1" s="1"/>
  <c r="L84" i="3"/>
  <c r="L85" i="3"/>
  <c r="L81" i="3"/>
  <c r="I81" i="1" s="1"/>
  <c r="C92" i="3"/>
  <c r="BZ92" i="1" s="1"/>
  <c r="C91" i="3"/>
  <c r="L61" i="3"/>
  <c r="I61" i="1" s="1"/>
  <c r="C79" i="3"/>
  <c r="BZ79" i="1" s="1"/>
  <c r="C78" i="3"/>
  <c r="BZ192" i="1" s="1"/>
  <c r="C75" i="3"/>
  <c r="BZ75" i="1" s="1"/>
  <c r="C74" i="3"/>
  <c r="BZ185" i="1" s="1"/>
  <c r="C70" i="3"/>
  <c r="BZ70" i="1" s="1"/>
  <c r="C63" i="3"/>
  <c r="F61" i="3"/>
  <c r="AS61" i="1" s="1"/>
  <c r="L59" i="3"/>
  <c r="I59" i="1" s="1"/>
  <c r="BR59" i="1" s="1"/>
  <c r="L60" i="3"/>
  <c r="I60" i="1" s="1"/>
  <c r="BR60" i="1" s="1"/>
  <c r="L58" i="3"/>
  <c r="I58" i="1" s="1"/>
  <c r="BR58" i="1" s="1"/>
  <c r="L55" i="3"/>
  <c r="I55" i="1" s="1"/>
  <c r="BR55" i="1" s="1"/>
  <c r="G57" i="3"/>
  <c r="AT57" i="1" s="1"/>
  <c r="AU57" i="1" s="1"/>
  <c r="F48" i="3"/>
  <c r="AS48" i="1" s="1"/>
  <c r="F47" i="3"/>
  <c r="AS47" i="1" s="1"/>
  <c r="C52" i="3"/>
  <c r="BZ52" i="1" s="1"/>
  <c r="C51" i="3"/>
  <c r="BZ51" i="1" s="1"/>
  <c r="G58" i="3"/>
  <c r="AT58" i="1" s="1"/>
  <c r="AU58" i="1" s="1"/>
  <c r="G59" i="3"/>
  <c r="AT59" i="1" s="1"/>
  <c r="AU59" i="1" s="1"/>
  <c r="G60" i="3"/>
  <c r="AT60" i="1" s="1"/>
  <c r="AU60" i="1" s="1"/>
  <c r="G62" i="3"/>
  <c r="F63" i="3"/>
  <c r="AS63" i="1" s="1"/>
  <c r="G63" i="3"/>
  <c r="AT63" i="1" s="1"/>
  <c r="AU63" i="1" s="1"/>
  <c r="J63" i="3"/>
  <c r="AV63" i="1" s="1"/>
  <c r="L63" i="3"/>
  <c r="I63" i="1" s="1"/>
  <c r="F64" i="3"/>
  <c r="AS64" i="1" s="1"/>
  <c r="G64" i="3"/>
  <c r="AT64" i="1" s="1"/>
  <c r="AU64" i="1" s="1"/>
  <c r="J64" i="3"/>
  <c r="AV64" i="1" s="1"/>
  <c r="L64" i="3"/>
  <c r="I64" i="1" s="1"/>
  <c r="F65" i="3"/>
  <c r="AS65" i="1" s="1"/>
  <c r="G65" i="3"/>
  <c r="AT65" i="1" s="1"/>
  <c r="AU65" i="1" s="1"/>
  <c r="J65" i="3"/>
  <c r="AV65" i="1" s="1"/>
  <c r="L65" i="3"/>
  <c r="I65" i="1" s="1"/>
  <c r="F66" i="3"/>
  <c r="AS66" i="1" s="1"/>
  <c r="G66" i="3"/>
  <c r="AT66" i="1" s="1"/>
  <c r="AU66" i="1" s="1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M40" i="1" s="1"/>
  <c r="C43" i="3"/>
  <c r="BZ43" i="1" s="1"/>
  <c r="C39" i="3"/>
  <c r="BZ39" i="1" s="1"/>
  <c r="C31" i="3"/>
  <c r="BZ31" i="1" s="1"/>
  <c r="C30" i="3"/>
  <c r="BZ30" i="1" s="1"/>
  <c r="C28" i="3"/>
  <c r="BZ28" i="1" s="1"/>
  <c r="C26" i="3"/>
  <c r="BZ26" i="1" s="1"/>
  <c r="G23" i="3"/>
  <c r="G16" i="3"/>
  <c r="G15" i="3"/>
  <c r="L20" i="3"/>
  <c r="I20" i="1" s="1"/>
  <c r="C16" i="3"/>
  <c r="BZ16" i="1" s="1"/>
  <c r="C15" i="3"/>
  <c r="BZ15" i="1" s="1"/>
  <c r="C14" i="3"/>
  <c r="BZ14" i="1" s="1"/>
  <c r="C13" i="3"/>
  <c r="BZ13" i="1" s="1"/>
  <c r="C11" i="3"/>
  <c r="C9" i="3"/>
  <c r="BZ9" i="1" s="1"/>
  <c r="C6" i="3"/>
  <c r="BZ6" i="1" s="1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AT113" i="1" s="1"/>
  <c r="AU113" i="1" s="1"/>
  <c r="I34" i="16"/>
  <c r="I32" i="16"/>
  <c r="I30" i="16"/>
  <c r="I29" i="16"/>
  <c r="I28" i="16"/>
  <c r="H34" i="16"/>
  <c r="H32" i="16"/>
  <c r="H30" i="16"/>
  <c r="H29" i="16"/>
  <c r="H28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Z78" i="1" l="1"/>
  <c r="CA63" i="1"/>
  <c r="BZ74" i="1"/>
  <c r="BZ63" i="1"/>
  <c r="BZ186" i="1"/>
  <c r="BZ91" i="1"/>
  <c r="CA115" i="1"/>
  <c r="BZ115" i="1"/>
  <c r="BN82" i="3"/>
  <c r="BN83" i="3"/>
  <c r="AT15" i="1"/>
  <c r="AU15" i="1" s="1"/>
  <c r="AT16" i="1"/>
  <c r="AU16" i="1" s="1"/>
  <c r="AT181" i="1"/>
  <c r="AU181" i="1" s="1"/>
  <c r="AT62" i="1"/>
  <c r="AU62" i="1" s="1"/>
  <c r="Z200" i="5"/>
  <c r="BT67" i="3"/>
  <c r="AH62" i="1"/>
  <c r="V49" i="1"/>
  <c r="U49" i="1"/>
  <c r="AL85" i="1"/>
  <c r="T67" i="1"/>
  <c r="AO185" i="1"/>
  <c r="J185" i="1" s="1"/>
  <c r="X185" i="5"/>
  <c r="Y185" i="5"/>
  <c r="W185" i="5"/>
  <c r="AO192" i="1"/>
  <c r="J192" i="1" s="1"/>
  <c r="W192" i="5"/>
  <c r="X192" i="5"/>
  <c r="Y192" i="5"/>
  <c r="AO186" i="1"/>
  <c r="J186" i="1" s="1"/>
  <c r="X186" i="5"/>
  <c r="W186" i="5"/>
  <c r="Y186" i="5"/>
  <c r="I85" i="1"/>
  <c r="BM85" i="1" s="1"/>
  <c r="I193" i="1"/>
  <c r="BM193" i="1" s="1"/>
  <c r="BQ193" i="1" s="1"/>
  <c r="BN193" i="1" s="1"/>
  <c r="I84" i="1"/>
  <c r="I189" i="1"/>
  <c r="I94" i="1"/>
  <c r="BR94" i="1" s="1"/>
  <c r="BW94" i="1" s="1"/>
  <c r="I196" i="1"/>
  <c r="BR196" i="1" s="1"/>
  <c r="BW196" i="1" s="1"/>
  <c r="AA203" i="5"/>
  <c r="Z202" i="5"/>
  <c r="Z203" i="5"/>
  <c r="Z205" i="5"/>
  <c r="AA205" i="5"/>
  <c r="Z206" i="5"/>
  <c r="AA206" i="5"/>
  <c r="BW207" i="1"/>
  <c r="BW205" i="1"/>
  <c r="BW206" i="1"/>
  <c r="BW202" i="1"/>
  <c r="AA200" i="5"/>
  <c r="O72" i="5"/>
  <c r="P72" i="5" s="1"/>
  <c r="BO97" i="3"/>
  <c r="BN87" i="3"/>
  <c r="BL72" i="3"/>
  <c r="BL85" i="3"/>
  <c r="BV97" i="3"/>
  <c r="BO72" i="3"/>
  <c r="AG62" i="1"/>
  <c r="AF62" i="1"/>
  <c r="AE62" i="1"/>
  <c r="BR62" i="1" s="1"/>
  <c r="T49" i="1"/>
  <c r="BO85" i="3"/>
  <c r="BO84" i="3"/>
  <c r="G49" i="5"/>
  <c r="H49" i="5" s="1"/>
  <c r="G54" i="5"/>
  <c r="J54" i="5" s="1"/>
  <c r="BO96" i="3"/>
  <c r="BL97" i="3"/>
  <c r="H185" i="5"/>
  <c r="I185" i="5"/>
  <c r="J185" i="5"/>
  <c r="CG2" i="1"/>
  <c r="BJ2" i="1"/>
  <c r="BZ2" i="1" s="1"/>
  <c r="AY2" i="1"/>
  <c r="V192" i="5"/>
  <c r="U192" i="5"/>
  <c r="T192" i="5"/>
  <c r="H193" i="5"/>
  <c r="I193" i="5"/>
  <c r="J193" i="5"/>
  <c r="V182" i="5"/>
  <c r="T182" i="5"/>
  <c r="U182" i="5"/>
  <c r="V67" i="1"/>
  <c r="G182" i="5"/>
  <c r="H182" i="5" s="1"/>
  <c r="H194" i="5"/>
  <c r="J194" i="5"/>
  <c r="I194" i="5"/>
  <c r="CG5" i="1"/>
  <c r="BJ5" i="1"/>
  <c r="BZ5" i="1" s="1"/>
  <c r="AY5" i="1"/>
  <c r="BD5" i="1"/>
  <c r="BE5" i="1"/>
  <c r="V183" i="5"/>
  <c r="T183" i="5"/>
  <c r="U183" i="5"/>
  <c r="CG3" i="1"/>
  <c r="BJ3" i="1"/>
  <c r="BZ3" i="1" s="1"/>
  <c r="AY3" i="1"/>
  <c r="CG4" i="1"/>
  <c r="BJ4" i="1"/>
  <c r="BZ4" i="1" s="1"/>
  <c r="AY4" i="1"/>
  <c r="T195" i="5"/>
  <c r="V195" i="5"/>
  <c r="U195" i="5"/>
  <c r="T184" i="5"/>
  <c r="U184" i="5"/>
  <c r="V184" i="5"/>
  <c r="CG11" i="1"/>
  <c r="AY11" i="1"/>
  <c r="BJ11" i="1"/>
  <c r="BZ11" i="1" s="1"/>
  <c r="AA180" i="5"/>
  <c r="O180" i="1" s="1"/>
  <c r="Z180" i="5"/>
  <c r="N180" i="1" s="1"/>
  <c r="AP60" i="3"/>
  <c r="AP179" i="3"/>
  <c r="AQ179" i="3" s="1"/>
  <c r="Z179" i="5" s="1"/>
  <c r="AP178" i="3"/>
  <c r="AQ178" i="3" s="1"/>
  <c r="Z178" i="5" s="1"/>
  <c r="CG7" i="1"/>
  <c r="BJ7" i="1"/>
  <c r="BZ7" i="1" s="1"/>
  <c r="AY7" i="1"/>
  <c r="AP82" i="3"/>
  <c r="AP171" i="3"/>
  <c r="AQ171" i="3" s="1"/>
  <c r="Z171" i="5" s="1"/>
  <c r="AA179" i="5"/>
  <c r="CG8" i="1"/>
  <c r="BJ8" i="1"/>
  <c r="BZ8" i="1" s="1"/>
  <c r="AY8" i="1"/>
  <c r="BN72" i="3"/>
  <c r="H183" i="5"/>
  <c r="I183" i="5"/>
  <c r="J183" i="5"/>
  <c r="H195" i="5"/>
  <c r="J195" i="5"/>
  <c r="I195" i="5"/>
  <c r="T187" i="5"/>
  <c r="V187" i="5"/>
  <c r="U187" i="5"/>
  <c r="J189" i="5"/>
  <c r="H189" i="5"/>
  <c r="I189" i="5"/>
  <c r="H191" i="5"/>
  <c r="J191" i="5"/>
  <c r="I191" i="5"/>
  <c r="I192" i="5"/>
  <c r="J192" i="5"/>
  <c r="H192" i="5"/>
  <c r="V188" i="5"/>
  <c r="T188" i="5"/>
  <c r="U188" i="5"/>
  <c r="V194" i="5"/>
  <c r="T194" i="5"/>
  <c r="U194" i="5"/>
  <c r="T191" i="5"/>
  <c r="U191" i="5"/>
  <c r="V191" i="5"/>
  <c r="Q62" i="5"/>
  <c r="P62" i="5"/>
  <c r="D84" i="5"/>
  <c r="D189" i="5"/>
  <c r="D72" i="5"/>
  <c r="D184" i="5"/>
  <c r="F67" i="5"/>
  <c r="F182" i="5"/>
  <c r="F72" i="5"/>
  <c r="F184" i="5"/>
  <c r="D85" i="5"/>
  <c r="D193" i="5"/>
  <c r="D62" i="5"/>
  <c r="D181" i="5"/>
  <c r="F87" i="5"/>
  <c r="F194" i="5"/>
  <c r="D94" i="5"/>
  <c r="D196" i="5"/>
  <c r="BT96" i="3"/>
  <c r="G187" i="5" s="1"/>
  <c r="O182" i="5"/>
  <c r="P182" i="5" s="1"/>
  <c r="G188" i="5"/>
  <c r="I188" i="5" s="1"/>
  <c r="F68" i="5"/>
  <c r="F183" i="5"/>
  <c r="AH184" i="1"/>
  <c r="O184" i="5"/>
  <c r="AG184" i="1"/>
  <c r="AE184" i="1"/>
  <c r="AF184" i="1"/>
  <c r="D68" i="5"/>
  <c r="D183" i="5"/>
  <c r="F88" i="5"/>
  <c r="F195" i="5"/>
  <c r="F85" i="5"/>
  <c r="F193" i="5"/>
  <c r="D89" i="5"/>
  <c r="D190" i="5"/>
  <c r="D67" i="5"/>
  <c r="D182" i="5"/>
  <c r="F96" i="5"/>
  <c r="F187" i="5"/>
  <c r="AH181" i="1"/>
  <c r="AG181" i="1"/>
  <c r="AF181" i="1"/>
  <c r="AE181" i="1"/>
  <c r="O181" i="5"/>
  <c r="S193" i="5"/>
  <c r="AM193" i="1"/>
  <c r="AL193" i="1"/>
  <c r="AK193" i="1"/>
  <c r="AJ193" i="1"/>
  <c r="F97" i="5"/>
  <c r="F188" i="5"/>
  <c r="F84" i="5"/>
  <c r="F189" i="5"/>
  <c r="G184" i="5"/>
  <c r="T184" i="1"/>
  <c r="W184" i="1"/>
  <c r="V184" i="1"/>
  <c r="U184" i="1"/>
  <c r="AD183" i="1"/>
  <c r="D97" i="5"/>
  <c r="D188" i="5"/>
  <c r="D88" i="5"/>
  <c r="D195" i="5"/>
  <c r="D96" i="5"/>
  <c r="D187" i="5"/>
  <c r="D87" i="5"/>
  <c r="D194" i="5"/>
  <c r="P195" i="5"/>
  <c r="R195" i="5"/>
  <c r="Q195" i="5"/>
  <c r="R187" i="5"/>
  <c r="P187" i="5"/>
  <c r="Q187" i="5"/>
  <c r="M195" i="5"/>
  <c r="L195" i="5"/>
  <c r="N195" i="5"/>
  <c r="Q188" i="5"/>
  <c r="P188" i="5"/>
  <c r="R188" i="5"/>
  <c r="I97" i="1"/>
  <c r="I188" i="1"/>
  <c r="W188" i="1"/>
  <c r="V188" i="1"/>
  <c r="T188" i="1"/>
  <c r="U188" i="1"/>
  <c r="AE188" i="1"/>
  <c r="AH188" i="1"/>
  <c r="AF188" i="1"/>
  <c r="AG188" i="1"/>
  <c r="AH187" i="1"/>
  <c r="AE187" i="1"/>
  <c r="AG187" i="1"/>
  <c r="AF187" i="1"/>
  <c r="W187" i="1"/>
  <c r="V187" i="1"/>
  <c r="U187" i="1"/>
  <c r="T187" i="1"/>
  <c r="Y195" i="1"/>
  <c r="Z195" i="1"/>
  <c r="AB195" i="1"/>
  <c r="AA195" i="1"/>
  <c r="AH195" i="1"/>
  <c r="AE195" i="1"/>
  <c r="AG195" i="1"/>
  <c r="AF195" i="1"/>
  <c r="BR130" i="1"/>
  <c r="BW130" i="1" s="1"/>
  <c r="BM130" i="1"/>
  <c r="AH182" i="1"/>
  <c r="AF182" i="1"/>
  <c r="AG182" i="1"/>
  <c r="AE182" i="1"/>
  <c r="W182" i="1"/>
  <c r="U182" i="1"/>
  <c r="T182" i="1"/>
  <c r="V182" i="1"/>
  <c r="BW60" i="1"/>
  <c r="BW93" i="1"/>
  <c r="BW117" i="1"/>
  <c r="BW58" i="1"/>
  <c r="BW99" i="1"/>
  <c r="BW140" i="1"/>
  <c r="BW100" i="1"/>
  <c r="BW131" i="1"/>
  <c r="BW55" i="1"/>
  <c r="BW134" i="1"/>
  <c r="BW138" i="1"/>
  <c r="BW89" i="1"/>
  <c r="BW133" i="1"/>
  <c r="BW59" i="1"/>
  <c r="BW190" i="1"/>
  <c r="W67" i="1"/>
  <c r="G67" i="5"/>
  <c r="J67" i="5" s="1"/>
  <c r="U45" i="1"/>
  <c r="T45" i="1"/>
  <c r="G45" i="5"/>
  <c r="I45" i="5" s="1"/>
  <c r="V45" i="1"/>
  <c r="BN85" i="3"/>
  <c r="AL32" i="1"/>
  <c r="AJ32" i="1"/>
  <c r="S82" i="5"/>
  <c r="T82" i="5" s="1"/>
  <c r="AJ82" i="1"/>
  <c r="G47" i="5"/>
  <c r="H47" i="5" s="1"/>
  <c r="AK32" i="1"/>
  <c r="BE5" i="3"/>
  <c r="BE8" i="3"/>
  <c r="BE4" i="3"/>
  <c r="AA166" i="5"/>
  <c r="Z166" i="5"/>
  <c r="W27" i="1"/>
  <c r="W125" i="1"/>
  <c r="V27" i="1"/>
  <c r="U27" i="1"/>
  <c r="W54" i="1"/>
  <c r="G27" i="5"/>
  <c r="H27" i="5" s="1"/>
  <c r="T54" i="1"/>
  <c r="U54" i="1"/>
  <c r="U125" i="1"/>
  <c r="T44" i="1"/>
  <c r="V54" i="1"/>
  <c r="G66" i="5"/>
  <c r="H66" i="5" s="1"/>
  <c r="U66" i="1"/>
  <c r="V125" i="1"/>
  <c r="G125" i="5"/>
  <c r="H125" i="5" s="1"/>
  <c r="G42" i="5"/>
  <c r="H42" i="5" s="1"/>
  <c r="T42" i="1"/>
  <c r="W42" i="1"/>
  <c r="V42" i="1"/>
  <c r="T66" i="1"/>
  <c r="V66" i="1"/>
  <c r="BN121" i="3"/>
  <c r="BR162" i="1"/>
  <c r="BR165" i="1"/>
  <c r="BR126" i="1"/>
  <c r="BR128" i="1"/>
  <c r="BN20" i="3"/>
  <c r="W44" i="1"/>
  <c r="BN17" i="3"/>
  <c r="AM85" i="1"/>
  <c r="AK85" i="1"/>
  <c r="G97" i="5"/>
  <c r="S85" i="5"/>
  <c r="U85" i="5" s="1"/>
  <c r="AP18" i="3"/>
  <c r="AP161" i="3"/>
  <c r="AQ161" i="3" s="1"/>
  <c r="Z161" i="5" s="1"/>
  <c r="T47" i="1"/>
  <c r="V97" i="1"/>
  <c r="V47" i="1"/>
  <c r="G44" i="5"/>
  <c r="J44" i="5" s="1"/>
  <c r="U47" i="1"/>
  <c r="AM82" i="1"/>
  <c r="AK82" i="1"/>
  <c r="AL82" i="1"/>
  <c r="W47" i="1"/>
  <c r="T97" i="1"/>
  <c r="V44" i="1"/>
  <c r="U97" i="1"/>
  <c r="BN29" i="3"/>
  <c r="R29" i="5" s="1"/>
  <c r="BN84" i="3"/>
  <c r="O67" i="5"/>
  <c r="P67" i="5" s="1"/>
  <c r="AR11" i="3"/>
  <c r="BG11" i="3" s="1"/>
  <c r="AO11" i="1"/>
  <c r="J11" i="1" s="1"/>
  <c r="BA11" i="3"/>
  <c r="AR75" i="3"/>
  <c r="BG75" i="3" s="1"/>
  <c r="AO75" i="1"/>
  <c r="J75" i="1" s="1"/>
  <c r="BA75" i="3"/>
  <c r="W75" i="5"/>
  <c r="AS75" i="3"/>
  <c r="AT75" i="3"/>
  <c r="Y75" i="5"/>
  <c r="X75" i="5"/>
  <c r="AR115" i="3"/>
  <c r="BG115" i="3" s="1"/>
  <c r="AS115" i="3"/>
  <c r="AO115" i="1"/>
  <c r="J115" i="1" s="1"/>
  <c r="Y115" i="5"/>
  <c r="BA115" i="3"/>
  <c r="W115" i="5"/>
  <c r="X115" i="5"/>
  <c r="AT115" i="3"/>
  <c r="AS146" i="3"/>
  <c r="BH146" i="3" s="1"/>
  <c r="AR146" i="3"/>
  <c r="BG146" i="3" s="1"/>
  <c r="AO146" i="1"/>
  <c r="J146" i="1" s="1"/>
  <c r="W146" i="5"/>
  <c r="BA146" i="3"/>
  <c r="X146" i="5"/>
  <c r="AT146" i="3"/>
  <c r="Y146" i="5"/>
  <c r="AY74" i="3"/>
  <c r="BP74" i="3" a="1"/>
  <c r="BP74" i="3" s="1"/>
  <c r="BP154" i="3" a="1"/>
  <c r="BP154" i="3" s="1"/>
  <c r="AY154" i="3"/>
  <c r="AX13" i="3"/>
  <c r="BN73" i="3"/>
  <c r="AX73" i="3"/>
  <c r="AD73" i="1" s="1"/>
  <c r="O73" i="5" s="1"/>
  <c r="Q73" i="5" s="1"/>
  <c r="AS3" i="3"/>
  <c r="BH3" i="3" s="1"/>
  <c r="CB3" i="1"/>
  <c r="AX3" i="1"/>
  <c r="CC3" i="1"/>
  <c r="BO3" i="1"/>
  <c r="BQ3" i="1" s="1"/>
  <c r="BN3" i="1" s="1"/>
  <c r="AZ3" i="1"/>
  <c r="CE3" i="1"/>
  <c r="BI3" i="1"/>
  <c r="BL3" i="1" s="1"/>
  <c r="CJ3" i="1"/>
  <c r="S3" i="1"/>
  <c r="CH3" i="1"/>
  <c r="CF3" i="1"/>
  <c r="CI3" i="1"/>
  <c r="BC3" i="1"/>
  <c r="W3" i="5"/>
  <c r="AC3" i="5"/>
  <c r="X3" i="5"/>
  <c r="AT3" i="3"/>
  <c r="BJ3" i="3" s="1"/>
  <c r="BR3" i="3" s="1"/>
  <c r="BV3" i="3" s="1"/>
  <c r="Y3" i="5"/>
  <c r="T30" i="5"/>
  <c r="V30" i="5"/>
  <c r="U30" i="5"/>
  <c r="I75" i="5"/>
  <c r="H75" i="5"/>
  <c r="J75" i="5"/>
  <c r="T96" i="5"/>
  <c r="V96" i="5"/>
  <c r="U96" i="5"/>
  <c r="AR13" i="3"/>
  <c r="BG13" i="3" s="1"/>
  <c r="AO13" i="1"/>
  <c r="J13" i="1" s="1"/>
  <c r="BA13" i="3"/>
  <c r="W13" i="5"/>
  <c r="Y13" i="5"/>
  <c r="X13" i="5"/>
  <c r="BP13" i="3" a="1"/>
  <c r="BP13" i="3" s="1"/>
  <c r="AT13" i="3"/>
  <c r="AS13" i="3"/>
  <c r="AR78" i="3"/>
  <c r="BG78" i="3" s="1"/>
  <c r="E192" i="5" s="1"/>
  <c r="AO78" i="1"/>
  <c r="J78" i="1" s="1"/>
  <c r="BA78" i="3"/>
  <c r="X78" i="5"/>
  <c r="Y78" i="5"/>
  <c r="AT78" i="3"/>
  <c r="AS78" i="3"/>
  <c r="BH78" i="3" s="1"/>
  <c r="W78" i="5"/>
  <c r="AS120" i="3"/>
  <c r="AR120" i="3"/>
  <c r="BG120" i="3" s="1"/>
  <c r="AO120" i="1"/>
  <c r="J120" i="1" s="1"/>
  <c r="BA120" i="3"/>
  <c r="AT120" i="3"/>
  <c r="X120" i="5"/>
  <c r="Y120" i="5"/>
  <c r="W120" i="5"/>
  <c r="AS147" i="3"/>
  <c r="BH147" i="3" s="1"/>
  <c r="AR147" i="3"/>
  <c r="BG147" i="3" s="1"/>
  <c r="AO147" i="1"/>
  <c r="J147" i="1" s="1"/>
  <c r="X147" i="5"/>
  <c r="Y147" i="5"/>
  <c r="BA147" i="3"/>
  <c r="AT147" i="3"/>
  <c r="W147" i="5"/>
  <c r="AR151" i="3"/>
  <c r="BG151" i="3" s="1"/>
  <c r="AS151" i="3"/>
  <c r="Y151" i="5"/>
  <c r="BA151" i="3"/>
  <c r="AO151" i="1"/>
  <c r="J151" i="1" s="1"/>
  <c r="W151" i="5"/>
  <c r="X151" i="5"/>
  <c r="AT151" i="3"/>
  <c r="AY75" i="3"/>
  <c r="BP75" i="3" a="1"/>
  <c r="BP75" i="3" s="1"/>
  <c r="BP155" i="3" a="1"/>
  <c r="BP155" i="3" s="1"/>
  <c r="AY155" i="3"/>
  <c r="BN21" i="3"/>
  <c r="AX21" i="3"/>
  <c r="AD21" i="1" s="1"/>
  <c r="O21" i="5" s="1"/>
  <c r="AS4" i="3"/>
  <c r="BH4" i="3" s="1"/>
  <c r="S4" i="1"/>
  <c r="CH4" i="1"/>
  <c r="BI4" i="1"/>
  <c r="BL4" i="1" s="1"/>
  <c r="CI4" i="1"/>
  <c r="CJ4" i="1"/>
  <c r="BC4" i="1"/>
  <c r="CC4" i="1"/>
  <c r="AX4" i="1"/>
  <c r="CE4" i="1"/>
  <c r="BO4" i="1"/>
  <c r="BQ4" i="1" s="1"/>
  <c r="BN4" i="1" s="1"/>
  <c r="CF4" i="1"/>
  <c r="AZ4" i="1"/>
  <c r="AC4" i="5"/>
  <c r="CB4" i="1"/>
  <c r="X4" i="5"/>
  <c r="Y4" i="5"/>
  <c r="W4" i="5"/>
  <c r="K4" i="1"/>
  <c r="BG4" i="3"/>
  <c r="AT4" i="3"/>
  <c r="BJ4" i="3" s="1"/>
  <c r="BR4" i="3" s="1"/>
  <c r="BV4" i="3" s="1"/>
  <c r="BH4" i="1"/>
  <c r="AB4" i="5"/>
  <c r="H121" i="5"/>
  <c r="I121" i="5"/>
  <c r="J121" i="5"/>
  <c r="V64" i="5"/>
  <c r="T64" i="5"/>
  <c r="U64" i="5"/>
  <c r="H10" i="5"/>
  <c r="I10" i="5"/>
  <c r="J10" i="5"/>
  <c r="AR132" i="3"/>
  <c r="BG132" i="3" s="1"/>
  <c r="AO132" i="1"/>
  <c r="J132" i="1" s="1"/>
  <c r="BA132" i="3"/>
  <c r="AT132" i="3"/>
  <c r="W132" i="5"/>
  <c r="AS132" i="3"/>
  <c r="Y132" i="5"/>
  <c r="X132" i="5"/>
  <c r="AR26" i="3"/>
  <c r="BG26" i="3" s="1"/>
  <c r="AO26" i="1"/>
  <c r="J26" i="1" s="1"/>
  <c r="BA26" i="3"/>
  <c r="BQ26" i="3"/>
  <c r="Y26" i="5"/>
  <c r="X26" i="5"/>
  <c r="BP26" i="3" a="1"/>
  <c r="BP26" i="3" s="1"/>
  <c r="AS26" i="3"/>
  <c r="W26" i="5"/>
  <c r="AR90" i="3"/>
  <c r="BG90" i="3" s="1"/>
  <c r="AO90" i="1"/>
  <c r="J90" i="1" s="1"/>
  <c r="BA90" i="3"/>
  <c r="Y90" i="5"/>
  <c r="BP90" i="3" a="1"/>
  <c r="BP90" i="3" s="1"/>
  <c r="AT90" i="3"/>
  <c r="AS90" i="3"/>
  <c r="W90" i="5"/>
  <c r="X90" i="5"/>
  <c r="AR135" i="3"/>
  <c r="BG135" i="3" s="1"/>
  <c r="AO135" i="1"/>
  <c r="J135" i="1" s="1"/>
  <c r="BA135" i="3"/>
  <c r="AS135" i="3"/>
  <c r="Y135" i="5"/>
  <c r="BP135" i="3" a="1"/>
  <c r="BP135" i="3" s="1"/>
  <c r="X135" i="5"/>
  <c r="W135" i="5"/>
  <c r="AT135" i="3"/>
  <c r="AS155" i="3"/>
  <c r="AR155" i="3"/>
  <c r="BG155" i="3" s="1"/>
  <c r="AO155" i="1"/>
  <c r="J155" i="1" s="1"/>
  <c r="BA155" i="3"/>
  <c r="W155" i="5"/>
  <c r="Y155" i="5"/>
  <c r="AT155" i="3"/>
  <c r="X155" i="5"/>
  <c r="BP120" i="3" a="1"/>
  <c r="BP120" i="3" s="1"/>
  <c r="AY120" i="3"/>
  <c r="BP159" i="3" a="1"/>
  <c r="BP159" i="3" s="1"/>
  <c r="AY159" i="3"/>
  <c r="BN129" i="3"/>
  <c r="AX129" i="3"/>
  <c r="AD129" i="1" s="1"/>
  <c r="O129" i="5" s="1"/>
  <c r="P129" i="5" s="1"/>
  <c r="AS7" i="3"/>
  <c r="BH7" i="3" s="1"/>
  <c r="BO7" i="1"/>
  <c r="BQ7" i="1" s="1"/>
  <c r="BN7" i="1" s="1"/>
  <c r="CI7" i="1"/>
  <c r="AX7" i="1"/>
  <c r="CB7" i="1"/>
  <c r="CE7" i="1"/>
  <c r="BC7" i="1"/>
  <c r="CJ7" i="1"/>
  <c r="BI7" i="1"/>
  <c r="BL7" i="1" s="1"/>
  <c r="CC7" i="1"/>
  <c r="CH7" i="1"/>
  <c r="CF7" i="1"/>
  <c r="AI7" i="1"/>
  <c r="AJ7" i="1" s="1"/>
  <c r="AT7" i="3"/>
  <c r="BJ7" i="3" s="1"/>
  <c r="BR7" i="3" s="1"/>
  <c r="BV7" i="3" s="1"/>
  <c r="W7" i="5"/>
  <c r="AC7" i="5"/>
  <c r="Y7" i="5"/>
  <c r="X7" i="5"/>
  <c r="BN18" i="3"/>
  <c r="H29" i="5"/>
  <c r="J29" i="5"/>
  <c r="I29" i="5"/>
  <c r="I49" i="5"/>
  <c r="J61" i="5"/>
  <c r="H61" i="5"/>
  <c r="I61" i="5"/>
  <c r="H40" i="5"/>
  <c r="I40" i="5"/>
  <c r="J40" i="5"/>
  <c r="T86" i="5"/>
  <c r="U86" i="5"/>
  <c r="V86" i="5"/>
  <c r="V12" i="1"/>
  <c r="T12" i="1"/>
  <c r="U12" i="1"/>
  <c r="W12" i="1"/>
  <c r="G12" i="5"/>
  <c r="W96" i="1"/>
  <c r="T96" i="1"/>
  <c r="U96" i="1"/>
  <c r="G96" i="5"/>
  <c r="V96" i="1"/>
  <c r="V39" i="5"/>
  <c r="T39" i="5"/>
  <c r="U39" i="5"/>
  <c r="T46" i="5"/>
  <c r="U46" i="5"/>
  <c r="V46" i="5"/>
  <c r="H9" i="5"/>
  <c r="I9" i="5"/>
  <c r="J9" i="5"/>
  <c r="BN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R19" i="3"/>
  <c r="BG19" i="3" s="1"/>
  <c r="AO19" i="1"/>
  <c r="J19" i="1" s="1"/>
  <c r="BA19" i="3"/>
  <c r="AS19" i="3"/>
  <c r="Y19" i="5"/>
  <c r="W19" i="5"/>
  <c r="X19" i="5"/>
  <c r="AT19" i="3"/>
  <c r="AR28" i="3"/>
  <c r="BG28" i="3" s="1"/>
  <c r="AO28" i="1"/>
  <c r="J28" i="1" s="1"/>
  <c r="BA28" i="3"/>
  <c r="AT28" i="3"/>
  <c r="W28" i="5"/>
  <c r="AS28" i="3"/>
  <c r="X28" i="5"/>
  <c r="Y28" i="5"/>
  <c r="AR91" i="3"/>
  <c r="BG91" i="3" s="1"/>
  <c r="E186" i="5" s="1"/>
  <c r="AS91" i="3"/>
  <c r="BH91" i="3" s="1"/>
  <c r="AO91" i="1"/>
  <c r="J91" i="1" s="1"/>
  <c r="X91" i="5"/>
  <c r="W91" i="5"/>
  <c r="BA91" i="3"/>
  <c r="AT91" i="3"/>
  <c r="Y91" i="5"/>
  <c r="AS136" i="3"/>
  <c r="BH136" i="3" s="1"/>
  <c r="AR136" i="3"/>
  <c r="BG136" i="3" s="1"/>
  <c r="AO136" i="1"/>
  <c r="J136" i="1" s="1"/>
  <c r="BA136" i="3"/>
  <c r="X136" i="5"/>
  <c r="Y136" i="5"/>
  <c r="AT136" i="3"/>
  <c r="W136" i="5"/>
  <c r="AS139" i="3"/>
  <c r="BH139" i="3" s="1"/>
  <c r="AR139" i="3"/>
  <c r="BG139" i="3" s="1"/>
  <c r="AO139" i="1"/>
  <c r="J139" i="1" s="1"/>
  <c r="BA139" i="3"/>
  <c r="W139" i="5"/>
  <c r="AT139" i="3"/>
  <c r="X139" i="5"/>
  <c r="Y139" i="5"/>
  <c r="AS156" i="3"/>
  <c r="AR156" i="3"/>
  <c r="BG156" i="3" s="1"/>
  <c r="AO156" i="1"/>
  <c r="J156" i="1" s="1"/>
  <c r="BA156" i="3"/>
  <c r="AT156" i="3"/>
  <c r="X156" i="5"/>
  <c r="W156" i="5"/>
  <c r="Y156" i="5"/>
  <c r="BP123" i="3" a="1"/>
  <c r="BP123" i="3" s="1"/>
  <c r="BT123" i="3" s="1"/>
  <c r="AY123" i="3"/>
  <c r="AI123" i="1" s="1"/>
  <c r="AJ123" i="1" s="1"/>
  <c r="AX6" i="3"/>
  <c r="AS8" i="3"/>
  <c r="BH8" i="3" s="1"/>
  <c r="CI8" i="1"/>
  <c r="BO8" i="1"/>
  <c r="BQ8" i="1" s="1"/>
  <c r="BN8" i="1" s="1"/>
  <c r="CJ8" i="1"/>
  <c r="CE8" i="1"/>
  <c r="CF8" i="1"/>
  <c r="BI8" i="1"/>
  <c r="BL8" i="1" s="1"/>
  <c r="CH8" i="1"/>
  <c r="CB8" i="1"/>
  <c r="CC8" i="1"/>
  <c r="AX8" i="1"/>
  <c r="BC8" i="1"/>
  <c r="AI8" i="1"/>
  <c r="AJ8" i="1" s="1"/>
  <c r="W8" i="5"/>
  <c r="K8" i="1"/>
  <c r="X8" i="5"/>
  <c r="BG8" i="3"/>
  <c r="AT8" i="3"/>
  <c r="BJ8" i="3" s="1"/>
  <c r="AB8" i="5"/>
  <c r="AC8" i="5"/>
  <c r="BH8" i="1"/>
  <c r="Y8" i="5"/>
  <c r="BN48" i="3"/>
  <c r="BR48" i="3"/>
  <c r="BV48" i="3" s="1"/>
  <c r="V21" i="1"/>
  <c r="T21" i="1"/>
  <c r="G21" i="5"/>
  <c r="W21" i="1"/>
  <c r="U21" i="1"/>
  <c r="T129" i="5"/>
  <c r="V129" i="5"/>
  <c r="U129" i="5"/>
  <c r="BF2" i="3"/>
  <c r="BA2" i="3"/>
  <c r="BD2" i="3"/>
  <c r="AR30" i="3"/>
  <c r="BG30" i="3" s="1"/>
  <c r="AO30" i="1"/>
  <c r="J30" i="1" s="1"/>
  <c r="BA30" i="3"/>
  <c r="Y30" i="5"/>
  <c r="W30" i="5"/>
  <c r="AS30" i="3"/>
  <c r="BH30" i="3" s="1"/>
  <c r="X30" i="5"/>
  <c r="AT30" i="3"/>
  <c r="AR92" i="3"/>
  <c r="BG92" i="3" s="1"/>
  <c r="AS92" i="3"/>
  <c r="BH92" i="3" s="1"/>
  <c r="AO92" i="1"/>
  <c r="J92" i="1" s="1"/>
  <c r="BA92" i="3"/>
  <c r="Y92" i="5"/>
  <c r="AT92" i="3"/>
  <c r="W92" i="5"/>
  <c r="X92" i="5"/>
  <c r="AR137" i="3"/>
  <c r="BG137" i="3" s="1"/>
  <c r="AS137" i="3"/>
  <c r="AO137" i="1"/>
  <c r="J137" i="1" s="1"/>
  <c r="BA137" i="3"/>
  <c r="X137" i="5"/>
  <c r="Y137" i="5"/>
  <c r="W137" i="5"/>
  <c r="AS141" i="3"/>
  <c r="BH141" i="3" s="1"/>
  <c r="AR141" i="3"/>
  <c r="BG141" i="3" s="1"/>
  <c r="AO141" i="1"/>
  <c r="J141" i="1" s="1"/>
  <c r="BA141" i="3"/>
  <c r="AT141" i="3"/>
  <c r="W141" i="5"/>
  <c r="Y141" i="5"/>
  <c r="X141" i="5"/>
  <c r="AR157" i="3"/>
  <c r="BG157" i="3" s="1"/>
  <c r="AS157" i="3"/>
  <c r="AO157" i="1"/>
  <c r="J157" i="1" s="1"/>
  <c r="W157" i="5"/>
  <c r="BA157" i="3"/>
  <c r="X157" i="5"/>
  <c r="AT157" i="3"/>
  <c r="Y157" i="5"/>
  <c r="AY17" i="3"/>
  <c r="AI17" i="1" s="1"/>
  <c r="AJ17" i="1" s="1"/>
  <c r="BP17" i="3" a="1"/>
  <c r="BP17" i="3" s="1"/>
  <c r="BT17" i="3" s="1"/>
  <c r="AY132" i="3"/>
  <c r="BP132" i="3" a="1"/>
  <c r="BP132" i="3" s="1"/>
  <c r="AX39" i="3"/>
  <c r="BI97" i="3"/>
  <c r="AS11" i="3"/>
  <c r="BH11" i="3" s="1"/>
  <c r="AX11" i="1"/>
  <c r="CB11" i="1"/>
  <c r="CC11" i="1"/>
  <c r="BI11" i="1"/>
  <c r="BL11" i="1" s="1"/>
  <c r="CF11" i="1"/>
  <c r="BC11" i="1"/>
  <c r="CI11" i="1"/>
  <c r="CJ11" i="1"/>
  <c r="BO11" i="1"/>
  <c r="BQ11" i="1" s="1"/>
  <c r="BN11" i="1" s="1"/>
  <c r="CH11" i="1"/>
  <c r="AI11" i="1"/>
  <c r="AJ11" i="1" s="1"/>
  <c r="CE11" i="1"/>
  <c r="W11" i="5"/>
  <c r="Y11" i="5"/>
  <c r="X11" i="5"/>
  <c r="AT11" i="3"/>
  <c r="BJ11" i="3" s="1"/>
  <c r="BR11" i="3" s="1"/>
  <c r="BV11" i="3" s="1"/>
  <c r="AC11" i="5"/>
  <c r="O48" i="5"/>
  <c r="BR67" i="3"/>
  <c r="BV67" i="3" s="1"/>
  <c r="BN67" i="3"/>
  <c r="T25" i="5"/>
  <c r="U25" i="5"/>
  <c r="V25" i="5"/>
  <c r="H129" i="5"/>
  <c r="I129" i="5"/>
  <c r="J129" i="5"/>
  <c r="V66" i="5"/>
  <c r="U66" i="5"/>
  <c r="T66" i="5"/>
  <c r="BM29" i="3"/>
  <c r="N205" i="5" s="1"/>
  <c r="T71" i="5"/>
  <c r="U71" i="5"/>
  <c r="V71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T50" i="1"/>
  <c r="U50" i="1"/>
  <c r="W50" i="1"/>
  <c r="V50" i="1"/>
  <c r="G50" i="5"/>
  <c r="AR3" i="3"/>
  <c r="BG3" i="3" s="1"/>
  <c r="AO3" i="1"/>
  <c r="J3" i="1" s="1"/>
  <c r="BA3" i="3"/>
  <c r="AR31" i="3"/>
  <c r="BG31" i="3" s="1"/>
  <c r="AO31" i="1"/>
  <c r="J31" i="1" s="1"/>
  <c r="BA31" i="3"/>
  <c r="AS31" i="3"/>
  <c r="BP31" i="3" a="1"/>
  <c r="BP31" i="3" s="1"/>
  <c r="W31" i="5"/>
  <c r="X31" i="5"/>
  <c r="AT31" i="3"/>
  <c r="Y31" i="5"/>
  <c r="AR51" i="3"/>
  <c r="BG51" i="3" s="1"/>
  <c r="AO51" i="1"/>
  <c r="J51" i="1" s="1"/>
  <c r="BA51" i="3"/>
  <c r="X51" i="5"/>
  <c r="BP51" i="3" a="1"/>
  <c r="BP51" i="3" s="1"/>
  <c r="AS51" i="3"/>
  <c r="W51" i="5"/>
  <c r="Y51" i="5"/>
  <c r="AR63" i="3"/>
  <c r="BG63" i="3" s="1"/>
  <c r="AO63" i="1"/>
  <c r="J63" i="1" s="1"/>
  <c r="BA63" i="3"/>
  <c r="X63" i="5"/>
  <c r="AT63" i="3"/>
  <c r="BP63" i="3" a="1"/>
  <c r="BP63" i="3" s="1"/>
  <c r="W63" i="5"/>
  <c r="AS63" i="3"/>
  <c r="Y63" i="5"/>
  <c r="AS110" i="3"/>
  <c r="AR110" i="3"/>
  <c r="BG110" i="3" s="1"/>
  <c r="AO110" i="1"/>
  <c r="J110" i="1" s="1"/>
  <c r="BA110" i="3"/>
  <c r="W110" i="5"/>
  <c r="X110" i="5"/>
  <c r="Y110" i="5"/>
  <c r="AR142" i="3"/>
  <c r="BG142" i="3" s="1"/>
  <c r="AS142" i="3"/>
  <c r="BH142" i="3" s="1"/>
  <c r="AO142" i="1"/>
  <c r="J142" i="1" s="1"/>
  <c r="Y142" i="5"/>
  <c r="BA142" i="3"/>
  <c r="W142" i="5"/>
  <c r="X142" i="5"/>
  <c r="AT142" i="3"/>
  <c r="AR159" i="3"/>
  <c r="BG159" i="3" s="1"/>
  <c r="AS159" i="3"/>
  <c r="W159" i="5"/>
  <c r="X159" i="5"/>
  <c r="Y159" i="5"/>
  <c r="AO159" i="1"/>
  <c r="J159" i="1" s="1"/>
  <c r="BA159" i="3"/>
  <c r="AT159" i="3"/>
  <c r="AY18" i="3"/>
  <c r="AI18" i="1" s="1"/>
  <c r="AJ18" i="1" s="1"/>
  <c r="BP18" i="3" a="1"/>
  <c r="BP18" i="3" s="1"/>
  <c r="BT18" i="3" s="1"/>
  <c r="BP150" i="3" a="1"/>
  <c r="BP150" i="3" s="1"/>
  <c r="BT150" i="3" s="1"/>
  <c r="AY150" i="3"/>
  <c r="AI150" i="1" s="1"/>
  <c r="AJ150" i="1" s="1"/>
  <c r="BN65" i="3"/>
  <c r="AX65" i="3"/>
  <c r="AD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N68" i="3"/>
  <c r="R68" i="5" s="1"/>
  <c r="G22" i="5"/>
  <c r="W22" i="1"/>
  <c r="T22" i="1"/>
  <c r="U22" i="1"/>
  <c r="V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R40" i="3"/>
  <c r="BV40" i="3" s="1"/>
  <c r="Q40" i="5" s="1"/>
  <c r="BN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R6" i="3"/>
  <c r="BG6" i="3" s="1"/>
  <c r="AO6" i="1"/>
  <c r="J6" i="1" s="1"/>
  <c r="BA6" i="3"/>
  <c r="AS6" i="3"/>
  <c r="Y6" i="5"/>
  <c r="X6" i="5"/>
  <c r="AT6" i="3"/>
  <c r="W6" i="5"/>
  <c r="AR39" i="3"/>
  <c r="BG39" i="3" s="1"/>
  <c r="AO39" i="1"/>
  <c r="J39" i="1" s="1"/>
  <c r="BA39" i="3"/>
  <c r="Y39" i="5"/>
  <c r="AT39" i="3"/>
  <c r="AS39" i="3"/>
  <c r="BH39" i="3" s="1"/>
  <c r="X39" i="5"/>
  <c r="W39" i="5"/>
  <c r="AR52" i="3"/>
  <c r="BG52" i="3" s="1"/>
  <c r="AO52" i="1"/>
  <c r="J52" i="1" s="1"/>
  <c r="BA52" i="3"/>
  <c r="BP52" i="3" a="1"/>
  <c r="BP52" i="3" s="1"/>
  <c r="AS52" i="3"/>
  <c r="W52" i="5"/>
  <c r="X52" i="5"/>
  <c r="Y52" i="5"/>
  <c r="AR70" i="3"/>
  <c r="BG70" i="3" s="1"/>
  <c r="AO70" i="1"/>
  <c r="J70" i="1" s="1"/>
  <c r="BA70" i="3"/>
  <c r="AS70" i="3"/>
  <c r="BH70" i="3" s="1"/>
  <c r="AT70" i="3"/>
  <c r="Y70" i="5"/>
  <c r="W70" i="5"/>
  <c r="X70" i="5"/>
  <c r="AR111" i="3"/>
  <c r="BG111" i="3" s="1"/>
  <c r="AO111" i="1"/>
  <c r="J111" i="1" s="1"/>
  <c r="BA111" i="3"/>
  <c r="AT111" i="3"/>
  <c r="AS111" i="3"/>
  <c r="BP111" i="3" a="1"/>
  <c r="BP111" i="3" s="1"/>
  <c r="W111" i="5"/>
  <c r="X111" i="5"/>
  <c r="Y111" i="5"/>
  <c r="AS143" i="3"/>
  <c r="BH143" i="3" s="1"/>
  <c r="AR143" i="3"/>
  <c r="BG143" i="3" s="1"/>
  <c r="AO143" i="1"/>
  <c r="J143" i="1" s="1"/>
  <c r="BA143" i="3"/>
  <c r="X143" i="5"/>
  <c r="AT143" i="3"/>
  <c r="Y143" i="5"/>
  <c r="W143" i="5"/>
  <c r="AY19" i="3"/>
  <c r="BP19" i="3" a="1"/>
  <c r="BP19" i="3" s="1"/>
  <c r="BP151" i="3" a="1"/>
  <c r="BP151" i="3" s="1"/>
  <c r="AY151" i="3"/>
  <c r="AX9" i="3"/>
  <c r="BN66" i="3"/>
  <c r="AX66" i="3"/>
  <c r="AD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R7" i="3"/>
  <c r="BG7" i="3" s="1"/>
  <c r="AO7" i="1"/>
  <c r="J7" i="1" s="1"/>
  <c r="BA7" i="3"/>
  <c r="AR43" i="3"/>
  <c r="BG43" i="3" s="1"/>
  <c r="AO43" i="1"/>
  <c r="J43" i="1" s="1"/>
  <c r="BA43" i="3"/>
  <c r="AS43" i="3"/>
  <c r="Y43" i="5"/>
  <c r="BQ43" i="3"/>
  <c r="X43" i="5"/>
  <c r="BP43" i="3" a="1"/>
  <c r="BP43" i="3" s="1"/>
  <c r="W43" i="5"/>
  <c r="AR71" i="3"/>
  <c r="AO71" i="1"/>
  <c r="J71" i="1" s="1"/>
  <c r="BA71" i="3"/>
  <c r="W71" i="5"/>
  <c r="AT71" i="3"/>
  <c r="X71" i="5"/>
  <c r="AS71" i="3"/>
  <c r="BH71" i="3" s="1"/>
  <c r="Y71" i="5"/>
  <c r="AR112" i="3"/>
  <c r="BG112" i="3" s="1"/>
  <c r="AO112" i="1"/>
  <c r="J112" i="1" s="1"/>
  <c r="BA112" i="3"/>
  <c r="Y112" i="5"/>
  <c r="X112" i="5"/>
  <c r="AS112" i="3"/>
  <c r="BP112" i="3" a="1"/>
  <c r="BP112" i="3" s="1"/>
  <c r="W112" i="5"/>
  <c r="AS144" i="3"/>
  <c r="BH144" i="3" s="1"/>
  <c r="AR144" i="3"/>
  <c r="BG144" i="3" s="1"/>
  <c r="BA144" i="3"/>
  <c r="W144" i="5"/>
  <c r="AO144" i="1"/>
  <c r="J144" i="1" s="1"/>
  <c r="X144" i="5"/>
  <c r="AT144" i="3"/>
  <c r="Y144" i="5"/>
  <c r="AY20" i="3"/>
  <c r="AI20" i="1" s="1"/>
  <c r="AJ20" i="1" s="1"/>
  <c r="BP20" i="3" a="1"/>
  <c r="BP20" i="3" s="1"/>
  <c r="BT20" i="3" s="1"/>
  <c r="BP152" i="3" a="1"/>
  <c r="BP152" i="3" s="1"/>
  <c r="AY152" i="3"/>
  <c r="V68" i="5"/>
  <c r="T68" i="5"/>
  <c r="U68" i="5"/>
  <c r="H24" i="5"/>
  <c r="I24" i="5"/>
  <c r="J24" i="5"/>
  <c r="AR9" i="3"/>
  <c r="BG9" i="3" s="1"/>
  <c r="AO9" i="1"/>
  <c r="J9" i="1" s="1"/>
  <c r="BA9" i="3"/>
  <c r="W9" i="5"/>
  <c r="X9" i="5"/>
  <c r="Y9" i="5"/>
  <c r="AT9" i="3"/>
  <c r="AS9" i="3"/>
  <c r="BH9" i="3" s="1"/>
  <c r="AR46" i="3"/>
  <c r="BG46" i="3" s="1"/>
  <c r="AO46" i="1"/>
  <c r="J46" i="1" s="1"/>
  <c r="BA46" i="3"/>
  <c r="Y46" i="5"/>
  <c r="AS46" i="3"/>
  <c r="W46" i="5"/>
  <c r="X46" i="5"/>
  <c r="BQ46" i="3"/>
  <c r="BP46" i="3" a="1"/>
  <c r="BP46" i="3" s="1"/>
  <c r="AR74" i="3"/>
  <c r="BG74" i="3" s="1"/>
  <c r="E185" i="5" s="1"/>
  <c r="AO74" i="1"/>
  <c r="J74" i="1" s="1"/>
  <c r="BA74" i="3"/>
  <c r="AT74" i="3"/>
  <c r="W74" i="5"/>
  <c r="AS74" i="3"/>
  <c r="X74" i="5"/>
  <c r="Y74" i="5"/>
  <c r="AR113" i="3"/>
  <c r="BG113" i="3" s="1"/>
  <c r="AS113" i="3"/>
  <c r="BH113" i="3" s="1"/>
  <c r="AO113" i="1"/>
  <c r="J113" i="1" s="1"/>
  <c r="W113" i="5"/>
  <c r="X113" i="5"/>
  <c r="Y113" i="5"/>
  <c r="BA113" i="3"/>
  <c r="AT113" i="3"/>
  <c r="AR145" i="3"/>
  <c r="BG145" i="3" s="1"/>
  <c r="AS145" i="3"/>
  <c r="BH145" i="3" s="1"/>
  <c r="AO145" i="1"/>
  <c r="J145" i="1" s="1"/>
  <c r="W145" i="5"/>
  <c r="X145" i="5"/>
  <c r="Y145" i="5"/>
  <c r="BA145" i="3"/>
  <c r="AT145" i="3"/>
  <c r="AY28" i="3"/>
  <c r="BP28" i="3" a="1"/>
  <c r="BP28" i="3" s="1"/>
  <c r="BP153" i="3" a="1"/>
  <c r="BP153" i="3" s="1"/>
  <c r="AY153" i="3"/>
  <c r="BN69" i="3"/>
  <c r="AX69" i="3"/>
  <c r="AD69" i="1" s="1"/>
  <c r="O69" i="5" s="1"/>
  <c r="P69" i="5" s="1"/>
  <c r="AT2" i="3"/>
  <c r="BJ2" i="3" s="1"/>
  <c r="BR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T72" i="1"/>
  <c r="U72" i="1"/>
  <c r="V72" i="1"/>
  <c r="W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I54" i="3"/>
  <c r="T16" i="5"/>
  <c r="V16" i="5"/>
  <c r="U16" i="5"/>
  <c r="H18" i="5"/>
  <c r="J18" i="5"/>
  <c r="I18" i="5"/>
  <c r="V21" i="5"/>
  <c r="U21" i="5"/>
  <c r="T21" i="5"/>
  <c r="BN12" i="3"/>
  <c r="R12" i="5" s="1"/>
  <c r="H95" i="5"/>
  <c r="J95" i="5"/>
  <c r="I95" i="5"/>
  <c r="T53" i="1"/>
  <c r="W53" i="1"/>
  <c r="U53" i="1"/>
  <c r="G53" i="5"/>
  <c r="V53" i="1"/>
  <c r="T95" i="5"/>
  <c r="U95" i="5"/>
  <c r="V95" i="5"/>
  <c r="V42" i="5"/>
  <c r="U42" i="5"/>
  <c r="T42" i="5"/>
  <c r="S83" i="5"/>
  <c r="AL83" i="1"/>
  <c r="AM83" i="1"/>
  <c r="AK83" i="1"/>
  <c r="AR14" i="3"/>
  <c r="BG14" i="3" s="1"/>
  <c r="AO14" i="1"/>
  <c r="J14" i="1" s="1"/>
  <c r="BA14" i="3"/>
  <c r="AS14" i="3"/>
  <c r="BH14" i="3" s="1"/>
  <c r="AT14" i="3"/>
  <c r="W14" i="5"/>
  <c r="X14" i="5"/>
  <c r="Y14" i="5"/>
  <c r="AS79" i="3"/>
  <c r="AR79" i="3"/>
  <c r="BG79" i="3" s="1"/>
  <c r="AO79" i="1"/>
  <c r="J79" i="1" s="1"/>
  <c r="W79" i="5"/>
  <c r="Y79" i="5"/>
  <c r="BA79" i="3"/>
  <c r="X79" i="5"/>
  <c r="AR124" i="3"/>
  <c r="BG124" i="3" s="1"/>
  <c r="AO124" i="1"/>
  <c r="J124" i="1" s="1"/>
  <c r="BA124" i="3"/>
  <c r="AS124" i="3"/>
  <c r="W124" i="5"/>
  <c r="X124" i="5"/>
  <c r="Y124" i="5"/>
  <c r="AT124" i="3"/>
  <c r="BP124" i="3" a="1"/>
  <c r="BP124" i="3" s="1"/>
  <c r="AS148" i="3"/>
  <c r="BH148" i="3" s="1"/>
  <c r="AR148" i="3"/>
  <c r="BG148" i="3" s="1"/>
  <c r="AO148" i="1"/>
  <c r="J148" i="1" s="1"/>
  <c r="BA148" i="3"/>
  <c r="W148" i="5"/>
  <c r="AT148" i="3"/>
  <c r="X148" i="5"/>
  <c r="Y148" i="5"/>
  <c r="AS152" i="3"/>
  <c r="AR152" i="3"/>
  <c r="BG152" i="3" s="1"/>
  <c r="AO152" i="1"/>
  <c r="J152" i="1" s="1"/>
  <c r="BA152" i="3"/>
  <c r="Y152" i="5"/>
  <c r="AT152" i="3"/>
  <c r="X152" i="5"/>
  <c r="W152" i="5"/>
  <c r="AY84" i="3"/>
  <c r="BP84" i="3" a="1"/>
  <c r="BP84" i="3" s="1"/>
  <c r="BT84" i="3" s="1"/>
  <c r="BP156" i="3" a="1"/>
  <c r="BP156" i="3" s="1"/>
  <c r="AY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T112" i="5"/>
  <c r="V112" i="5"/>
  <c r="U112" i="5"/>
  <c r="T50" i="5"/>
  <c r="U50" i="5"/>
  <c r="V50" i="5"/>
  <c r="AR15" i="3"/>
  <c r="BG15" i="3" s="1"/>
  <c r="AO15" i="1"/>
  <c r="J15" i="1" s="1"/>
  <c r="BA15" i="3"/>
  <c r="X15" i="5"/>
  <c r="W15" i="5"/>
  <c r="Y15" i="5"/>
  <c r="AS15" i="3"/>
  <c r="BH15" i="3" s="1"/>
  <c r="AT15" i="3"/>
  <c r="AS149" i="3"/>
  <c r="BH149" i="3" s="1"/>
  <c r="AR149" i="3"/>
  <c r="BG149" i="3" s="1"/>
  <c r="W149" i="5"/>
  <c r="X149" i="5"/>
  <c r="Y149" i="5"/>
  <c r="AO149" i="1"/>
  <c r="J149" i="1" s="1"/>
  <c r="BA149" i="3"/>
  <c r="AT149" i="3"/>
  <c r="AS153" i="3"/>
  <c r="AR153" i="3"/>
  <c r="BG153" i="3" s="1"/>
  <c r="AO153" i="1"/>
  <c r="J153" i="1" s="1"/>
  <c r="BA153" i="3"/>
  <c r="W153" i="5"/>
  <c r="Y153" i="5"/>
  <c r="X153" i="5"/>
  <c r="AT153" i="3"/>
  <c r="AY6" i="3"/>
  <c r="BP6" i="3" a="1"/>
  <c r="BP6" i="3" s="1"/>
  <c r="BP114" i="3" a="1"/>
  <c r="BP114" i="3" s="1"/>
  <c r="BT114" i="3" s="1"/>
  <c r="AY114" i="3"/>
  <c r="AI114" i="1" s="1"/>
  <c r="AJ114" i="1" s="1"/>
  <c r="BP157" i="3" a="1"/>
  <c r="BP157" i="3" s="1"/>
  <c r="AY157" i="3"/>
  <c r="AX25" i="3"/>
  <c r="BI42" i="3"/>
  <c r="BS50" i="3"/>
  <c r="D50" i="5" s="1"/>
  <c r="G64" i="5"/>
  <c r="W64" i="1"/>
  <c r="T64" i="1"/>
  <c r="V64" i="1"/>
  <c r="U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R16" i="3"/>
  <c r="BG16" i="3" s="1"/>
  <c r="AO16" i="1"/>
  <c r="J16" i="1" s="1"/>
  <c r="BA16" i="3"/>
  <c r="Y16" i="5"/>
  <c r="X16" i="5"/>
  <c r="W16" i="5"/>
  <c r="AS16" i="3"/>
  <c r="BH16" i="3" s="1"/>
  <c r="AT16" i="3"/>
  <c r="AR25" i="3"/>
  <c r="AO25" i="1"/>
  <c r="J25" i="1" s="1"/>
  <c r="BA25" i="3"/>
  <c r="AS25" i="3"/>
  <c r="BH25" i="3" s="1"/>
  <c r="AT25" i="3"/>
  <c r="W25" i="5"/>
  <c r="X25" i="5"/>
  <c r="Y25" i="5"/>
  <c r="AR86" i="3"/>
  <c r="BG86" i="3" s="1"/>
  <c r="AO86" i="1"/>
  <c r="J86" i="1" s="1"/>
  <c r="BA86" i="3"/>
  <c r="Y86" i="5"/>
  <c r="AS86" i="3"/>
  <c r="BH86" i="3" s="1"/>
  <c r="AT86" i="3"/>
  <c r="W86" i="5"/>
  <c r="X86" i="5"/>
  <c r="AR154" i="3"/>
  <c r="BG154" i="3" s="1"/>
  <c r="AS154" i="3"/>
  <c r="BA154" i="3"/>
  <c r="AO154" i="1"/>
  <c r="J154" i="1" s="1"/>
  <c r="AT154" i="3"/>
  <c r="X154" i="5"/>
  <c r="W154" i="5"/>
  <c r="Y154" i="5"/>
  <c r="BP118" i="3" a="1"/>
  <c r="BP118" i="3" s="1"/>
  <c r="BT118" i="3" s="1"/>
  <c r="AY118" i="3"/>
  <c r="S118" i="1" s="1"/>
  <c r="BP158" i="3" a="1"/>
  <c r="BP158" i="3" s="1"/>
  <c r="BT158" i="3" s="1"/>
  <c r="AY158" i="3"/>
  <c r="AI158" i="1" s="1"/>
  <c r="AJ158" i="1" s="1"/>
  <c r="BN33" i="3"/>
  <c r="AX33" i="3"/>
  <c r="AD33" i="1" s="1"/>
  <c r="BN125" i="3"/>
  <c r="AX125" i="3"/>
  <c r="AD125" i="1" s="1"/>
  <c r="O125" i="5" s="1"/>
  <c r="P125" i="5" s="1"/>
  <c r="AS5" i="3"/>
  <c r="BH5" i="3" s="1"/>
  <c r="AX5" i="1"/>
  <c r="CB5" i="1"/>
  <c r="BC5" i="1"/>
  <c r="CE5" i="1"/>
  <c r="CI5" i="1"/>
  <c r="CJ5" i="1"/>
  <c r="AI5" i="1"/>
  <c r="AJ5" i="1" s="1"/>
  <c r="CC5" i="1"/>
  <c r="CF5" i="1"/>
  <c r="CH5" i="1"/>
  <c r="BI5" i="1"/>
  <c r="BL5" i="1" s="1"/>
  <c r="BO5" i="1"/>
  <c r="BQ5" i="1" s="1"/>
  <c r="BN5" i="1" s="1"/>
  <c r="Y5" i="5"/>
  <c r="BG5" i="3"/>
  <c r="AT5" i="3"/>
  <c r="BJ5" i="3" s="1"/>
  <c r="W5" i="5"/>
  <c r="AC5" i="5"/>
  <c r="BH5" i="1"/>
  <c r="X5" i="5"/>
  <c r="K5" i="1"/>
  <c r="AB5" i="5"/>
  <c r="I69" i="5"/>
  <c r="H69" i="5"/>
  <c r="J69" i="5"/>
  <c r="BN22" i="3"/>
  <c r="R22" i="5" s="1"/>
  <c r="V72" i="5"/>
  <c r="U72" i="5"/>
  <c r="T72" i="5"/>
  <c r="BN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U48" i="1"/>
  <c r="T48" i="1"/>
  <c r="V48" i="1"/>
  <c r="W48" i="1"/>
  <c r="H54" i="5"/>
  <c r="I54" i="5"/>
  <c r="I86" i="5"/>
  <c r="H86" i="5"/>
  <c r="J86" i="5"/>
  <c r="T121" i="5"/>
  <c r="U121" i="5"/>
  <c r="V121" i="5"/>
  <c r="J41" i="5"/>
  <c r="H41" i="5"/>
  <c r="I41" i="5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C42" i="3"/>
  <c r="BQ51" i="3"/>
  <c r="BQ54" i="3"/>
  <c r="BC54" i="3"/>
  <c r="BQ96" i="3"/>
  <c r="BC96" i="3"/>
  <c r="BI96" i="3"/>
  <c r="BQ97" i="3"/>
  <c r="BC97" i="3"/>
  <c r="BQ112" i="3"/>
  <c r="BQ137" i="3"/>
  <c r="BP2" i="3" a="1"/>
  <c r="BP2" i="3" s="1"/>
  <c r="BP3" i="3" a="1"/>
  <c r="BP3" i="3" s="1"/>
  <c r="BT3" i="3" s="1"/>
  <c r="BF4" i="3"/>
  <c r="BP4" i="3" a="1"/>
  <c r="BP4" i="3" s="1"/>
  <c r="BF5" i="3"/>
  <c r="BP5" i="3" a="1"/>
  <c r="BP5" i="3" s="1"/>
  <c r="BP7" i="3" a="1"/>
  <c r="BP7" i="3" s="1"/>
  <c r="BT7" i="3" s="1"/>
  <c r="BF8" i="3"/>
  <c r="BP8" i="3" a="1"/>
  <c r="BP8" i="3" s="1"/>
  <c r="BP11" i="3" a="1"/>
  <c r="BP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X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H41" i="1"/>
  <c r="AG41" i="1"/>
  <c r="AE41" i="1"/>
  <c r="AF41" i="1"/>
  <c r="AE52" i="1"/>
  <c r="AH52" i="1"/>
  <c r="AF52" i="1"/>
  <c r="AG52" i="1"/>
  <c r="AX84" i="3"/>
  <c r="AX54" i="3"/>
  <c r="AX27" i="3"/>
  <c r="AH68" i="1"/>
  <c r="AG68" i="1"/>
  <c r="AE68" i="1"/>
  <c r="AF68" i="1"/>
  <c r="AF40" i="1"/>
  <c r="AE40" i="1"/>
  <c r="AH40" i="1"/>
  <c r="AG40" i="1"/>
  <c r="AF22" i="1"/>
  <c r="AH22" i="1"/>
  <c r="AE22" i="1"/>
  <c r="AG22" i="1"/>
  <c r="AE46" i="1"/>
  <c r="AG46" i="1"/>
  <c r="AF46" i="1"/>
  <c r="AH46" i="1"/>
  <c r="AF61" i="1"/>
  <c r="AG61" i="1"/>
  <c r="AH61" i="1"/>
  <c r="AE61" i="1"/>
  <c r="AX52" i="3"/>
  <c r="AF50" i="1"/>
  <c r="AE50" i="1"/>
  <c r="AH50" i="1"/>
  <c r="AG50" i="1"/>
  <c r="AG29" i="1"/>
  <c r="AH29" i="1"/>
  <c r="AE29" i="1"/>
  <c r="AF29" i="1"/>
  <c r="AF88" i="1"/>
  <c r="AG88" i="1"/>
  <c r="AH88" i="1"/>
  <c r="AE88" i="1"/>
  <c r="AH72" i="1"/>
  <c r="AG72" i="1"/>
  <c r="AE72" i="1"/>
  <c r="AF72" i="1"/>
  <c r="AF36" i="1"/>
  <c r="AG36" i="1"/>
  <c r="AH36" i="1"/>
  <c r="AE36" i="1"/>
  <c r="AG49" i="1"/>
  <c r="AH49" i="1"/>
  <c r="AF49" i="1"/>
  <c r="AE49" i="1"/>
  <c r="AX44" i="3"/>
  <c r="AG34" i="1"/>
  <c r="AE34" i="1"/>
  <c r="AF34" i="1"/>
  <c r="AH34" i="1"/>
  <c r="AF32" i="1"/>
  <c r="AE32" i="1"/>
  <c r="AG32" i="1"/>
  <c r="AH32" i="1"/>
  <c r="AG10" i="1"/>
  <c r="AF10" i="1"/>
  <c r="AE10" i="1"/>
  <c r="AH10" i="1"/>
  <c r="AF35" i="1"/>
  <c r="AG35" i="1"/>
  <c r="AE35" i="1"/>
  <c r="AH35" i="1"/>
  <c r="AG37" i="1"/>
  <c r="AH37" i="1"/>
  <c r="AE37" i="1"/>
  <c r="AF37" i="1"/>
  <c r="AF23" i="1"/>
  <c r="AE23" i="1"/>
  <c r="AG23" i="1"/>
  <c r="AH23" i="1"/>
  <c r="AG53" i="1"/>
  <c r="AE53" i="1"/>
  <c r="AF53" i="1"/>
  <c r="AH53" i="1"/>
  <c r="AE95" i="1"/>
  <c r="AF95" i="1"/>
  <c r="AH95" i="1"/>
  <c r="AG95" i="1"/>
  <c r="AE38" i="1"/>
  <c r="AG38" i="1"/>
  <c r="AF38" i="1"/>
  <c r="AH38" i="1"/>
  <c r="AX50" i="3"/>
  <c r="AX46" i="3"/>
  <c r="AG24" i="1"/>
  <c r="AF24" i="1"/>
  <c r="AH24" i="1"/>
  <c r="AE24" i="1"/>
  <c r="AE67" i="1"/>
  <c r="AG67" i="1"/>
  <c r="AF67" i="1"/>
  <c r="AH67" i="1"/>
  <c r="AE112" i="1"/>
  <c r="AF112" i="1"/>
  <c r="AG112" i="1"/>
  <c r="AH112" i="1"/>
  <c r="AH26" i="1"/>
  <c r="AE26" i="1"/>
  <c r="AG26" i="1"/>
  <c r="AF26" i="1"/>
  <c r="AE45" i="1"/>
  <c r="AF45" i="1"/>
  <c r="AG45" i="1"/>
  <c r="AH45" i="1"/>
  <c r="AF47" i="1"/>
  <c r="AG47" i="1"/>
  <c r="AE47" i="1"/>
  <c r="AH47" i="1"/>
  <c r="AX49" i="3"/>
  <c r="AX97" i="3"/>
  <c r="AE64" i="1"/>
  <c r="AG64" i="1"/>
  <c r="AH64" i="1"/>
  <c r="AF64" i="1"/>
  <c r="AE54" i="1"/>
  <c r="AH54" i="1"/>
  <c r="AF54" i="1"/>
  <c r="AG54" i="1"/>
  <c r="AE96" i="1"/>
  <c r="AF96" i="1"/>
  <c r="AH96" i="1"/>
  <c r="AG96" i="1"/>
  <c r="AE48" i="1"/>
  <c r="AG48" i="1"/>
  <c r="AF48" i="1"/>
  <c r="AH48" i="1"/>
  <c r="AF97" i="1"/>
  <c r="AE97" i="1"/>
  <c r="AH97" i="1"/>
  <c r="AG97" i="1"/>
  <c r="AF12" i="1"/>
  <c r="AG12" i="1"/>
  <c r="AE12" i="1"/>
  <c r="AH12" i="1"/>
  <c r="AF42" i="1"/>
  <c r="AE42" i="1"/>
  <c r="AG42" i="1"/>
  <c r="AH42" i="1"/>
  <c r="AG27" i="1"/>
  <c r="AE27" i="1"/>
  <c r="AF27" i="1"/>
  <c r="AH27" i="1"/>
  <c r="AF44" i="1"/>
  <c r="AH44" i="1"/>
  <c r="AE44" i="1"/>
  <c r="AG44" i="1"/>
  <c r="AX111" i="3"/>
  <c r="AX7" i="3"/>
  <c r="AX5" i="3"/>
  <c r="AX121" i="3"/>
  <c r="AD121" i="1" s="1"/>
  <c r="O121" i="5" s="1"/>
  <c r="AX8" i="3"/>
  <c r="AX11" i="3"/>
  <c r="S2" i="1"/>
  <c r="G2" i="5" s="1"/>
  <c r="AX112" i="3"/>
  <c r="AX113" i="3"/>
  <c r="AX85" i="3"/>
  <c r="AX17" i="3"/>
  <c r="AD17" i="1" s="1"/>
  <c r="O17" i="5" s="1"/>
  <c r="AX83" i="3"/>
  <c r="AD83" i="1" s="1"/>
  <c r="O83" i="5" s="1"/>
  <c r="P83" i="5" s="1"/>
  <c r="AX82" i="3"/>
  <c r="AD82" i="1" s="1"/>
  <c r="O82" i="5" s="1"/>
  <c r="AX45" i="3"/>
  <c r="AX53" i="3"/>
  <c r="AX88" i="3"/>
  <c r="AX42" i="3"/>
  <c r="AX20" i="3"/>
  <c r="AD20" i="1" s="1"/>
  <c r="O20" i="5" s="1"/>
  <c r="AX87" i="3"/>
  <c r="AX96" i="3"/>
  <c r="AX26" i="3"/>
  <c r="CJ2" i="1"/>
  <c r="CI2" i="1"/>
  <c r="X27" i="1"/>
  <c r="X88" i="1"/>
  <c r="X53" i="1"/>
  <c r="X50" i="1"/>
  <c r="X49" i="1"/>
  <c r="X45" i="1"/>
  <c r="X44" i="1"/>
  <c r="AZ25" i="3"/>
  <c r="AZ29" i="3"/>
  <c r="X29" i="1" s="1"/>
  <c r="AB29" i="1" s="1"/>
  <c r="AZ42" i="3"/>
  <c r="X42" i="1" s="1"/>
  <c r="AZ51" i="3"/>
  <c r="AZ54" i="3"/>
  <c r="X54" i="1" s="1"/>
  <c r="AZ96" i="3"/>
  <c r="X96" i="1" s="1"/>
  <c r="AZ97" i="3"/>
  <c r="X97" i="1" s="1"/>
  <c r="AZ112" i="3"/>
  <c r="AZ137" i="3"/>
  <c r="AR2" i="3"/>
  <c r="BG2" i="3" s="1"/>
  <c r="A39" i="14"/>
  <c r="A75" i="14"/>
  <c r="A87" i="14"/>
  <c r="A99" i="14"/>
  <c r="A103" i="14"/>
  <c r="A94" i="14"/>
  <c r="A60" i="14"/>
  <c r="A72" i="14"/>
  <c r="A96" i="14"/>
  <c r="A112" i="14"/>
  <c r="AP5" i="3"/>
  <c r="AQ5" i="3" s="1"/>
  <c r="Z5" i="5" s="1"/>
  <c r="A63" i="14"/>
  <c r="V30" i="3"/>
  <c r="A15" i="14"/>
  <c r="CH2" i="1"/>
  <c r="CC2" i="1"/>
  <c r="CF2" i="1"/>
  <c r="CB2" i="1"/>
  <c r="CE2" i="1"/>
  <c r="A10" i="14"/>
  <c r="AO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O3" i="3"/>
  <c r="A14" i="9"/>
  <c r="A106" i="14"/>
  <c r="AO7" i="3"/>
  <c r="AZ2" i="1"/>
  <c r="AX2" i="1"/>
  <c r="AP4" i="3"/>
  <c r="AQ4" i="3" s="1"/>
  <c r="Z4" i="5" s="1"/>
  <c r="AP8" i="3"/>
  <c r="AQ8" i="3" s="1"/>
  <c r="Z8" i="5" s="1"/>
  <c r="BO2" i="1"/>
  <c r="BQ2" i="1" s="1"/>
  <c r="BI2" i="1"/>
  <c r="L153" i="3"/>
  <c r="I153" i="1" s="1"/>
  <c r="L139" i="3"/>
  <c r="I139" i="1" s="1"/>
  <c r="L141" i="3"/>
  <c r="I141" i="1" s="1"/>
  <c r="AO2" i="1"/>
  <c r="J2" i="1" s="1"/>
  <c r="L144" i="3"/>
  <c r="I144" i="1" s="1"/>
  <c r="L145" i="3"/>
  <c r="I145" i="1" s="1"/>
  <c r="L152" i="3"/>
  <c r="I152" i="1" s="1"/>
  <c r="L147" i="3"/>
  <c r="I147" i="1" s="1"/>
  <c r="AO14" i="3"/>
  <c r="L149" i="3"/>
  <c r="I149" i="1" s="1"/>
  <c r="BC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P121" i="3"/>
  <c r="AQ121" i="3" s="1"/>
  <c r="AP59" i="3"/>
  <c r="AQ59" i="3" s="1"/>
  <c r="Z59" i="5" s="1"/>
  <c r="AP158" i="3"/>
  <c r="AQ158" i="3" s="1"/>
  <c r="Z158" i="5" s="1"/>
  <c r="AP99" i="3"/>
  <c r="AQ99" i="3" s="1"/>
  <c r="Z99" i="5" s="1"/>
  <c r="AP83" i="3"/>
  <c r="AQ83" i="3" s="1"/>
  <c r="AP123" i="3"/>
  <c r="AQ123" i="3" s="1"/>
  <c r="Z123" i="5" s="1"/>
  <c r="AP150" i="3"/>
  <c r="AQ150" i="3" s="1"/>
  <c r="Z150" i="5" s="1"/>
  <c r="AP114" i="3"/>
  <c r="AQ114" i="3" s="1"/>
  <c r="Z114" i="5" s="1"/>
  <c r="AP62" i="3"/>
  <c r="AQ62" i="3" s="1"/>
  <c r="AP20" i="3"/>
  <c r="AQ20" i="3" s="1"/>
  <c r="Z20" i="5" s="1"/>
  <c r="AP109" i="3"/>
  <c r="AQ109" i="3" s="1"/>
  <c r="Z109" i="5" s="1"/>
  <c r="AP138" i="3"/>
  <c r="AQ138" i="3" s="1"/>
  <c r="Z138" i="5" s="1"/>
  <c r="AP128" i="3"/>
  <c r="AQ128" i="3" s="1"/>
  <c r="Z128" i="5" s="1"/>
  <c r="AP17" i="3"/>
  <c r="AQ17" i="3" s="1"/>
  <c r="Z17" i="5" s="1"/>
  <c r="AP85" i="3"/>
  <c r="AQ85" i="3" s="1"/>
  <c r="AP100" i="3"/>
  <c r="AQ100" i="3" s="1"/>
  <c r="Z100" i="5" s="1"/>
  <c r="AP84" i="3"/>
  <c r="AQ84" i="3" s="1"/>
  <c r="AP58" i="3"/>
  <c r="AQ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Q44" i="3"/>
  <c r="AQ36" i="3"/>
  <c r="Z36" i="5" s="1"/>
  <c r="AQ27" i="3"/>
  <c r="AQ48" i="3"/>
  <c r="Z48" i="5" s="1"/>
  <c r="AQ33" i="3"/>
  <c r="AQ69" i="3"/>
  <c r="AP140" i="3"/>
  <c r="AQ140" i="3" s="1"/>
  <c r="Z140" i="5" s="1"/>
  <c r="AP57" i="3"/>
  <c r="AQ57" i="3" s="1"/>
  <c r="Z57" i="5" s="1"/>
  <c r="AP56" i="3"/>
  <c r="AQ56" i="3" s="1"/>
  <c r="Z56" i="5" s="1"/>
  <c r="AP119" i="3"/>
  <c r="AQ119" i="3" s="1"/>
  <c r="Z119" i="5" s="1"/>
  <c r="AP55" i="3"/>
  <c r="AQ55" i="3" s="1"/>
  <c r="Z55" i="5" s="1"/>
  <c r="AQ131" i="3"/>
  <c r="Z131" i="5" s="1"/>
  <c r="AQ125" i="3"/>
  <c r="Z125" i="5" s="1"/>
  <c r="AQ117" i="3"/>
  <c r="Z117" i="5" s="1"/>
  <c r="AQ118" i="3"/>
  <c r="Z118" i="5" s="1"/>
  <c r="AQ107" i="3"/>
  <c r="Z107" i="5" s="1"/>
  <c r="N107" i="1" s="1"/>
  <c r="AQ95" i="3"/>
  <c r="Z95" i="5" s="1"/>
  <c r="AQ73" i="3"/>
  <c r="AQ65" i="3"/>
  <c r="AQ50" i="3"/>
  <c r="Z50" i="5" s="1"/>
  <c r="AQ24" i="3"/>
  <c r="Z24" i="5" s="1"/>
  <c r="AQ12" i="3"/>
  <c r="Z12" i="5" s="1"/>
  <c r="AQ89" i="3"/>
  <c r="AQ82" i="3"/>
  <c r="AQ49" i="3"/>
  <c r="Z49" i="5" s="1"/>
  <c r="AQ41" i="3"/>
  <c r="AS2" i="3"/>
  <c r="BH2" i="3" s="1"/>
  <c r="AQ23" i="3"/>
  <c r="Z23" i="5" s="1"/>
  <c r="AQ61" i="3"/>
  <c r="AP156" i="3"/>
  <c r="AQ67" i="3"/>
  <c r="AQ60" i="3"/>
  <c r="Z60" i="5" s="1"/>
  <c r="AQ54" i="3"/>
  <c r="Z54" i="5" s="1"/>
  <c r="AQ37" i="3"/>
  <c r="Z37" i="5" s="1"/>
  <c r="AQ29" i="3"/>
  <c r="Z29" i="5" s="1"/>
  <c r="AO143" i="3"/>
  <c r="AQ130" i="3"/>
  <c r="Z130" i="5" s="1"/>
  <c r="AQ116" i="3"/>
  <c r="Z116" i="5" s="1"/>
  <c r="AQ76" i="3"/>
  <c r="Z76" i="5" s="1"/>
  <c r="AQ129" i="3"/>
  <c r="AQ122" i="3"/>
  <c r="Z122" i="5" s="1"/>
  <c r="N122" i="1" s="1"/>
  <c r="AQ104" i="3"/>
  <c r="Z104" i="5" s="1"/>
  <c r="N104" i="1" s="1"/>
  <c r="AQ98" i="3"/>
  <c r="Z98" i="5" s="1"/>
  <c r="N98" i="1" s="1"/>
  <c r="AO90" i="3"/>
  <c r="AQ35" i="3"/>
  <c r="AQ34" i="3"/>
  <c r="Z34" i="5" s="1"/>
  <c r="N34" i="1" s="1"/>
  <c r="AQ10" i="3"/>
  <c r="AQ64" i="3"/>
  <c r="AO137" i="3"/>
  <c r="AQ22" i="3"/>
  <c r="Z22" i="5" s="1"/>
  <c r="AQ134" i="3"/>
  <c r="Z134" i="5" s="1"/>
  <c r="AQ127" i="3"/>
  <c r="AQ88" i="3"/>
  <c r="AQ87" i="3"/>
  <c r="AQ68" i="3"/>
  <c r="AQ47" i="3"/>
  <c r="Z47" i="5" s="1"/>
  <c r="AQ38" i="3"/>
  <c r="Z38" i="5" s="1"/>
  <c r="AQ32" i="3"/>
  <c r="AQ101" i="3"/>
  <c r="Z101" i="5" s="1"/>
  <c r="N101" i="1" s="1"/>
  <c r="AO124" i="3"/>
  <c r="AO78" i="3"/>
  <c r="AQ18" i="3"/>
  <c r="Z18" i="5" s="1"/>
  <c r="AP139" i="3"/>
  <c r="AQ106" i="3"/>
  <c r="Z106" i="5" s="1"/>
  <c r="N106" i="1" s="1"/>
  <c r="AQ94" i="3"/>
  <c r="AQ77" i="3"/>
  <c r="Z77" i="5" s="1"/>
  <c r="AQ40" i="3"/>
  <c r="Z40" i="5" s="1"/>
  <c r="AO139" i="3"/>
  <c r="AP157" i="3"/>
  <c r="AQ105" i="3"/>
  <c r="Z105" i="5" s="1"/>
  <c r="N105" i="1" s="1"/>
  <c r="AQ93" i="3"/>
  <c r="Z93" i="5" s="1"/>
  <c r="AO46" i="3"/>
  <c r="AO157" i="3"/>
  <c r="AQ66" i="3"/>
  <c r="AQ53" i="3"/>
  <c r="Z53" i="5" s="1"/>
  <c r="AQ45" i="3"/>
  <c r="AO30" i="3"/>
  <c r="AQ21" i="3"/>
  <c r="Z21" i="5" s="1"/>
  <c r="AO155" i="3"/>
  <c r="AP113" i="3"/>
  <c r="AO52" i="3"/>
  <c r="BQ52" i="3" s="1"/>
  <c r="AO151" i="3"/>
  <c r="AO120" i="3"/>
  <c r="AQ103" i="3"/>
  <c r="Z103" i="5" s="1"/>
  <c r="N103" i="1" s="1"/>
  <c r="AQ97" i="3"/>
  <c r="AQ72" i="3"/>
  <c r="AO28" i="3"/>
  <c r="AQ133" i="3"/>
  <c r="Z133" i="5" s="1"/>
  <c r="AQ126" i="3"/>
  <c r="AQ81" i="3"/>
  <c r="Z81" i="5" s="1"/>
  <c r="N81" i="1" s="1"/>
  <c r="AQ42" i="3"/>
  <c r="AQ108" i="3"/>
  <c r="Z108" i="5" s="1"/>
  <c r="N108" i="1" s="1"/>
  <c r="AQ102" i="3"/>
  <c r="Z102" i="5" s="1"/>
  <c r="N102" i="1" s="1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AS28" i="1" s="1"/>
  <c r="L14" i="3"/>
  <c r="I14" i="1" s="1"/>
  <c r="L15" i="3"/>
  <c r="I15" i="1" s="1"/>
  <c r="L16" i="3"/>
  <c r="I16" i="1" s="1"/>
  <c r="L132" i="3"/>
  <c r="I132" i="1" s="1"/>
  <c r="BT8" i="3" l="1"/>
  <c r="H188" i="5"/>
  <c r="AD186" i="1"/>
  <c r="AG186" i="1" s="1"/>
  <c r="Q185" i="1"/>
  <c r="R185" i="1" s="1"/>
  <c r="AA178" i="5"/>
  <c r="J49" i="5"/>
  <c r="AW185" i="3"/>
  <c r="X187" i="1"/>
  <c r="X188" i="1"/>
  <c r="AD192" i="1"/>
  <c r="AF192" i="1" s="1"/>
  <c r="AI185" i="1"/>
  <c r="AM185" i="1" s="1"/>
  <c r="Q192" i="1"/>
  <c r="R192" i="1" s="1"/>
  <c r="K192" i="1"/>
  <c r="BH192" i="1"/>
  <c r="AB192" i="5"/>
  <c r="BE192" i="1"/>
  <c r="BD192" i="1"/>
  <c r="AQ192" i="1"/>
  <c r="BS192" i="1" s="1"/>
  <c r="AD191" i="1"/>
  <c r="AI84" i="1"/>
  <c r="AJ84" i="1" s="1"/>
  <c r="AI189" i="1"/>
  <c r="BD185" i="1"/>
  <c r="BE185" i="1"/>
  <c r="AB185" i="5"/>
  <c r="K185" i="1"/>
  <c r="BH185" i="1"/>
  <c r="AN185" i="1"/>
  <c r="BK185" i="1"/>
  <c r="AQ185" i="1"/>
  <c r="BS185" i="1" s="1"/>
  <c r="Q186" i="1"/>
  <c r="R186" i="1" s="1"/>
  <c r="BH186" i="1"/>
  <c r="K186" i="1"/>
  <c r="AW186" i="3"/>
  <c r="AW187" i="3"/>
  <c r="AQ186" i="1"/>
  <c r="BS186" i="1" s="1"/>
  <c r="AN186" i="1"/>
  <c r="AB186" i="5"/>
  <c r="BE186" i="1"/>
  <c r="BK186" i="1"/>
  <c r="BD186" i="1"/>
  <c r="Q72" i="5"/>
  <c r="J97" i="5"/>
  <c r="H201" i="1"/>
  <c r="H203" i="1"/>
  <c r="H202" i="1"/>
  <c r="H206" i="1"/>
  <c r="H205" i="1"/>
  <c r="H207" i="1"/>
  <c r="AA171" i="5"/>
  <c r="I182" i="5"/>
  <c r="J182" i="5"/>
  <c r="BK75" i="1"/>
  <c r="BK142" i="1"/>
  <c r="BK155" i="1"/>
  <c r="BK74" i="1"/>
  <c r="H200" i="1"/>
  <c r="BK124" i="1"/>
  <c r="BK149" i="1"/>
  <c r="BK15" i="1"/>
  <c r="BK120" i="1"/>
  <c r="BK153" i="1"/>
  <c r="BK139" i="1"/>
  <c r="BK148" i="1"/>
  <c r="BK113" i="1"/>
  <c r="BK156" i="1"/>
  <c r="BK91" i="1"/>
  <c r="BK14" i="1"/>
  <c r="BK141" i="1"/>
  <c r="BK146" i="1"/>
  <c r="BK132" i="1"/>
  <c r="BK86" i="1"/>
  <c r="BK143" i="1"/>
  <c r="BK159" i="1"/>
  <c r="BK90" i="1"/>
  <c r="BK147" i="1"/>
  <c r="BK16" i="1"/>
  <c r="BK154" i="1"/>
  <c r="BK152" i="1"/>
  <c r="BK145" i="1"/>
  <c r="BK136" i="1"/>
  <c r="BK144" i="1"/>
  <c r="BK157" i="1"/>
  <c r="BK19" i="1"/>
  <c r="BK151" i="1"/>
  <c r="H197" i="1"/>
  <c r="R182" i="5"/>
  <c r="Q182" i="5"/>
  <c r="J188" i="5"/>
  <c r="J45" i="5"/>
  <c r="H45" i="5"/>
  <c r="H187" i="5"/>
  <c r="I187" i="5"/>
  <c r="J187" i="5"/>
  <c r="Z184" i="5"/>
  <c r="AA184" i="5"/>
  <c r="Z84" i="5"/>
  <c r="Z189" i="5"/>
  <c r="AA189" i="5"/>
  <c r="AD85" i="1"/>
  <c r="O85" i="5" s="1"/>
  <c r="Q85" i="5" s="1"/>
  <c r="AD193" i="1"/>
  <c r="P181" i="5"/>
  <c r="R181" i="5"/>
  <c r="Q181" i="5"/>
  <c r="Z97" i="5"/>
  <c r="Z188" i="5"/>
  <c r="AA188" i="5"/>
  <c r="AA190" i="5"/>
  <c r="Z190" i="5"/>
  <c r="Z193" i="5"/>
  <c r="AA193" i="5"/>
  <c r="AD84" i="1"/>
  <c r="O84" i="5" s="1"/>
  <c r="Q84" i="5" s="1"/>
  <c r="AD189" i="1"/>
  <c r="H184" i="5"/>
  <c r="I184" i="5"/>
  <c r="Z96" i="5"/>
  <c r="Z187" i="5"/>
  <c r="AA187" i="5"/>
  <c r="J184" i="5"/>
  <c r="AL185" i="1"/>
  <c r="AK185" i="1"/>
  <c r="AJ185" i="1"/>
  <c r="AA183" i="5"/>
  <c r="Z183" i="5"/>
  <c r="Z182" i="5"/>
  <c r="AA182" i="5"/>
  <c r="O183" i="5"/>
  <c r="AE183" i="1"/>
  <c r="AG183" i="1"/>
  <c r="AF183" i="1"/>
  <c r="AH183" i="1"/>
  <c r="R184" i="5"/>
  <c r="Q184" i="5"/>
  <c r="P184" i="5"/>
  <c r="Z87" i="5"/>
  <c r="Z194" i="5"/>
  <c r="AA194" i="5"/>
  <c r="Z62" i="5"/>
  <c r="Z181" i="5"/>
  <c r="AA181" i="5"/>
  <c r="AH186" i="1"/>
  <c r="AE186" i="1"/>
  <c r="Z94" i="5"/>
  <c r="Z196" i="5"/>
  <c r="AA196" i="5"/>
  <c r="Z88" i="5"/>
  <c r="Z195" i="5"/>
  <c r="AA195" i="5"/>
  <c r="T193" i="5"/>
  <c r="U193" i="5"/>
  <c r="V193" i="5"/>
  <c r="I27" i="5"/>
  <c r="J27" i="5"/>
  <c r="BR195" i="1"/>
  <c r="BW195" i="1" s="1"/>
  <c r="I67" i="5"/>
  <c r="H67" i="5"/>
  <c r="H93" i="1"/>
  <c r="H99" i="1"/>
  <c r="H138" i="1"/>
  <c r="H55" i="1"/>
  <c r="H190" i="1"/>
  <c r="H130" i="1"/>
  <c r="H59" i="1"/>
  <c r="H133" i="1"/>
  <c r="H117" i="1"/>
  <c r="H134" i="1"/>
  <c r="H58" i="1"/>
  <c r="H128" i="1"/>
  <c r="H94" i="1"/>
  <c r="H126" i="1"/>
  <c r="H62" i="1"/>
  <c r="H131" i="1"/>
  <c r="H109" i="1"/>
  <c r="H77" i="1"/>
  <c r="H119" i="1"/>
  <c r="H76" i="1"/>
  <c r="H196" i="1"/>
  <c r="H116" i="1"/>
  <c r="H57" i="1"/>
  <c r="H56" i="1"/>
  <c r="H165" i="1"/>
  <c r="H100" i="1"/>
  <c r="H60" i="1"/>
  <c r="H162" i="1"/>
  <c r="H140" i="1"/>
  <c r="H89" i="1"/>
  <c r="H166" i="1"/>
  <c r="H163" i="1"/>
  <c r="H161" i="1"/>
  <c r="H173" i="1"/>
  <c r="H178" i="1"/>
  <c r="H176" i="1"/>
  <c r="H171" i="1"/>
  <c r="H179" i="1"/>
  <c r="H172" i="1"/>
  <c r="H175" i="1"/>
  <c r="H177" i="1"/>
  <c r="AD87" i="1"/>
  <c r="O87" i="5" s="1"/>
  <c r="Q87" i="5" s="1"/>
  <c r="AD194" i="1"/>
  <c r="O194" i="5" s="1"/>
  <c r="AH191" i="1"/>
  <c r="AF191" i="1"/>
  <c r="AE191" i="1"/>
  <c r="AG191" i="1"/>
  <c r="BG71" i="3"/>
  <c r="E191" i="5" s="1"/>
  <c r="Q191" i="1"/>
  <c r="BW128" i="1"/>
  <c r="BW62" i="1"/>
  <c r="BW165" i="1"/>
  <c r="BW126" i="1"/>
  <c r="BW162" i="1"/>
  <c r="BK7" i="1"/>
  <c r="BK11" i="1"/>
  <c r="BK4" i="1"/>
  <c r="CA4" i="1"/>
  <c r="BK5" i="1"/>
  <c r="BK8" i="1"/>
  <c r="AZ8" i="1"/>
  <c r="BK3" i="1"/>
  <c r="V82" i="5"/>
  <c r="BD86" i="1"/>
  <c r="BE86" i="1"/>
  <c r="BD148" i="1"/>
  <c r="BE148" i="1"/>
  <c r="BD51" i="1"/>
  <c r="BE51" i="1"/>
  <c r="BE3" i="3"/>
  <c r="BL3" i="3" s="1"/>
  <c r="BD3" i="1"/>
  <c r="BE3" i="1"/>
  <c r="BD74" i="1"/>
  <c r="BE74" i="1"/>
  <c r="BE52" i="3"/>
  <c r="BD52" i="1"/>
  <c r="BE52" i="1"/>
  <c r="BE30" i="3"/>
  <c r="BL30" i="3" s="1"/>
  <c r="BD30" i="1"/>
  <c r="BE30" i="1"/>
  <c r="BD90" i="1"/>
  <c r="BE90" i="1"/>
  <c r="BD120" i="1"/>
  <c r="BE120" i="1"/>
  <c r="BD154" i="1"/>
  <c r="BE154" i="1"/>
  <c r="BD14" i="1"/>
  <c r="BE14" i="1"/>
  <c r="BD157" i="1"/>
  <c r="BE157" i="1"/>
  <c r="BD156" i="1"/>
  <c r="BE156" i="1"/>
  <c r="BE28" i="3"/>
  <c r="BD28" i="1"/>
  <c r="BE28" i="1"/>
  <c r="BD115" i="1"/>
  <c r="BE115" i="1"/>
  <c r="BD11" i="1"/>
  <c r="BE11" i="1"/>
  <c r="BE2" i="3"/>
  <c r="BD2" i="1"/>
  <c r="BE2" i="1"/>
  <c r="BD152" i="1"/>
  <c r="BE152" i="1"/>
  <c r="BE43" i="3"/>
  <c r="BD43" i="1"/>
  <c r="BE43" i="1"/>
  <c r="BE63" i="3"/>
  <c r="BD63" i="1"/>
  <c r="BE63" i="1"/>
  <c r="BD16" i="1"/>
  <c r="BE16" i="1"/>
  <c r="BD113" i="1"/>
  <c r="BE113" i="1"/>
  <c r="BE92" i="3"/>
  <c r="BL92" i="3" s="1"/>
  <c r="BD92" i="1"/>
  <c r="BE92" i="1"/>
  <c r="BE135" i="3"/>
  <c r="BD135" i="1"/>
  <c r="BE135" i="1"/>
  <c r="BD147" i="1"/>
  <c r="BE147" i="1"/>
  <c r="BD153" i="1"/>
  <c r="BE153" i="1"/>
  <c r="BE79" i="3"/>
  <c r="BD79" i="1"/>
  <c r="BE79" i="1"/>
  <c r="BE71" i="3"/>
  <c r="BL71" i="3" s="1"/>
  <c r="BD71" i="1"/>
  <c r="BE71" i="1"/>
  <c r="BD70" i="1"/>
  <c r="BE70" i="1"/>
  <c r="BE6" i="3"/>
  <c r="BD6" i="1"/>
  <c r="BE6" i="1"/>
  <c r="BE110" i="3"/>
  <c r="BD110" i="1"/>
  <c r="BE110" i="1"/>
  <c r="BD91" i="1"/>
  <c r="BE91" i="1"/>
  <c r="BD155" i="1"/>
  <c r="BE155" i="1"/>
  <c r="BD151" i="1"/>
  <c r="BE151" i="1"/>
  <c r="BD146" i="1"/>
  <c r="BE146" i="1"/>
  <c r="BE9" i="3"/>
  <c r="BL9" i="3" s="1"/>
  <c r="BD9" i="1"/>
  <c r="BE9" i="1"/>
  <c r="BE7" i="3"/>
  <c r="BL7" i="3" s="1"/>
  <c r="BD7" i="1"/>
  <c r="BE7" i="1"/>
  <c r="BD132" i="1"/>
  <c r="BE132" i="1"/>
  <c r="BD145" i="1"/>
  <c r="BE145" i="1"/>
  <c r="BD137" i="1"/>
  <c r="BE137" i="1"/>
  <c r="BE13" i="3"/>
  <c r="BD13" i="1"/>
  <c r="BE13" i="1"/>
  <c r="BE25" i="3"/>
  <c r="BL25" i="3" s="1"/>
  <c r="BD25" i="1"/>
  <c r="BE25" i="1"/>
  <c r="BD136" i="1"/>
  <c r="BE136" i="1"/>
  <c r="BE112" i="3"/>
  <c r="BD112" i="1"/>
  <c r="BE112" i="1"/>
  <c r="BE111" i="3"/>
  <c r="BD111" i="1"/>
  <c r="BE111" i="1"/>
  <c r="BE39" i="3"/>
  <c r="BL39" i="3" s="1"/>
  <c r="BD39" i="1"/>
  <c r="BE39" i="1"/>
  <c r="BD159" i="1"/>
  <c r="BE159" i="1"/>
  <c r="BD142" i="1"/>
  <c r="BE142" i="1"/>
  <c r="BD31" i="1"/>
  <c r="BE31" i="1"/>
  <c r="BD124" i="1"/>
  <c r="BE124" i="1"/>
  <c r="BE46" i="3"/>
  <c r="BD46" i="1"/>
  <c r="BE46" i="1"/>
  <c r="BD144" i="1"/>
  <c r="BE144" i="1"/>
  <c r="BD143" i="1"/>
  <c r="BE143" i="1"/>
  <c r="BD19" i="1"/>
  <c r="BE19" i="1"/>
  <c r="BE26" i="3"/>
  <c r="BD26" i="1"/>
  <c r="BE26" i="1"/>
  <c r="BE78" i="3"/>
  <c r="BL78" i="3" s="1"/>
  <c r="BD78" i="1"/>
  <c r="BE78" i="1"/>
  <c r="BD149" i="1"/>
  <c r="BE149" i="1"/>
  <c r="BD15" i="1"/>
  <c r="BE15" i="1"/>
  <c r="BD141" i="1"/>
  <c r="BE141" i="1"/>
  <c r="BD139" i="1"/>
  <c r="BE139" i="1"/>
  <c r="BD75" i="1"/>
  <c r="BE75" i="1"/>
  <c r="U82" i="5"/>
  <c r="I125" i="5"/>
  <c r="I47" i="5"/>
  <c r="J47" i="5"/>
  <c r="BE75" i="3"/>
  <c r="BE14" i="3"/>
  <c r="BL14" i="3" s="1"/>
  <c r="BE90" i="3"/>
  <c r="BE124" i="3"/>
  <c r="BE74" i="3"/>
  <c r="BE19" i="3"/>
  <c r="BE86" i="3"/>
  <c r="BL86" i="3" s="1"/>
  <c r="BE154" i="3"/>
  <c r="BE153" i="3"/>
  <c r="BE149" i="3"/>
  <c r="BL149" i="3" s="1"/>
  <c r="BE152" i="3"/>
  <c r="BE145" i="3"/>
  <c r="BL145" i="3" s="1"/>
  <c r="BE113" i="3"/>
  <c r="BL113" i="3" s="1"/>
  <c r="BE144" i="3"/>
  <c r="BL144" i="3" s="1"/>
  <c r="BE143" i="3"/>
  <c r="BL143" i="3" s="1"/>
  <c r="BE159" i="3"/>
  <c r="BE142" i="3"/>
  <c r="BL142" i="3" s="1"/>
  <c r="BE157" i="3"/>
  <c r="BE141" i="3"/>
  <c r="BL141" i="3" s="1"/>
  <c r="BE139" i="3"/>
  <c r="BL139" i="3" s="1"/>
  <c r="BE136" i="3"/>
  <c r="BL136" i="3" s="1"/>
  <c r="BE91" i="3"/>
  <c r="BL91" i="3" s="1"/>
  <c r="BE155" i="3"/>
  <c r="BE151" i="3"/>
  <c r="BE147" i="3"/>
  <c r="BL147" i="3" s="1"/>
  <c r="BE146" i="3"/>
  <c r="BL146" i="3" s="1"/>
  <c r="Z33" i="5"/>
  <c r="AA33" i="5"/>
  <c r="AA48" i="5"/>
  <c r="AA158" i="5"/>
  <c r="AA87" i="5"/>
  <c r="AA77" i="5"/>
  <c r="AA106" i="5"/>
  <c r="O106" i="1" s="1"/>
  <c r="AA38" i="5"/>
  <c r="AA99" i="5"/>
  <c r="AA21" i="5"/>
  <c r="Z27" i="5"/>
  <c r="N27" i="1" s="1"/>
  <c r="AA27" i="5"/>
  <c r="O27" i="1" s="1"/>
  <c r="BE16" i="3"/>
  <c r="BL16" i="3" s="1"/>
  <c r="Z72" i="5"/>
  <c r="AA72" i="5"/>
  <c r="Z66" i="5"/>
  <c r="AA66" i="5"/>
  <c r="Z41" i="5"/>
  <c r="AA41" i="5"/>
  <c r="Z83" i="5"/>
  <c r="AA83" i="5"/>
  <c r="BE51" i="3"/>
  <c r="BE132" i="3"/>
  <c r="AA47" i="5"/>
  <c r="AA123" i="5"/>
  <c r="AA101" i="5"/>
  <c r="O101" i="1" s="1"/>
  <c r="AA40" i="5"/>
  <c r="AA117" i="5"/>
  <c r="AA81" i="5"/>
  <c r="O81" i="1" s="1"/>
  <c r="AA12" i="5"/>
  <c r="AA102" i="5"/>
  <c r="O102" i="1" s="1"/>
  <c r="AA36" i="5"/>
  <c r="AA59" i="5"/>
  <c r="AA118" i="5"/>
  <c r="Z160" i="5"/>
  <c r="N160" i="1" s="1"/>
  <c r="AA160" i="5"/>
  <c r="O160" i="1" s="1"/>
  <c r="Z64" i="5"/>
  <c r="AA64" i="5"/>
  <c r="Z82" i="5"/>
  <c r="AA82" i="5"/>
  <c r="Z85" i="5"/>
  <c r="AA85" i="5"/>
  <c r="BE70" i="3"/>
  <c r="BL70" i="3" s="1"/>
  <c r="AA37" i="5"/>
  <c r="AA125" i="5"/>
  <c r="AA34" i="5"/>
  <c r="O34" i="1" s="1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O122" i="1" s="1"/>
  <c r="AA130" i="5"/>
  <c r="AA56" i="5"/>
  <c r="Z35" i="5"/>
  <c r="AA35" i="5"/>
  <c r="BE156" i="3"/>
  <c r="AA131" i="5"/>
  <c r="AA134" i="5"/>
  <c r="AA60" i="5"/>
  <c r="BE15" i="3"/>
  <c r="BL15" i="3" s="1"/>
  <c r="AA23" i="5"/>
  <c r="AA114" i="5"/>
  <c r="AA104" i="5"/>
  <c r="O104" i="1" s="1"/>
  <c r="AA50" i="5"/>
  <c r="BE11" i="3"/>
  <c r="BL11" i="3" s="1"/>
  <c r="AA8" i="5"/>
  <c r="AA133" i="5"/>
  <c r="AA55" i="5"/>
  <c r="AA119" i="5"/>
  <c r="BE148" i="3"/>
  <c r="BL148" i="3" s="1"/>
  <c r="AA53" i="5"/>
  <c r="AA18" i="5"/>
  <c r="AA150" i="5"/>
  <c r="AA105" i="5"/>
  <c r="O105" i="1" s="1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BE137" i="3"/>
  <c r="BE120" i="3"/>
  <c r="AA49" i="5"/>
  <c r="AA161" i="5"/>
  <c r="AA108" i="5"/>
  <c r="O108" i="1" s="1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BE31" i="3"/>
  <c r="AA98" i="5"/>
  <c r="O98" i="1" s="1"/>
  <c r="AA107" i="5"/>
  <c r="O107" i="1" s="1"/>
  <c r="AA62" i="5"/>
  <c r="AA140" i="5"/>
  <c r="AA138" i="5"/>
  <c r="Z45" i="5"/>
  <c r="AA45" i="5"/>
  <c r="Z127" i="5"/>
  <c r="N127" i="1" s="1"/>
  <c r="AA127" i="5"/>
  <c r="O127" i="1" s="1"/>
  <c r="Z129" i="5"/>
  <c r="AA129" i="5"/>
  <c r="BE115" i="3"/>
  <c r="AA96" i="5"/>
  <c r="AA76" i="5"/>
  <c r="AA103" i="5"/>
  <c r="O103" i="1" s="1"/>
  <c r="AA95" i="5"/>
  <c r="AA22" i="5"/>
  <c r="AA116" i="5"/>
  <c r="I66" i="5"/>
  <c r="J66" i="5"/>
  <c r="BL4" i="3"/>
  <c r="BT4" i="3"/>
  <c r="J42" i="5"/>
  <c r="I42" i="5"/>
  <c r="J125" i="5"/>
  <c r="BR40" i="1"/>
  <c r="H40" i="1" s="1"/>
  <c r="BR24" i="1"/>
  <c r="H24" i="1" s="1"/>
  <c r="BR22" i="1"/>
  <c r="H22" i="1" s="1"/>
  <c r="BR37" i="1"/>
  <c r="H37" i="1" s="1"/>
  <c r="BR48" i="1"/>
  <c r="H48" i="1" s="1"/>
  <c r="BR12" i="1"/>
  <c r="H12" i="1" s="1"/>
  <c r="BR41" i="1"/>
  <c r="H41" i="1" s="1"/>
  <c r="BR95" i="1"/>
  <c r="H95" i="1" s="1"/>
  <c r="BR23" i="1"/>
  <c r="H23" i="1" s="1"/>
  <c r="BR61" i="1"/>
  <c r="H61" i="1" s="1"/>
  <c r="BR47" i="1"/>
  <c r="H47" i="1" s="1"/>
  <c r="BR38" i="1"/>
  <c r="H38" i="1" s="1"/>
  <c r="T85" i="5"/>
  <c r="V85" i="5"/>
  <c r="H97" i="5"/>
  <c r="I97" i="5"/>
  <c r="AE21" i="1"/>
  <c r="R48" i="5"/>
  <c r="I44" i="5"/>
  <c r="R21" i="5"/>
  <c r="AW164" i="3"/>
  <c r="AV164" i="3"/>
  <c r="BR164" i="1" s="1"/>
  <c r="H164" i="1" s="1"/>
  <c r="H44" i="5"/>
  <c r="AH21" i="1"/>
  <c r="AG73" i="1"/>
  <c r="AE73" i="1"/>
  <c r="AH73" i="1"/>
  <c r="AF73" i="1"/>
  <c r="AF129" i="1"/>
  <c r="AE129" i="1"/>
  <c r="AH129" i="1"/>
  <c r="AF21" i="1"/>
  <c r="AG21" i="1"/>
  <c r="BC51" i="3"/>
  <c r="P48" i="5"/>
  <c r="R67" i="5"/>
  <c r="AG129" i="1"/>
  <c r="Q21" i="5"/>
  <c r="P73" i="5"/>
  <c r="P21" i="5"/>
  <c r="R73" i="5"/>
  <c r="R129" i="5"/>
  <c r="Q67" i="5"/>
  <c r="BT11" i="3"/>
  <c r="Q48" i="5"/>
  <c r="S8" i="1"/>
  <c r="W8" i="1" s="1"/>
  <c r="AG65" i="1"/>
  <c r="Q125" i="5"/>
  <c r="AF65" i="1"/>
  <c r="R66" i="5"/>
  <c r="AH125" i="1"/>
  <c r="BB4" i="3"/>
  <c r="AF125" i="1"/>
  <c r="AH65" i="1"/>
  <c r="Q129" i="5"/>
  <c r="S5" i="1"/>
  <c r="V5" i="1" s="1"/>
  <c r="AG125" i="1"/>
  <c r="S11" i="1"/>
  <c r="U11" i="1" s="1"/>
  <c r="R65" i="5"/>
  <c r="R125" i="5"/>
  <c r="BM97" i="3"/>
  <c r="BU54" i="3"/>
  <c r="BO113" i="3"/>
  <c r="BU97" i="3"/>
  <c r="K188" i="5" s="1"/>
  <c r="BM42" i="3"/>
  <c r="BC112" i="3"/>
  <c r="AU5" i="3"/>
  <c r="P65" i="5"/>
  <c r="BB5" i="3"/>
  <c r="BN5" i="3" s="1"/>
  <c r="AE125" i="1"/>
  <c r="AE65" i="1"/>
  <c r="R69" i="5"/>
  <c r="BC137" i="3"/>
  <c r="Z29" i="1"/>
  <c r="AA29" i="1"/>
  <c r="Q66" i="5"/>
  <c r="AH66" i="1"/>
  <c r="P66" i="5"/>
  <c r="AE69" i="1"/>
  <c r="AF66" i="1"/>
  <c r="BO5" i="3"/>
  <c r="AH69" i="1"/>
  <c r="AG66" i="1"/>
  <c r="BT5" i="3"/>
  <c r="Y29" i="1"/>
  <c r="AF69" i="1"/>
  <c r="AE66" i="1"/>
  <c r="Q69" i="5"/>
  <c r="BC26" i="3"/>
  <c r="AG69" i="1"/>
  <c r="AU11" i="3"/>
  <c r="AU3" i="3"/>
  <c r="K29" i="5"/>
  <c r="L29" i="5" s="1"/>
  <c r="BK52" i="3"/>
  <c r="F52" i="5" s="1"/>
  <c r="BC52" i="3"/>
  <c r="BO25" i="3"/>
  <c r="BS16" i="3"/>
  <c r="D16" i="5" s="1"/>
  <c r="BK16" i="3"/>
  <c r="F16" i="5" s="1"/>
  <c r="E16" i="5"/>
  <c r="BU42" i="3"/>
  <c r="BB153" i="3"/>
  <c r="AU153" i="3"/>
  <c r="BJ153" i="3"/>
  <c r="BR153" i="3" s="1"/>
  <c r="BV153" i="3" s="1"/>
  <c r="BH149" i="1"/>
  <c r="AB149" i="5"/>
  <c r="Q149" i="1"/>
  <c r="R149" i="1" s="1"/>
  <c r="AQ149" i="1"/>
  <c r="BS149" i="1" s="1"/>
  <c r="K149" i="1"/>
  <c r="AN149" i="1"/>
  <c r="BH152" i="1"/>
  <c r="Q152" i="1"/>
  <c r="R152" i="1" s="1"/>
  <c r="K152" i="1"/>
  <c r="AQ152" i="1"/>
  <c r="BS152" i="1" s="1"/>
  <c r="AB152" i="5"/>
  <c r="AN152" i="1"/>
  <c r="BK148" i="3"/>
  <c r="F148" i="5" s="1"/>
  <c r="BS148" i="3"/>
  <c r="D148" i="5" s="1"/>
  <c r="E148" i="5"/>
  <c r="BS145" i="3"/>
  <c r="D145" i="5" s="1"/>
  <c r="BK145" i="3"/>
  <c r="F145" i="5" s="1"/>
  <c r="E145" i="5"/>
  <c r="BH74" i="3"/>
  <c r="S185" i="5" s="1"/>
  <c r="AI74" i="1"/>
  <c r="AJ74" i="1" s="1"/>
  <c r="BH46" i="3"/>
  <c r="BT46" i="3" s="1"/>
  <c r="S46" i="1"/>
  <c r="AU46" i="3"/>
  <c r="X46" i="1" s="1"/>
  <c r="Q9" i="1"/>
  <c r="R9" i="1" s="1"/>
  <c r="K9" i="1"/>
  <c r="AB9" i="5"/>
  <c r="BH9" i="1"/>
  <c r="AQ9" i="1"/>
  <c r="BS9" i="1" s="1"/>
  <c r="S20" i="5"/>
  <c r="AK20" i="1"/>
  <c r="AL20" i="1"/>
  <c r="AM20" i="1"/>
  <c r="BS52" i="3"/>
  <c r="D52" i="5" s="1"/>
  <c r="E52" i="5"/>
  <c r="BI52" i="3"/>
  <c r="BJ6" i="3"/>
  <c r="AU6" i="3"/>
  <c r="BB6" i="3"/>
  <c r="S18" i="5"/>
  <c r="AL18" i="1"/>
  <c r="AK18" i="1"/>
  <c r="AM18" i="1"/>
  <c r="BJ142" i="3"/>
  <c r="BR142" i="3" s="1"/>
  <c r="BV142" i="3" s="1"/>
  <c r="BB142" i="3"/>
  <c r="AU142" i="3"/>
  <c r="BB63" i="3"/>
  <c r="BJ63" i="3"/>
  <c r="AU63" i="3"/>
  <c r="BO11" i="3"/>
  <c r="BB157" i="3"/>
  <c r="AU157" i="3"/>
  <c r="BJ157" i="3"/>
  <c r="BR157" i="3" s="1"/>
  <c r="BV157" i="3" s="1"/>
  <c r="BO92" i="3"/>
  <c r="BK8" i="3"/>
  <c r="F8" i="5" s="1"/>
  <c r="BS8" i="3"/>
  <c r="D8" i="5" s="1"/>
  <c r="E8" i="5"/>
  <c r="S123" i="5"/>
  <c r="AM123" i="1"/>
  <c r="AK123" i="1"/>
  <c r="AL123" i="1"/>
  <c r="BB136" i="3"/>
  <c r="AU136" i="3"/>
  <c r="BJ136" i="3"/>
  <c r="BS28" i="3"/>
  <c r="D28" i="5" s="1"/>
  <c r="E28" i="5"/>
  <c r="BK28" i="3"/>
  <c r="F28" i="5" s="1"/>
  <c r="BJ90" i="3"/>
  <c r="BR90" i="3" s="1"/>
  <c r="BV90" i="3" s="1"/>
  <c r="AU90" i="3"/>
  <c r="BB90" i="3"/>
  <c r="AU4" i="3"/>
  <c r="E147" i="5"/>
  <c r="BK147" i="3"/>
  <c r="F147" i="5" s="1"/>
  <c r="BS147" i="3"/>
  <c r="D147" i="5" s="1"/>
  <c r="E146" i="5"/>
  <c r="BK146" i="3"/>
  <c r="BS146" i="3"/>
  <c r="D146" i="5" s="1"/>
  <c r="BJ25" i="3"/>
  <c r="BB25" i="3"/>
  <c r="K16" i="1"/>
  <c r="AB16" i="5"/>
  <c r="Q16" i="1"/>
  <c r="R16" i="1" s="1"/>
  <c r="BH16" i="1"/>
  <c r="AN16" i="1"/>
  <c r="AQ16" i="1"/>
  <c r="BS16" i="1" s="1"/>
  <c r="K148" i="1"/>
  <c r="AN148" i="1"/>
  <c r="BH148" i="1"/>
  <c r="AB148" i="5"/>
  <c r="AQ148" i="1"/>
  <c r="BS148" i="1" s="1"/>
  <c r="Q148" i="1"/>
  <c r="R148" i="1" s="1"/>
  <c r="BS124" i="3"/>
  <c r="D124" i="5" s="1"/>
  <c r="BK124" i="3"/>
  <c r="F124" i="5" s="1"/>
  <c r="E124" i="5"/>
  <c r="T83" i="5"/>
  <c r="U83" i="5"/>
  <c r="V83" i="5"/>
  <c r="BO145" i="3"/>
  <c r="BH91" i="1"/>
  <c r="AQ91" i="1"/>
  <c r="BS91" i="1" s="1"/>
  <c r="AN91" i="1"/>
  <c r="K91" i="1"/>
  <c r="Q91" i="1"/>
  <c r="R91" i="1" s="1"/>
  <c r="AB91" i="5"/>
  <c r="BJ19" i="3"/>
  <c r="BR19" i="3" s="1"/>
  <c r="BV19" i="3" s="1"/>
  <c r="AU19" i="3"/>
  <c r="BB19" i="3"/>
  <c r="Q132" i="1"/>
  <c r="R132" i="1" s="1"/>
  <c r="AB132" i="5"/>
  <c r="BH132" i="1"/>
  <c r="K132" i="1"/>
  <c r="AQ132" i="1"/>
  <c r="BS132" i="1" s="1"/>
  <c r="AN132" i="1"/>
  <c r="AQ4" i="1"/>
  <c r="BS4" i="1" s="1"/>
  <c r="BO147" i="3"/>
  <c r="BO78" i="3"/>
  <c r="BO146" i="3"/>
  <c r="BO144" i="3"/>
  <c r="BJ143" i="3"/>
  <c r="BR143" i="3" s="1"/>
  <c r="BV143" i="3" s="1"/>
  <c r="BB143" i="3"/>
  <c r="AU143" i="3"/>
  <c r="BJ70" i="3"/>
  <c r="BR70" i="3" s="1"/>
  <c r="BV70" i="3" s="1"/>
  <c r="BB70" i="3"/>
  <c r="AU70" i="3"/>
  <c r="E9" i="5"/>
  <c r="BS9" i="3"/>
  <c r="D9" i="5" s="1"/>
  <c r="BK9" i="3"/>
  <c r="F9" i="5" s="1"/>
  <c r="BH112" i="3"/>
  <c r="BT112" i="3" s="1"/>
  <c r="S112" i="1"/>
  <c r="AU112" i="3"/>
  <c r="X112" i="1" s="1"/>
  <c r="BH111" i="3"/>
  <c r="BT111" i="3" s="1"/>
  <c r="S111" i="1"/>
  <c r="AB70" i="5"/>
  <c r="BH70" i="1"/>
  <c r="Q70" i="1"/>
  <c r="R70" i="1" s="1"/>
  <c r="K70" i="1"/>
  <c r="AQ70" i="1"/>
  <c r="BS70" i="1" s="1"/>
  <c r="Q31" i="1"/>
  <c r="R31" i="1" s="1"/>
  <c r="K31" i="1"/>
  <c r="BH31" i="1"/>
  <c r="AB31" i="5"/>
  <c r="AQ31" i="1"/>
  <c r="BS31" i="1" s="1"/>
  <c r="BK92" i="3"/>
  <c r="F92" i="5" s="1"/>
  <c r="E92" i="5"/>
  <c r="BS92" i="3"/>
  <c r="D92" i="5" s="1"/>
  <c r="BF5" i="1"/>
  <c r="BG5" i="1"/>
  <c r="BP5" i="1" s="1" a="1"/>
  <c r="BP5" i="1" s="1"/>
  <c r="CD5" i="1"/>
  <c r="BO86" i="3"/>
  <c r="AB25" i="5"/>
  <c r="K25" i="1"/>
  <c r="BH25" i="1"/>
  <c r="Q25" i="1"/>
  <c r="R25" i="1" s="1"/>
  <c r="AQ25" i="1"/>
  <c r="BS25" i="1" s="1"/>
  <c r="BK15" i="3"/>
  <c r="F15" i="5" s="1"/>
  <c r="E15" i="5"/>
  <c r="BS15" i="3"/>
  <c r="D15" i="5" s="1"/>
  <c r="BK152" i="3"/>
  <c r="F152" i="5" s="1"/>
  <c r="E152" i="5"/>
  <c r="BS152" i="3"/>
  <c r="D152" i="5" s="1"/>
  <c r="BS132" i="3"/>
  <c r="D132" i="5" s="1"/>
  <c r="BK132" i="3"/>
  <c r="F132" i="5" s="1"/>
  <c r="E132" i="5"/>
  <c r="BH151" i="3"/>
  <c r="BT151" i="3" s="1"/>
  <c r="AI151" i="1"/>
  <c r="AJ151" i="1" s="1"/>
  <c r="S158" i="5"/>
  <c r="AM158" i="1"/>
  <c r="AK158" i="1"/>
  <c r="AL158" i="1"/>
  <c r="BH154" i="3"/>
  <c r="AI154" i="1"/>
  <c r="AJ154" i="1" s="1"/>
  <c r="I64" i="5"/>
  <c r="J64" i="5"/>
  <c r="H64" i="5"/>
  <c r="BJ86" i="3"/>
  <c r="BR86" i="3" s="1"/>
  <c r="BV86" i="3" s="1"/>
  <c r="AU86" i="3"/>
  <c r="BB86" i="3"/>
  <c r="K15" i="1"/>
  <c r="AB15" i="5"/>
  <c r="Q15" i="1"/>
  <c r="R15" i="1" s="1"/>
  <c r="BH15" i="1"/>
  <c r="AQ15" i="1"/>
  <c r="BS15" i="1" s="1"/>
  <c r="AN15" i="1"/>
  <c r="BO148" i="3"/>
  <c r="BH152" i="3"/>
  <c r="AI152" i="1"/>
  <c r="AJ152" i="1" s="1"/>
  <c r="BO14" i="3"/>
  <c r="H72" i="5"/>
  <c r="J72" i="5"/>
  <c r="I72" i="5"/>
  <c r="Q46" i="1"/>
  <c r="R46" i="1" s="1"/>
  <c r="BH46" i="1"/>
  <c r="K46" i="1"/>
  <c r="AB46" i="5"/>
  <c r="BC46" i="3"/>
  <c r="AQ46" i="1"/>
  <c r="BS46" i="1" s="1"/>
  <c r="Q71" i="1"/>
  <c r="R71" i="1" s="1"/>
  <c r="AB71" i="5"/>
  <c r="K71" i="1"/>
  <c r="BH71" i="1"/>
  <c r="AQ71" i="1"/>
  <c r="BS71" i="1" s="1"/>
  <c r="AB143" i="5"/>
  <c r="BH143" i="1"/>
  <c r="K143" i="1"/>
  <c r="AN143" i="1"/>
  <c r="Q143" i="1"/>
  <c r="R143" i="1" s="1"/>
  <c r="AQ143" i="1"/>
  <c r="BS143" i="1" s="1"/>
  <c r="BO39" i="3"/>
  <c r="BH6" i="3"/>
  <c r="BT6" i="3" s="1"/>
  <c r="S6" i="1"/>
  <c r="AU159" i="3"/>
  <c r="BB159" i="3"/>
  <c r="BJ159" i="3"/>
  <c r="BR159" i="3" s="1"/>
  <c r="BV159" i="3" s="1"/>
  <c r="AB63" i="5"/>
  <c r="K63" i="1"/>
  <c r="BH63" i="1"/>
  <c r="Q63" i="1"/>
  <c r="R63" i="1" s="1"/>
  <c r="AZ63" i="1"/>
  <c r="AQ63" i="1"/>
  <c r="BS63" i="1" s="1"/>
  <c r="S51" i="1"/>
  <c r="Q51" i="1"/>
  <c r="BH51" i="1"/>
  <c r="K51" i="1"/>
  <c r="AB51" i="5"/>
  <c r="AQ51" i="1"/>
  <c r="BS51" i="1" s="1"/>
  <c r="BB11" i="3"/>
  <c r="BN11" i="3" s="1"/>
  <c r="BH137" i="3"/>
  <c r="BT137" i="3" s="1"/>
  <c r="AU137" i="3"/>
  <c r="X137" i="1" s="1"/>
  <c r="S137" i="1"/>
  <c r="BJ30" i="3"/>
  <c r="BR30" i="3" s="1"/>
  <c r="BV30" i="3" s="1"/>
  <c r="AU30" i="3"/>
  <c r="BB30" i="3"/>
  <c r="BS91" i="3"/>
  <c r="E91" i="5"/>
  <c r="BK91" i="3"/>
  <c r="AQ7" i="1"/>
  <c r="BS7" i="1" s="1"/>
  <c r="BM54" i="3"/>
  <c r="BK151" i="3"/>
  <c r="F151" i="5" s="1"/>
  <c r="BS151" i="3"/>
  <c r="D151" i="5" s="1"/>
  <c r="E151" i="5"/>
  <c r="BB78" i="3"/>
  <c r="BJ78" i="3"/>
  <c r="O192" i="5" s="1"/>
  <c r="AU78" i="3"/>
  <c r="AQ3" i="1"/>
  <c r="BS3" i="1" s="1"/>
  <c r="BB75" i="3"/>
  <c r="BJ75" i="3"/>
  <c r="AU75" i="3"/>
  <c r="BJ71" i="3"/>
  <c r="BR71" i="3" s="1"/>
  <c r="BV71" i="3" s="1"/>
  <c r="BB71" i="3"/>
  <c r="AU71" i="3"/>
  <c r="H48" i="5"/>
  <c r="I48" i="5"/>
  <c r="J48" i="5"/>
  <c r="BG25" i="3"/>
  <c r="AU25" i="3"/>
  <c r="X25" i="1" s="1"/>
  <c r="BB112" i="3"/>
  <c r="BL5" i="3"/>
  <c r="BB46" i="3"/>
  <c r="BU5" i="1"/>
  <c r="BR5" i="3"/>
  <c r="BV5" i="3" s="1"/>
  <c r="AQ5" i="1"/>
  <c r="BS5" i="1" s="1"/>
  <c r="BK149" i="3"/>
  <c r="F149" i="5" s="1"/>
  <c r="BS149" i="3"/>
  <c r="D149" i="5" s="1"/>
  <c r="E149" i="5"/>
  <c r="BJ124" i="3"/>
  <c r="BB124" i="3"/>
  <c r="AU124" i="3"/>
  <c r="E46" i="5"/>
  <c r="BS46" i="3"/>
  <c r="D46" i="5" s="1"/>
  <c r="BK46" i="3"/>
  <c r="F46" i="5" s="1"/>
  <c r="BB144" i="3"/>
  <c r="AU144" i="3"/>
  <c r="BJ144" i="3"/>
  <c r="BR144" i="3" s="1"/>
  <c r="BV144" i="3" s="1"/>
  <c r="E71" i="5"/>
  <c r="BS71" i="3"/>
  <c r="AQ43" i="1"/>
  <c r="BS43" i="1" s="1"/>
  <c r="Q43" i="1"/>
  <c r="AB43" i="5"/>
  <c r="K43" i="1"/>
  <c r="BH43" i="1"/>
  <c r="BC43" i="3"/>
  <c r="BK143" i="3"/>
  <c r="F143" i="5" s="1"/>
  <c r="E143" i="5"/>
  <c r="BS143" i="3"/>
  <c r="D143" i="5" s="1"/>
  <c r="K111" i="1"/>
  <c r="Q111" i="1"/>
  <c r="R111" i="1" s="1"/>
  <c r="BH111" i="1"/>
  <c r="AB111" i="5"/>
  <c r="AQ111" i="1"/>
  <c r="BS111" i="1" s="1"/>
  <c r="BJ39" i="3"/>
  <c r="AU39" i="3"/>
  <c r="BB39" i="3"/>
  <c r="K110" i="1"/>
  <c r="AQ110" i="1"/>
  <c r="BS110" i="1" s="1"/>
  <c r="AB110" i="5"/>
  <c r="BH110" i="1"/>
  <c r="Q110" i="1"/>
  <c r="E63" i="5"/>
  <c r="BK63" i="3"/>
  <c r="F63" i="5" s="1"/>
  <c r="BS63" i="3"/>
  <c r="D63" i="5" s="1"/>
  <c r="BK51" i="3"/>
  <c r="F51" i="5" s="1"/>
  <c r="E51" i="5"/>
  <c r="BS51" i="3"/>
  <c r="D51" i="5" s="1"/>
  <c r="Q3" i="1"/>
  <c r="R3" i="1" s="1"/>
  <c r="AB3" i="5"/>
  <c r="BH3" i="1"/>
  <c r="K3" i="1"/>
  <c r="AQ141" i="1"/>
  <c r="BS141" i="1" s="1"/>
  <c r="AN141" i="1"/>
  <c r="BH141" i="1"/>
  <c r="Q141" i="1"/>
  <c r="R141" i="1" s="1"/>
  <c r="AB141" i="5"/>
  <c r="K141" i="1"/>
  <c r="E137" i="5"/>
  <c r="BS137" i="3"/>
  <c r="D137" i="5" s="1"/>
  <c r="BK137" i="3"/>
  <c r="F137" i="5" s="1"/>
  <c r="AN8" i="1"/>
  <c r="AQ136" i="1"/>
  <c r="BS136" i="1" s="1"/>
  <c r="BH136" i="1"/>
  <c r="K136" i="1"/>
  <c r="Q136" i="1"/>
  <c r="R136" i="1" s="1"/>
  <c r="AN136" i="1"/>
  <c r="AB136" i="5"/>
  <c r="S7" i="1"/>
  <c r="Q26" i="1"/>
  <c r="R26" i="1" s="1"/>
  <c r="AB26" i="5"/>
  <c r="BH26" i="1"/>
  <c r="K26" i="1"/>
  <c r="AQ26" i="1"/>
  <c r="BS26" i="1" s="1"/>
  <c r="AI4" i="1"/>
  <c r="AJ4" i="1" s="1"/>
  <c r="BJ115" i="3"/>
  <c r="AU115" i="3"/>
  <c r="BB115" i="3"/>
  <c r="AD115" i="1"/>
  <c r="BH75" i="3"/>
  <c r="BT75" i="3" s="1"/>
  <c r="AI75" i="1"/>
  <c r="AJ75" i="1" s="1"/>
  <c r="BB14" i="3"/>
  <c r="BJ14" i="3"/>
  <c r="AU14" i="3"/>
  <c r="AU113" i="3"/>
  <c r="BJ113" i="3"/>
  <c r="BB113" i="3"/>
  <c r="AD113" i="1"/>
  <c r="BB74" i="3"/>
  <c r="BJ74" i="3"/>
  <c r="BR74" i="3" s="1"/>
  <c r="BV74" i="3" s="1"/>
  <c r="AU74" i="3"/>
  <c r="BH43" i="3"/>
  <c r="BT43" i="3" s="1"/>
  <c r="AU43" i="3"/>
  <c r="X43" i="1" s="1"/>
  <c r="S43" i="1"/>
  <c r="BJ111" i="3"/>
  <c r="BR111" i="3" s="1"/>
  <c r="BV111" i="3" s="1"/>
  <c r="BB111" i="3"/>
  <c r="AU111" i="3"/>
  <c r="AD111" i="1"/>
  <c r="BK70" i="3"/>
  <c r="F70" i="5" s="1"/>
  <c r="BS70" i="3"/>
  <c r="D70" i="5" s="1"/>
  <c r="E70" i="5"/>
  <c r="H22" i="5"/>
  <c r="J22" i="5"/>
  <c r="I22" i="5"/>
  <c r="BK31" i="3"/>
  <c r="F31" i="5" s="1"/>
  <c r="BS31" i="3"/>
  <c r="D31" i="5" s="1"/>
  <c r="E31" i="5"/>
  <c r="AN11" i="1"/>
  <c r="BJ141" i="3"/>
  <c r="BB141" i="3"/>
  <c r="AU141" i="3"/>
  <c r="BH137" i="1"/>
  <c r="K137" i="1"/>
  <c r="AB137" i="5"/>
  <c r="Q137" i="1"/>
  <c r="AQ137" i="1"/>
  <c r="BS137" i="1" s="1"/>
  <c r="BJ139" i="3"/>
  <c r="BB139" i="3"/>
  <c r="AU139" i="3"/>
  <c r="BO91" i="3"/>
  <c r="BO7" i="3"/>
  <c r="BJ155" i="3"/>
  <c r="BR155" i="3" s="1"/>
  <c r="BV155" i="3" s="1"/>
  <c r="AU155" i="3"/>
  <c r="BB155" i="3"/>
  <c r="AX30" i="3"/>
  <c r="AD30" i="1" s="1"/>
  <c r="AQ153" i="1"/>
  <c r="BS153" i="1" s="1"/>
  <c r="Q153" i="1"/>
  <c r="R153" i="1" s="1"/>
  <c r="BH153" i="1"/>
  <c r="K153" i="1"/>
  <c r="AB153" i="5"/>
  <c r="AN153" i="1"/>
  <c r="BO149" i="3"/>
  <c r="S84" i="5"/>
  <c r="AK84" i="1"/>
  <c r="AM84" i="1"/>
  <c r="AL84" i="1"/>
  <c r="Q14" i="1"/>
  <c r="R14" i="1" s="1"/>
  <c r="BH14" i="1"/>
  <c r="AB14" i="5"/>
  <c r="K14" i="1"/>
  <c r="AQ14" i="1"/>
  <c r="BS14" i="1" s="1"/>
  <c r="AN14" i="1"/>
  <c r="BB145" i="3"/>
  <c r="BJ145" i="3"/>
  <c r="BR145" i="3" s="1"/>
  <c r="BV145" i="3" s="1"/>
  <c r="AU145" i="3"/>
  <c r="K74" i="1"/>
  <c r="Q74" i="1"/>
  <c r="R74" i="1" s="1"/>
  <c r="BH74" i="1"/>
  <c r="AB74" i="5"/>
  <c r="AN74" i="1"/>
  <c r="AQ74" i="1"/>
  <c r="BS74" i="1" s="1"/>
  <c r="BO9" i="3"/>
  <c r="BK43" i="3"/>
  <c r="F43" i="5" s="1"/>
  <c r="BS43" i="3"/>
  <c r="D43" i="5" s="1"/>
  <c r="E43" i="5"/>
  <c r="BO143" i="3"/>
  <c r="BK111" i="3"/>
  <c r="F111" i="5" s="1"/>
  <c r="BS111" i="3"/>
  <c r="D111" i="5" s="1"/>
  <c r="E111" i="5"/>
  <c r="Q6" i="1"/>
  <c r="R6" i="1" s="1"/>
  <c r="AB6" i="5"/>
  <c r="K6" i="1"/>
  <c r="BH6" i="1"/>
  <c r="AQ6" i="1"/>
  <c r="BS6" i="1" s="1"/>
  <c r="BH159" i="1"/>
  <c r="AN159" i="1"/>
  <c r="AB159" i="5"/>
  <c r="AQ159" i="1"/>
  <c r="BS159" i="1" s="1"/>
  <c r="Q159" i="1"/>
  <c r="R159" i="1" s="1"/>
  <c r="K159" i="1"/>
  <c r="BK110" i="3"/>
  <c r="F110" i="5" s="1"/>
  <c r="BS110" i="3"/>
  <c r="D110" i="5" s="1"/>
  <c r="E110" i="5"/>
  <c r="BS3" i="3"/>
  <c r="D3" i="5" s="1"/>
  <c r="BK3" i="3"/>
  <c r="F3" i="5" s="1"/>
  <c r="E3" i="5"/>
  <c r="E141" i="5"/>
  <c r="BS141" i="3"/>
  <c r="D141" i="5" s="1"/>
  <c r="BK141" i="3"/>
  <c r="F141" i="5" s="1"/>
  <c r="BO30" i="3"/>
  <c r="S8" i="5"/>
  <c r="AK8" i="1"/>
  <c r="AM8" i="1"/>
  <c r="AL8" i="1"/>
  <c r="BK136" i="3"/>
  <c r="F136" i="5" s="1"/>
  <c r="BS136" i="3"/>
  <c r="D136" i="5" s="1"/>
  <c r="E136" i="5"/>
  <c r="BH135" i="3"/>
  <c r="BT135" i="3" s="1"/>
  <c r="S135" i="1"/>
  <c r="AQ90" i="1"/>
  <c r="BS90" i="1" s="1"/>
  <c r="AB90" i="5"/>
  <c r="K90" i="1"/>
  <c r="Q90" i="1"/>
  <c r="R90" i="1" s="1"/>
  <c r="BH90" i="1"/>
  <c r="AN90" i="1"/>
  <c r="BS26" i="3"/>
  <c r="D26" i="5" s="1"/>
  <c r="BK26" i="3"/>
  <c r="F26" i="5" s="1"/>
  <c r="E26" i="5"/>
  <c r="Q13" i="1"/>
  <c r="R13" i="1" s="1"/>
  <c r="AB13" i="5"/>
  <c r="BH13" i="1"/>
  <c r="K13" i="1"/>
  <c r="AQ13" i="1"/>
  <c r="BS13" i="1" s="1"/>
  <c r="AI3" i="1"/>
  <c r="AJ3" i="1" s="1"/>
  <c r="AL5" i="1"/>
  <c r="AK5" i="1"/>
  <c r="S5" i="5"/>
  <c r="AM5" i="1"/>
  <c r="AU154" i="3"/>
  <c r="BB154" i="3"/>
  <c r="BJ154" i="3"/>
  <c r="BR154" i="3" s="1"/>
  <c r="BV154" i="3" s="1"/>
  <c r="Q86" i="1"/>
  <c r="R86" i="1" s="1"/>
  <c r="AB86" i="5"/>
  <c r="K86" i="1"/>
  <c r="BH86" i="1"/>
  <c r="AN86" i="1"/>
  <c r="AQ86" i="1"/>
  <c r="BS86" i="1" s="1"/>
  <c r="BJ16" i="3"/>
  <c r="BR16" i="3" s="1"/>
  <c r="BV16" i="3" s="1"/>
  <c r="BB16" i="3"/>
  <c r="AU16" i="3"/>
  <c r="BK71" i="3"/>
  <c r="AZ5" i="1"/>
  <c r="BS5" i="3"/>
  <c r="D5" i="5" s="1"/>
  <c r="E5" i="5"/>
  <c r="BK5" i="3"/>
  <c r="F5" i="5" s="1"/>
  <c r="O33" i="5"/>
  <c r="AE33" i="1"/>
  <c r="AH33" i="1"/>
  <c r="AF33" i="1"/>
  <c r="AG33" i="1"/>
  <c r="Q154" i="1"/>
  <c r="R154" i="1" s="1"/>
  <c r="AQ154" i="1"/>
  <c r="BS154" i="1" s="1"/>
  <c r="AN154" i="1"/>
  <c r="BH154" i="1"/>
  <c r="K154" i="1"/>
  <c r="AB154" i="5"/>
  <c r="E86" i="5"/>
  <c r="BK86" i="3"/>
  <c r="F86" i="5" s="1"/>
  <c r="BS86" i="3"/>
  <c r="D86" i="5" s="1"/>
  <c r="BO16" i="3"/>
  <c r="S114" i="5"/>
  <c r="AM114" i="1"/>
  <c r="AK114" i="1"/>
  <c r="AL114" i="1"/>
  <c r="BS153" i="3"/>
  <c r="D153" i="5" s="1"/>
  <c r="E153" i="5"/>
  <c r="BK153" i="3"/>
  <c r="F153" i="5" s="1"/>
  <c r="BK14" i="3"/>
  <c r="F14" i="5" s="1"/>
  <c r="BS14" i="3"/>
  <c r="D14" i="5" s="1"/>
  <c r="E14" i="5"/>
  <c r="BS74" i="3"/>
  <c r="BK74" i="3"/>
  <c r="E74" i="5"/>
  <c r="BJ9" i="3"/>
  <c r="BB9" i="3"/>
  <c r="AU9" i="3"/>
  <c r="K144" i="1"/>
  <c r="AB144" i="5"/>
  <c r="BH144" i="1"/>
  <c r="AN144" i="1"/>
  <c r="Q144" i="1"/>
  <c r="R144" i="1" s="1"/>
  <c r="AQ144" i="1"/>
  <c r="BS144" i="1" s="1"/>
  <c r="Q112" i="1"/>
  <c r="R112" i="1" s="1"/>
  <c r="BH112" i="1"/>
  <c r="AB112" i="5"/>
  <c r="K112" i="1"/>
  <c r="AQ112" i="1"/>
  <c r="BS112" i="1" s="1"/>
  <c r="BH52" i="3"/>
  <c r="BT52" i="3" s="1"/>
  <c r="AU52" i="3"/>
  <c r="X52" i="1" s="1"/>
  <c r="S52" i="1"/>
  <c r="BK6" i="3"/>
  <c r="F6" i="5" s="1"/>
  <c r="BS6" i="3"/>
  <c r="D6" i="5" s="1"/>
  <c r="E6" i="5"/>
  <c r="AQ142" i="1"/>
  <c r="BS142" i="1" s="1"/>
  <c r="AB142" i="5"/>
  <c r="Q142" i="1"/>
  <c r="R142" i="1" s="1"/>
  <c r="K142" i="1"/>
  <c r="BH142" i="1"/>
  <c r="AN142" i="1"/>
  <c r="BH110" i="3"/>
  <c r="BT110" i="3" s="1"/>
  <c r="S110" i="1"/>
  <c r="BJ31" i="3"/>
  <c r="BR31" i="3" s="1"/>
  <c r="BV31" i="3" s="1"/>
  <c r="AU31" i="3"/>
  <c r="BB31" i="3"/>
  <c r="I50" i="5"/>
  <c r="J50" i="5"/>
  <c r="H50" i="5"/>
  <c r="AB157" i="5"/>
  <c r="Q157" i="1"/>
  <c r="R157" i="1" s="1"/>
  <c r="AN157" i="1"/>
  <c r="AQ157" i="1"/>
  <c r="BS157" i="1" s="1"/>
  <c r="K157" i="1"/>
  <c r="BH157" i="1"/>
  <c r="BO141" i="3"/>
  <c r="CD8" i="1"/>
  <c r="BF8" i="1"/>
  <c r="BG8" i="1"/>
  <c r="BP8" i="1" s="1" a="1"/>
  <c r="BP8" i="1" s="1"/>
  <c r="BU8" i="1"/>
  <c r="BB156" i="3"/>
  <c r="BJ156" i="3"/>
  <c r="BR156" i="3" s="1"/>
  <c r="BV156" i="3" s="1"/>
  <c r="AU156" i="3"/>
  <c r="BO136" i="3"/>
  <c r="BH19" i="3"/>
  <c r="BT19" i="3" s="1"/>
  <c r="AI19" i="1"/>
  <c r="AJ19" i="1" s="1"/>
  <c r="AU7" i="3"/>
  <c r="Q155" i="1"/>
  <c r="R155" i="1" s="1"/>
  <c r="AQ155" i="1"/>
  <c r="BS155" i="1" s="1"/>
  <c r="AB155" i="5"/>
  <c r="BH155" i="1"/>
  <c r="K155" i="1"/>
  <c r="AN155" i="1"/>
  <c r="BS90" i="3"/>
  <c r="D90" i="5" s="1"/>
  <c r="E90" i="5"/>
  <c r="BK90" i="3"/>
  <c r="F90" i="5" s="1"/>
  <c r="BS13" i="3"/>
  <c r="D13" i="5" s="1"/>
  <c r="E13" i="5"/>
  <c r="BK13" i="3"/>
  <c r="F13" i="5" s="1"/>
  <c r="BH153" i="3"/>
  <c r="BT153" i="3" s="1"/>
  <c r="AI153" i="1"/>
  <c r="AJ153" i="1" s="1"/>
  <c r="BJ15" i="3"/>
  <c r="BR15" i="3" s="1"/>
  <c r="BV15" i="3" s="1"/>
  <c r="BB15" i="3"/>
  <c r="AU15" i="3"/>
  <c r="BC79" i="3"/>
  <c r="BH79" i="1"/>
  <c r="Q79" i="1"/>
  <c r="AB79" i="5"/>
  <c r="AQ79" i="1"/>
  <c r="BS79" i="1" s="1"/>
  <c r="K79" i="1"/>
  <c r="BB2" i="3"/>
  <c r="BH113" i="1"/>
  <c r="Q113" i="1"/>
  <c r="R113" i="1" s="1"/>
  <c r="AB113" i="5"/>
  <c r="AN113" i="1"/>
  <c r="K113" i="1"/>
  <c r="AQ113" i="1"/>
  <c r="BS113" i="1" s="1"/>
  <c r="BK112" i="3"/>
  <c r="F112" i="5" s="1"/>
  <c r="E112" i="5"/>
  <c r="BS112" i="3"/>
  <c r="D112" i="5" s="1"/>
  <c r="K7" i="1"/>
  <c r="BH7" i="1"/>
  <c r="Q7" i="1"/>
  <c r="R7" i="1" s="1"/>
  <c r="AB7" i="5"/>
  <c r="BB52" i="3"/>
  <c r="BO142" i="3"/>
  <c r="BH157" i="3"/>
  <c r="AI157" i="1"/>
  <c r="AJ157" i="1" s="1"/>
  <c r="H21" i="5"/>
  <c r="J21" i="5"/>
  <c r="I21" i="5"/>
  <c r="BB8" i="3"/>
  <c r="BN8" i="3" s="1"/>
  <c r="K139" i="1"/>
  <c r="AQ139" i="1"/>
  <c r="BS139" i="1" s="1"/>
  <c r="Q139" i="1"/>
  <c r="R139" i="1" s="1"/>
  <c r="AN139" i="1"/>
  <c r="BH139" i="1"/>
  <c r="AB139" i="5"/>
  <c r="BH28" i="3"/>
  <c r="AI28" i="1"/>
  <c r="AJ28" i="1" s="1"/>
  <c r="H96" i="5"/>
  <c r="I96" i="5"/>
  <c r="J96" i="5"/>
  <c r="BB7" i="3"/>
  <c r="BN7" i="3" s="1"/>
  <c r="E155" i="5"/>
  <c r="BK155" i="3"/>
  <c r="F155" i="5" s="1"/>
  <c r="BS155" i="3"/>
  <c r="D155" i="5" s="1"/>
  <c r="K135" i="1"/>
  <c r="BH135" i="1"/>
  <c r="Q135" i="1"/>
  <c r="R135" i="1" s="1"/>
  <c r="AB135" i="5"/>
  <c r="AQ135" i="1"/>
  <c r="BS135" i="1" s="1"/>
  <c r="BB26" i="3"/>
  <c r="BB147" i="3"/>
  <c r="AU147" i="3"/>
  <c r="BJ147" i="3"/>
  <c r="BR147" i="3" s="1"/>
  <c r="BV147" i="3" s="1"/>
  <c r="BJ120" i="3"/>
  <c r="BR120" i="3" s="1"/>
  <c r="BV120" i="3" s="1"/>
  <c r="BB120" i="3"/>
  <c r="AU120" i="3"/>
  <c r="V120" i="3"/>
  <c r="AB78" i="5"/>
  <c r="BH78" i="1"/>
  <c r="K78" i="1"/>
  <c r="Q78" i="1"/>
  <c r="R78" i="1" s="1"/>
  <c r="AQ78" i="1"/>
  <c r="BS78" i="1" s="1"/>
  <c r="BB3" i="3"/>
  <c r="G3" i="5"/>
  <c r="U3" i="1"/>
  <c r="T3" i="1"/>
  <c r="V3" i="1"/>
  <c r="W3" i="1"/>
  <c r="BO3" i="3"/>
  <c r="BJ146" i="3"/>
  <c r="BR146" i="3" s="1"/>
  <c r="BV146" i="3" s="1"/>
  <c r="BB146" i="3"/>
  <c r="AU146" i="3"/>
  <c r="AQ75" i="1"/>
  <c r="BS75" i="1" s="1"/>
  <c r="Q75" i="1"/>
  <c r="R75" i="1" s="1"/>
  <c r="K75" i="1"/>
  <c r="AB75" i="5"/>
  <c r="BH75" i="1"/>
  <c r="AN75" i="1"/>
  <c r="F146" i="5"/>
  <c r="E7" i="5"/>
  <c r="BK7" i="3"/>
  <c r="F7" i="5" s="1"/>
  <c r="BS7" i="3"/>
  <c r="D7" i="5" s="1"/>
  <c r="Q39" i="1"/>
  <c r="R39" i="1" s="1"/>
  <c r="AB39" i="5"/>
  <c r="K39" i="1"/>
  <c r="BH39" i="1"/>
  <c r="AQ39" i="1"/>
  <c r="BS39" i="1" s="1"/>
  <c r="BK142" i="3"/>
  <c r="F142" i="5" s="1"/>
  <c r="BS142" i="3"/>
  <c r="D142" i="5" s="1"/>
  <c r="E142" i="5"/>
  <c r="BH63" i="3"/>
  <c r="S63" i="1"/>
  <c r="BS157" i="3"/>
  <c r="D157" i="5" s="1"/>
  <c r="E157" i="5"/>
  <c r="BK157" i="3"/>
  <c r="F157" i="5" s="1"/>
  <c r="BJ92" i="3"/>
  <c r="BB92" i="3"/>
  <c r="AU92" i="3"/>
  <c r="BO8" i="3"/>
  <c r="BL8" i="3"/>
  <c r="E139" i="5"/>
  <c r="BS139" i="3"/>
  <c r="D139" i="5" s="1"/>
  <c r="BK139" i="3"/>
  <c r="F139" i="5" s="1"/>
  <c r="K19" i="1"/>
  <c r="BH19" i="1"/>
  <c r="AB19" i="5"/>
  <c r="Q19" i="1"/>
  <c r="R19" i="1" s="1"/>
  <c r="AN19" i="1"/>
  <c r="AQ19" i="1"/>
  <c r="BS19" i="1" s="1"/>
  <c r="BH155" i="3"/>
  <c r="BT155" i="3" s="1"/>
  <c r="AI155" i="1"/>
  <c r="AJ155" i="1" s="1"/>
  <c r="BS135" i="3"/>
  <c r="D135" i="5" s="1"/>
  <c r="BK135" i="3"/>
  <c r="F135" i="5" s="1"/>
  <c r="E135" i="5"/>
  <c r="BH132" i="3"/>
  <c r="BT132" i="3" s="1"/>
  <c r="AI132" i="1"/>
  <c r="AJ132" i="1" s="1"/>
  <c r="BB151" i="3"/>
  <c r="AU151" i="3"/>
  <c r="BJ151" i="3"/>
  <c r="BR151" i="3" s="1"/>
  <c r="BV151" i="3" s="1"/>
  <c r="BS78" i="3"/>
  <c r="BK78" i="3"/>
  <c r="E78" i="5"/>
  <c r="BS75" i="3"/>
  <c r="D75" i="5" s="1"/>
  <c r="BK75" i="3"/>
  <c r="F75" i="5" s="1"/>
  <c r="E75" i="5"/>
  <c r="BB149" i="3"/>
  <c r="BJ149" i="3"/>
  <c r="AU149" i="3"/>
  <c r="BO15" i="3"/>
  <c r="BJ148" i="3"/>
  <c r="BR148" i="3" s="1"/>
  <c r="BV148" i="3" s="1"/>
  <c r="AU148" i="3"/>
  <c r="BB148" i="3"/>
  <c r="BH124" i="3"/>
  <c r="AI124" i="1"/>
  <c r="AJ124" i="1" s="1"/>
  <c r="E79" i="5"/>
  <c r="BK79" i="3"/>
  <c r="F79" i="5" s="1"/>
  <c r="BS79" i="3"/>
  <c r="D79" i="5" s="1"/>
  <c r="BU96" i="3"/>
  <c r="AN5" i="1"/>
  <c r="E154" i="5"/>
  <c r="BS154" i="3"/>
  <c r="D154" i="5" s="1"/>
  <c r="BK154" i="3"/>
  <c r="F154" i="5" s="1"/>
  <c r="AU152" i="3"/>
  <c r="BB152" i="3"/>
  <c r="BJ152" i="3"/>
  <c r="BR152" i="3" s="1"/>
  <c r="BV152" i="3" s="1"/>
  <c r="BH79" i="3"/>
  <c r="BT79" i="3" s="1"/>
  <c r="AU79" i="3"/>
  <c r="X79" i="1" s="1"/>
  <c r="S79" i="1"/>
  <c r="BK113" i="3"/>
  <c r="F113" i="5" s="1"/>
  <c r="E113" i="5"/>
  <c r="BS113" i="3"/>
  <c r="D113" i="5" s="1"/>
  <c r="BS144" i="3"/>
  <c r="D144" i="5" s="1"/>
  <c r="BK144" i="3"/>
  <c r="F144" i="5" s="1"/>
  <c r="E144" i="5"/>
  <c r="BO71" i="3"/>
  <c r="BS39" i="3"/>
  <c r="D39" i="5" s="1"/>
  <c r="BK39" i="3"/>
  <c r="F39" i="5" s="1"/>
  <c r="E39" i="5"/>
  <c r="S150" i="5"/>
  <c r="AK150" i="1"/>
  <c r="AM150" i="1"/>
  <c r="AL150" i="1"/>
  <c r="BH159" i="3"/>
  <c r="AI159" i="1"/>
  <c r="AJ159" i="1" s="1"/>
  <c r="AQ11" i="1"/>
  <c r="BS11" i="1" s="1"/>
  <c r="Q30" i="1"/>
  <c r="R30" i="1" s="1"/>
  <c r="BH30" i="1"/>
  <c r="K30" i="1"/>
  <c r="AB30" i="5"/>
  <c r="AQ30" i="1"/>
  <c r="BS30" i="1" s="1"/>
  <c r="AU8" i="3"/>
  <c r="BM96" i="3"/>
  <c r="Q156" i="1"/>
  <c r="R156" i="1" s="1"/>
  <c r="AN156" i="1"/>
  <c r="AQ156" i="1"/>
  <c r="BS156" i="1" s="1"/>
  <c r="AB156" i="5"/>
  <c r="K156" i="1"/>
  <c r="BH156" i="1"/>
  <c r="BO139" i="3"/>
  <c r="BJ91" i="3"/>
  <c r="BR91" i="3" s="1"/>
  <c r="BV91" i="3" s="1"/>
  <c r="BB91" i="3"/>
  <c r="AU91" i="3"/>
  <c r="BJ28" i="3"/>
  <c r="BB28" i="3"/>
  <c r="AU28" i="3"/>
  <c r="BK19" i="3"/>
  <c r="F19" i="5" s="1"/>
  <c r="E19" i="5"/>
  <c r="BS19" i="3"/>
  <c r="D19" i="5" s="1"/>
  <c r="BH26" i="3"/>
  <c r="BT26" i="3" s="1"/>
  <c r="AU26" i="3"/>
  <c r="X26" i="1" s="1"/>
  <c r="S26" i="1"/>
  <c r="CD4" i="1"/>
  <c r="BF4" i="1"/>
  <c r="BG4" i="1" s="1"/>
  <c r="BP4" i="1" s="1" a="1"/>
  <c r="BP4" i="1" s="1"/>
  <c r="BU4" i="1"/>
  <c r="AN4" i="1"/>
  <c r="AQ120" i="1"/>
  <c r="BS120" i="1" s="1"/>
  <c r="AN120" i="1"/>
  <c r="AB120" i="5"/>
  <c r="K120" i="1"/>
  <c r="BH120" i="1"/>
  <c r="Q120" i="1"/>
  <c r="R120" i="1" s="1"/>
  <c r="BH13" i="3"/>
  <c r="BT13" i="3" s="1"/>
  <c r="S13" i="1"/>
  <c r="AN3" i="1"/>
  <c r="AB115" i="5"/>
  <c r="BH115" i="1"/>
  <c r="Q115" i="1"/>
  <c r="R115" i="1" s="1"/>
  <c r="AQ115" i="1"/>
  <c r="BS115" i="1" s="1"/>
  <c r="K115" i="1"/>
  <c r="E159" i="5"/>
  <c r="BS159" i="3"/>
  <c r="D159" i="5" s="1"/>
  <c r="BK159" i="3"/>
  <c r="F159" i="5" s="1"/>
  <c r="BH51" i="3"/>
  <c r="BT51" i="3" s="1"/>
  <c r="AU51" i="3"/>
  <c r="X51" i="1" s="1"/>
  <c r="S11" i="5"/>
  <c r="AK11" i="1"/>
  <c r="AL11" i="1"/>
  <c r="AM11" i="1"/>
  <c r="S17" i="5"/>
  <c r="AL17" i="1"/>
  <c r="AM17" i="1"/>
  <c r="AK17" i="1"/>
  <c r="E30" i="5"/>
  <c r="BK30" i="3"/>
  <c r="F30" i="5" s="1"/>
  <c r="BS30" i="3"/>
  <c r="D30" i="5" s="1"/>
  <c r="AQ8" i="1"/>
  <c r="BS8" i="1" s="1"/>
  <c r="BS156" i="3"/>
  <c r="D156" i="5" s="1"/>
  <c r="E156" i="5"/>
  <c r="BK156" i="3"/>
  <c r="F156" i="5" s="1"/>
  <c r="AN7" i="1"/>
  <c r="W4" i="1"/>
  <c r="G4" i="5"/>
  <c r="V4" i="1"/>
  <c r="T4" i="1"/>
  <c r="U4" i="1"/>
  <c r="BS120" i="3"/>
  <c r="D120" i="5" s="1"/>
  <c r="BK120" i="3"/>
  <c r="F120" i="5" s="1"/>
  <c r="E120" i="5"/>
  <c r="BJ13" i="3"/>
  <c r="BB13" i="3"/>
  <c r="AU13" i="3"/>
  <c r="BH115" i="3"/>
  <c r="AI115" i="1"/>
  <c r="AJ115" i="1" s="1"/>
  <c r="AB11" i="5"/>
  <c r="K11" i="1"/>
  <c r="BH11" i="1"/>
  <c r="Q11" i="1"/>
  <c r="R11" i="1" s="1"/>
  <c r="U118" i="1"/>
  <c r="T118" i="1"/>
  <c r="W118" i="1"/>
  <c r="V118" i="1"/>
  <c r="G118" i="5"/>
  <c r="AB124" i="5"/>
  <c r="K124" i="1"/>
  <c r="BH124" i="1"/>
  <c r="Q124" i="1"/>
  <c r="R124" i="1" s="1"/>
  <c r="AQ124" i="1"/>
  <c r="BS124" i="1" s="1"/>
  <c r="AN124" i="1"/>
  <c r="H53" i="5"/>
  <c r="I53" i="5"/>
  <c r="J53" i="5"/>
  <c r="AQ145" i="1"/>
  <c r="BS145" i="1" s="1"/>
  <c r="AN145" i="1"/>
  <c r="Q145" i="1"/>
  <c r="R145" i="1" s="1"/>
  <c r="AB145" i="5"/>
  <c r="BH145" i="1"/>
  <c r="K145" i="1"/>
  <c r="BO70" i="3"/>
  <c r="Q52" i="1"/>
  <c r="R52" i="1" s="1"/>
  <c r="K52" i="1"/>
  <c r="AB52" i="5"/>
  <c r="BH52" i="1"/>
  <c r="AQ52" i="1"/>
  <c r="BS52" i="1" s="1"/>
  <c r="BH31" i="3"/>
  <c r="BT31" i="3" s="1"/>
  <c r="AI31" i="1"/>
  <c r="AJ31" i="1" s="1"/>
  <c r="K92" i="1"/>
  <c r="Q92" i="1"/>
  <c r="R92" i="1" s="1"/>
  <c r="AQ92" i="1"/>
  <c r="BS92" i="1" s="1"/>
  <c r="BH92" i="1"/>
  <c r="AB92" i="5"/>
  <c r="BR8" i="3"/>
  <c r="BV8" i="3" s="1"/>
  <c r="BH156" i="3"/>
  <c r="AI156" i="1"/>
  <c r="AJ156" i="1" s="1"/>
  <c r="Q28" i="1"/>
  <c r="R28" i="1" s="1"/>
  <c r="BH28" i="1"/>
  <c r="K28" i="1"/>
  <c r="AB28" i="5"/>
  <c r="AQ28" i="1"/>
  <c r="BS28" i="1" s="1"/>
  <c r="H12" i="5"/>
  <c r="J12" i="5"/>
  <c r="I12" i="5"/>
  <c r="S7" i="5"/>
  <c r="AK7" i="1"/>
  <c r="AL7" i="1"/>
  <c r="AM7" i="1"/>
  <c r="BJ135" i="3"/>
  <c r="AU135" i="3"/>
  <c r="BB135" i="3"/>
  <c r="BH90" i="3"/>
  <c r="BT90" i="3" s="1"/>
  <c r="AI90" i="1"/>
  <c r="AJ90" i="1" s="1"/>
  <c r="BJ132" i="3"/>
  <c r="BR132" i="3" s="1"/>
  <c r="BV132" i="3" s="1"/>
  <c r="BB132" i="3"/>
  <c r="AU132" i="3"/>
  <c r="BK4" i="3"/>
  <c r="F4" i="5" s="1"/>
  <c r="BS4" i="3"/>
  <c r="D4" i="5" s="1"/>
  <c r="E4" i="5"/>
  <c r="BO4" i="3"/>
  <c r="AN151" i="1"/>
  <c r="AB151" i="5"/>
  <c r="BH151" i="1"/>
  <c r="K151" i="1"/>
  <c r="AQ151" i="1"/>
  <c r="BS151" i="1" s="1"/>
  <c r="Q151" i="1"/>
  <c r="R151" i="1" s="1"/>
  <c r="K147" i="1"/>
  <c r="AN147" i="1"/>
  <c r="AB147" i="5"/>
  <c r="AQ147" i="1"/>
  <c r="BS147" i="1" s="1"/>
  <c r="Q147" i="1"/>
  <c r="R147" i="1" s="1"/>
  <c r="BH147" i="1"/>
  <c r="BH120" i="3"/>
  <c r="BT120" i="3" s="1"/>
  <c r="AI120" i="1"/>
  <c r="AJ120" i="1" s="1"/>
  <c r="AB146" i="5"/>
  <c r="BH146" i="1"/>
  <c r="K146" i="1"/>
  <c r="Q146" i="1"/>
  <c r="R146" i="1" s="1"/>
  <c r="AN146" i="1"/>
  <c r="AQ146" i="1"/>
  <c r="BS146" i="1" s="1"/>
  <c r="E115" i="5"/>
  <c r="BK115" i="3"/>
  <c r="F115" i="5" s="1"/>
  <c r="BS115" i="3"/>
  <c r="D115" i="5" s="1"/>
  <c r="BS11" i="3"/>
  <c r="D11" i="5" s="1"/>
  <c r="E11" i="5"/>
  <c r="BK11" i="3"/>
  <c r="F11" i="5" s="1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G18" i="1"/>
  <c r="I2" i="5"/>
  <c r="AH18" i="1"/>
  <c r="AF18" i="1"/>
  <c r="AE18" i="1"/>
  <c r="Y54" i="1"/>
  <c r="BR54" i="1" s="1"/>
  <c r="H54" i="1" s="1"/>
  <c r="K54" i="5"/>
  <c r="L54" i="5" s="1"/>
  <c r="Z54" i="1"/>
  <c r="AA54" i="1"/>
  <c r="AB54" i="1"/>
  <c r="AD92" i="1"/>
  <c r="AD39" i="1"/>
  <c r="Z96" i="1"/>
  <c r="AB96" i="1"/>
  <c r="K96" i="5"/>
  <c r="L96" i="5" s="1"/>
  <c r="AA96" i="1"/>
  <c r="Y96" i="1"/>
  <c r="BR96" i="1" s="1"/>
  <c r="H96" i="1" s="1"/>
  <c r="Y97" i="1"/>
  <c r="BR97" i="1" s="1"/>
  <c r="H97" i="1" s="1"/>
  <c r="Z97" i="1"/>
  <c r="AB97" i="1"/>
  <c r="AA97" i="1"/>
  <c r="K97" i="5"/>
  <c r="L97" i="5" s="1"/>
  <c r="AD6" i="1"/>
  <c r="O6" i="5" s="1"/>
  <c r="AG82" i="1"/>
  <c r="AE82" i="1"/>
  <c r="AF82" i="1"/>
  <c r="AH82" i="1"/>
  <c r="Y88" i="1"/>
  <c r="Z88" i="1"/>
  <c r="AA88" i="1"/>
  <c r="AB88" i="1"/>
  <c r="K88" i="5"/>
  <c r="L88" i="5" s="1"/>
  <c r="AD8" i="1"/>
  <c r="O8" i="5" s="1"/>
  <c r="AD135" i="1"/>
  <c r="AD78" i="1"/>
  <c r="AE83" i="1"/>
  <c r="AF83" i="1"/>
  <c r="AG83" i="1"/>
  <c r="AH83" i="1"/>
  <c r="AD28" i="1"/>
  <c r="AD136" i="1"/>
  <c r="AD13" i="1"/>
  <c r="AD91" i="1"/>
  <c r="AD90" i="1"/>
  <c r="AF17" i="1"/>
  <c r="AG17" i="1"/>
  <c r="AE17" i="1"/>
  <c r="AH17" i="1"/>
  <c r="AH121" i="1"/>
  <c r="AF121" i="1"/>
  <c r="AG121" i="1"/>
  <c r="AE121" i="1"/>
  <c r="AD70" i="1"/>
  <c r="AD9" i="1"/>
  <c r="AA42" i="1"/>
  <c r="Y42" i="1"/>
  <c r="BR42" i="1" s="1"/>
  <c r="H42" i="1" s="1"/>
  <c r="Z42" i="1"/>
  <c r="AB42" i="1"/>
  <c r="K42" i="5"/>
  <c r="L42" i="5" s="1"/>
  <c r="Y44" i="1"/>
  <c r="BR44" i="1" s="1"/>
  <c r="H44" i="1" s="1"/>
  <c r="AA44" i="1"/>
  <c r="Z44" i="1"/>
  <c r="AB44" i="1"/>
  <c r="K44" i="5"/>
  <c r="L44" i="5" s="1"/>
  <c r="AD7" i="1"/>
  <c r="O7" i="5" s="1"/>
  <c r="AD5" i="1"/>
  <c r="O5" i="5" s="1"/>
  <c r="AD25" i="1"/>
  <c r="AB49" i="1"/>
  <c r="Y49" i="1"/>
  <c r="BR49" i="1" s="1"/>
  <c r="H49" i="1" s="1"/>
  <c r="Z49" i="1"/>
  <c r="AA49" i="1"/>
  <c r="K49" i="5"/>
  <c r="L49" i="5" s="1"/>
  <c r="AD71" i="1"/>
  <c r="AD63" i="1"/>
  <c r="AF20" i="1"/>
  <c r="AH20" i="1"/>
  <c r="AE20" i="1"/>
  <c r="AG20" i="1"/>
  <c r="AD11" i="1"/>
  <c r="O11" i="5" s="1"/>
  <c r="Z45" i="1"/>
  <c r="K45" i="5"/>
  <c r="L45" i="5" s="1"/>
  <c r="AA45" i="1"/>
  <c r="Y45" i="1"/>
  <c r="BR45" i="1" s="1"/>
  <c r="H45" i="1" s="1"/>
  <c r="AB45" i="1"/>
  <c r="K50" i="5"/>
  <c r="L50" i="5" s="1"/>
  <c r="Z50" i="1"/>
  <c r="Y50" i="1"/>
  <c r="BR50" i="1" s="1"/>
  <c r="H50" i="1" s="1"/>
  <c r="AA50" i="1"/>
  <c r="AB50" i="1"/>
  <c r="Y27" i="1"/>
  <c r="AA27" i="1"/>
  <c r="AB27" i="1"/>
  <c r="Z27" i="1"/>
  <c r="K27" i="5"/>
  <c r="L27" i="5" s="1"/>
  <c r="AD75" i="1"/>
  <c r="AB53" i="1"/>
  <c r="Z53" i="1"/>
  <c r="Y53" i="1"/>
  <c r="BR53" i="1" s="1"/>
  <c r="H53" i="1" s="1"/>
  <c r="AA53" i="1"/>
  <c r="K53" i="5"/>
  <c r="L53" i="5" s="1"/>
  <c r="AD124" i="1"/>
  <c r="AI2" i="1"/>
  <c r="AJ2" i="1" s="1"/>
  <c r="Q2" i="1"/>
  <c r="AX31" i="3"/>
  <c r="AD31" i="1" s="1"/>
  <c r="V4" i="3"/>
  <c r="BN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O2" i="3"/>
  <c r="BK2" i="3"/>
  <c r="AW2" i="3"/>
  <c r="BS2" i="3"/>
  <c r="T2" i="1"/>
  <c r="AQ9" i="3"/>
  <c r="AW25" i="3"/>
  <c r="AW3" i="3"/>
  <c r="AW14" i="3"/>
  <c r="AW149" i="3"/>
  <c r="AW11" i="3"/>
  <c r="AW78" i="3"/>
  <c r="AW143" i="3"/>
  <c r="AW137" i="3"/>
  <c r="AW151" i="3"/>
  <c r="AW147" i="3"/>
  <c r="AW30" i="3"/>
  <c r="AW152" i="3"/>
  <c r="AW156" i="3"/>
  <c r="AW91" i="3"/>
  <c r="AW135" i="3"/>
  <c r="AW43" i="3"/>
  <c r="AW74" i="3"/>
  <c r="AW19" i="3"/>
  <c r="AQ3" i="3"/>
  <c r="AW157" i="3"/>
  <c r="AW124" i="3"/>
  <c r="AW154" i="3"/>
  <c r="AW7" i="3"/>
  <c r="AW111" i="3"/>
  <c r="AW145" i="3"/>
  <c r="AW9" i="3"/>
  <c r="AW92" i="3"/>
  <c r="AW16" i="3"/>
  <c r="AW159" i="3"/>
  <c r="AW90" i="3"/>
  <c r="AW110" i="3"/>
  <c r="AW141" i="3"/>
  <c r="AW13" i="3"/>
  <c r="AW112" i="3"/>
  <c r="AW155" i="3"/>
  <c r="AW148" i="3"/>
  <c r="AW115" i="3"/>
  <c r="AW146" i="3"/>
  <c r="AW28" i="3"/>
  <c r="AW51" i="3"/>
  <c r="AW31" i="3"/>
  <c r="AW86" i="3"/>
  <c r="AW79" i="3"/>
  <c r="AW144" i="3"/>
  <c r="AW70" i="3"/>
  <c r="AW120" i="3"/>
  <c r="AW153" i="3"/>
  <c r="AW63" i="3"/>
  <c r="AW142" i="3"/>
  <c r="AW136" i="3"/>
  <c r="AW15" i="3"/>
  <c r="AW46" i="3"/>
  <c r="AW75" i="3"/>
  <c r="AW139" i="3"/>
  <c r="AW26" i="3"/>
  <c r="AW71" i="3"/>
  <c r="AW39" i="3"/>
  <c r="AW113" i="3"/>
  <c r="AW6" i="3"/>
  <c r="AW52" i="3"/>
  <c r="AW132" i="3"/>
  <c r="AV3" i="3"/>
  <c r="AV4" i="3"/>
  <c r="K2" i="1"/>
  <c r="AV2" i="3"/>
  <c r="AV5" i="3"/>
  <c r="AV7" i="3"/>
  <c r="AV11" i="3"/>
  <c r="AV8" i="3"/>
  <c r="AQ7" i="3"/>
  <c r="W2" i="1"/>
  <c r="U2" i="1"/>
  <c r="V2" i="1"/>
  <c r="BH2" i="1"/>
  <c r="AB2" i="5"/>
  <c r="AQ2" i="1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AF186" i="1" l="1"/>
  <c r="AG192" i="1"/>
  <c r="AE192" i="1"/>
  <c r="BR192" i="1" s="1"/>
  <c r="H192" i="1" s="1"/>
  <c r="AH192" i="1"/>
  <c r="AZ192" i="1"/>
  <c r="BU192" i="1"/>
  <c r="CD192" i="1"/>
  <c r="BF192" i="1"/>
  <c r="BG192" i="1"/>
  <c r="BP192" i="1" s="1" a="1"/>
  <c r="BP192" i="1" s="1"/>
  <c r="CD185" i="1"/>
  <c r="BG185" i="1"/>
  <c r="BP185" i="1" s="1" a="1"/>
  <c r="BP185" i="1" s="1"/>
  <c r="BF185" i="1"/>
  <c r="BU185" i="1"/>
  <c r="S189" i="5"/>
  <c r="AM189" i="1"/>
  <c r="AL189" i="1"/>
  <c r="AK189" i="1"/>
  <c r="AJ189" i="1"/>
  <c r="AA188" i="1"/>
  <c r="Z188" i="1"/>
  <c r="Y188" i="1"/>
  <c r="BR188" i="1" s="1"/>
  <c r="BW188" i="1" s="1"/>
  <c r="AB188" i="1"/>
  <c r="AA187" i="1"/>
  <c r="Z187" i="1"/>
  <c r="Y187" i="1"/>
  <c r="BR187" i="1" s="1"/>
  <c r="BW187" i="1" s="1"/>
  <c r="AB187" i="1"/>
  <c r="K187" i="5"/>
  <c r="L187" i="5" s="1"/>
  <c r="BU186" i="1"/>
  <c r="CD186" i="1"/>
  <c r="BG186" i="1"/>
  <c r="BP186" i="1" s="1" a="1"/>
  <c r="BP186" i="1" s="1"/>
  <c r="BF186" i="1"/>
  <c r="H195" i="1"/>
  <c r="AG87" i="1"/>
  <c r="O63" i="5"/>
  <c r="AH85" i="1"/>
  <c r="R85" i="5"/>
  <c r="P85" i="5"/>
  <c r="AE84" i="1"/>
  <c r="BR84" i="1" s="1"/>
  <c r="H84" i="1" s="1"/>
  <c r="AH84" i="1"/>
  <c r="N188" i="5"/>
  <c r="AF84" i="1"/>
  <c r="AE85" i="1"/>
  <c r="BR85" i="1" s="1"/>
  <c r="H85" i="1" s="1"/>
  <c r="P87" i="5"/>
  <c r="R84" i="5"/>
  <c r="P84" i="5"/>
  <c r="AF85" i="1"/>
  <c r="AG84" i="1"/>
  <c r="AG85" i="1"/>
  <c r="T185" i="5"/>
  <c r="P192" i="5"/>
  <c r="Z186" i="5"/>
  <c r="AA186" i="5"/>
  <c r="AA191" i="5"/>
  <c r="Z191" i="5"/>
  <c r="Z192" i="5"/>
  <c r="AA192" i="5"/>
  <c r="O191" i="5"/>
  <c r="O189" i="5"/>
  <c r="AH189" i="1"/>
  <c r="AG189" i="1"/>
  <c r="AE189" i="1"/>
  <c r="AF189" i="1"/>
  <c r="O193" i="5"/>
  <c r="AH193" i="1"/>
  <c r="AG193" i="1"/>
  <c r="AF193" i="1"/>
  <c r="AE193" i="1"/>
  <c r="BR193" i="1" s="1"/>
  <c r="F71" i="5"/>
  <c r="F191" i="5"/>
  <c r="M188" i="5"/>
  <c r="L188" i="5"/>
  <c r="F91" i="5"/>
  <c r="F186" i="5"/>
  <c r="D91" i="5"/>
  <c r="D186" i="5"/>
  <c r="F74" i="5"/>
  <c r="F185" i="5"/>
  <c r="Z185" i="5"/>
  <c r="AA185" i="5"/>
  <c r="D74" i="5"/>
  <c r="D185" i="5"/>
  <c r="O186" i="5"/>
  <c r="P183" i="5"/>
  <c r="R183" i="5"/>
  <c r="Q183" i="5"/>
  <c r="F78" i="5"/>
  <c r="F192" i="5"/>
  <c r="D78" i="5"/>
  <c r="D192" i="5"/>
  <c r="D71" i="5"/>
  <c r="D191" i="5"/>
  <c r="AH87" i="1"/>
  <c r="AF87" i="1"/>
  <c r="AE87" i="1"/>
  <c r="BR87" i="1" s="1"/>
  <c r="H87" i="1" s="1"/>
  <c r="R87" i="5"/>
  <c r="Q194" i="5"/>
  <c r="P194" i="5"/>
  <c r="R194" i="5"/>
  <c r="AH194" i="1"/>
  <c r="AG194" i="1"/>
  <c r="AF194" i="1"/>
  <c r="AE194" i="1"/>
  <c r="BR194" i="1" s="1"/>
  <c r="R191" i="1"/>
  <c r="BW48" i="1"/>
  <c r="BW53" i="1"/>
  <c r="BW12" i="1"/>
  <c r="BW42" i="1"/>
  <c r="BW37" i="1"/>
  <c r="BW22" i="1"/>
  <c r="BW45" i="1"/>
  <c r="BW24" i="1"/>
  <c r="BW49" i="1"/>
  <c r="BW40" i="1"/>
  <c r="BW38" i="1"/>
  <c r="BW47" i="1"/>
  <c r="BW97" i="1"/>
  <c r="BW54" i="1"/>
  <c r="BW61" i="1"/>
  <c r="BW96" i="1"/>
  <c r="BW23" i="1"/>
  <c r="BW44" i="1"/>
  <c r="BW95" i="1"/>
  <c r="BW50" i="1"/>
  <c r="BW41" i="1"/>
  <c r="CD2" i="1"/>
  <c r="BL74" i="3"/>
  <c r="O30" i="5"/>
  <c r="P30" i="5" s="1"/>
  <c r="O90" i="5"/>
  <c r="Z113" i="5"/>
  <c r="N113" i="1" s="1"/>
  <c r="AA113" i="5"/>
  <c r="O113" i="1" s="1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N28" i="1" s="1"/>
  <c r="AA28" i="5"/>
  <c r="O28" i="1" s="1"/>
  <c r="Z16" i="5"/>
  <c r="AA16" i="5"/>
  <c r="Z91" i="5"/>
  <c r="AA91" i="5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N92" i="1" s="1"/>
  <c r="AA92" i="5"/>
  <c r="O92" i="1" s="1"/>
  <c r="Z132" i="5"/>
  <c r="AA132" i="5"/>
  <c r="Z156" i="5"/>
  <c r="AA156" i="5"/>
  <c r="Z155" i="5"/>
  <c r="AA155" i="5"/>
  <c r="Z3" i="5"/>
  <c r="AA3" i="5"/>
  <c r="BR150" i="1"/>
  <c r="H150" i="1" s="1"/>
  <c r="BR158" i="1"/>
  <c r="H158" i="1" s="1"/>
  <c r="BN143" i="3"/>
  <c r="BR114" i="1"/>
  <c r="H114" i="1" s="1"/>
  <c r="R51" i="1"/>
  <c r="R110" i="1"/>
  <c r="R79" i="1"/>
  <c r="R43" i="1"/>
  <c r="BR118" i="1"/>
  <c r="H118" i="1" s="1"/>
  <c r="BR123" i="1"/>
  <c r="H123" i="1" s="1"/>
  <c r="BR88" i="1"/>
  <c r="H88" i="1" s="1"/>
  <c r="R137" i="1"/>
  <c r="BR65" i="1"/>
  <c r="H65" i="1" s="1"/>
  <c r="BR125" i="1"/>
  <c r="H125" i="1" s="1"/>
  <c r="BR17" i="1"/>
  <c r="H17" i="1" s="1"/>
  <c r="BR21" i="1"/>
  <c r="H21" i="1" s="1"/>
  <c r="BR33" i="1"/>
  <c r="H33" i="1" s="1"/>
  <c r="BR66" i="1"/>
  <c r="H66" i="1" s="1"/>
  <c r="BR82" i="1"/>
  <c r="H82" i="1" s="1"/>
  <c r="BR20" i="1"/>
  <c r="H20" i="1" s="1"/>
  <c r="BR18" i="1"/>
  <c r="H18" i="1" s="1"/>
  <c r="BR83" i="1"/>
  <c r="H83" i="1" s="1"/>
  <c r="BR121" i="1"/>
  <c r="H121" i="1" s="1"/>
  <c r="G11" i="5"/>
  <c r="I11" i="5" s="1"/>
  <c r="G5" i="5"/>
  <c r="H5" i="5" s="1"/>
  <c r="T5" i="1"/>
  <c r="O136" i="5"/>
  <c r="P136" i="5" s="1"/>
  <c r="BN142" i="3"/>
  <c r="BN157" i="3"/>
  <c r="O75" i="5"/>
  <c r="O25" i="5"/>
  <c r="P25" i="5" s="1"/>
  <c r="BN153" i="3"/>
  <c r="V8" i="1"/>
  <c r="N29" i="5"/>
  <c r="M29" i="5"/>
  <c r="U5" i="1"/>
  <c r="W5" i="1"/>
  <c r="G8" i="5"/>
  <c r="I8" i="5" s="1"/>
  <c r="U8" i="1"/>
  <c r="T8" i="1"/>
  <c r="AV64" i="3"/>
  <c r="BR64" i="1" s="1"/>
  <c r="H64" i="1" s="1"/>
  <c r="T11" i="1"/>
  <c r="W11" i="1"/>
  <c r="V11" i="1"/>
  <c r="BN151" i="3"/>
  <c r="O39" i="5"/>
  <c r="P39" i="5" s="1"/>
  <c r="O91" i="5"/>
  <c r="O92" i="5"/>
  <c r="P92" i="5" s="1"/>
  <c r="BN141" i="3"/>
  <c r="BN156" i="3"/>
  <c r="BN30" i="3"/>
  <c r="O135" i="5"/>
  <c r="P135" i="5" s="1"/>
  <c r="BN147" i="3"/>
  <c r="BN90" i="3"/>
  <c r="BN91" i="3"/>
  <c r="O70" i="5"/>
  <c r="Q70" i="5" s="1"/>
  <c r="BN86" i="3"/>
  <c r="BN19" i="3"/>
  <c r="BN115" i="3"/>
  <c r="BT74" i="3"/>
  <c r="U185" i="5" s="1"/>
  <c r="BO74" i="3"/>
  <c r="V185" i="5" s="1"/>
  <c r="BN70" i="3"/>
  <c r="BN145" i="3"/>
  <c r="BN155" i="3"/>
  <c r="O9" i="5"/>
  <c r="P9" i="5" s="1"/>
  <c r="BN14" i="3"/>
  <c r="BN111" i="3"/>
  <c r="BN144" i="3"/>
  <c r="BN159" i="3"/>
  <c r="BN16" i="3"/>
  <c r="BU43" i="1"/>
  <c r="BN149" i="3"/>
  <c r="O124" i="5"/>
  <c r="P124" i="5" s="1"/>
  <c r="CD157" i="1"/>
  <c r="BF157" i="1"/>
  <c r="BG157" i="1" s="1"/>
  <c r="BP157" i="1" s="1" a="1"/>
  <c r="BP157" i="1" s="1"/>
  <c r="BU157" i="1"/>
  <c r="BL75" i="3"/>
  <c r="BO75" i="3"/>
  <c r="BN71" i="3"/>
  <c r="G137" i="5"/>
  <c r="T137" i="1"/>
  <c r="V137" i="1"/>
  <c r="U137" i="1"/>
  <c r="W137" i="1"/>
  <c r="U111" i="1"/>
  <c r="W111" i="1"/>
  <c r="T111" i="1"/>
  <c r="V111" i="1"/>
  <c r="G111" i="5"/>
  <c r="BR25" i="3"/>
  <c r="BV25" i="3" s="1"/>
  <c r="BN25" i="3"/>
  <c r="BF115" i="1"/>
  <c r="CD115" i="1"/>
  <c r="BG115" i="1"/>
  <c r="BP115" i="1" s="1" a="1"/>
  <c r="BP115" i="1" s="1"/>
  <c r="BU115" i="1"/>
  <c r="BU11" i="1"/>
  <c r="BF11" i="1"/>
  <c r="BG11" i="1"/>
  <c r="BP11" i="1" s="1" a="1"/>
  <c r="BP11" i="1" s="1"/>
  <c r="CD11" i="1"/>
  <c r="AZ11" i="1"/>
  <c r="T17" i="5"/>
  <c r="U17" i="5"/>
  <c r="V17" i="5"/>
  <c r="BL79" i="3"/>
  <c r="BI79" i="3"/>
  <c r="K79" i="5" s="1"/>
  <c r="L79" i="5" s="1"/>
  <c r="BO79" i="3"/>
  <c r="BO111" i="3"/>
  <c r="BL111" i="3"/>
  <c r="BU132" i="1"/>
  <c r="BF132" i="1"/>
  <c r="CD132" i="1"/>
  <c r="BG132" i="1"/>
  <c r="BP132" i="1" s="1" a="1"/>
  <c r="BP132" i="1" s="1"/>
  <c r="BU9" i="1"/>
  <c r="H4" i="5"/>
  <c r="I4" i="5"/>
  <c r="J4" i="5"/>
  <c r="V13" i="1"/>
  <c r="G13" i="5"/>
  <c r="T13" i="1"/>
  <c r="W13" i="1"/>
  <c r="U13" i="1"/>
  <c r="BO157" i="3"/>
  <c r="BL157" i="3"/>
  <c r="BF142" i="1"/>
  <c r="BG142" i="1" s="1"/>
  <c r="BP142" i="1" s="1" a="1"/>
  <c r="BP142" i="1" s="1"/>
  <c r="CD142" i="1"/>
  <c r="BO115" i="3"/>
  <c r="BL115" i="3"/>
  <c r="BL63" i="3"/>
  <c r="BO63" i="3"/>
  <c r="CD154" i="1"/>
  <c r="BU154" i="1"/>
  <c r="BF154" i="1"/>
  <c r="BG154" i="1" s="1"/>
  <c r="BP154" i="1" s="1" a="1"/>
  <c r="BP154" i="1" s="1"/>
  <c r="BF151" i="1"/>
  <c r="BU151" i="1"/>
  <c r="CD151" i="1"/>
  <c r="BG151" i="1"/>
  <c r="BP151" i="1" s="1" a="1"/>
  <c r="BP151" i="1" s="1"/>
  <c r="H118" i="5"/>
  <c r="J118" i="5"/>
  <c r="I118" i="5"/>
  <c r="BN28" i="3"/>
  <c r="BR28" i="3"/>
  <c r="BV28" i="3" s="1"/>
  <c r="O28" i="5"/>
  <c r="BU28" i="1"/>
  <c r="BF28" i="1"/>
  <c r="BG28" i="1"/>
  <c r="BP28" i="1" s="1" a="1"/>
  <c r="BP28" i="1" s="1"/>
  <c r="CD28" i="1"/>
  <c r="BG92" i="1"/>
  <c r="BP92" i="1" s="1" a="1"/>
  <c r="BP92" i="1" s="1"/>
  <c r="CD92" i="1"/>
  <c r="AZ92" i="1"/>
  <c r="BU92" i="1"/>
  <c r="BF92" i="1"/>
  <c r="BU145" i="1"/>
  <c r="CD145" i="1"/>
  <c r="BF145" i="1"/>
  <c r="BG145" i="1" s="1"/>
  <c r="BP145" i="1" s="1" a="1"/>
  <c r="BP145" i="1" s="1"/>
  <c r="BF7" i="1"/>
  <c r="CD7" i="1"/>
  <c r="BG7" i="1"/>
  <c r="BP7" i="1" s="1" a="1"/>
  <c r="BP7" i="1" s="1"/>
  <c r="AZ7" i="1"/>
  <c r="BF155" i="1"/>
  <c r="BG155" i="1" s="1"/>
  <c r="BP155" i="1" s="1" a="1"/>
  <c r="BP155" i="1" s="1"/>
  <c r="BU155" i="1"/>
  <c r="CD155" i="1"/>
  <c r="V114" i="5"/>
  <c r="T114" i="5"/>
  <c r="U114" i="5"/>
  <c r="BU86" i="1"/>
  <c r="BG86" i="1"/>
  <c r="BP86" i="1" s="1" a="1"/>
  <c r="BP86" i="1" s="1"/>
  <c r="BF86" i="1"/>
  <c r="CD86" i="1"/>
  <c r="BU13" i="1"/>
  <c r="BR14" i="3"/>
  <c r="BV14" i="3" s="1"/>
  <c r="BO137" i="3"/>
  <c r="BL137" i="3"/>
  <c r="BI137" i="3"/>
  <c r="U6" i="1"/>
  <c r="W6" i="1"/>
  <c r="G6" i="5"/>
  <c r="T6" i="1"/>
  <c r="V6" i="1"/>
  <c r="BL154" i="3"/>
  <c r="BO154" i="3"/>
  <c r="AM151" i="1"/>
  <c r="AL151" i="1"/>
  <c r="AK151" i="1"/>
  <c r="S151" i="5"/>
  <c r="AB112" i="1"/>
  <c r="Z112" i="1"/>
  <c r="Y112" i="1"/>
  <c r="AA112" i="1"/>
  <c r="BG91" i="1"/>
  <c r="BP91" i="1" s="1" a="1"/>
  <c r="BP91" i="1" s="1"/>
  <c r="BU91" i="1"/>
  <c r="CD91" i="1"/>
  <c r="BF91" i="1"/>
  <c r="BF148" i="1"/>
  <c r="BG148" i="1" s="1"/>
  <c r="BP148" i="1" s="1" a="1"/>
  <c r="BP148" i="1" s="1"/>
  <c r="CD148" i="1"/>
  <c r="BU148" i="1"/>
  <c r="BN136" i="3"/>
  <c r="BR136" i="3"/>
  <c r="BV136" i="3" s="1"/>
  <c r="H3" i="5"/>
  <c r="I3" i="5"/>
  <c r="J3" i="5"/>
  <c r="BN120" i="3"/>
  <c r="AX120" i="3"/>
  <c r="AD120" i="1" s="1"/>
  <c r="BO28" i="3"/>
  <c r="BL28" i="3"/>
  <c r="BN15" i="3"/>
  <c r="S120" i="5"/>
  <c r="AK120" i="1"/>
  <c r="AM120" i="1"/>
  <c r="AL120" i="1"/>
  <c r="BN31" i="3"/>
  <c r="BU120" i="1"/>
  <c r="S124" i="5"/>
  <c r="AM124" i="1"/>
  <c r="AK124" i="1"/>
  <c r="AL124" i="1"/>
  <c r="BU153" i="1"/>
  <c r="CD3" i="1"/>
  <c r="BU3" i="1"/>
  <c r="BF3" i="1"/>
  <c r="BG3" i="1"/>
  <c r="BP3" i="1" s="1" a="1"/>
  <c r="BP3" i="1" s="1"/>
  <c r="BN139" i="3"/>
  <c r="BN74" i="3"/>
  <c r="O71" i="5"/>
  <c r="P71" i="5" s="1"/>
  <c r="BO120" i="3"/>
  <c r="BL120" i="3"/>
  <c r="U26" i="1"/>
  <c r="T26" i="1"/>
  <c r="V26" i="1"/>
  <c r="W26" i="1"/>
  <c r="G26" i="5"/>
  <c r="BL124" i="3"/>
  <c r="BO124" i="3"/>
  <c r="BN146" i="3"/>
  <c r="BU146" i="1"/>
  <c r="BF146" i="1"/>
  <c r="BG146" i="1" s="1"/>
  <c r="BP146" i="1" s="1" a="1"/>
  <c r="BP146" i="1" s="1"/>
  <c r="CD146" i="1"/>
  <c r="S156" i="5"/>
  <c r="AL156" i="1"/>
  <c r="AK156" i="1"/>
  <c r="AM156" i="1"/>
  <c r="S159" i="5"/>
  <c r="AM159" i="1"/>
  <c r="AK159" i="1"/>
  <c r="AL159" i="1"/>
  <c r="BO155" i="3"/>
  <c r="BL155" i="3"/>
  <c r="BN92" i="3"/>
  <c r="BR92" i="3"/>
  <c r="BV92" i="3" s="1"/>
  <c r="BF139" i="1"/>
  <c r="BG139" i="1" s="1"/>
  <c r="BP139" i="1" s="1" a="1"/>
  <c r="BP139" i="1" s="1"/>
  <c r="BU139" i="1"/>
  <c r="CD139" i="1"/>
  <c r="BU7" i="1"/>
  <c r="BG113" i="1"/>
  <c r="BP113" i="1" s="1" a="1"/>
  <c r="BP113" i="1" s="1"/>
  <c r="BF113" i="1"/>
  <c r="CD113" i="1"/>
  <c r="BU113" i="1"/>
  <c r="T43" i="1"/>
  <c r="W43" i="1"/>
  <c r="U43" i="1"/>
  <c r="V43" i="1"/>
  <c r="G43" i="5"/>
  <c r="V7" i="1"/>
  <c r="T7" i="1"/>
  <c r="U7" i="1"/>
  <c r="W7" i="1"/>
  <c r="G7" i="5"/>
  <c r="BN75" i="3"/>
  <c r="BR75" i="3"/>
  <c r="BV75" i="3" s="1"/>
  <c r="CD63" i="1"/>
  <c r="BU63" i="1"/>
  <c r="BF63" i="1"/>
  <c r="BG63" i="1"/>
  <c r="BP63" i="1" s="1" a="1"/>
  <c r="BP63" i="1" s="1"/>
  <c r="BO6" i="3"/>
  <c r="BL6" i="3"/>
  <c r="S152" i="5"/>
  <c r="AK152" i="1"/>
  <c r="AL152" i="1"/>
  <c r="AM152" i="1"/>
  <c r="BO151" i="3"/>
  <c r="BL151" i="3"/>
  <c r="T112" i="1"/>
  <c r="G112" i="5"/>
  <c r="U112" i="1"/>
  <c r="V112" i="1"/>
  <c r="W112" i="1"/>
  <c r="BF9" i="1"/>
  <c r="BG9" i="1"/>
  <c r="BP9" i="1" s="1" a="1"/>
  <c r="BP9" i="1" s="1"/>
  <c r="CD9" i="1"/>
  <c r="AZ9" i="1"/>
  <c r="BL51" i="3"/>
  <c r="BO51" i="3"/>
  <c r="BI51" i="3"/>
  <c r="O115" i="5"/>
  <c r="AG115" i="1"/>
  <c r="AF115" i="1"/>
  <c r="AH115" i="1"/>
  <c r="AE115" i="1"/>
  <c r="T51" i="1"/>
  <c r="G51" i="5"/>
  <c r="U51" i="1"/>
  <c r="V51" i="1"/>
  <c r="W51" i="1"/>
  <c r="S154" i="5"/>
  <c r="AK154" i="1"/>
  <c r="AL154" i="1"/>
  <c r="AM154" i="1"/>
  <c r="T7" i="5"/>
  <c r="U7" i="5"/>
  <c r="V7" i="5"/>
  <c r="S155" i="5"/>
  <c r="AL155" i="1"/>
  <c r="AK155" i="1"/>
  <c r="AM155" i="1"/>
  <c r="BN3" i="3"/>
  <c r="BN152" i="3"/>
  <c r="O78" i="5"/>
  <c r="P78" i="5" s="1"/>
  <c r="BU147" i="1"/>
  <c r="BF147" i="1"/>
  <c r="BG147" i="1" s="1"/>
  <c r="BP147" i="1" s="1" a="1"/>
  <c r="BP147" i="1" s="1"/>
  <c r="CD147" i="1"/>
  <c r="BO156" i="3"/>
  <c r="BL156" i="3"/>
  <c r="S31" i="5"/>
  <c r="AK31" i="1"/>
  <c r="AL31" i="1"/>
  <c r="AM31" i="1"/>
  <c r="T11" i="5"/>
  <c r="U11" i="5"/>
  <c r="V11" i="5"/>
  <c r="BL26" i="3"/>
  <c r="BO26" i="3"/>
  <c r="BI26" i="3"/>
  <c r="K26" i="5" s="1"/>
  <c r="L26" i="5" s="1"/>
  <c r="BO159" i="3"/>
  <c r="BL159" i="3"/>
  <c r="BT159" i="3"/>
  <c r="S157" i="5"/>
  <c r="AM157" i="1"/>
  <c r="AK157" i="1"/>
  <c r="AL157" i="1"/>
  <c r="BT124" i="3"/>
  <c r="BR115" i="3"/>
  <c r="BV115" i="3" s="1"/>
  <c r="BU111" i="1"/>
  <c r="BG111" i="1"/>
  <c r="BP111" i="1" s="1" a="1"/>
  <c r="BP111" i="1" s="1"/>
  <c r="CD111" i="1"/>
  <c r="BF111" i="1"/>
  <c r="AZ111" i="1"/>
  <c r="BF43" i="1"/>
  <c r="CD43" i="1"/>
  <c r="BG43" i="1"/>
  <c r="BP43" i="1" s="1" a="1"/>
  <c r="BP43" i="1" s="1"/>
  <c r="AZ43" i="1"/>
  <c r="BG46" i="1"/>
  <c r="BP46" i="1" s="1" a="1"/>
  <c r="BP46" i="1" s="1"/>
  <c r="CD46" i="1"/>
  <c r="BU46" i="1"/>
  <c r="BF46" i="1"/>
  <c r="AZ46" i="1"/>
  <c r="BL152" i="3"/>
  <c r="BO152" i="3"/>
  <c r="BU15" i="1"/>
  <c r="BO112" i="3"/>
  <c r="BL112" i="3"/>
  <c r="BI112" i="3"/>
  <c r="K112" i="5" s="1"/>
  <c r="BO31" i="3"/>
  <c r="BL31" i="3"/>
  <c r="BT156" i="3"/>
  <c r="CD15" i="1"/>
  <c r="BF15" i="1"/>
  <c r="BG15" i="1" s="1"/>
  <c r="BP15" i="1" s="1" a="1"/>
  <c r="BP15" i="1" s="1"/>
  <c r="V84" i="5"/>
  <c r="T84" i="5"/>
  <c r="U84" i="5"/>
  <c r="BG137" i="1"/>
  <c r="BP137" i="1" s="1" a="1"/>
  <c r="BP137" i="1" s="1"/>
  <c r="BF137" i="1"/>
  <c r="BU137" i="1"/>
  <c r="CD137" i="1"/>
  <c r="CD141" i="1"/>
  <c r="BF141" i="1"/>
  <c r="BG141" i="1" s="1"/>
  <c r="BP141" i="1" s="1" a="1"/>
  <c r="BP141" i="1" s="1"/>
  <c r="BU141" i="1"/>
  <c r="CD51" i="1"/>
  <c r="BU51" i="1"/>
  <c r="BF51" i="1"/>
  <c r="BG51" i="1"/>
  <c r="BP51" i="1" s="1" a="1"/>
  <c r="BP51" i="1" s="1"/>
  <c r="AZ51" i="1"/>
  <c r="BN148" i="3"/>
  <c r="S90" i="5"/>
  <c r="AK90" i="1"/>
  <c r="AM90" i="1"/>
  <c r="AL90" i="1"/>
  <c r="S115" i="5"/>
  <c r="AL115" i="1"/>
  <c r="AK115" i="1"/>
  <c r="AM115" i="1"/>
  <c r="BO13" i="3"/>
  <c r="BL13" i="3"/>
  <c r="BG120" i="1"/>
  <c r="BP120" i="1" s="1" a="1"/>
  <c r="BP120" i="1" s="1"/>
  <c r="BF120" i="1"/>
  <c r="CD120" i="1"/>
  <c r="BU156" i="1"/>
  <c r="CD156" i="1"/>
  <c r="BF156" i="1"/>
  <c r="BG156" i="1" s="1"/>
  <c r="BP156" i="1" s="1" a="1"/>
  <c r="BP156" i="1" s="1"/>
  <c r="CD30" i="1"/>
  <c r="BG30" i="1"/>
  <c r="BP30" i="1" s="1" a="1"/>
  <c r="BP30" i="1" s="1"/>
  <c r="BF30" i="1"/>
  <c r="BU30" i="1"/>
  <c r="AZ30" i="1"/>
  <c r="T110" i="1"/>
  <c r="U110" i="1"/>
  <c r="W110" i="1"/>
  <c r="V110" i="1"/>
  <c r="G110" i="5"/>
  <c r="CD13" i="1"/>
  <c r="BG13" i="1"/>
  <c r="BP13" i="1" s="1" a="1"/>
  <c r="BP13" i="1" s="1"/>
  <c r="BF13" i="1"/>
  <c r="AZ13" i="1"/>
  <c r="BF153" i="1"/>
  <c r="BG153" i="1" s="1"/>
  <c r="BP153" i="1" s="1" a="1"/>
  <c r="BP153" i="1" s="1"/>
  <c r="CD153" i="1"/>
  <c r="S4" i="5"/>
  <c r="AK4" i="1"/>
  <c r="AL4" i="1"/>
  <c r="AM4" i="1"/>
  <c r="BN124" i="3"/>
  <c r="BR124" i="3"/>
  <c r="BV124" i="3" s="1"/>
  <c r="CD143" i="1"/>
  <c r="BU143" i="1"/>
  <c r="BF143" i="1"/>
  <c r="BG143" i="1" s="1"/>
  <c r="BP143" i="1" s="1" a="1"/>
  <c r="BP143" i="1" s="1"/>
  <c r="J11" i="5"/>
  <c r="BU16" i="1"/>
  <c r="T18" i="5"/>
  <c r="U18" i="5"/>
  <c r="V18" i="5"/>
  <c r="T20" i="5"/>
  <c r="V20" i="5"/>
  <c r="U20" i="5"/>
  <c r="G46" i="5"/>
  <c r="U46" i="1"/>
  <c r="T46" i="1"/>
  <c r="V46" i="1"/>
  <c r="W46" i="1"/>
  <c r="V63" i="1"/>
  <c r="U63" i="1"/>
  <c r="W63" i="1"/>
  <c r="G63" i="5"/>
  <c r="T63" i="1"/>
  <c r="BG39" i="1"/>
  <c r="BP39" i="1" s="1" a="1"/>
  <c r="BP39" i="1" s="1"/>
  <c r="CD39" i="1"/>
  <c r="BU39" i="1"/>
  <c r="BF39" i="1"/>
  <c r="CD75" i="1"/>
  <c r="BG75" i="1"/>
  <c r="BP75" i="1" s="1" a="1"/>
  <c r="BP75" i="1" s="1"/>
  <c r="BU75" i="1"/>
  <c r="BF75" i="1"/>
  <c r="BO110" i="3"/>
  <c r="BL110" i="3"/>
  <c r="BF144" i="1"/>
  <c r="BG144" i="1" s="1"/>
  <c r="BP144" i="1" s="1" a="1"/>
  <c r="BP144" i="1" s="1"/>
  <c r="CD144" i="1"/>
  <c r="BU144" i="1"/>
  <c r="BF90" i="1"/>
  <c r="BG90" i="1"/>
  <c r="BP90" i="1" s="1" a="1"/>
  <c r="BP90" i="1" s="1"/>
  <c r="BU90" i="1"/>
  <c r="CD90" i="1"/>
  <c r="T8" i="5"/>
  <c r="U8" i="5"/>
  <c r="V8" i="5"/>
  <c r="BT157" i="3"/>
  <c r="CD110" i="1"/>
  <c r="BG110" i="1"/>
  <c r="BP110" i="1" s="1" a="1"/>
  <c r="BP110" i="1" s="1"/>
  <c r="BU110" i="1"/>
  <c r="BF110" i="1"/>
  <c r="AZ110" i="1"/>
  <c r="T158" i="5"/>
  <c r="V158" i="5"/>
  <c r="U158" i="5"/>
  <c r="BU70" i="1"/>
  <c r="BG70" i="1"/>
  <c r="BP70" i="1" s="1" a="1"/>
  <c r="BP70" i="1" s="1"/>
  <c r="CD70" i="1"/>
  <c r="BF70" i="1"/>
  <c r="AZ70" i="1"/>
  <c r="BT152" i="3"/>
  <c r="BI46" i="3"/>
  <c r="K46" i="5" s="1"/>
  <c r="L46" i="5" s="1"/>
  <c r="BL46" i="3"/>
  <c r="BO46" i="3"/>
  <c r="CD149" i="1"/>
  <c r="BF149" i="1"/>
  <c r="BG149" i="1" s="1"/>
  <c r="BP149" i="1" s="1" a="1"/>
  <c r="BP149" i="1" s="1"/>
  <c r="BU149" i="1"/>
  <c r="CD74" i="1"/>
  <c r="BU74" i="1"/>
  <c r="BF74" i="1"/>
  <c r="BG74" i="1"/>
  <c r="BP74" i="1" s="1" a="1"/>
  <c r="BP74" i="1" s="1"/>
  <c r="BR78" i="3"/>
  <c r="BV78" i="3" s="1"/>
  <c r="Q192" i="5" s="1"/>
  <c r="BN78" i="3"/>
  <c r="R192" i="5" s="1"/>
  <c r="S74" i="5"/>
  <c r="AM74" i="1"/>
  <c r="AK74" i="1"/>
  <c r="AL74" i="1"/>
  <c r="BF152" i="1"/>
  <c r="BG152" i="1" s="1"/>
  <c r="BP152" i="1" s="1" a="1"/>
  <c r="BP152" i="1" s="1"/>
  <c r="BU152" i="1"/>
  <c r="CD152" i="1"/>
  <c r="BT28" i="3"/>
  <c r="BN132" i="3"/>
  <c r="O31" i="5"/>
  <c r="Q31" i="5" s="1"/>
  <c r="O13" i="5"/>
  <c r="P13" i="5" s="1"/>
  <c r="BU124" i="1"/>
  <c r="BF124" i="1"/>
  <c r="BG124" i="1"/>
  <c r="BP124" i="1" s="1" a="1"/>
  <c r="BP124" i="1" s="1"/>
  <c r="CD124" i="1"/>
  <c r="BT63" i="3"/>
  <c r="V150" i="5"/>
  <c r="T150" i="5"/>
  <c r="U150" i="5"/>
  <c r="BR149" i="3"/>
  <c r="BV149" i="3" s="1"/>
  <c r="S132" i="5"/>
  <c r="AL132" i="1"/>
  <c r="AM132" i="1"/>
  <c r="AK132" i="1"/>
  <c r="BG78" i="1"/>
  <c r="BP78" i="1" s="1" a="1"/>
  <c r="BP78" i="1" s="1"/>
  <c r="CD78" i="1"/>
  <c r="BF78" i="1"/>
  <c r="BU78" i="1"/>
  <c r="AZ78" i="1"/>
  <c r="BU135" i="1"/>
  <c r="CD135" i="1"/>
  <c r="BF135" i="1"/>
  <c r="BG135" i="1"/>
  <c r="BP135" i="1" s="1" a="1"/>
  <c r="BP135" i="1" s="1"/>
  <c r="AZ135" i="1"/>
  <c r="S19" i="5"/>
  <c r="AK19" i="1"/>
  <c r="AM19" i="1"/>
  <c r="AL19" i="1"/>
  <c r="W52" i="1"/>
  <c r="G52" i="5"/>
  <c r="U52" i="1"/>
  <c r="T52" i="1"/>
  <c r="V52" i="1"/>
  <c r="BG112" i="1"/>
  <c r="BP112" i="1" s="1" a="1"/>
  <c r="BP112" i="1" s="1"/>
  <c r="CD112" i="1"/>
  <c r="BF112" i="1"/>
  <c r="BU112" i="1"/>
  <c r="AZ112" i="1"/>
  <c r="BT115" i="3"/>
  <c r="O113" i="5"/>
  <c r="AF113" i="1"/>
  <c r="AG113" i="1"/>
  <c r="AE113" i="1"/>
  <c r="AH113" i="1"/>
  <c r="BU25" i="1"/>
  <c r="BF25" i="1"/>
  <c r="BG25" i="1"/>
  <c r="BP25" i="1" s="1" a="1"/>
  <c r="BP25" i="1" s="1"/>
  <c r="CD25" i="1"/>
  <c r="AZ25" i="1"/>
  <c r="CD16" i="1"/>
  <c r="BF16" i="1"/>
  <c r="BG16" i="1" s="1"/>
  <c r="BP16" i="1" s="1" a="1"/>
  <c r="BP16" i="1" s="1"/>
  <c r="V123" i="5"/>
  <c r="T123" i="5"/>
  <c r="U123" i="5"/>
  <c r="BN63" i="3"/>
  <c r="R63" i="5" s="1"/>
  <c r="BR63" i="3"/>
  <c r="BV63" i="3" s="1"/>
  <c r="Q63" i="5" s="1"/>
  <c r="BR6" i="3"/>
  <c r="BV6" i="3" s="1"/>
  <c r="Q6" i="5" s="1"/>
  <c r="BN6" i="3"/>
  <c r="R6" i="5" s="1"/>
  <c r="BO43" i="3"/>
  <c r="BL43" i="3"/>
  <c r="BI43" i="3"/>
  <c r="BL90" i="3"/>
  <c r="BO90" i="3"/>
  <c r="BU142" i="1"/>
  <c r="BR135" i="3"/>
  <c r="BV135" i="3" s="1"/>
  <c r="BN135" i="3"/>
  <c r="CD52" i="1"/>
  <c r="BU52" i="1"/>
  <c r="BG52" i="1"/>
  <c r="BP52" i="1" s="1" a="1"/>
  <c r="BP52" i="1" s="1"/>
  <c r="BF52" i="1"/>
  <c r="AZ52" i="1"/>
  <c r="BR13" i="3"/>
  <c r="BV13" i="3" s="1"/>
  <c r="BN13" i="3"/>
  <c r="T79" i="1"/>
  <c r="G79" i="5"/>
  <c r="W79" i="1"/>
  <c r="U79" i="1"/>
  <c r="V79" i="1"/>
  <c r="BO132" i="3"/>
  <c r="BL132" i="3"/>
  <c r="BF19" i="1"/>
  <c r="BG19" i="1" s="1"/>
  <c r="BP19" i="1" s="1" a="1"/>
  <c r="BP19" i="1" s="1"/>
  <c r="CD19" i="1"/>
  <c r="BU19" i="1"/>
  <c r="AL153" i="1"/>
  <c r="AM153" i="1"/>
  <c r="AK153" i="1"/>
  <c r="S153" i="5"/>
  <c r="BL19" i="3"/>
  <c r="BO19" i="3"/>
  <c r="S3" i="5"/>
  <c r="AK3" i="1"/>
  <c r="AL3" i="1"/>
  <c r="AM3" i="1"/>
  <c r="G135" i="5"/>
  <c r="W135" i="1"/>
  <c r="V135" i="1"/>
  <c r="T135" i="1"/>
  <c r="U135" i="1"/>
  <c r="CD159" i="1"/>
  <c r="BU159" i="1"/>
  <c r="BF159" i="1"/>
  <c r="BG159" i="1" s="1"/>
  <c r="BP159" i="1" s="1" a="1"/>
  <c r="BP159" i="1" s="1"/>
  <c r="BR141" i="3"/>
  <c r="BV141" i="3" s="1"/>
  <c r="BF26" i="1"/>
  <c r="BU26" i="1"/>
  <c r="CD26" i="1"/>
  <c r="BG26" i="1"/>
  <c r="BP26" i="1" s="1" a="1"/>
  <c r="BP26" i="1" s="1"/>
  <c r="BR39" i="3"/>
  <c r="BV39" i="3" s="1"/>
  <c r="BN39" i="3"/>
  <c r="BT154" i="3"/>
  <c r="BU52" i="3"/>
  <c r="K52" i="5" s="1"/>
  <c r="L52" i="5" s="1"/>
  <c r="BM52" i="3"/>
  <c r="S28" i="5"/>
  <c r="AK28" i="1"/>
  <c r="AM28" i="1"/>
  <c r="AL28" i="1"/>
  <c r="CD79" i="1"/>
  <c r="BU79" i="1"/>
  <c r="BG79" i="1"/>
  <c r="BP79" i="1" s="1" a="1"/>
  <c r="BP79" i="1" s="1"/>
  <c r="BF79" i="1"/>
  <c r="BO153" i="3"/>
  <c r="BL153" i="3"/>
  <c r="BL52" i="3"/>
  <c r="BO52" i="3"/>
  <c r="BR9" i="3"/>
  <c r="BV9" i="3" s="1"/>
  <c r="BN9" i="3"/>
  <c r="P33" i="5"/>
  <c r="Q33" i="5"/>
  <c r="R33" i="5"/>
  <c r="T5" i="5"/>
  <c r="V5" i="5"/>
  <c r="U5" i="5"/>
  <c r="BL135" i="3"/>
  <c r="BO135" i="3"/>
  <c r="BU6" i="1"/>
  <c r="BG6" i="1"/>
  <c r="BP6" i="1" s="1" a="1"/>
  <c r="BP6" i="1" s="1"/>
  <c r="CD6" i="1"/>
  <c r="BF6" i="1"/>
  <c r="AZ6" i="1"/>
  <c r="CD14" i="1"/>
  <c r="BF14" i="1"/>
  <c r="BG14" i="1" s="1"/>
  <c r="BP14" i="1" s="1" a="1"/>
  <c r="BP14" i="1" s="1"/>
  <c r="BU14" i="1"/>
  <c r="BR139" i="3"/>
  <c r="BV139" i="3" s="1"/>
  <c r="O111" i="5"/>
  <c r="AH111" i="1"/>
  <c r="AF111" i="1"/>
  <c r="AE111" i="1"/>
  <c r="AG111" i="1"/>
  <c r="BR113" i="3"/>
  <c r="BV113" i="3" s="1"/>
  <c r="BN113" i="3"/>
  <c r="AL75" i="1"/>
  <c r="AK75" i="1"/>
  <c r="AM75" i="1"/>
  <c r="S75" i="5"/>
  <c r="BG136" i="1"/>
  <c r="BP136" i="1" s="1" a="1"/>
  <c r="BP136" i="1" s="1"/>
  <c r="BU136" i="1"/>
  <c r="CD136" i="1"/>
  <c r="BF136" i="1"/>
  <c r="E25" i="5"/>
  <c r="BS25" i="3"/>
  <c r="D25" i="5" s="1"/>
  <c r="BK25" i="3"/>
  <c r="F25" i="5" s="1"/>
  <c r="BI25" i="3"/>
  <c r="K25" i="5" s="1"/>
  <c r="L25" i="5" s="1"/>
  <c r="BG71" i="1"/>
  <c r="BP71" i="1" s="1" a="1"/>
  <c r="BP71" i="1" s="1"/>
  <c r="CD71" i="1"/>
  <c r="BF71" i="1"/>
  <c r="BU71" i="1"/>
  <c r="AZ71" i="1"/>
  <c r="BU31" i="1"/>
  <c r="BF31" i="1"/>
  <c r="BG31" i="1" s="1"/>
  <c r="BP31" i="1" s="1" a="1"/>
  <c r="BP31" i="1" s="1"/>
  <c r="CD31" i="1"/>
  <c r="R30" i="5"/>
  <c r="P63" i="5"/>
  <c r="P11" i="5"/>
  <c r="Q11" i="5"/>
  <c r="R11" i="5"/>
  <c r="P6" i="5"/>
  <c r="AX154" i="3"/>
  <c r="AD154" i="1" s="1"/>
  <c r="O154" i="5" s="1"/>
  <c r="Q154" i="5" s="1"/>
  <c r="BN154" i="3"/>
  <c r="P5" i="5"/>
  <c r="Q5" i="5"/>
  <c r="R5" i="5"/>
  <c r="P7" i="5"/>
  <c r="R7" i="5"/>
  <c r="Q7" i="5"/>
  <c r="P8" i="5"/>
  <c r="Q8" i="5"/>
  <c r="R8" i="5"/>
  <c r="Q90" i="5"/>
  <c r="P90" i="5"/>
  <c r="AX159" i="3"/>
  <c r="AD159" i="1" s="1"/>
  <c r="O159" i="5" s="1"/>
  <c r="AE31" i="1"/>
  <c r="AG31" i="1"/>
  <c r="AF31" i="1"/>
  <c r="AH31" i="1"/>
  <c r="N45" i="5"/>
  <c r="M45" i="5"/>
  <c r="AG78" i="1"/>
  <c r="AH78" i="1"/>
  <c r="AE78" i="1"/>
  <c r="AF78" i="1"/>
  <c r="AH92" i="1"/>
  <c r="AG92" i="1"/>
  <c r="AE92" i="1"/>
  <c r="AF92" i="1"/>
  <c r="M50" i="5"/>
  <c r="N50" i="5"/>
  <c r="AX139" i="3"/>
  <c r="AD139" i="1" s="1"/>
  <c r="O139" i="5" s="1"/>
  <c r="AH28" i="1"/>
  <c r="AE28" i="1"/>
  <c r="AF28" i="1"/>
  <c r="AG28" i="1"/>
  <c r="Y25" i="1"/>
  <c r="Z25" i="1"/>
  <c r="AB25" i="1"/>
  <c r="AA25" i="1"/>
  <c r="AX146" i="3"/>
  <c r="AD146" i="1" s="1"/>
  <c r="O146" i="5" s="1"/>
  <c r="M27" i="5"/>
  <c r="N27" i="5"/>
  <c r="AE9" i="1"/>
  <c r="AF9" i="1"/>
  <c r="AG9" i="1"/>
  <c r="AH9" i="1"/>
  <c r="AE135" i="1"/>
  <c r="AF135" i="1"/>
  <c r="AG135" i="1"/>
  <c r="AH135" i="1"/>
  <c r="AA46" i="1"/>
  <c r="AB46" i="1"/>
  <c r="Y46" i="1"/>
  <c r="Z46" i="1"/>
  <c r="K137" i="5"/>
  <c r="L137" i="5" s="1"/>
  <c r="Z137" i="1"/>
  <c r="AA137" i="1"/>
  <c r="Y137" i="1"/>
  <c r="AB137" i="1"/>
  <c r="AH63" i="1"/>
  <c r="AF63" i="1"/>
  <c r="AE63" i="1"/>
  <c r="AG63" i="1"/>
  <c r="AF13" i="1"/>
  <c r="AG13" i="1"/>
  <c r="AH13" i="1"/>
  <c r="AE13" i="1"/>
  <c r="AH70" i="1"/>
  <c r="AE70" i="1"/>
  <c r="AF70" i="1"/>
  <c r="AG70" i="1"/>
  <c r="AA52" i="1"/>
  <c r="Z52" i="1"/>
  <c r="Y52" i="1"/>
  <c r="AB52" i="1"/>
  <c r="AX147" i="3"/>
  <c r="AD147" i="1" s="1"/>
  <c r="O147" i="5" s="1"/>
  <c r="M53" i="5"/>
  <c r="N53" i="5"/>
  <c r="AF11" i="1"/>
  <c r="AE11" i="1"/>
  <c r="AH11" i="1"/>
  <c r="AG11" i="1"/>
  <c r="AF25" i="1"/>
  <c r="AE25" i="1"/>
  <c r="AG25" i="1"/>
  <c r="AH25" i="1"/>
  <c r="AF7" i="1"/>
  <c r="AE7" i="1"/>
  <c r="AH7" i="1"/>
  <c r="AG7" i="1"/>
  <c r="N42" i="5"/>
  <c r="M42" i="5"/>
  <c r="AX143" i="3"/>
  <c r="AD143" i="1" s="1"/>
  <c r="O143" i="5" s="1"/>
  <c r="AA51" i="1"/>
  <c r="Y51" i="1"/>
  <c r="Z51" i="1"/>
  <c r="AB51" i="1"/>
  <c r="AX151" i="3"/>
  <c r="AD151" i="1" s="1"/>
  <c r="O151" i="5" s="1"/>
  <c r="AF136" i="1"/>
  <c r="AG136" i="1"/>
  <c r="AE136" i="1"/>
  <c r="AH136" i="1"/>
  <c r="AE91" i="1"/>
  <c r="AF91" i="1"/>
  <c r="AH91" i="1"/>
  <c r="AG91" i="1"/>
  <c r="AG124" i="1"/>
  <c r="AH124" i="1"/>
  <c r="AE124" i="1"/>
  <c r="AF124" i="1"/>
  <c r="AF71" i="1"/>
  <c r="AG71" i="1"/>
  <c r="AH71" i="1"/>
  <c r="AE71" i="1"/>
  <c r="AE90" i="1"/>
  <c r="AF90" i="1"/>
  <c r="AG90" i="1"/>
  <c r="AH90" i="1"/>
  <c r="AF8" i="1"/>
  <c r="AE8" i="1"/>
  <c r="AG8" i="1"/>
  <c r="AH8" i="1"/>
  <c r="M96" i="5"/>
  <c r="N96" i="5"/>
  <c r="Z79" i="1"/>
  <c r="Y79" i="1"/>
  <c r="AB79" i="1"/>
  <c r="AA79" i="1"/>
  <c r="AB26" i="1"/>
  <c r="AA26" i="1"/>
  <c r="Y26" i="1"/>
  <c r="Z26" i="1"/>
  <c r="AE75" i="1"/>
  <c r="AF75" i="1"/>
  <c r="AG75" i="1"/>
  <c r="AH75" i="1"/>
  <c r="N49" i="5"/>
  <c r="M49" i="5"/>
  <c r="AG6" i="1"/>
  <c r="AE6" i="1"/>
  <c r="AF6" i="1"/>
  <c r="AH6" i="1"/>
  <c r="AE39" i="1"/>
  <c r="AG39" i="1"/>
  <c r="AF39" i="1"/>
  <c r="AH39" i="1"/>
  <c r="AE5" i="1"/>
  <c r="AF5" i="1"/>
  <c r="AG5" i="1"/>
  <c r="AH5" i="1"/>
  <c r="Y43" i="1"/>
  <c r="Z43" i="1"/>
  <c r="AA43" i="1"/>
  <c r="AB43" i="1"/>
  <c r="AX155" i="3"/>
  <c r="AD155" i="1" s="1"/>
  <c r="O155" i="5" s="1"/>
  <c r="AX132" i="3"/>
  <c r="AD132" i="1" s="1"/>
  <c r="O132" i="5" s="1"/>
  <c r="M44" i="5"/>
  <c r="N44" i="5"/>
  <c r="M97" i="5"/>
  <c r="N97" i="5"/>
  <c r="AX14" i="3"/>
  <c r="AD14" i="1" s="1"/>
  <c r="O14" i="5" s="1"/>
  <c r="AX142" i="3"/>
  <c r="AD142" i="1" s="1"/>
  <c r="O142" i="5" s="1"/>
  <c r="Q142" i="5" s="1"/>
  <c r="AF30" i="1"/>
  <c r="AG30" i="1"/>
  <c r="AH30" i="1"/>
  <c r="AE30" i="1"/>
  <c r="M54" i="5"/>
  <c r="N54" i="5"/>
  <c r="M88" i="5"/>
  <c r="N88" i="5"/>
  <c r="AX74" i="3"/>
  <c r="AX4" i="3"/>
  <c r="AD4" i="1" s="1"/>
  <c r="O4" i="5" s="1"/>
  <c r="AX3" i="3"/>
  <c r="AD3" i="1" s="1"/>
  <c r="O3" i="5" s="1"/>
  <c r="AX16" i="3"/>
  <c r="AD16" i="1" s="1"/>
  <c r="O16" i="5" s="1"/>
  <c r="AX148" i="3"/>
  <c r="AD148" i="1" s="1"/>
  <c r="O148" i="5" s="1"/>
  <c r="AX149" i="3"/>
  <c r="AD149" i="1" s="1"/>
  <c r="O149" i="5" s="1"/>
  <c r="P149" i="5" s="1"/>
  <c r="AX86" i="3"/>
  <c r="AD86" i="1" s="1"/>
  <c r="O86" i="5" s="1"/>
  <c r="AX157" i="3"/>
  <c r="AD157" i="1" s="1"/>
  <c r="O157" i="5" s="1"/>
  <c r="AX15" i="3"/>
  <c r="AD15" i="1" s="1"/>
  <c r="O15" i="5" s="1"/>
  <c r="AX153" i="3"/>
  <c r="AD153" i="1" s="1"/>
  <c r="O153" i="5" s="1"/>
  <c r="AX141" i="3"/>
  <c r="AD141" i="1" s="1"/>
  <c r="O141" i="5" s="1"/>
  <c r="AX19" i="3"/>
  <c r="AD19" i="1" s="1"/>
  <c r="O19" i="5" s="1"/>
  <c r="AX144" i="3"/>
  <c r="AD144" i="1" s="1"/>
  <c r="O144" i="5" s="1"/>
  <c r="AX152" i="3"/>
  <c r="AD152" i="1" s="1"/>
  <c r="O152" i="5" s="1"/>
  <c r="AX145" i="3"/>
  <c r="AD145" i="1" s="1"/>
  <c r="O145" i="5" s="1"/>
  <c r="R145" i="5" s="1"/>
  <c r="AX156" i="3"/>
  <c r="AD156" i="1" s="1"/>
  <c r="O156" i="5" s="1"/>
  <c r="BT2" i="3"/>
  <c r="BL2" i="3"/>
  <c r="AK2" i="1"/>
  <c r="AM2" i="1"/>
  <c r="BG2" i="1"/>
  <c r="BP2" i="1" s="1" a="1"/>
  <c r="BP2" i="1" s="1"/>
  <c r="R2" i="1"/>
  <c r="BU2" i="1"/>
  <c r="AL2" i="1"/>
  <c r="BF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O91" i="1" l="1"/>
  <c r="O186" i="1"/>
  <c r="N186" i="1"/>
  <c r="N91" i="1"/>
  <c r="BW192" i="1"/>
  <c r="H187" i="1"/>
  <c r="H11" i="5"/>
  <c r="H188" i="1"/>
  <c r="V189" i="5"/>
  <c r="T189" i="5"/>
  <c r="U189" i="5"/>
  <c r="M187" i="5"/>
  <c r="N187" i="5"/>
  <c r="BX205" i="1"/>
  <c r="BX207" i="1"/>
  <c r="BX203" i="1"/>
  <c r="BX201" i="1"/>
  <c r="BX206" i="1"/>
  <c r="BX199" i="1"/>
  <c r="BX197" i="1"/>
  <c r="BX198" i="1"/>
  <c r="BX202" i="1"/>
  <c r="BX200" i="1"/>
  <c r="BX204" i="1"/>
  <c r="Q30" i="5"/>
  <c r="BW193" i="1"/>
  <c r="H193" i="1"/>
  <c r="P193" i="5"/>
  <c r="R193" i="5"/>
  <c r="Q193" i="5"/>
  <c r="P186" i="5"/>
  <c r="Q186" i="5"/>
  <c r="R186" i="5"/>
  <c r="P189" i="5"/>
  <c r="Q189" i="5"/>
  <c r="R189" i="5"/>
  <c r="AD74" i="1"/>
  <c r="O74" i="5" s="1"/>
  <c r="R74" i="5" s="1"/>
  <c r="AD185" i="1"/>
  <c r="P191" i="5"/>
  <c r="R191" i="5"/>
  <c r="Q191" i="5"/>
  <c r="R90" i="5"/>
  <c r="BX13" i="1"/>
  <c r="BX25" i="1"/>
  <c r="BX37" i="1"/>
  <c r="BX49" i="1"/>
  <c r="BX61" i="1"/>
  <c r="BX73" i="1"/>
  <c r="BX85" i="1"/>
  <c r="BX193" i="1" s="1"/>
  <c r="BX97" i="1"/>
  <c r="BX188" i="1" s="1"/>
  <c r="BX109" i="1"/>
  <c r="BX121" i="1"/>
  <c r="BX133" i="1"/>
  <c r="BX145" i="1"/>
  <c r="BX157" i="1"/>
  <c r="BX169" i="1"/>
  <c r="BX2" i="1"/>
  <c r="BX14" i="1"/>
  <c r="BX26" i="1"/>
  <c r="BX38" i="1"/>
  <c r="BX50" i="1"/>
  <c r="BX62" i="1"/>
  <c r="BX181" i="1" s="1"/>
  <c r="BX74" i="1"/>
  <c r="BX185" i="1" s="1"/>
  <c r="BX86" i="1"/>
  <c r="BX98" i="1"/>
  <c r="BX110" i="1"/>
  <c r="BX122" i="1"/>
  <c r="BX134" i="1"/>
  <c r="BX146" i="1"/>
  <c r="BX158" i="1"/>
  <c r="BX170" i="1"/>
  <c r="BX3" i="1"/>
  <c r="BX15" i="1"/>
  <c r="BX27" i="1"/>
  <c r="BX39" i="1"/>
  <c r="BX51" i="1"/>
  <c r="BX63" i="1"/>
  <c r="BX75" i="1"/>
  <c r="BX87" i="1"/>
  <c r="BX194" i="1" s="1"/>
  <c r="BX99" i="1"/>
  <c r="BX111" i="1"/>
  <c r="BX123" i="1"/>
  <c r="BX135" i="1"/>
  <c r="BX147" i="1"/>
  <c r="BX159" i="1"/>
  <c r="BX171" i="1"/>
  <c r="BX4" i="1"/>
  <c r="BX16" i="1"/>
  <c r="BX28" i="1"/>
  <c r="BX40" i="1"/>
  <c r="BX52" i="1"/>
  <c r="BX64" i="1"/>
  <c r="BX76" i="1"/>
  <c r="BX88" i="1"/>
  <c r="BX195" i="1" s="1"/>
  <c r="BX100" i="1"/>
  <c r="BX112" i="1"/>
  <c r="BX124" i="1"/>
  <c r="BX136" i="1"/>
  <c r="BX148" i="1"/>
  <c r="BX160" i="1"/>
  <c r="BX172" i="1"/>
  <c r="BX5" i="1"/>
  <c r="BX17" i="1"/>
  <c r="BX29" i="1"/>
  <c r="BX41" i="1"/>
  <c r="BX53" i="1"/>
  <c r="BX65" i="1"/>
  <c r="BX77" i="1"/>
  <c r="BX89" i="1"/>
  <c r="BX190" i="1" s="1"/>
  <c r="BX101" i="1"/>
  <c r="BX113" i="1"/>
  <c r="BX125" i="1"/>
  <c r="BX137" i="1"/>
  <c r="BX149" i="1"/>
  <c r="BX161" i="1"/>
  <c r="BX173" i="1"/>
  <c r="BX6" i="1"/>
  <c r="BX18" i="1"/>
  <c r="BX30" i="1"/>
  <c r="BX42" i="1"/>
  <c r="BX54" i="1"/>
  <c r="BX66" i="1"/>
  <c r="BX78" i="1"/>
  <c r="BX192" i="1" s="1"/>
  <c r="BX90" i="1"/>
  <c r="BX102" i="1"/>
  <c r="BX114" i="1"/>
  <c r="BX126" i="1"/>
  <c r="BX138" i="1"/>
  <c r="BX150" i="1"/>
  <c r="BX162" i="1"/>
  <c r="BX174" i="1"/>
  <c r="BX7" i="1"/>
  <c r="BX19" i="1"/>
  <c r="BX31" i="1"/>
  <c r="BX43" i="1"/>
  <c r="BX55" i="1"/>
  <c r="BX67" i="1"/>
  <c r="BX182" i="1" s="1"/>
  <c r="BX79" i="1"/>
  <c r="BX91" i="1"/>
  <c r="BX186" i="1" s="1"/>
  <c r="BX103" i="1"/>
  <c r="BX115" i="1"/>
  <c r="BX127" i="1"/>
  <c r="BX139" i="1"/>
  <c r="BX151" i="1"/>
  <c r="BX163" i="1"/>
  <c r="BX175" i="1"/>
  <c r="BX60" i="1"/>
  <c r="BX132" i="1"/>
  <c r="BX8" i="1"/>
  <c r="BX20" i="1"/>
  <c r="BX32" i="1"/>
  <c r="BX44" i="1"/>
  <c r="BX56" i="1"/>
  <c r="BX68" i="1"/>
  <c r="BX183" i="1" s="1"/>
  <c r="BX80" i="1"/>
  <c r="BX92" i="1"/>
  <c r="BX104" i="1"/>
  <c r="BX116" i="1"/>
  <c r="BX128" i="1"/>
  <c r="BX140" i="1"/>
  <c r="BX152" i="1"/>
  <c r="BX164" i="1"/>
  <c r="BX176" i="1"/>
  <c r="BX48" i="1"/>
  <c r="BX108" i="1"/>
  <c r="BX180" i="1"/>
  <c r="BX9" i="1"/>
  <c r="BX21" i="1"/>
  <c r="BX33" i="1"/>
  <c r="BX45" i="1"/>
  <c r="BX57" i="1"/>
  <c r="BX69" i="1"/>
  <c r="BX81" i="1"/>
  <c r="BX93" i="1"/>
  <c r="BX105" i="1"/>
  <c r="BX117" i="1"/>
  <c r="BX129" i="1"/>
  <c r="BX141" i="1"/>
  <c r="BX153" i="1"/>
  <c r="BX165" i="1"/>
  <c r="BX177" i="1"/>
  <c r="BX36" i="1"/>
  <c r="BX96" i="1"/>
  <c r="BX187" i="1" s="1"/>
  <c r="BX156" i="1"/>
  <c r="BX10" i="1"/>
  <c r="BX22" i="1"/>
  <c r="BX34" i="1"/>
  <c r="BX46" i="1"/>
  <c r="BX58" i="1"/>
  <c r="BX70" i="1"/>
  <c r="BX82" i="1"/>
  <c r="BX94" i="1"/>
  <c r="BX196" i="1" s="1"/>
  <c r="BX106" i="1"/>
  <c r="BX118" i="1"/>
  <c r="BX130" i="1"/>
  <c r="BX142" i="1"/>
  <c r="BX154" i="1"/>
  <c r="BX166" i="1"/>
  <c r="BX178" i="1"/>
  <c r="BX12" i="1"/>
  <c r="BX24" i="1"/>
  <c r="BX72" i="1"/>
  <c r="BX184" i="1" s="1"/>
  <c r="BX84" i="1"/>
  <c r="BX189" i="1" s="1"/>
  <c r="BX120" i="1"/>
  <c r="BX168" i="1"/>
  <c r="BX11" i="1"/>
  <c r="BX23" i="1"/>
  <c r="BX35" i="1"/>
  <c r="BX47" i="1"/>
  <c r="BX59" i="1"/>
  <c r="BX71" i="1"/>
  <c r="BX191" i="1" s="1"/>
  <c r="BX83" i="1"/>
  <c r="BX95" i="1"/>
  <c r="BX107" i="1"/>
  <c r="BX119" i="1"/>
  <c r="BX131" i="1"/>
  <c r="BX143" i="1"/>
  <c r="BX155" i="1"/>
  <c r="BX167" i="1"/>
  <c r="BX179" i="1"/>
  <c r="BX144" i="1"/>
  <c r="H194" i="1"/>
  <c r="BW194" i="1"/>
  <c r="BW121" i="1"/>
  <c r="BW85" i="1"/>
  <c r="BW83" i="1"/>
  <c r="BW18" i="1"/>
  <c r="BW20" i="1"/>
  <c r="BW88" i="1"/>
  <c r="BW82" i="1"/>
  <c r="BW123" i="1"/>
  <c r="BW150" i="1"/>
  <c r="BW118" i="1"/>
  <c r="BW87" i="1"/>
  <c r="BW33" i="1"/>
  <c r="BW84" i="1"/>
  <c r="BW21" i="1"/>
  <c r="BW17" i="1"/>
  <c r="BW114" i="1"/>
  <c r="BW125" i="1"/>
  <c r="BW64" i="1"/>
  <c r="BW66" i="1"/>
  <c r="BW65" i="1"/>
  <c r="BW158" i="1"/>
  <c r="J8" i="5"/>
  <c r="H8" i="5"/>
  <c r="J5" i="5"/>
  <c r="Q75" i="5"/>
  <c r="P75" i="5"/>
  <c r="R75" i="5"/>
  <c r="BR112" i="1"/>
  <c r="H112" i="1" s="1"/>
  <c r="BR43" i="1"/>
  <c r="H43" i="1" s="1"/>
  <c r="BR137" i="1"/>
  <c r="H137" i="1" s="1"/>
  <c r="BR110" i="1"/>
  <c r="H110" i="1" s="1"/>
  <c r="BR79" i="1"/>
  <c r="H79" i="1" s="1"/>
  <c r="BR46" i="1"/>
  <c r="H46" i="1" s="1"/>
  <c r="BR26" i="1"/>
  <c r="H26" i="1" s="1"/>
  <c r="R91" i="5"/>
  <c r="BR75" i="1"/>
  <c r="H75" i="1" s="1"/>
  <c r="BR124" i="1"/>
  <c r="H124" i="1" s="1"/>
  <c r="BR136" i="1"/>
  <c r="H136" i="1" s="1"/>
  <c r="BR39" i="1"/>
  <c r="H39" i="1" s="1"/>
  <c r="BR111" i="1"/>
  <c r="H111" i="1" s="1"/>
  <c r="BR25" i="1"/>
  <c r="H25" i="1" s="1"/>
  <c r="BR135" i="1"/>
  <c r="H135" i="1" s="1"/>
  <c r="BR78" i="1"/>
  <c r="H78" i="1" s="1"/>
  <c r="BR115" i="1"/>
  <c r="H115" i="1" s="1"/>
  <c r="BR63" i="1"/>
  <c r="H63" i="1" s="1"/>
  <c r="BR90" i="1"/>
  <c r="H90" i="1" s="1"/>
  <c r="BR13" i="1"/>
  <c r="H13" i="1" s="1"/>
  <c r="BR31" i="1"/>
  <c r="H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F154" i="1"/>
  <c r="R31" i="5"/>
  <c r="Q13" i="5"/>
  <c r="Q71" i="5"/>
  <c r="R78" i="5"/>
  <c r="R13" i="5"/>
  <c r="Q78" i="5"/>
  <c r="U90" i="5"/>
  <c r="V90" i="5"/>
  <c r="T90" i="5"/>
  <c r="BU51" i="3"/>
  <c r="BM51" i="3"/>
  <c r="T124" i="5"/>
  <c r="V124" i="5"/>
  <c r="U124" i="5"/>
  <c r="L112" i="5"/>
  <c r="T4" i="5"/>
  <c r="U4" i="5"/>
  <c r="V4" i="5"/>
  <c r="BU79" i="3"/>
  <c r="M79" i="5" s="1"/>
  <c r="BM79" i="3"/>
  <c r="N79" i="5" s="1"/>
  <c r="Q113" i="5"/>
  <c r="R113" i="5"/>
  <c r="P113" i="5"/>
  <c r="H135" i="5"/>
  <c r="J135" i="5"/>
  <c r="I135" i="5"/>
  <c r="BM43" i="3"/>
  <c r="BU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M46" i="3"/>
  <c r="N46" i="5" s="1"/>
  <c r="BU46" i="3"/>
  <c r="M46" i="5" s="1"/>
  <c r="H46" i="5"/>
  <c r="J46" i="5"/>
  <c r="I46" i="5"/>
  <c r="BU112" i="3"/>
  <c r="M112" i="5" s="1"/>
  <c r="BM112" i="3"/>
  <c r="N112" i="5" s="1"/>
  <c r="T151" i="5"/>
  <c r="V151" i="5"/>
  <c r="U151" i="5"/>
  <c r="BU137" i="3"/>
  <c r="M137" i="5" s="1"/>
  <c r="BM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U25" i="3"/>
  <c r="M25" i="5" s="1"/>
  <c r="BM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E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E120" i="1"/>
  <c r="AF120" i="1"/>
  <c r="AG120" i="1"/>
  <c r="AH120" i="1"/>
  <c r="H112" i="5"/>
  <c r="I112" i="5"/>
  <c r="J112" i="5"/>
  <c r="U156" i="5"/>
  <c r="V156" i="5"/>
  <c r="T156" i="5"/>
  <c r="H26" i="5"/>
  <c r="I26" i="5"/>
  <c r="J26" i="5"/>
  <c r="BU26" i="3"/>
  <c r="M26" i="5" s="1"/>
  <c r="BM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H154" i="1"/>
  <c r="R154" i="5"/>
  <c r="P4" i="5"/>
  <c r="Q4" i="5"/>
  <c r="R4" i="5"/>
  <c r="P144" i="5"/>
  <c r="R144" i="5"/>
  <c r="Q144" i="5"/>
  <c r="Q146" i="5"/>
  <c r="P146" i="5"/>
  <c r="R146" i="5"/>
  <c r="AG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H159" i="1"/>
  <c r="AG159" i="1"/>
  <c r="AF159" i="1"/>
  <c r="AE159" i="1"/>
  <c r="AG149" i="1"/>
  <c r="AE149" i="1"/>
  <c r="AH149" i="1"/>
  <c r="AF149" i="1"/>
  <c r="AG147" i="1"/>
  <c r="AF147" i="1"/>
  <c r="AE147" i="1"/>
  <c r="AH147" i="1"/>
  <c r="AE139" i="1"/>
  <c r="AG139" i="1"/>
  <c r="AH139" i="1"/>
  <c r="AF139" i="1"/>
  <c r="AF86" i="1"/>
  <c r="AE86" i="1"/>
  <c r="AG86" i="1"/>
  <c r="AH86" i="1"/>
  <c r="AG152" i="1"/>
  <c r="AE152" i="1"/>
  <c r="AH152" i="1"/>
  <c r="AF152" i="1"/>
  <c r="N52" i="5"/>
  <c r="M52" i="5"/>
  <c r="AE145" i="1"/>
  <c r="AF145" i="1"/>
  <c r="AH145" i="1"/>
  <c r="AG145" i="1"/>
  <c r="AH151" i="1"/>
  <c r="AE151" i="1"/>
  <c r="AG151" i="1"/>
  <c r="AF151" i="1"/>
  <c r="AF148" i="1"/>
  <c r="AG148" i="1"/>
  <c r="AH148" i="1"/>
  <c r="AE148" i="1"/>
  <c r="AF16" i="1"/>
  <c r="AE16" i="1"/>
  <c r="AG16" i="1"/>
  <c r="AH16" i="1"/>
  <c r="AH19" i="1"/>
  <c r="AG19" i="1"/>
  <c r="AE19" i="1"/>
  <c r="AF19" i="1"/>
  <c r="AF3" i="1"/>
  <c r="AG3" i="1"/>
  <c r="AH3" i="1"/>
  <c r="AE3" i="1"/>
  <c r="AF144" i="1"/>
  <c r="AG144" i="1"/>
  <c r="AH144" i="1"/>
  <c r="AE144" i="1"/>
  <c r="AH4" i="1"/>
  <c r="AE4" i="1"/>
  <c r="AF4" i="1"/>
  <c r="AG4" i="1"/>
  <c r="AE141" i="1"/>
  <c r="AF141" i="1"/>
  <c r="AH141" i="1"/>
  <c r="AG141" i="1"/>
  <c r="AH142" i="1"/>
  <c r="AE142" i="1"/>
  <c r="AG142" i="1"/>
  <c r="AF142" i="1"/>
  <c r="AE132" i="1"/>
  <c r="AF132" i="1"/>
  <c r="AG132" i="1"/>
  <c r="AH132" i="1"/>
  <c r="AH153" i="1"/>
  <c r="AF153" i="1"/>
  <c r="AG153" i="1"/>
  <c r="AE153" i="1"/>
  <c r="AG14" i="1"/>
  <c r="AE14" i="1"/>
  <c r="AF14" i="1"/>
  <c r="AH14" i="1"/>
  <c r="AE155" i="1"/>
  <c r="AG155" i="1"/>
  <c r="AH155" i="1"/>
  <c r="AF155" i="1"/>
  <c r="AF156" i="1"/>
  <c r="AH156" i="1"/>
  <c r="AE156" i="1"/>
  <c r="AG156" i="1"/>
  <c r="AF15" i="1"/>
  <c r="AE15" i="1"/>
  <c r="AH15" i="1"/>
  <c r="AG15" i="1"/>
  <c r="AH157" i="1"/>
  <c r="AG157" i="1"/>
  <c r="AE157" i="1"/>
  <c r="AF157" i="1"/>
  <c r="AH143" i="1"/>
  <c r="AE143" i="1"/>
  <c r="AF143" i="1"/>
  <c r="AG143" i="1"/>
  <c r="AF146" i="1"/>
  <c r="AE146" i="1"/>
  <c r="AH146" i="1"/>
  <c r="AG146" i="1"/>
  <c r="AV51" i="3"/>
  <c r="AW2" i="1"/>
  <c r="BK2" i="1" s="1"/>
  <c r="K1" i="5"/>
  <c r="H2" i="9"/>
  <c r="BQ113" i="1"/>
  <c r="BN113" i="1" s="1"/>
  <c r="BQ136" i="1"/>
  <c r="BN136" i="1" s="1"/>
  <c r="L92" i="3"/>
  <c r="I92" i="1" s="1"/>
  <c r="BM92" i="1" s="1"/>
  <c r="L86" i="3"/>
  <c r="I86" i="1" s="1"/>
  <c r="BM86" i="1" s="1"/>
  <c r="L52" i="3"/>
  <c r="I52" i="1" s="1"/>
  <c r="BR52" i="1" s="1"/>
  <c r="H52" i="1" s="1"/>
  <c r="L51" i="3"/>
  <c r="I51" i="1" s="1"/>
  <c r="L35" i="3"/>
  <c r="I35" i="1" s="1"/>
  <c r="BR35" i="1" s="1"/>
  <c r="H35" i="1" s="1"/>
  <c r="L36" i="3"/>
  <c r="I36" i="1" s="1"/>
  <c r="BR36" i="1" s="1"/>
  <c r="H36" i="1" s="1"/>
  <c r="L29" i="3"/>
  <c r="I29" i="1" s="1"/>
  <c r="BR29" i="1" s="1"/>
  <c r="H29" i="1" s="1"/>
  <c r="L122" i="3"/>
  <c r="I122" i="1" s="1"/>
  <c r="L34" i="3"/>
  <c r="I34" i="1" s="1"/>
  <c r="L32" i="3"/>
  <c r="I32" i="1" s="1"/>
  <c r="BR32" i="1" s="1"/>
  <c r="H32" i="1" s="1"/>
  <c r="L30" i="3"/>
  <c r="I30" i="1" s="1"/>
  <c r="BR30" i="1" s="1"/>
  <c r="H30" i="1" s="1"/>
  <c r="L73" i="3"/>
  <c r="I73" i="1" s="1"/>
  <c r="BR73" i="1" s="1"/>
  <c r="H73" i="1" s="1"/>
  <c r="L72" i="3"/>
  <c r="L67" i="3"/>
  <c r="L129" i="3"/>
  <c r="I129" i="1" s="1"/>
  <c r="BR129" i="1" s="1"/>
  <c r="H129" i="1" s="1"/>
  <c r="L71" i="3"/>
  <c r="L70" i="3"/>
  <c r="I70" i="1" s="1"/>
  <c r="BR70" i="1" s="1"/>
  <c r="H70" i="1" s="1"/>
  <c r="L69" i="3"/>
  <c r="I69" i="1" s="1"/>
  <c r="BR69" i="1" s="1"/>
  <c r="H69" i="1" s="1"/>
  <c r="L68" i="3"/>
  <c r="L10" i="3"/>
  <c r="I10" i="1" s="1"/>
  <c r="BR10" i="1" s="1"/>
  <c r="H10" i="1" s="1"/>
  <c r="L11" i="3"/>
  <c r="I11" i="1" s="1"/>
  <c r="BR11" i="1" s="1"/>
  <c r="H11" i="1" s="1"/>
  <c r="L8" i="3"/>
  <c r="I8" i="1" s="1"/>
  <c r="BR8" i="1" s="1"/>
  <c r="H8" i="1" s="1"/>
  <c r="L9" i="3"/>
  <c r="I9" i="1" s="1"/>
  <c r="BR9" i="1" s="1"/>
  <c r="H9" i="1" s="1"/>
  <c r="L5" i="3"/>
  <c r="G18" i="3"/>
  <c r="AT18" i="1" s="1"/>
  <c r="AU18" i="1" s="1"/>
  <c r="F136" i="3"/>
  <c r="AS136" i="1" s="1"/>
  <c r="G136" i="3"/>
  <c r="AT136" i="1" s="1"/>
  <c r="AU136" i="1" s="1"/>
  <c r="G135" i="3"/>
  <c r="AT135" i="1" s="1"/>
  <c r="AU135" i="1" s="1"/>
  <c r="G134" i="3"/>
  <c r="AT134" i="1" s="1"/>
  <c r="AU134" i="1" s="1"/>
  <c r="G133" i="3"/>
  <c r="AT133" i="1" s="1"/>
  <c r="AU133" i="1" s="1"/>
  <c r="G131" i="3"/>
  <c r="AT131" i="1" s="1"/>
  <c r="AU131" i="1" s="1"/>
  <c r="G129" i="3"/>
  <c r="AT129" i="1" s="1"/>
  <c r="AU129" i="1" s="1"/>
  <c r="G128" i="3"/>
  <c r="AT128" i="1" s="1"/>
  <c r="AU128" i="1" s="1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F92" i="3"/>
  <c r="AS92" i="1" s="1"/>
  <c r="F90" i="3"/>
  <c r="AS90" i="1" s="1"/>
  <c r="J90" i="3"/>
  <c r="AV90" i="1" s="1"/>
  <c r="J91" i="3"/>
  <c r="J92" i="3"/>
  <c r="AV92" i="1" s="1"/>
  <c r="J103" i="3"/>
  <c r="AV103" i="1" s="1"/>
  <c r="J104" i="3"/>
  <c r="AV104" i="1" s="1"/>
  <c r="J105" i="3"/>
  <c r="AV105" i="1" s="1"/>
  <c r="J106" i="3"/>
  <c r="AV106" i="1" s="1"/>
  <c r="J107" i="3"/>
  <c r="AV107" i="1" s="1"/>
  <c r="J108" i="3"/>
  <c r="AV108" i="1" s="1"/>
  <c r="F103" i="3"/>
  <c r="AS103" i="1" s="1"/>
  <c r="F104" i="3"/>
  <c r="AS104" i="1" s="1"/>
  <c r="F105" i="3"/>
  <c r="AS105" i="1" s="1"/>
  <c r="F106" i="3"/>
  <c r="AS106" i="1" s="1"/>
  <c r="F107" i="3"/>
  <c r="AS107" i="1" s="1"/>
  <c r="F108" i="3"/>
  <c r="AS108" i="1" s="1"/>
  <c r="I32" i="9"/>
  <c r="H32" i="9"/>
  <c r="G32" i="9"/>
  <c r="C32" i="9" s="1"/>
  <c r="H31" i="9"/>
  <c r="D31" i="9" s="1"/>
  <c r="G121" i="3"/>
  <c r="AT121" i="1" s="1"/>
  <c r="AU121" i="1" s="1"/>
  <c r="G120" i="3"/>
  <c r="AT120" i="1" s="1"/>
  <c r="AU120" i="1" s="1"/>
  <c r="G118" i="3"/>
  <c r="AT118" i="1" s="1"/>
  <c r="AU118" i="1" s="1"/>
  <c r="G117" i="3"/>
  <c r="AT117" i="1" s="1"/>
  <c r="AU117" i="1" s="1"/>
  <c r="G116" i="3"/>
  <c r="AT116" i="1" s="1"/>
  <c r="AU116" i="1" s="1"/>
  <c r="G115" i="3"/>
  <c r="AT115" i="1" s="1"/>
  <c r="AU115" i="1" s="1"/>
  <c r="G114" i="3"/>
  <c r="AT114" i="1" s="1"/>
  <c r="AU114" i="1" s="1"/>
  <c r="C29" i="9"/>
  <c r="G112" i="3"/>
  <c r="AT112" i="1" s="1"/>
  <c r="AU112" i="1" s="1"/>
  <c r="G111" i="3"/>
  <c r="AT111" i="1" s="1"/>
  <c r="AU111" i="1" s="1"/>
  <c r="G110" i="3"/>
  <c r="AT110" i="1" s="1"/>
  <c r="AU110" i="1" s="1"/>
  <c r="G109" i="3"/>
  <c r="AT109" i="1" s="1"/>
  <c r="AU109" i="1" s="1"/>
  <c r="G100" i="3"/>
  <c r="AT100" i="1" s="1"/>
  <c r="AU100" i="1" s="1"/>
  <c r="G99" i="3"/>
  <c r="AT99" i="1" s="1"/>
  <c r="AU99" i="1" s="1"/>
  <c r="G97" i="3"/>
  <c r="G96" i="3"/>
  <c r="G94" i="3"/>
  <c r="G93" i="3"/>
  <c r="AT93" i="1" s="1"/>
  <c r="AU93" i="1" s="1"/>
  <c r="G92" i="3"/>
  <c r="AT92" i="1" s="1"/>
  <c r="AU92" i="1" s="1"/>
  <c r="G91" i="3"/>
  <c r="G90" i="3"/>
  <c r="AT90" i="1" s="1"/>
  <c r="AU90" i="1" s="1"/>
  <c r="G89" i="3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J68" i="3"/>
  <c r="J69" i="3"/>
  <c r="AV69" i="1" s="1"/>
  <c r="J70" i="3"/>
  <c r="AV70" i="1" s="1"/>
  <c r="J71" i="3"/>
  <c r="J72" i="3"/>
  <c r="J73" i="3"/>
  <c r="AV73" i="1" s="1"/>
  <c r="F67" i="3"/>
  <c r="F68" i="3"/>
  <c r="F69" i="3"/>
  <c r="AS69" i="1" s="1"/>
  <c r="F70" i="3"/>
  <c r="AS70" i="1" s="1"/>
  <c r="F71" i="3"/>
  <c r="F72" i="3"/>
  <c r="F73" i="3"/>
  <c r="AS73" i="1" s="1"/>
  <c r="G88" i="3"/>
  <c r="G87" i="3"/>
  <c r="G86" i="3"/>
  <c r="AT86" i="1" s="1"/>
  <c r="AU86" i="1" s="1"/>
  <c r="G137" i="3"/>
  <c r="AT137" i="1" s="1"/>
  <c r="AU137" i="1" s="1"/>
  <c r="G85" i="3"/>
  <c r="G84" i="3"/>
  <c r="G83" i="3"/>
  <c r="AT83" i="1" s="1"/>
  <c r="AU83" i="1" s="1"/>
  <c r="G82" i="3"/>
  <c r="AT82" i="1" s="1"/>
  <c r="AU82" i="1" s="1"/>
  <c r="G81" i="3"/>
  <c r="AT81" i="1" s="1"/>
  <c r="AU81" i="1" s="1"/>
  <c r="F79" i="3"/>
  <c r="AS79" i="1" s="1"/>
  <c r="G78" i="3"/>
  <c r="G76" i="3"/>
  <c r="AT76" i="1" s="1"/>
  <c r="AU76" i="1" s="1"/>
  <c r="G73" i="3"/>
  <c r="AT73" i="1" s="1"/>
  <c r="AU73" i="1" s="1"/>
  <c r="G72" i="3"/>
  <c r="G71" i="3"/>
  <c r="G70" i="3"/>
  <c r="AT70" i="1" s="1"/>
  <c r="AU70" i="1" s="1"/>
  <c r="G69" i="3"/>
  <c r="AT69" i="1" s="1"/>
  <c r="AU69" i="1" s="1"/>
  <c r="G68" i="3"/>
  <c r="G67" i="3"/>
  <c r="H14" i="9"/>
  <c r="F27" i="3"/>
  <c r="AS27" i="1" s="1"/>
  <c r="G56" i="3"/>
  <c r="AT56" i="1" s="1"/>
  <c r="AU56" i="1" s="1"/>
  <c r="G53" i="3"/>
  <c r="AT53" i="1" s="1"/>
  <c r="AU53" i="1" s="1"/>
  <c r="G54" i="3"/>
  <c r="AT54" i="1" s="1"/>
  <c r="AU54" i="1" s="1"/>
  <c r="G51" i="3"/>
  <c r="AT51" i="1" s="1"/>
  <c r="AU51" i="1" s="1"/>
  <c r="G52" i="3"/>
  <c r="AT52" i="1" s="1"/>
  <c r="AU52" i="1" s="1"/>
  <c r="G50" i="3"/>
  <c r="AT50" i="1" s="1"/>
  <c r="AU50" i="1" s="1"/>
  <c r="G49" i="3"/>
  <c r="AT49" i="1" s="1"/>
  <c r="AU49" i="1" s="1"/>
  <c r="G46" i="3"/>
  <c r="AT46" i="1" s="1"/>
  <c r="AU46" i="1" s="1"/>
  <c r="G45" i="3"/>
  <c r="AT45" i="1" s="1"/>
  <c r="AU45" i="1" s="1"/>
  <c r="G43" i="3"/>
  <c r="AT43" i="1" s="1"/>
  <c r="AU43" i="1" s="1"/>
  <c r="G42" i="3"/>
  <c r="AT42" i="1" s="1"/>
  <c r="AU42" i="1" s="1"/>
  <c r="H130" i="3"/>
  <c r="AR130" i="1" s="1"/>
  <c r="G130" i="3"/>
  <c r="AT130" i="1" s="1"/>
  <c r="AU130" i="1" s="1"/>
  <c r="G40" i="3"/>
  <c r="AT40" i="1" s="1"/>
  <c r="AU40" i="1" s="1"/>
  <c r="H40" i="3"/>
  <c r="AR40" i="1" s="1"/>
  <c r="G39" i="3"/>
  <c r="AT39" i="1" s="1"/>
  <c r="AU39" i="1" s="1"/>
  <c r="G38" i="3"/>
  <c r="AT38" i="1" s="1"/>
  <c r="AU38" i="1" s="1"/>
  <c r="G132" i="3"/>
  <c r="AT132" i="1" s="1"/>
  <c r="AU132" i="1" s="1"/>
  <c r="G123" i="3"/>
  <c r="AT123" i="1" s="1"/>
  <c r="AU123" i="1" s="1"/>
  <c r="G74" i="3"/>
  <c r="G37" i="3"/>
  <c r="AT37" i="1" s="1"/>
  <c r="AU37" i="1" s="1"/>
  <c r="G36" i="3"/>
  <c r="AT36" i="1" s="1"/>
  <c r="AU36" i="1" s="1"/>
  <c r="G35" i="3"/>
  <c r="AT35" i="1" s="1"/>
  <c r="AU35" i="1" s="1"/>
  <c r="G32" i="3"/>
  <c r="AT32" i="1" s="1"/>
  <c r="AU32" i="1" s="1"/>
  <c r="G30" i="3"/>
  <c r="AT30" i="1" s="1"/>
  <c r="AU30" i="1" s="1"/>
  <c r="G31" i="3"/>
  <c r="AT31" i="1" s="1"/>
  <c r="AU31" i="1" s="1"/>
  <c r="G29" i="3"/>
  <c r="AT29" i="1" s="1"/>
  <c r="AU29" i="1" s="1"/>
  <c r="G11" i="3"/>
  <c r="AT11" i="1" s="1"/>
  <c r="AU11" i="1" s="1"/>
  <c r="F26" i="3"/>
  <c r="AS26" i="1" s="1"/>
  <c r="G26" i="3"/>
  <c r="AT26" i="1" s="1"/>
  <c r="AU26" i="1" s="1"/>
  <c r="AS25" i="1"/>
  <c r="G24" i="3"/>
  <c r="AT24" i="1" s="1"/>
  <c r="AU24" i="1" s="1"/>
  <c r="G22" i="3"/>
  <c r="AT22" i="1" s="1"/>
  <c r="AU22" i="1" s="1"/>
  <c r="G21" i="3"/>
  <c r="AT21" i="1" s="1"/>
  <c r="AU21" i="1" s="1"/>
  <c r="G20" i="3"/>
  <c r="AT20" i="1" s="1"/>
  <c r="AU20" i="1" s="1"/>
  <c r="G19" i="3"/>
  <c r="AT19" i="1" s="1"/>
  <c r="AU19" i="1" s="1"/>
  <c r="G17" i="3"/>
  <c r="AT17" i="1" s="1"/>
  <c r="AU17" i="1" s="1"/>
  <c r="G14" i="3"/>
  <c r="AT14" i="1" s="1"/>
  <c r="AU14" i="1" s="1"/>
  <c r="G13" i="3"/>
  <c r="AT13" i="1" s="1"/>
  <c r="AU13" i="1" s="1"/>
  <c r="F125" i="3"/>
  <c r="AS125" i="1" s="1"/>
  <c r="G125" i="3"/>
  <c r="AT125" i="1" s="1"/>
  <c r="AU125" i="1" s="1"/>
  <c r="H125" i="3"/>
  <c r="AR125" i="1" s="1"/>
  <c r="G12" i="3"/>
  <c r="AT12" i="1" s="1"/>
  <c r="AU12" i="1" s="1"/>
  <c r="F12" i="3"/>
  <c r="AS12" i="1" s="1"/>
  <c r="H6" i="9"/>
  <c r="D6" i="9" s="1"/>
  <c r="G9" i="3"/>
  <c r="AT9" i="1" s="1"/>
  <c r="AU9" i="1" s="1"/>
  <c r="G10" i="3"/>
  <c r="AT10" i="1" s="1"/>
  <c r="AU10" i="1" s="1"/>
  <c r="G8" i="3"/>
  <c r="AT8" i="1" s="1"/>
  <c r="AU8" i="1" s="1"/>
  <c r="G7" i="3"/>
  <c r="AT7" i="1" s="1"/>
  <c r="AU7" i="1" s="1"/>
  <c r="G6" i="3"/>
  <c r="AT6" i="1" s="1"/>
  <c r="AU6" i="1" s="1"/>
  <c r="G5" i="3"/>
  <c r="AT5" i="1" s="1"/>
  <c r="AU5" i="1" s="1"/>
  <c r="G4" i="3"/>
  <c r="AT4" i="1" s="1"/>
  <c r="AU4" i="1" s="1"/>
  <c r="G3" i="3"/>
  <c r="AT3" i="1" s="1"/>
  <c r="AU3" i="1" s="1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AT196" i="1" l="1"/>
  <c r="AU196" i="1" s="1"/>
  <c r="AT94" i="1"/>
  <c r="AU94" i="1" s="1"/>
  <c r="AT187" i="1"/>
  <c r="AU187" i="1" s="1"/>
  <c r="AT96" i="1"/>
  <c r="AU96" i="1" s="1"/>
  <c r="AT182" i="1"/>
  <c r="AU182" i="1" s="1"/>
  <c r="AT67" i="1"/>
  <c r="AU67" i="1" s="1"/>
  <c r="AT188" i="1"/>
  <c r="AU188" i="1" s="1"/>
  <c r="AT97" i="1"/>
  <c r="AU97" i="1" s="1"/>
  <c r="AT189" i="1"/>
  <c r="AU189" i="1" s="1"/>
  <c r="AT84" i="1"/>
  <c r="AU84" i="1" s="1"/>
  <c r="AT193" i="1"/>
  <c r="AU193" i="1" s="1"/>
  <c r="AT85" i="1"/>
  <c r="AU85" i="1" s="1"/>
  <c r="AT185" i="1"/>
  <c r="AU185" i="1" s="1"/>
  <c r="AT74" i="1"/>
  <c r="AU74" i="1" s="1"/>
  <c r="AT191" i="1"/>
  <c r="AU191" i="1" s="1"/>
  <c r="AT71" i="1"/>
  <c r="AU71" i="1" s="1"/>
  <c r="AT184" i="1"/>
  <c r="AU184" i="1" s="1"/>
  <c r="AT72" i="1"/>
  <c r="AU72" i="1" s="1"/>
  <c r="AT194" i="1"/>
  <c r="AU194" i="1" s="1"/>
  <c r="AT87" i="1"/>
  <c r="AU87" i="1" s="1"/>
  <c r="AT195" i="1"/>
  <c r="AU195" i="1" s="1"/>
  <c r="AT88" i="1"/>
  <c r="AU88" i="1" s="1"/>
  <c r="AT183" i="1"/>
  <c r="AU183" i="1" s="1"/>
  <c r="AT68" i="1"/>
  <c r="AU68" i="1" s="1"/>
  <c r="AT190" i="1"/>
  <c r="AU190" i="1" s="1"/>
  <c r="AT89" i="1"/>
  <c r="AU89" i="1" s="1"/>
  <c r="AT186" i="1"/>
  <c r="AU186" i="1" s="1"/>
  <c r="AT91" i="1"/>
  <c r="AU91" i="1" s="1"/>
  <c r="AT192" i="1"/>
  <c r="AU192" i="1" s="1"/>
  <c r="AT78" i="1"/>
  <c r="AU78" i="1" s="1"/>
  <c r="AS72" i="1"/>
  <c r="AS184" i="1"/>
  <c r="AS71" i="1"/>
  <c r="AS191" i="1"/>
  <c r="AS68" i="1"/>
  <c r="AS183" i="1"/>
  <c r="AS67" i="1"/>
  <c r="AS182" i="1"/>
  <c r="AV72" i="1"/>
  <c r="AV184" i="1"/>
  <c r="AV71" i="1"/>
  <c r="AV191" i="1"/>
  <c r="AV68" i="1"/>
  <c r="AV183" i="1"/>
  <c r="AV67" i="1"/>
  <c r="AV182" i="1"/>
  <c r="AV91" i="1"/>
  <c r="AV186" i="1"/>
  <c r="AS91" i="1"/>
  <c r="AS186" i="1"/>
  <c r="I5" i="1"/>
  <c r="BR5" i="1" s="1"/>
  <c r="H5" i="1" s="1"/>
  <c r="L174" i="3"/>
  <c r="I174" i="1" s="1"/>
  <c r="BR174" i="1" s="1"/>
  <c r="I68" i="1"/>
  <c r="BR68" i="1" s="1"/>
  <c r="H68" i="1" s="1"/>
  <c r="I183" i="1"/>
  <c r="BR183" i="1" s="1"/>
  <c r="I71" i="1"/>
  <c r="I191" i="1"/>
  <c r="I67" i="1"/>
  <c r="BR67" i="1" s="1"/>
  <c r="H67" i="1" s="1"/>
  <c r="I182" i="1"/>
  <c r="BR182" i="1" s="1"/>
  <c r="I72" i="1"/>
  <c r="BR72" i="1" s="1"/>
  <c r="H72" i="1" s="1"/>
  <c r="I184" i="1"/>
  <c r="BR184" i="1" s="1"/>
  <c r="M204" i="1"/>
  <c r="L204" i="1"/>
  <c r="M200" i="1"/>
  <c r="L200" i="1"/>
  <c r="M202" i="1"/>
  <c r="L202" i="1"/>
  <c r="M198" i="1"/>
  <c r="L198" i="1"/>
  <c r="M197" i="1"/>
  <c r="L197" i="1"/>
  <c r="M199" i="1"/>
  <c r="L199" i="1"/>
  <c r="M206" i="1"/>
  <c r="L206" i="1"/>
  <c r="M201" i="1"/>
  <c r="L201" i="1"/>
  <c r="M203" i="1"/>
  <c r="L203" i="1"/>
  <c r="M207" i="1"/>
  <c r="L207" i="1"/>
  <c r="M205" i="1"/>
  <c r="L205" i="1"/>
  <c r="AG74" i="1"/>
  <c r="AE74" i="1"/>
  <c r="BR74" i="1" s="1"/>
  <c r="H74" i="1" s="1"/>
  <c r="AH74" i="1"/>
  <c r="AF74" i="1"/>
  <c r="Q74" i="5"/>
  <c r="P74" i="5"/>
  <c r="O185" i="5"/>
  <c r="AH185" i="1"/>
  <c r="AG185" i="1"/>
  <c r="AF185" i="1"/>
  <c r="AE185" i="1"/>
  <c r="BR185" i="1" s="1"/>
  <c r="M192" i="1"/>
  <c r="L192" i="1"/>
  <c r="M193" i="1"/>
  <c r="L193" i="1"/>
  <c r="M196" i="1"/>
  <c r="L196" i="1"/>
  <c r="M195" i="1"/>
  <c r="L195" i="1"/>
  <c r="M194" i="1"/>
  <c r="L194" i="1"/>
  <c r="BR71" i="1"/>
  <c r="H71" i="1" s="1"/>
  <c r="BM71" i="1"/>
  <c r="M188" i="1"/>
  <c r="L188" i="1"/>
  <c r="M190" i="1"/>
  <c r="L190" i="1"/>
  <c r="M185" i="1"/>
  <c r="L185" i="1"/>
  <c r="M182" i="1"/>
  <c r="L182" i="1"/>
  <c r="M181" i="1"/>
  <c r="L181" i="1"/>
  <c r="M184" i="1"/>
  <c r="L184" i="1"/>
  <c r="M187" i="1"/>
  <c r="L187" i="1"/>
  <c r="M186" i="1"/>
  <c r="L186" i="1"/>
  <c r="M183" i="1"/>
  <c r="L183" i="1"/>
  <c r="M189" i="1"/>
  <c r="L189" i="1"/>
  <c r="M191" i="1"/>
  <c r="L191" i="1"/>
  <c r="BW52" i="1"/>
  <c r="BW43" i="1"/>
  <c r="BW115" i="1"/>
  <c r="BW73" i="1"/>
  <c r="BW9" i="1"/>
  <c r="BW30" i="1"/>
  <c r="BW25" i="1"/>
  <c r="BW8" i="1"/>
  <c r="BW32" i="1"/>
  <c r="BW129" i="1"/>
  <c r="BW11" i="1"/>
  <c r="BW39" i="1"/>
  <c r="BW136" i="1"/>
  <c r="BW112" i="1"/>
  <c r="BW10" i="1"/>
  <c r="BW29" i="1"/>
  <c r="BW124" i="1"/>
  <c r="BW46" i="1"/>
  <c r="BW69" i="1"/>
  <c r="BW75" i="1"/>
  <c r="BW79" i="1"/>
  <c r="BW36" i="1"/>
  <c r="BW31" i="1"/>
  <c r="BW70" i="1"/>
  <c r="BW35" i="1"/>
  <c r="BW110" i="1"/>
  <c r="BW90" i="1"/>
  <c r="BW26" i="1"/>
  <c r="BW137" i="1"/>
  <c r="M173" i="1"/>
  <c r="L173" i="1"/>
  <c r="L172" i="1"/>
  <c r="M172" i="1"/>
  <c r="M174" i="1"/>
  <c r="L174" i="1"/>
  <c r="L176" i="1"/>
  <c r="M176" i="1"/>
  <c r="M178" i="1"/>
  <c r="L178" i="1"/>
  <c r="M177" i="1"/>
  <c r="L177" i="1"/>
  <c r="M175" i="1"/>
  <c r="L175" i="1"/>
  <c r="M179" i="1"/>
  <c r="L179" i="1"/>
  <c r="M180" i="1"/>
  <c r="L180" i="1"/>
  <c r="L171" i="1"/>
  <c r="M171" i="1"/>
  <c r="BW63" i="1"/>
  <c r="BW111" i="1"/>
  <c r="BW135" i="1"/>
  <c r="BW78" i="1"/>
  <c r="BW13" i="1"/>
  <c r="M167" i="1"/>
  <c r="L167" i="1"/>
  <c r="M168" i="1"/>
  <c r="L168" i="1"/>
  <c r="M169" i="1"/>
  <c r="L169" i="1"/>
  <c r="M170" i="1"/>
  <c r="L170" i="1"/>
  <c r="BR51" i="1"/>
  <c r="H51" i="1" s="1"/>
  <c r="M96" i="1"/>
  <c r="L96" i="1"/>
  <c r="M116" i="1"/>
  <c r="L116" i="1"/>
  <c r="M162" i="1"/>
  <c r="L162" i="1"/>
  <c r="M134" i="1"/>
  <c r="L134" i="1"/>
  <c r="M12" i="1"/>
  <c r="L12" i="1"/>
  <c r="M82" i="1"/>
  <c r="L82" i="1"/>
  <c r="M84" i="1"/>
  <c r="L84" i="1"/>
  <c r="M141" i="1"/>
  <c r="L141" i="1"/>
  <c r="M138" i="1"/>
  <c r="L138" i="1"/>
  <c r="M7" i="1"/>
  <c r="L7" i="1"/>
  <c r="M30" i="1"/>
  <c r="L30" i="1"/>
  <c r="M94" i="1"/>
  <c r="L94" i="1"/>
  <c r="M45" i="1"/>
  <c r="L45" i="1"/>
  <c r="M31" i="1"/>
  <c r="L31" i="1"/>
  <c r="M102" i="1"/>
  <c r="L102" i="1"/>
  <c r="M136" i="1"/>
  <c r="L136" i="1"/>
  <c r="M165" i="1"/>
  <c r="L165" i="1"/>
  <c r="M19" i="1"/>
  <c r="L19" i="1"/>
  <c r="M41" i="1"/>
  <c r="L41" i="1"/>
  <c r="M131" i="1"/>
  <c r="L131" i="1"/>
  <c r="M132" i="1"/>
  <c r="L132" i="1"/>
  <c r="M4" i="1"/>
  <c r="L4" i="1"/>
  <c r="L76" i="1"/>
  <c r="M76" i="1"/>
  <c r="M80" i="1"/>
  <c r="L80" i="1"/>
  <c r="M133" i="1"/>
  <c r="L133" i="1"/>
  <c r="M109" i="1"/>
  <c r="L109" i="1"/>
  <c r="M122" i="1"/>
  <c r="L122" i="1"/>
  <c r="M43" i="1"/>
  <c r="L43" i="1"/>
  <c r="M86" i="1"/>
  <c r="L86" i="1"/>
  <c r="M39" i="1"/>
  <c r="L39" i="1"/>
  <c r="M17" i="1"/>
  <c r="L17" i="1"/>
  <c r="M98" i="1"/>
  <c r="L98" i="1"/>
  <c r="M130" i="1"/>
  <c r="L130" i="1"/>
  <c r="M161" i="1"/>
  <c r="L161" i="1"/>
  <c r="M124" i="1"/>
  <c r="L124" i="1"/>
  <c r="M78" i="1"/>
  <c r="L78" i="1"/>
  <c r="M15" i="1"/>
  <c r="L15" i="1"/>
  <c r="M115" i="1"/>
  <c r="L115" i="1"/>
  <c r="M103" i="1"/>
  <c r="L103" i="1"/>
  <c r="M27" i="1"/>
  <c r="L27" i="1"/>
  <c r="M71" i="1"/>
  <c r="L71" i="1"/>
  <c r="M63" i="1"/>
  <c r="L63" i="1"/>
  <c r="M97" i="1"/>
  <c r="L97" i="1"/>
  <c r="M157" i="1"/>
  <c r="L157" i="1"/>
  <c r="M158" i="1"/>
  <c r="L158" i="1"/>
  <c r="M67" i="1"/>
  <c r="L67" i="1"/>
  <c r="M137" i="1"/>
  <c r="L137" i="1"/>
  <c r="M128" i="1"/>
  <c r="L128" i="1"/>
  <c r="M69" i="1"/>
  <c r="L69" i="1"/>
  <c r="M90" i="1"/>
  <c r="L90" i="1"/>
  <c r="M164" i="1"/>
  <c r="L164" i="1"/>
  <c r="M59" i="1"/>
  <c r="L59" i="1"/>
  <c r="M99" i="1"/>
  <c r="L99" i="1"/>
  <c r="M87" i="1"/>
  <c r="L87" i="1"/>
  <c r="M112" i="1"/>
  <c r="L112" i="1"/>
  <c r="M50" i="1"/>
  <c r="L50" i="1"/>
  <c r="M20" i="1"/>
  <c r="L20" i="1"/>
  <c r="M55" i="1"/>
  <c r="L55" i="1"/>
  <c r="M44" i="1"/>
  <c r="L44" i="1"/>
  <c r="M89" i="1"/>
  <c r="L89" i="1"/>
  <c r="M153" i="1"/>
  <c r="L153" i="1"/>
  <c r="M135" i="1"/>
  <c r="L135" i="1"/>
  <c r="M52" i="1"/>
  <c r="L52" i="1"/>
  <c r="M125" i="1"/>
  <c r="L125" i="1"/>
  <c r="M123" i="1"/>
  <c r="L123" i="1"/>
  <c r="M62" i="1"/>
  <c r="L62" i="1"/>
  <c r="M48" i="1"/>
  <c r="L48" i="1"/>
  <c r="M150" i="1"/>
  <c r="L150" i="1"/>
  <c r="M121" i="1"/>
  <c r="L121" i="1"/>
  <c r="M36" i="1"/>
  <c r="L36" i="1"/>
  <c r="M166" i="1"/>
  <c r="L166" i="1"/>
  <c r="M100" i="1"/>
  <c r="L100" i="1"/>
  <c r="M159" i="1"/>
  <c r="L159" i="1"/>
  <c r="M5" i="1"/>
  <c r="L5" i="1"/>
  <c r="M37" i="1"/>
  <c r="L37" i="1"/>
  <c r="M38" i="1"/>
  <c r="L38" i="1"/>
  <c r="M85" i="1"/>
  <c r="L85" i="1"/>
  <c r="M129" i="1"/>
  <c r="L129" i="1"/>
  <c r="M117" i="1"/>
  <c r="L117" i="1"/>
  <c r="M40" i="1"/>
  <c r="L40" i="1"/>
  <c r="M111" i="1"/>
  <c r="L111" i="1"/>
  <c r="M154" i="1"/>
  <c r="L154" i="1"/>
  <c r="M56" i="1"/>
  <c r="L56" i="1"/>
  <c r="M42" i="1"/>
  <c r="L42" i="1"/>
  <c r="M160" i="1"/>
  <c r="L160" i="1"/>
  <c r="M108" i="1"/>
  <c r="L108" i="1"/>
  <c r="M81" i="1"/>
  <c r="L81" i="1"/>
  <c r="M10" i="1"/>
  <c r="L10" i="1"/>
  <c r="M70" i="1"/>
  <c r="L70" i="1"/>
  <c r="M155" i="1"/>
  <c r="L155" i="1"/>
  <c r="M104" i="1"/>
  <c r="L104" i="1"/>
  <c r="M28" i="1"/>
  <c r="L28" i="1"/>
  <c r="M23" i="1"/>
  <c r="L23" i="1"/>
  <c r="M73" i="1"/>
  <c r="L73" i="1"/>
  <c r="M120" i="1"/>
  <c r="L120" i="1"/>
  <c r="M92" i="1"/>
  <c r="L92" i="1"/>
  <c r="M25" i="1"/>
  <c r="L25" i="1"/>
  <c r="M79" i="1"/>
  <c r="L79" i="1"/>
  <c r="M156" i="1"/>
  <c r="L156" i="1"/>
  <c r="M53" i="1"/>
  <c r="L53" i="1"/>
  <c r="M33" i="1"/>
  <c r="L33" i="1"/>
  <c r="M24" i="1"/>
  <c r="L24" i="1"/>
  <c r="M8" i="1"/>
  <c r="L8" i="1"/>
  <c r="M101" i="1"/>
  <c r="L101" i="1"/>
  <c r="L58" i="1"/>
  <c r="M58" i="1"/>
  <c r="M151" i="1"/>
  <c r="L151" i="1"/>
  <c r="M60" i="1"/>
  <c r="L60" i="1"/>
  <c r="M22" i="1"/>
  <c r="L22" i="1"/>
  <c r="M14" i="1"/>
  <c r="L14" i="1"/>
  <c r="M64" i="1"/>
  <c r="L64" i="1"/>
  <c r="M113" i="1"/>
  <c r="L113" i="1"/>
  <c r="M149" i="1"/>
  <c r="L149" i="1"/>
  <c r="M16" i="1"/>
  <c r="L16" i="1"/>
  <c r="L77" i="1"/>
  <c r="M77" i="1"/>
  <c r="M152" i="1"/>
  <c r="L152" i="1"/>
  <c r="M47" i="1"/>
  <c r="L47" i="1"/>
  <c r="M26" i="1"/>
  <c r="L26" i="1"/>
  <c r="M88" i="1"/>
  <c r="L88" i="1"/>
  <c r="M72" i="1"/>
  <c r="L72" i="1"/>
  <c r="M65" i="1"/>
  <c r="L65" i="1"/>
  <c r="M54" i="1"/>
  <c r="L54" i="1"/>
  <c r="M139" i="1"/>
  <c r="L139" i="1"/>
  <c r="M118" i="1"/>
  <c r="L118" i="1"/>
  <c r="M6" i="1"/>
  <c r="L6" i="1"/>
  <c r="M83" i="1"/>
  <c r="L83" i="1"/>
  <c r="M57" i="1"/>
  <c r="L57" i="1"/>
  <c r="M74" i="1"/>
  <c r="L74" i="1"/>
  <c r="M146" i="1"/>
  <c r="L146" i="1"/>
  <c r="M9" i="1"/>
  <c r="L9" i="1"/>
  <c r="M75" i="1"/>
  <c r="L75" i="1"/>
  <c r="M127" i="1"/>
  <c r="L127" i="1"/>
  <c r="M32" i="1"/>
  <c r="L32" i="1"/>
  <c r="M11" i="1"/>
  <c r="L11" i="1"/>
  <c r="L91" i="1"/>
  <c r="M91" i="1"/>
  <c r="M35" i="1"/>
  <c r="L35" i="1"/>
  <c r="M148" i="1"/>
  <c r="L148" i="1"/>
  <c r="M49" i="1"/>
  <c r="L49" i="1"/>
  <c r="M95" i="1"/>
  <c r="L95" i="1"/>
  <c r="M114" i="1"/>
  <c r="L114" i="1"/>
  <c r="M107" i="1"/>
  <c r="L107" i="1"/>
  <c r="M147" i="1"/>
  <c r="L147" i="1"/>
  <c r="M51" i="1"/>
  <c r="L51" i="1"/>
  <c r="M66" i="1"/>
  <c r="L66" i="1"/>
  <c r="M143" i="1"/>
  <c r="L143" i="1"/>
  <c r="M106" i="1"/>
  <c r="L106" i="1"/>
  <c r="M68" i="1"/>
  <c r="L68" i="1"/>
  <c r="M126" i="1"/>
  <c r="L126" i="1"/>
  <c r="M18" i="1"/>
  <c r="L18" i="1"/>
  <c r="M3" i="1"/>
  <c r="L3" i="1"/>
  <c r="M142" i="1"/>
  <c r="L142" i="1"/>
  <c r="M145" i="1"/>
  <c r="L145" i="1"/>
  <c r="M34" i="1"/>
  <c r="L34" i="1"/>
  <c r="L93" i="1"/>
  <c r="M93" i="1"/>
  <c r="M110" i="1"/>
  <c r="L110" i="1"/>
  <c r="M13" i="1"/>
  <c r="L13" i="1"/>
  <c r="M144" i="1"/>
  <c r="L144" i="1"/>
  <c r="M29" i="1"/>
  <c r="L29" i="1"/>
  <c r="M61" i="1"/>
  <c r="L61" i="1"/>
  <c r="M140" i="1"/>
  <c r="L140" i="1"/>
  <c r="M21" i="1"/>
  <c r="L21" i="1"/>
  <c r="M46" i="1"/>
  <c r="L46" i="1"/>
  <c r="M119" i="1"/>
  <c r="L119" i="1"/>
  <c r="M105" i="1"/>
  <c r="L105" i="1"/>
  <c r="M163" i="1"/>
  <c r="L163" i="1"/>
  <c r="BR145" i="1"/>
  <c r="H145" i="1" s="1"/>
  <c r="BR148" i="1"/>
  <c r="H148" i="1" s="1"/>
  <c r="BR146" i="1"/>
  <c r="H146" i="1" s="1"/>
  <c r="BR132" i="1"/>
  <c r="H132" i="1" s="1"/>
  <c r="BR141" i="1"/>
  <c r="H141" i="1" s="1"/>
  <c r="BR14" i="1"/>
  <c r="H14" i="1" s="1"/>
  <c r="BR19" i="1"/>
  <c r="H19" i="1" s="1"/>
  <c r="BR120" i="1"/>
  <c r="H120" i="1" s="1"/>
  <c r="BR152" i="1"/>
  <c r="H152" i="1" s="1"/>
  <c r="BR15" i="1"/>
  <c r="H15" i="1" s="1"/>
  <c r="BR151" i="1"/>
  <c r="H151" i="1" s="1"/>
  <c r="BR143" i="1"/>
  <c r="H143" i="1" s="1"/>
  <c r="BR156" i="1"/>
  <c r="H156" i="1" s="1"/>
  <c r="BR153" i="1"/>
  <c r="H153" i="1" s="1"/>
  <c r="BR154" i="1"/>
  <c r="H154" i="1" s="1"/>
  <c r="BR139" i="1"/>
  <c r="H139" i="1" s="1"/>
  <c r="BR147" i="1"/>
  <c r="H147" i="1" s="1"/>
  <c r="BR142" i="1"/>
  <c r="H142" i="1" s="1"/>
  <c r="BR144" i="1"/>
  <c r="H144" i="1" s="1"/>
  <c r="BR86" i="1"/>
  <c r="H86" i="1" s="1"/>
  <c r="BR3" i="1"/>
  <c r="H3" i="1" s="1"/>
  <c r="BR4" i="1"/>
  <c r="H4" i="1" s="1"/>
  <c r="BR159" i="1"/>
  <c r="H159" i="1" s="1"/>
  <c r="BR155" i="1"/>
  <c r="H155" i="1" s="1"/>
  <c r="BR157" i="1"/>
  <c r="H157" i="1" s="1"/>
  <c r="BR16" i="1"/>
  <c r="H16" i="1" s="1"/>
  <c r="BR149" i="1"/>
  <c r="H149" i="1" s="1"/>
  <c r="N43" i="5"/>
  <c r="M43" i="5"/>
  <c r="N51" i="5"/>
  <c r="M51" i="5"/>
  <c r="BQ91" i="1"/>
  <c r="BN91" i="1" s="1"/>
  <c r="BQ88" i="1"/>
  <c r="BN88" i="1" s="1"/>
  <c r="BQ87" i="1"/>
  <c r="BN87" i="1" s="1"/>
  <c r="P120" i="5"/>
  <c r="R120" i="5"/>
  <c r="Q120" i="5"/>
  <c r="M2" i="1"/>
  <c r="L2" i="1"/>
  <c r="L7" i="3"/>
  <c r="I7" i="1" s="1"/>
  <c r="BR7" i="1" s="1"/>
  <c r="H7" i="1" s="1"/>
  <c r="L6" i="3"/>
  <c r="I6" i="1" s="1"/>
  <c r="BR6" i="1" s="1"/>
  <c r="H6" i="1" s="1"/>
  <c r="BQ86" i="1"/>
  <c r="BN8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W67" i="1" l="1"/>
  <c r="BW68" i="1"/>
  <c r="BW5" i="1"/>
  <c r="BW184" i="1"/>
  <c r="H184" i="1"/>
  <c r="BW182" i="1"/>
  <c r="H182" i="1"/>
  <c r="BW72" i="1"/>
  <c r="BM191" i="1"/>
  <c r="BQ191" i="1" s="1"/>
  <c r="BN191" i="1" s="1"/>
  <c r="BR191" i="1"/>
  <c r="BW183" i="1"/>
  <c r="H183" i="1"/>
  <c r="BW174" i="1"/>
  <c r="H174" i="1"/>
  <c r="BW185" i="1"/>
  <c r="H185" i="1"/>
  <c r="Q185" i="5"/>
  <c r="R185" i="5"/>
  <c r="P185" i="5"/>
  <c r="BW71" i="1"/>
  <c r="BW16" i="1"/>
  <c r="BW157" i="1"/>
  <c r="BW153" i="1"/>
  <c r="BW148" i="1"/>
  <c r="BW159" i="1"/>
  <c r="BW143" i="1"/>
  <c r="BW74" i="1"/>
  <c r="BW151" i="1"/>
  <c r="BW120" i="1"/>
  <c r="BW51" i="1"/>
  <c r="BW4" i="1"/>
  <c r="BW7" i="1"/>
  <c r="BW3" i="1"/>
  <c r="BW86" i="1"/>
  <c r="BW19" i="1"/>
  <c r="BW6" i="1"/>
  <c r="BW142" i="1"/>
  <c r="BW14" i="1"/>
  <c r="BW149" i="1"/>
  <c r="BW139" i="1"/>
  <c r="BW132" i="1"/>
  <c r="BW145" i="1"/>
  <c r="BW147" i="1"/>
  <c r="BW141" i="1"/>
  <c r="BW154" i="1"/>
  <c r="BW146" i="1"/>
  <c r="BW155" i="1"/>
  <c r="BW156" i="1"/>
  <c r="BW15" i="1"/>
  <c r="BW152" i="1"/>
  <c r="BW144" i="1"/>
  <c r="BQ71" i="1"/>
  <c r="BN71" i="1" s="1"/>
  <c r="BQ92" i="1"/>
  <c r="BN92" i="1" s="1"/>
  <c r="BQ40" i="1"/>
  <c r="BN40" i="1" s="1"/>
  <c r="BL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H191" i="1" l="1"/>
  <c r="BW191" i="1"/>
  <c r="BQ85" i="1"/>
  <c r="BN85" i="1" s="1"/>
  <c r="BQ118" i="1"/>
  <c r="BN118" i="1" s="1"/>
  <c r="BQ130" i="1"/>
  <c r="BN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AV182" i="3" l="1"/>
  <c r="BR198" i="1" s="1"/>
  <c r="AV183" i="3" l="1"/>
  <c r="AV188" i="3"/>
  <c r="AV102" i="3"/>
  <c r="BW198" i="1"/>
  <c r="H198" i="1"/>
  <c r="AV180" i="3"/>
  <c r="BR180" i="1" s="1"/>
  <c r="AV169" i="3"/>
  <c r="BR169" i="1" s="1"/>
  <c r="H169" i="1" s="1"/>
  <c r="BR189" i="1"/>
  <c r="H189" i="1" s="1"/>
  <c r="BR181" i="1"/>
  <c r="H181" i="1" s="1"/>
  <c r="AV168" i="3"/>
  <c r="BR168" i="1" s="1"/>
  <c r="H168" i="1" s="1"/>
  <c r="AV98" i="3"/>
  <c r="BR98" i="1" s="1"/>
  <c r="H98" i="1" s="1"/>
  <c r="AV170" i="3"/>
  <c r="BR170" i="1" s="1"/>
  <c r="H170" i="1" s="1"/>
  <c r="AV167" i="3"/>
  <c r="BR167" i="1" s="1"/>
  <c r="H167" i="1" s="1"/>
  <c r="AV34" i="3"/>
  <c r="BR34" i="1" s="1"/>
  <c r="H34" i="1" s="1"/>
  <c r="AV105" i="3"/>
  <c r="BR105" i="1" s="1"/>
  <c r="H105" i="1" s="1"/>
  <c r="AV160" i="3"/>
  <c r="BR160" i="1" s="1"/>
  <c r="H160" i="1" s="1"/>
  <c r="AV107" i="3"/>
  <c r="BR107" i="1" s="1"/>
  <c r="H107" i="1" s="1"/>
  <c r="BR102" i="1"/>
  <c r="H102" i="1" s="1"/>
  <c r="AV80" i="3"/>
  <c r="AV122" i="3"/>
  <c r="AV81" i="3"/>
  <c r="AV106" i="3"/>
  <c r="AV92" i="3"/>
  <c r="AV91" i="3"/>
  <c r="AV127" i="3"/>
  <c r="BR204" i="1" s="1"/>
  <c r="AV103" i="3"/>
  <c r="AV101" i="3"/>
  <c r="AV108" i="3"/>
  <c r="AV28" i="3"/>
  <c r="AV104" i="3"/>
  <c r="AV113" i="3"/>
  <c r="AV27" i="3"/>
  <c r="H204" i="1" l="1"/>
  <c r="BW204" i="1"/>
  <c r="BW189" i="1"/>
  <c r="BR186" i="1"/>
  <c r="H186" i="1" s="1"/>
  <c r="BR199" i="1"/>
  <c r="H180" i="1"/>
  <c r="BW180" i="1"/>
  <c r="BW34" i="1"/>
  <c r="BW181" i="1"/>
  <c r="BW186" i="1"/>
  <c r="BW102" i="1"/>
  <c r="BW98" i="1"/>
  <c r="BR103" i="1"/>
  <c r="H103" i="1" s="1"/>
  <c r="BR101" i="1"/>
  <c r="H101" i="1" s="1"/>
  <c r="BR127" i="1"/>
  <c r="H127" i="1" s="1"/>
  <c r="BR92" i="1"/>
  <c r="H92" i="1" s="1"/>
  <c r="BR108" i="1"/>
  <c r="H108" i="1" s="1"/>
  <c r="BR106" i="1"/>
  <c r="H106" i="1" s="1"/>
  <c r="BR104" i="1"/>
  <c r="H104" i="1" s="1"/>
  <c r="BR91" i="1"/>
  <c r="H91" i="1" s="1"/>
  <c r="BR81" i="1"/>
  <c r="H81" i="1" s="1"/>
  <c r="BR122" i="1"/>
  <c r="H122" i="1" s="1"/>
  <c r="BR28" i="1"/>
  <c r="H28" i="1" s="1"/>
  <c r="BR27" i="1"/>
  <c r="H27" i="1" s="1"/>
  <c r="BR113" i="1"/>
  <c r="H113" i="1" s="1"/>
  <c r="BR80" i="1"/>
  <c r="H80" i="1" s="1"/>
  <c r="AN2" i="1"/>
  <c r="BS2" i="1"/>
  <c r="BW199" i="1" l="1"/>
  <c r="H199" i="1"/>
  <c r="BW92" i="1"/>
  <c r="BW28" i="1"/>
  <c r="BW113" i="1"/>
  <c r="BW91" i="1"/>
  <c r="BW122" i="1"/>
  <c r="BW81" i="1"/>
  <c r="BW101" i="1"/>
  <c r="BN2" i="1"/>
  <c r="A2" i="1"/>
  <c r="AT2" i="1" s="1"/>
  <c r="AU2" i="1" s="1"/>
  <c r="F39" i="9" l="1"/>
  <c r="B39" i="9"/>
  <c r="F40" i="9"/>
  <c r="B40" i="9"/>
  <c r="B38" i="9"/>
  <c r="F37" i="9"/>
  <c r="F38" i="9"/>
  <c r="B37" i="9"/>
  <c r="B36" i="9"/>
  <c r="F36" i="9"/>
  <c r="B35" i="9"/>
  <c r="F35" i="9"/>
  <c r="B34" i="9"/>
  <c r="F34" i="9"/>
  <c r="D24" i="14"/>
  <c r="E24" i="14" s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V2" i="3" l="1"/>
  <c r="V2" i="3"/>
  <c r="AX2" i="3" s="1"/>
  <c r="AD2" i="1" s="1"/>
  <c r="AU2" i="3"/>
  <c r="O2" i="5" l="1"/>
  <c r="P2" i="5" s="1"/>
  <c r="BN2" i="3"/>
  <c r="AE2" i="1"/>
  <c r="AH2" i="1"/>
  <c r="AG2" i="1"/>
  <c r="AF2" i="1"/>
  <c r="BR2" i="1" l="1"/>
  <c r="H2" i="1" s="1"/>
  <c r="R2" i="5"/>
  <c r="Q2" i="5"/>
  <c r="B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7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9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927F4DF0-6D6D-4BE7-88B4-918A9F4B2AC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1A29B980-AAD3-4A74-9C92-28FF5F184C5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2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4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5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8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8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9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9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0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0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1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1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1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2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2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2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3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3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3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3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5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5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6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6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42976014-22A1-4F0D-8DAE-E88BF3AFA66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1933C626-312C-4C71-913B-3E1330C172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3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4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434B55CA-A246-4673-AEAD-24AC0D651E9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5" authorId="0" shapeId="0" xr:uid="{CD4227A0-7193-4CF8-BA6F-5C5FCFD960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5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6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6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7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7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8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8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8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8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9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9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9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B49C2E9B-FC07-4BE1-9F37-976A9E5568AC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0" authorId="0" shapeId="0" xr:uid="{CD0D181E-7E85-42AA-9D38-E08EB55C7FA7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0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1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1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2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62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62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3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3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3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3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4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4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4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4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5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5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5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5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1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2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3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3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5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6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6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6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7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88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88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9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89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89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0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0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1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1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2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<sst xmlns="http://schemas.openxmlformats.org/spreadsheetml/2006/main" count="5971" uniqueCount="1391">
  <si>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</si>
  <si>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</si>
  <si>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</si>
  <si>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</si>
  <si>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</si>
  <si>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</si>
  <si>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</si>
  <si>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</si>
  <si>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</si>
  <si>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</si>
  <si>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</si>
  <si>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</si>
  <si>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</si>
  <si>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</si>
  <si>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</si>
  <si>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</si>
  <si>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</si>
  <si>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</si>
  <si>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</si>
  <si>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</si>
  <si>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</si>
  <si>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</si>
  <si>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</si>
  <si>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</si>
  <si>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</si>
  <si>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</si>
  <si>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</si>
  <si>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</si>
  <si>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</si>
  <si>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</si>
  <si>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</si>
  <si>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</si>
  <si>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</si>
  <si>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</si>
  <si>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</si>
  <si>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</si>
  <si>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</si>
  <si>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</si>
  <si>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</si>
  <si>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</si>
  <si>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</si>
  <si>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</si>
  <si>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</si>
  <si>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</si>
  <si>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</si>
  <si>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</si>
  <si>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</si>
  <si>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</si>
  <si>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</si>
  <si>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</si>
  <si>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</si>
  <si>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</si>
  <si>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</si>
  <si>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</si>
  <si>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</si>
  <si>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</si>
  <si>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</si>
  <si>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</si>
  <si>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</si>
  <si>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</si>
  <si>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</si>
  <si>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</si>
  <si>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</si>
  <si>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</si>
  <si>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</si>
  <si>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</si>
  <si>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</si>
  <si>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</si>
  <si>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</si>
  <si>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</si>
  <si>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</si>
  <si>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</si>
  <si>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</si>
  <si>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</si>
  <si>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</si>
  <si>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</si>
  <si>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</si>
  <si>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</si>
  <si>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</si>
  <si>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</si>
  <si>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</si>
  <si>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</si>
  <si>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</si>
  <si>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</si>
  <si>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</si>
  <si>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</si>
  <si>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</si>
  <si>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</si>
  <si>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</si>
  <si>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</si>
  <si>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</si>
  <si>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</si>
  <si>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</si>
  <si>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</si>
  <si>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</si>
  <si>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</si>
  <si>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</si>
  <si>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</si>
  <si>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</si>
  <si>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</si>
  <si>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</si>
  <si>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</si>
  <si>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</si>
  <si>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</si>
  <si>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</si>
  <si>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</si>
  <si>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</si>
  <si>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</si>
  <si>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</si>
  <si>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</si>
  <si>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</si>
  <si>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</si>
  <si>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</si>
  <si>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</si>
  <si>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</si>
  <si>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</si>
  <si>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</si>
  <si>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</si>
  <si>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</si>
  <si>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</si>
  <si>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</si>
  <si>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</si>
  <si>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</si>
  <si>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</si>
  <si>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</si>
  <si>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</si>
  <si>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</si>
  <si>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</si>
  <si>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</si>
  <si>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</si>
  <si>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</si>
  <si>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</si>
  <si>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</si>
  <si>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</si>
  <si>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</si>
  <si>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</si>
  <si>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</si>
  <si>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</si>
  <si>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</si>
  <si>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</si>
  <si>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</si>
  <si>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</si>
  <si>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</si>
  <si>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</si>
  <si>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</si>
  <si>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</si>
  <si>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</si>
  <si>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</si>
  <si>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</si>
  <si>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</si>
  <si>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</si>
  <si>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</si>
  <si>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</si>
  <si>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</si>
  <si>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</si>
  <si>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</si>
  <si>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</si>
  <si>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</si>
  <si>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</si>
  <si>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</si>
  <si>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</si>
  <si>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</si>
  <si>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</si>
  <si>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</si>
  <si>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</si>
  <si>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</si>
  <si>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</si>
  <si>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</si>
  <si>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</si>
  <si>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</si>
  <si>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</si>
  <si>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</si>
  <si>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</si>
  <si>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</si>
  <si>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</si>
  <si>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</si>
  <si>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</si>
  <si>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</si>
  <si>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</si>
  <si>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</si>
  <si>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</si>
  <si>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</si>
  <si>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</si>
  <si>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</si>
  <si>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</si>
  <si>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</si>
  <si>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</si>
  <si>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</si>
  <si>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</si>
  <si>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</si>
  <si>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</si>
  <si>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</si>
  <si>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</si>
  <si>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</si>
  <si>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</si>
  <si>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</si>
  <si>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</si>
  <si>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</si>
  <si>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</si>
  <si>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</si>
  <si>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</si>
  <si>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</si>
  <si>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</si>
  <si>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</si>
  <si>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</si>
  <si>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</si>
  <si>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</si>
  <si>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</si>
  <si>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</si>
  <si>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</si>
  <si>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</si>
  <si>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</si>
  <si>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</si>
  <si>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</si>
  <si>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</si>
  <si>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</si>
  <si>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</si>
  <si>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</si>
  <si>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</si>
  <si>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</si>
  <si>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</si>
  <si>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</si>
  <si>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</si>
  <si>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</si>
  <si>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</si>
  <si>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</si>
  <si>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</si>
  <si>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</si>
  <si>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</si>
  <si>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</si>
  <si>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</si>
  <si>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</si>
  <si>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</si>
  <si>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</si>
  <si>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</si>
  <si>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</si>
  <si>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</si>
  <si>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</si>
  <si>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</si>
  <si>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</si>
  <si>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</si>
  <si>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</si>
  <si>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</si>
  <si>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</si>
  <si>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</si>
  <si>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</si>
  <si>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</si>
  <si>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</si>
  <si>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</si>
  <si>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</si>
  <si>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</si>
  <si>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</si>
  <si>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</si>
  <si>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</si>
  <si>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</si>
  <si>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</si>
  <si>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</si>
  <si>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</si>
  <si>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</si>
  <si>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</si>
  <si>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</si>
  <si>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</si>
  <si>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</si>
  <si>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</si>
  <si>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</si>
  <si>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</si>
  <si>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</si>
  <si>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</si>
  <si>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</si>
  <si>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</si>
  <si>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</si>
  <si>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</si>
  <si>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</si>
  <si>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</si>
  <si>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</si>
  <si>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</si>
  <si>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</si>
  <si>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</si>
  <si>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</si>
  <si>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</si>
  <si>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</si>
  <si>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</si>
  <si>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</si>
  <si>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</si>
  <si>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</si>
  <si>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</si>
  <si>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</si>
  <si>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</si>
  <si>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</si>
  <si>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</si>
  <si>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</si>
  <si>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</si>
  <si>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</si>
  <si>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</si>
  <si>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</si>
  <si>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</si>
  <si>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</si>
  <si>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</si>
  <si>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</si>
  <si>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</si>
  <si>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</si>
  <si>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</si>
  <si>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</si>
  <si>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</si>
  <si>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</si>
  <si>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</si>
  <si>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</si>
  <si>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</si>
  <si>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</si>
  <si>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</si>
  <si>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</si>
  <si>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</si>
  <si>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</si>
  <si>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</si>
  <si>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</si>
  <si>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</si>
  <si>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</si>
  <si>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</si>
  <si>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</si>
  <si>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</si>
  <si>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</si>
  <si>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</si>
  <si>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</si>
  <si>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</si>
  <si>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</si>
  <si>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</si>
  <si>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</si>
  <si>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</si>
  <si>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</si>
  <si>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</si>
  <si>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</si>
  <si>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</si>
  <si>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</si>
  <si>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</si>
  <si>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</si>
  <si>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</si>
  <si>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</si>
  <si>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</si>
  <si>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</si>
  <si>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</si>
  <si>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</si>
  <si>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</si>
  <si>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</si>
  <si>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</si>
  <si>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</si>
  <si>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</si>
  <si>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</si>
  <si>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</si>
  <si>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</si>
  <si>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</si>
  <si>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</si>
  <si>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</si>
  <si>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</si>
  <si>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</si>
  <si>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</si>
  <si>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</si>
  <si>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</si>
  <si>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</si>
  <si>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</si>
  <si>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</si>
  <si>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</si>
  <si>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</si>
  <si>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</si>
  <si>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</si>
  <si>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</si>
  <si>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</si>
  <si>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</si>
  <si>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</si>
  <si>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</si>
  <si>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</si>
  <si>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</si>
  <si>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</si>
  <si>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</si>
  <si>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</si>
  <si>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</si>
  <si>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</si>
  <si>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</si>
  <si>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</si>
  <si>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</si>
  <si>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</si>
  <si>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</si>
  <si>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</si>
  <si>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</si>
  <si>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</si>
  <si>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</si>
  <si>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</si>
  <si>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</si>
  <si>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</si>
  <si>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</si>
  <si>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</si>
  <si>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</si>
  <si>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</si>
  <si>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</si>
  <si>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</si>
  <si>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</si>
  <si>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</si>
  <si>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</si>
  <si>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</si>
  <si>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</si>
  <si>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</si>
  <si>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</si>
  <si>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</si>
  <si>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</si>
  <si>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</si>
  <si>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</si>
  <si>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</si>
  <si>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</si>
  <si>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</si>
  <si>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</si>
  <si>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</si>
  <si>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</si>
  <si>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</si>
  <si>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</si>
  <si>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</si>
  <si>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</si>
  <si>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</si>
  <si>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</si>
  <si>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</si>
  <si>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</si>
  <si>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</si>
  <si>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</si>
  <si>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</si>
  <si>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</si>
  <si>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</si>
  <si>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</si>
  <si>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</si>
  <si>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</si>
  <si>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</si>
  <si>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</si>
  <si>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</si>
  <si>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</si>
  <si>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</si>
  <si>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</si>
  <si>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</si>
  <si>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</si>
  <si>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</si>
  <si>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</si>
  <si>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</si>
  <si>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</si>
  <si>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</si>
  <si>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</si>
  <si>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</si>
  <si>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</si>
  <si>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</si>
  <si>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</si>
  <si>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</si>
  <si>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</si>
  <si>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</si>
  <si>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</si>
  <si>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</si>
  <si>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</si>
  <si>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</si>
  <si>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</si>
  <si>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</si>
  <si>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</si>
  <si>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</si>
  <si>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</si>
  <si>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</si>
  <si>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</si>
  <si>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</si>
  <si>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</si>
  <si>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</si>
  <si>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</si>
  <si>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</si>
  <si>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</si>
  <si>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</si>
  <si>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</si>
  <si>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</si>
  <si>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</si>
  <si>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</si>
  <si>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</si>
  <si>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</si>
  <si>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</si>
  <si>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</si>
  <si>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</si>
  <si>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</si>
  <si>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</si>
  <si>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</si>
  <si>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</si>
  <si>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</si>
  <si>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</si>
  <si>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</si>
  <si>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</si>
  <si>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</si>
  <si>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</si>
  <si>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</si>
  <si>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</si>
  <si>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</si>
  <si>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</si>
  <si>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</si>
  <si>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</si>
  <si>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</si>
  <si>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</si>
  <si>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</si>
  <si>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</si>
  <si>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</si>
  <si>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</si>
  <si>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</si>
  <si>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</si>
  <si>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</si>
  <si>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</si>
  <si>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</si>
  <si>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</si>
  <si>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</si>
  <si>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</si>
  <si>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</si>
  <si>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</si>
  <si>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</si>
  <si>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</si>
  <si>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</si>
  <si>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</si>
  <si>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</si>
  <si>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</si>
  <si>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</si>
  <si>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</si>
  <si>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</si>
  <si>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</si>
  <si>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</si>
  <si>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</si>
  <si>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</si>
  <si>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</si>
  <si>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</si>
  <si>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</si>
  <si>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</si>
  <si>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</si>
  <si>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</si>
  <si>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</si>
  <si>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</si>
  <si>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</si>
  <si>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</si>
  <si>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</si>
  <si>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</si>
  <si>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</si>
  <si>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</si>
  <si>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</si>
  <si>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</si>
  <si>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</si>
  <si>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</si>
  <si>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</si>
  <si>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</si>
  <si>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</si>
  <si>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</si>
  <si>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</si>
  <si>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</si>
  <si>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</si>
  <si>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</si>
  <si>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</si>
  <si>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</si>
  <si>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</si>
  <si>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</si>
  <si>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</si>
  <si>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</si>
  <si>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</si>
  <si>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</si>
  <si>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</si>
  <si>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</si>
  <si>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</si>
  <si>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</si>
  <si>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</si>
  <si>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</si>
  <si>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</si>
  <si>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</si>
  <si>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</si>
  <si>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</si>
  <si>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</si>
  <si>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</si>
  <si>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</si>
  <si>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</si>
  <si>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</si>
  <si>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</si>
  <si>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</si>
  <si>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</si>
  <si>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</si>
  <si>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</si>
  <si>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</si>
  <si>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</si>
  <si>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</si>
  <si>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</si>
  <si>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</si>
  <si>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</si>
  <si>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</si>
  <si>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</si>
  <si>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</si>
  <si>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</si>
  <si>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</si>
  <si>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</si>
  <si>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</si>
  <si>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</si>
  <si>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</si>
  <si>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</si>
  <si>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</si>
  <si>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</si>
  <si>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</si>
  <si>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</si>
  <si>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</si>
  <si>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</si>
  <si>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</si>
  <si>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</si>
  <si>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</si>
  <si>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</si>
  <si>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</si>
  <si>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</si>
  <si>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</si>
  <si>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</si>
  <si>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</si>
  <si>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</si>
  <si>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</si>
  <si>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</si>
  <si>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</si>
  <si>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</si>
  <si>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</si>
  <si>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</si>
  <si>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</si>
  <si>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</si>
  <si>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</si>
  <si>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</si>
  <si>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</si>
  <si>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</si>
  <si>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</si>
  <si>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</si>
  <si>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</si>
  <si>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</si>
  <si>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</si>
  <si>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</si>
  <si>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</si>
  <si>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</si>
  <si>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</si>
  <si>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</si>
  <si>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</si>
  <si>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</si>
  <si>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</si>
  <si>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</si>
  <si>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</si>
  <si>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</si>
  <si>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</si>
  <si>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</si>
  <si>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</si>
  <si>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</si>
  <si>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</si>
  <si>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</si>
  <si>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</si>
  <si>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</si>
  <si>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</si>
  <si>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</si>
  <si>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</si>
  <si>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</si>
  <si>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</si>
  <si>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</si>
  <si>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</si>
  <si>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</si>
  <si>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</si>
  <si>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</si>
  <si>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</si>
  <si>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</si>
  <si>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</si>
  <si>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</si>
  <si>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</si>
  <si>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</si>
  <si>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</si>
  <si>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</si>
  <si>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</si>
  <si>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</si>
  <si>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</si>
  <si>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</si>
  <si>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</si>
  <si>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</si>
  <si>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</si>
  <si>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</si>
  <si>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</si>
  <si>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</si>
  <si>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</si>
  <si>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</si>
  <si>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</si>
  <si>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</si>
  <si>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</si>
  <si>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</si>
  <si>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</si>
  <si>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</si>
  <si>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</si>
  <si>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</si>
  <si>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</si>
  <si>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</si>
  <si>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</si>
  <si>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</si>
  <si>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</si>
  <si>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</si>
  <si>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</si>
  <si>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</si>
  <si>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</si>
  <si>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</si>
  <si>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</si>
  <si>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</si>
  <si>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</si>
  <si>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</si>
  <si>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</si>
  <si>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</si>
  <si>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</si>
  <si>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</si>
  <si>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</si>
  <si>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</si>
  <si>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</si>
  <si>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</si>
  <si>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</si>
  <si>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</si>
  <si>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</si>
  <si>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</si>
  <si>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</si>
  <si>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</si>
  <si>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</si>
  <si>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</si>
  <si>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</si>
  <si>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</si>
  <si>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</si>
  <si>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</si>
  <si>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</si>
  <si>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</si>
  <si>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</si>
  <si>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</si>
  <si>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</si>
  <si>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</si>
  <si>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</si>
  <si>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</si>
  <si>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</si>
  <si>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</si>
  <si>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</si>
  <si>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</si>
  <si>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</si>
  <si>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</si>
  <si>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</si>
  <si>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</si>
  <si>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</si>
  <si>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</si>
  <si>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</si>
  <si>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</si>
  <si>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</si>
  <si>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</si>
  <si>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</si>
  <si>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</si>
  <si>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</si>
  <si>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</si>
  <si>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</si>
  <si>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</si>
  <si>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</si>
  <si>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</si>
  <si>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</si>
  <si>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</si>
  <si>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</si>
  <si>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</si>
  <si>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</si>
  <si>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</si>
  <si>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</si>
  <si>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</si>
  <si>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</si>
  <si>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</si>
  <si>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</si>
  <si>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</si>
  <si>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</si>
  <si>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</si>
  <si>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</si>
  <si>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</si>
  <si>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</si>
  <si>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</si>
  <si>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</si>
  <si>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</si>
  <si>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</si>
  <si>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</si>
  <si>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</si>
  <si>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</si>
  <si>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</si>
  <si>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</si>
  <si>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</si>
  <si>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</si>
  <si>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</si>
  <si>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</si>
  <si>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</si>
  <si>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</si>
  <si>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</si>
  <si>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</si>
  <si>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</si>
  <si>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</si>
  <si>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</si>
  <si>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</si>
  <si>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</si>
  <si>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</si>
  <si>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</si>
  <si>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</si>
  <si>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</si>
  <si>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</si>
  <si>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</si>
  <si>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</si>
  <si>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</si>
  <si>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</si>
  <si>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</si>
  <si>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</si>
  <si>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</si>
  <si>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</si>
  <si>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</si>
  <si>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</si>
  <si>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</si>
  <si>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</si>
  <si>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</si>
  <si>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</si>
  <si>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</si>
  <si>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</si>
  <si>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</si>
  <si>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</si>
  <si>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</si>
  <si>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</si>
  <si>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</si>
  <si>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</si>
  <si>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</si>
  <si>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</si>
  <si>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</si>
  <si>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</si>
  <si>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</si>
  <si>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</si>
  <si>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</si>
  <si>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</si>
  <si>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</si>
  <si>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</si>
  <si>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</si>
  <si>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</si>
  <si>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</si>
  <si>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</si>
  <si>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</si>
  <si>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</si>
  <si>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</si>
  <si>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</si>
  <si>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</si>
  <si>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</si>
  <si>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</si>
  <si>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</si>
  <si>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</si>
  <si>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</si>
  <si>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</si>
  <si>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</si>
  <si>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</si>
  <si>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</si>
  <si>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</si>
  <si>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</si>
  <si>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</si>
  <si>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</si>
  <si>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</si>
  <si>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</si>
  <si>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</si>
  <si>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</si>
  <si>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</si>
  <si>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</si>
  <si>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</si>
  <si>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</si>
  <si>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</si>
  <si>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</si>
  <si>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</si>
  <si>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</si>
  <si>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</si>
  <si>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</si>
  <si>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</si>
  <si>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</si>
  <si>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</si>
  <si>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</si>
  <si>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</si>
  <si>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</si>
  <si>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</si>
  <si>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</si>
  <si>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</si>
  <si>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</si>
  <si>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</si>
  <si>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</si>
  <si>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</si>
  <si>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</si>
  <si>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</si>
  <si>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</si>
  <si>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</si>
  <si>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</si>
  <si>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</si>
  <si>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</si>
  <si>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</si>
  <si>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</si>
  <si>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</si>
  <si>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</si>
  <si>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</si>
  <si>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</si>
  <si>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</si>
  <si>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</si>
  <si>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</si>
  <si>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</si>
  <si>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</si>
  <si>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</si>
  <si>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</si>
  <si>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</si>
  <si>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</si>
  <si>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</si>
  <si>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</si>
  <si>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</si>
  <si>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</si>
  <si>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</si>
  <si>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</si>
  <si>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</si>
  <si>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</si>
  <si>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</si>
  <si>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</si>
  <si>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</si>
  <si>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</si>
  <si>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</si>
  <si>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</si>
  <si>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</si>
  <si>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</si>
  <si>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</si>
  <si>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</si>
  <si>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</si>
  <si>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</si>
  <si>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</si>
  <si>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</si>
  <si>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</si>
  <si>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</si>
  <si>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</si>
  <si>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</si>
  <si>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</si>
  <si>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</si>
  <si>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</si>
  <si>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</si>
  <si>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</si>
  <si>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</si>
  <si>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</si>
  <si>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</si>
  <si>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</si>
  <si>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</si>
  <si>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</si>
  <si>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</si>
  <si>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</si>
  <si>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</si>
  <si>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</si>
  <si>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</si>
  <si>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</si>
  <si>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</si>
  <si>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</si>
  <si>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</si>
  <si>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</si>
  <si>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</si>
  <si>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</si>
  <si>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</si>
  <si>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</si>
  <si>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</si>
  <si>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</si>
  <si>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</si>
  <si>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</si>
  <si>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</si>
  <si>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</si>
  <si>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</si>
  <si>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</si>
  <si>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</si>
  <si>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</si>
  <si>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</si>
  <si>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</si>
  <si>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</si>
  <si>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</si>
  <si>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</si>
  <si>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</si>
  <si>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</si>
  <si>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</si>
  <si>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</si>
  <si>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</si>
  <si>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</si>
  <si>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</si>
  <si>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</si>
  <si>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</si>
  <si>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</si>
  <si>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</si>
  <si>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</si>
  <si>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</si>
  <si>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</si>
  <si>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</si>
  <si>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</si>
  <si>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</si>
  <si>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</si>
  <si>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</si>
  <si>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</si>
  <si>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</si>
  <si>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</si>
  <si>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</si>
  <si>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</si>
  <si>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</si>
  <si>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</si>
  <si>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</si>
  <si>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</si>
  <si>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</si>
  <si>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</si>
  <si>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</si>
  <si>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</si>
  <si>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</si>
  <si>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</si>
  <si>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</si>
  <si>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</si>
  <si>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</si>
  <si>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</si>
  <si>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</si>
  <si>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</si>
  <si>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</si>
  <si>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</si>
  <si>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</si>
  <si>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</si>
  <si>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</si>
  <si>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</si>
  <si>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</si>
  <si>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</si>
  <si>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</si>
  <si>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</si>
  <si>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</si>
  <si>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</si>
  <si>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</si>
  <si>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</si>
  <si>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</si>
  <si>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</si>
  <si>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</si>
  <si>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</si>
  <si>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</si>
  <si>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</si>
  <si>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</si>
  <si>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</si>
  <si>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</si>
  <si>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</si>
  <si>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</si>
  <si>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</si>
  <si>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</si>
  <si>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</si>
  <si>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</si>
  <si>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</si>
  <si>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</si>
  <si>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</si>
  <si>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</si>
  <si>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</si>
  <si>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</si>
  <si>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</si>
  <si>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</si>
  <si>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</si>
  <si>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</si>
  <si>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</si>
  <si>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</si>
  <si>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</si>
  <si>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</si>
  <si>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</si>
  <si>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</si>
  <si>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</si>
  <si>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</si>
  <si>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</si>
  <si>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</si>
  <si>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</si>
  <si>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</si>
  <si>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</si>
  <si>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</si>
  <si>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</si>
  <si>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</si>
  <si>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</si>
  <si>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</si>
  <si>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</si>
  <si>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</si>
  <si>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</si>
  <si>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</si>
  <si>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</si>
  <si>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</si>
  <si>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</si>
  <si>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</si>
  <si>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</si>
  <si>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</si>
  <si>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</si>
  <si>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</si>
  <si>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</si>
  <si>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</si>
  <si>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</si>
  <si>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</si>
  <si>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</si>
  <si>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</si>
  <si>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</si>
  <si>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</si>
  <si>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</si>
  <si>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</si>
  <si>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</si>
  <si>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</si>
  <si>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</si>
  <si>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</si>
  <si>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</si>
  <si>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</si>
  <si>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</si>
  <si>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</si>
  <si>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</si>
  <si>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</si>
  <si>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</si>
  <si>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</si>
  <si>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</si>
  <si>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</si>
  <si>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</si>
  <si>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</si>
  <si>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</si>
  <si>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</si>
  <si>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</si>
  <si>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</si>
  <si>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</si>
  <si>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</si>
  <si>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</si>
  <si>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</si>
  <si>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</si>
  <si>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</si>
  <si>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</si>
  <si>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</si>
  <si>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</si>
  <si>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</si>
  <si>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</si>
  <si>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</si>
  <si>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</si>
  <si>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</si>
  <si>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</si>
  <si>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</si>
  <si>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</si>
  <si>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</si>
  <si>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</si>
  <si>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</si>
  <si>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</si>
  <si>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</si>
  <si>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</si>
  <si>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</si>
  <si>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</si>
  <si>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</si>
  <si>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</si>
  <si>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</si>
  <si>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</si>
  <si>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</si>
  <si>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</si>
  <si>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</si>
  <si>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</si>
  <si>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</si>
  <si>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</si>
  <si>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</si>
  <si>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</si>
  <si>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</si>
  <si>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</si>
  <si>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</si>
  <si>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</si>
  <si>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</si>
  <si>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</si>
  <si>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</si>
  <si>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</si>
  <si>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</si>
  <si>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</si>
  <si>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</si>
  <si>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</si>
  <si>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</si>
  <si>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</si>
  <si>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</si>
  <si>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</si>
  <si>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</si>
  <si>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</si>
  <si>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</si>
  <si>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</si>
  <si>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</si>
  <si>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</si>
  <si>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</si>
  <si>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</si>
  <si>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</si>
  <si>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</si>
  <si>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</si>
  <si>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</si>
  <si>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</si>
  <si>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</si>
  <si>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</si>
  <si>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</si>
  <si>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</si>
  <si>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</si>
  <si>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</si>
  <si>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</si>
  <si>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</si>
  <si>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</si>
  <si>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</si>
  <si>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</si>
  <si>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</si>
  <si>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</si>
  <si>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</si>
  <si>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</si>
  <si>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</si>
  <si>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</si>
  <si>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</si>
  <si>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</si>
  <si>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</si>
  <si>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</si>
  <si>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</si>
  <si>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</si>
  <si>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</si>
  <si>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</si>
  <si>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</si>
  <si>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</si>
  <si>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</si>
  <si>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</si>
  <si>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</si>
  <si>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</si>
  <si>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</si>
  <si>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</si>
  <si>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</si>
  <si>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</si>
  <si>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</si>
  <si>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</si>
  <si>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</si>
  <si>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</si>
  <si>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</si>
  <si>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</si>
  <si>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</si>
  <si>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</si>
  <si>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</si>
  <si>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</si>
  <si>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</si>
  <si>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</si>
  <si>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</si>
  <si>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</si>
  <si>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</si>
  <si>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</si>
  <si>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</si>
  <si>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</si>
  <si>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</si>
  <si>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</si>
  <si>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</si>
  <si>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</si>
  <si>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</si>
  <si>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</si>
  <si>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</si>
  <si>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</si>
  <si>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</si>
  <si>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</si>
  <si>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</si>
  <si>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</si>
  <si>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</si>
  <si>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</si>
  <si>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</si>
  <si>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</si>
  <si>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</si>
  <si>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</si>
  <si>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</si>
  <si>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</si>
  <si>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</si>
  <si>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</si>
  <si>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</si>
  <si>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</si>
  <si>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</si>
  <si>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</si>
  <si>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</si>
  <si>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</si>
  <si>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</si>
  <si>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</si>
  <si>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</si>
  <si>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</si>
  <si>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</si>
  <si>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</si>
  <si>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</si>
  <si>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</si>
  <si>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</si>
  <si>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</si>
  <si>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</si>
  <si>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</si>
  <si>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</si>
  <si>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</si>
  <si>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</si>
  <si>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</si>
  <si>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</si>
  <si>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</si>
  <si>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</si>
  <si>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</si>
  <si>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</si>
  <si>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</si>
  <si>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</si>
  <si>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</si>
  <si>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</si>
  <si>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</si>
  <si>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</si>
  <si>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</si>
  <si>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</si>
  <si>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</si>
  <si>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</si>
  <si>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</si>
  <si>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</si>
  <si>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</si>
  <si>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</si>
  <si>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</si>
  <si>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</si>
  <si>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</si>
  <si>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</si>
  <si>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</si>
  <si>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</si>
  <si>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</si>
  <si>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</si>
  <si>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</si>
  <si>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</si>
  <si>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</si>
  <si>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</si>
  <si>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</si>
  <si>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</si>
  <si>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</si>
  <si>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</si>
  <si>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</si>
  <si>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</si>
  <si>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</si>
  <si>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</si>
  <si>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</si>
  <si>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</si>
  <si>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</si>
  <si>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</si>
  <si>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</si>
  <si>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</si>
  <si>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</si>
  <si>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</si>
  <si>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</si>
  <si>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</si>
  <si>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</si>
  <si>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</si>
  <si>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</si>
  <si>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</si>
  <si>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</si>
  <si>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</si>
  <si>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</si>
  <si>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</si>
  <si>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</si>
  <si>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</si>
  <si>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</si>
  <si>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</si>
  <si>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</si>
  <si>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</si>
  <si>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</si>
  <si>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</si>
  <si>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</si>
  <si>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</si>
  <si>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</si>
  <si>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</si>
  <si>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</si>
  <si>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</si>
  <si>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</si>
  <si>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</si>
  <si>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</si>
  <si>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</si>
  <si>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</si>
  <si>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</si>
  <si>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</si>
  <si>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</si>
  <si>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</si>
  <si>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</si>
  <si>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</si>
  <si>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</si>
  <si>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</si>
  <si>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</si>
  <si>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</si>
  <si>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</si>
  <si>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</si>
  <si>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</si>
  <si>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</si>
  <si>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</si>
  <si>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</si>
  <si>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</si>
  <si>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</si>
  <si>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</si>
  <si>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</si>
  <si>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</si>
  <si>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</si>
  <si>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</si>
  <si>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</si>
  <si>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</si>
  <si>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</si>
  <si>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</si>
  <si>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</si>
  <si>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</si>
  <si>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</si>
  <si>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</si>
  <si>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</si>
  <si>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</si>
  <si>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</si>
  <si>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</si>
  <si>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</si>
  <si>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</si>
  <si>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</si>
  <si>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Snake (three-headed)</t>
  </si>
  <si>
    <t>Hydra</t>
  </si>
  <si>
    <t>Ruminant (bovid, two-headed)</t>
  </si>
  <si>
    <t>Wasteffalo_Body</t>
  </si>
  <si>
    <t>LeftPincer, RightPincer</t>
  </si>
  <si>
    <t>UseMeatFrom</t>
  </si>
  <si>
    <t>useMeatFrom</t>
  </si>
  <si>
    <t>ToxicLeather</t>
  </si>
  <si>
    <t>VAEWaste_Sting</t>
  </si>
  <si>
    <t>Ruminant (cervid, two-headed)</t>
  </si>
  <si>
    <t>isUntameable</t>
  </si>
  <si>
    <t>ScorpionLike (Waste)</t>
  </si>
  <si>
    <t>Felid (Waste)</t>
  </si>
  <si>
    <t>chelicerae</t>
  </si>
  <si>
    <t>Dig, Zoology_DraftControl</t>
  </si>
  <si>
    <t>Forage, Zoology_DraftControl</t>
  </si>
  <si>
    <t>Zoology_DraftControl</t>
  </si>
  <si>
    <t>Health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</si>
</sst>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 refreshError="1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70"/>
  <sheetViews>
    <sheetView zoomScale="85" zoomScaleNormal="85" workbookViewId="0">
      <pane xSplit="1" topLeftCell="T1" activePane="topRight" state="frozen"/>
      <selection pane="topRight" activeCell="AV75" sqref="AV75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1136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1137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1144</v>
      </c>
      <c r="BB1" s="43" t="s">
        <v>1143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1151</v>
      </c>
      <c r="BL1" s="39" t="s">
        <v>1152</v>
      </c>
      <c r="BM1" s="39" t="s">
        <v>1153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1154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1155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1370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H12/1000/AVERAGE(4.6)</f>
        <v>2.065217391304348E-2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>
        <v>3</v>
      </c>
      <c r="V12" s="4">
        <v>1.3</v>
      </c>
      <c r="W12" s="4" t="s">
        <v>1372</v>
      </c>
      <c r="X12" s="4" t="s">
        <v>986</v>
      </c>
      <c r="Y12" s="4" t="s">
        <v>1372</v>
      </c>
      <c r="Z12" s="4">
        <v>1.2</v>
      </c>
      <c r="AA12" s="4" t="s">
        <v>992</v>
      </c>
      <c r="AB12" s="4" t="s">
        <v>1386</v>
      </c>
      <c r="AC12" s="4" t="s">
        <v>1108</v>
      </c>
      <c r="AD12" s="39">
        <v>1</v>
      </c>
      <c r="AE12" s="4">
        <v>1.1000000000000001</v>
      </c>
      <c r="AF12" s="4" t="s">
        <v>1377</v>
      </c>
      <c r="AG12" s="4" t="s">
        <v>1371</v>
      </c>
      <c r="AH12" s="4" t="s">
        <v>966</v>
      </c>
      <c r="AI12" s="4">
        <v>1</v>
      </c>
      <c r="AJ12" s="4" t="s">
        <v>1019</v>
      </c>
      <c r="AK12" s="4">
        <v>0</v>
      </c>
      <c r="AL12" s="4" t="s">
        <v>1370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s="16" customFormat="1" x14ac:dyDescent="0.25">
      <c r="A13" s="16" t="s">
        <v>1384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H13/1000/AVERAGE(4.6)</f>
        <v>2.065217391304348E-2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>
        <v>3</v>
      </c>
      <c r="V13" s="4">
        <v>1.3</v>
      </c>
      <c r="W13" s="4" t="s">
        <v>1372</v>
      </c>
      <c r="X13" s="4" t="s">
        <v>986</v>
      </c>
      <c r="Y13" s="4" t="s">
        <v>1381</v>
      </c>
      <c r="Z13" s="4">
        <v>1.2</v>
      </c>
      <c r="AA13" s="4" t="s">
        <v>992</v>
      </c>
      <c r="AB13" s="4" t="s">
        <v>1386</v>
      </c>
      <c r="AC13" s="4" t="s">
        <v>1108</v>
      </c>
      <c r="AD13" s="39">
        <v>1</v>
      </c>
      <c r="AE13" s="4">
        <v>1.1000000000000001</v>
      </c>
      <c r="AF13" s="4" t="s">
        <v>1377</v>
      </c>
      <c r="AG13" s="4" t="s">
        <v>1371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1370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431</v>
      </c>
      <c r="B14" s="39">
        <v>1</v>
      </c>
      <c r="C14" s="39">
        <v>1.1000000000000001</v>
      </c>
      <c r="D14" s="39">
        <v>0</v>
      </c>
      <c r="E14" s="39">
        <v>1</v>
      </c>
      <c r="F14" s="39">
        <v>0</v>
      </c>
      <c r="G14" s="39">
        <v>2</v>
      </c>
      <c r="H14" s="40">
        <v>95</v>
      </c>
      <c r="I14" s="41">
        <f>H14/1000/AVERAGE(4.6)</f>
        <v>2.065217391304348E-2</v>
      </c>
      <c r="J14" s="39">
        <v>1.2</v>
      </c>
      <c r="K14" s="39">
        <v>0.32</v>
      </c>
      <c r="L14" s="39">
        <v>1</v>
      </c>
      <c r="M14" s="39">
        <v>1</v>
      </c>
      <c r="N14" s="4" t="s">
        <v>951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1.2</v>
      </c>
      <c r="AA14" s="4" t="s">
        <v>992</v>
      </c>
      <c r="AB14" s="4" t="s">
        <v>994</v>
      </c>
      <c r="AC14" s="4" t="s">
        <v>1108</v>
      </c>
      <c r="AD14" s="39">
        <v>1</v>
      </c>
      <c r="AE14" s="4">
        <v>1.1000000000000001</v>
      </c>
      <c r="AF14" s="4" t="s">
        <v>1010</v>
      </c>
      <c r="AG14" s="4" t="s">
        <v>1012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1134</v>
      </c>
      <c r="AM14" s="4">
        <v>0</v>
      </c>
      <c r="AN14" s="4">
        <v>1</v>
      </c>
      <c r="AO14" s="4">
        <v>1</v>
      </c>
      <c r="AP14" s="4" t="s">
        <v>45</v>
      </c>
      <c r="AQ14" s="4">
        <v>0</v>
      </c>
      <c r="AR14" s="4" t="s">
        <v>1057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0</v>
      </c>
      <c r="BG14" s="39">
        <v>0.25</v>
      </c>
      <c r="BH14" s="39">
        <v>0.1</v>
      </c>
      <c r="BI14" s="39">
        <v>2.5000000000000001E-2</v>
      </c>
      <c r="BJ14" s="39" t="s">
        <v>1127</v>
      </c>
      <c r="BK14" s="39">
        <v>1</v>
      </c>
      <c r="BL14" s="39">
        <v>0</v>
      </c>
      <c r="BM14" s="39">
        <v>0</v>
      </c>
    </row>
    <row r="15" spans="1:65" x14ac:dyDescent="0.25">
      <c r="A15" t="s">
        <v>430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1.1000000000000001</v>
      </c>
      <c r="AF15" s="4" t="s">
        <v>1009</v>
      </c>
      <c r="AG15" s="4" t="s">
        <v>1013</v>
      </c>
      <c r="AH15" s="4" t="s">
        <v>966</v>
      </c>
      <c r="AI15" s="4">
        <v>1</v>
      </c>
      <c r="AJ15" s="4" t="s">
        <v>1019</v>
      </c>
      <c r="AK15" s="4">
        <v>0</v>
      </c>
      <c r="AL15" s="4" t="s">
        <v>430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685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x14ac:dyDescent="0.25">
      <c r="A16" t="s">
        <v>195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468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993</v>
      </c>
      <c r="AB16" s="4" t="s">
        <v>996</v>
      </c>
      <c r="AC16" s="4" t="s">
        <v>1108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1017</v>
      </c>
      <c r="AK16" s="4">
        <v>0</v>
      </c>
      <c r="AL16" s="4" t="s">
        <v>1038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685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1127</v>
      </c>
      <c r="BK16" s="39">
        <v>0</v>
      </c>
      <c r="BL16" s="39">
        <v>0</v>
      </c>
      <c r="BM16" s="39">
        <v>0</v>
      </c>
    </row>
    <row r="17" spans="1:65" x14ac:dyDescent="0.25">
      <c r="A17" t="s">
        <v>72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AVERAGE(21.6,12,10,13.1)</f>
        <v>14.175000000000001</v>
      </c>
      <c r="I17" s="41">
        <f>AVERAGE(0.54,1.5,1.5,0.86)</f>
        <v>1.1000000000000001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968</v>
      </c>
      <c r="S17" s="4" t="s">
        <v>970</v>
      </c>
      <c r="T17" s="4" t="s">
        <v>969</v>
      </c>
      <c r="U17" s="4">
        <v>3</v>
      </c>
      <c r="V17" s="4">
        <v>0.7</v>
      </c>
      <c r="W17" s="4" t="s">
        <v>981</v>
      </c>
      <c r="X17" s="4" t="s">
        <v>982</v>
      </c>
      <c r="Y17" s="4" t="s">
        <v>966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1016</v>
      </c>
      <c r="AK17" s="4">
        <v>1</v>
      </c>
      <c r="AL17" s="4" t="s">
        <v>1035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1057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1125</v>
      </c>
      <c r="BK17" s="39">
        <v>0</v>
      </c>
      <c r="BL17" s="39">
        <v>0</v>
      </c>
      <c r="BM17" s="39">
        <v>0</v>
      </c>
    </row>
    <row r="18" spans="1:65" x14ac:dyDescent="0.25">
      <c r="A18" t="s">
        <v>75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MAX(21.6,12,10,13.1)</f>
        <v>21.6</v>
      </c>
      <c r="I18" s="41">
        <f>MAX(0.54,1.5,1.5,0.86)</f>
        <v>1.5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75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993</v>
      </c>
      <c r="AB18" s="4" t="s">
        <v>997</v>
      </c>
      <c r="AC18" s="4" t="s">
        <v>1108</v>
      </c>
      <c r="AD18" s="39">
        <v>1</v>
      </c>
      <c r="AE18" s="4">
        <v>0.65</v>
      </c>
      <c r="AF18" s="4" t="s">
        <v>1007</v>
      </c>
      <c r="AG18" s="4" t="s">
        <v>1013</v>
      </c>
      <c r="AH18" s="4" t="s">
        <v>966</v>
      </c>
      <c r="AI18" s="4">
        <v>1.2</v>
      </c>
      <c r="AJ18" s="4" t="s">
        <v>1016</v>
      </c>
      <c r="AK18" s="4">
        <v>0</v>
      </c>
      <c r="AL18" s="4" t="s">
        <v>1029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1059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1074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MAX(21.6,12,10,13.1)</f>
        <v>21.6</v>
      </c>
      <c r="I19" s="41">
        <f>MAX(0.54,1.5,1.5,0.86)</f>
        <v>1.5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75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993</v>
      </c>
      <c r="AB19" s="4" t="s">
        <v>997</v>
      </c>
      <c r="AC19" s="4" t="s">
        <v>1108</v>
      </c>
      <c r="AD19" s="39">
        <v>1</v>
      </c>
      <c r="AE19" s="4">
        <v>0.65</v>
      </c>
      <c r="AF19" s="4" t="s">
        <v>1007</v>
      </c>
      <c r="AG19" s="4" t="s">
        <v>1013</v>
      </c>
      <c r="AH19" s="4" t="s">
        <v>966</v>
      </c>
      <c r="AI19" s="4">
        <v>1.2</v>
      </c>
      <c r="AJ19" s="4" t="s">
        <v>1016</v>
      </c>
      <c r="AK19" s="4">
        <v>0</v>
      </c>
      <c r="AL19" s="4" t="s">
        <v>1029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1059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1125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1385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MAX(21.6,12,10,13.1)</f>
        <v>21.6</v>
      </c>
      <c r="I20" s="41">
        <f>MAX(0.54,1.5,1.5,0.86)</f>
        <v>1.5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75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993</v>
      </c>
      <c r="AB20" s="4" t="s">
        <v>997</v>
      </c>
      <c r="AC20" s="4" t="s">
        <v>1369</v>
      </c>
      <c r="AD20" s="39">
        <v>1</v>
      </c>
      <c r="AE20" s="4">
        <v>0.65</v>
      </c>
      <c r="AF20" s="4" t="s">
        <v>1007</v>
      </c>
      <c r="AG20" s="4" t="s">
        <v>1013</v>
      </c>
      <c r="AH20" s="4" t="s">
        <v>1368</v>
      </c>
      <c r="AI20" s="4">
        <v>1.2</v>
      </c>
      <c r="AJ20" s="4" t="s">
        <v>1016</v>
      </c>
      <c r="AK20" s="4">
        <v>0</v>
      </c>
      <c r="AL20" s="4" t="s">
        <v>1029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1059</v>
      </c>
      <c r="AS20" s="4">
        <v>1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x14ac:dyDescent="0.25">
      <c r="A21" t="s">
        <v>291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942</v>
      </c>
      <c r="L21" s="39">
        <v>0</v>
      </c>
      <c r="M21" s="39">
        <v>0</v>
      </c>
      <c r="N21" s="4" t="s">
        <v>956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993</v>
      </c>
      <c r="AB21" s="4" t="s">
        <v>996</v>
      </c>
      <c r="AC21" s="4" t="s">
        <v>1108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1018</v>
      </c>
      <c r="AK21" s="4">
        <v>0</v>
      </c>
      <c r="AL21" s="4" t="s">
        <v>1027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685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1127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1045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AVERAGE(21.6,12,10,13.1)</f>
        <v>14.175000000000001</v>
      </c>
      <c r="I22" s="41">
        <f>AVERAGE(0.54,1.5,1.5,0.86)</f>
        <v>1.1000000000000001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955</v>
      </c>
      <c r="O22" s="4">
        <v>0</v>
      </c>
      <c r="P22" s="4">
        <v>1</v>
      </c>
      <c r="Q22" s="4">
        <v>0.95</v>
      </c>
      <c r="R22" s="4" t="s">
        <v>968</v>
      </c>
      <c r="S22" s="4" t="s">
        <v>971</v>
      </c>
      <c r="T22" s="4" t="s">
        <v>969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1016</v>
      </c>
      <c r="AK22" s="4">
        <v>1</v>
      </c>
      <c r="AL22" s="4" t="s">
        <v>1031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685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1125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1044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0.95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1030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1141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AVERAGE(21.6,12,10,13.1)</f>
        <v>14.175000000000001</v>
      </c>
      <c r="I24" s="41">
        <f>AVERAGE(0.54,1.5,1.5,0.86)</f>
        <v>1.1000000000000001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955</v>
      </c>
      <c r="O24" s="4">
        <v>0</v>
      </c>
      <c r="P24" s="4">
        <v>1</v>
      </c>
      <c r="Q24" s="4">
        <v>0.85</v>
      </c>
      <c r="R24" s="4" t="s">
        <v>968</v>
      </c>
      <c r="S24" s="4" t="s">
        <v>971</v>
      </c>
      <c r="T24" s="4" t="s">
        <v>969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993</v>
      </c>
      <c r="AB24" s="4" t="s">
        <v>996</v>
      </c>
      <c r="AC24" s="4" t="s">
        <v>1108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1016</v>
      </c>
      <c r="AK24" s="4">
        <v>1</v>
      </c>
      <c r="AL24" s="4" t="s">
        <v>1031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1125</v>
      </c>
      <c r="BK24" s="39">
        <v>0</v>
      </c>
      <c r="BL24" s="39">
        <v>0</v>
      </c>
      <c r="BM24" s="39">
        <v>0</v>
      </c>
    </row>
    <row r="25" spans="1:65" x14ac:dyDescent="0.25">
      <c r="A25" t="s">
        <v>89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AVERAGE(21.6,12,10,13.1)</f>
        <v>14.175000000000001</v>
      </c>
      <c r="I25" s="41">
        <f>AVERAGE(0.54,1.5,1.5,0.86)</f>
        <v>1.1000000000000001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955</v>
      </c>
      <c r="O25" s="4">
        <v>0</v>
      </c>
      <c r="P25" s="4">
        <v>1</v>
      </c>
      <c r="Q25" s="4">
        <v>0.85</v>
      </c>
      <c r="R25" s="4" t="s">
        <v>968</v>
      </c>
      <c r="S25" s="4" t="s">
        <v>971</v>
      </c>
      <c r="T25" s="4" t="s">
        <v>969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993</v>
      </c>
      <c r="AB25" s="4" t="s">
        <v>996</v>
      </c>
      <c r="AC25" s="4" t="s">
        <v>1108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1016</v>
      </c>
      <c r="AK25" s="4">
        <v>1</v>
      </c>
      <c r="AL25" s="4" t="s">
        <v>1031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685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1125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1046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954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993</v>
      </c>
      <c r="AB26" s="4" t="s">
        <v>996</v>
      </c>
      <c r="AC26" s="4" t="s">
        <v>1108</v>
      </c>
      <c r="AD26" s="39">
        <v>1</v>
      </c>
      <c r="AE26" s="4">
        <v>0.7</v>
      </c>
      <c r="AF26" s="4" t="s">
        <v>1009</v>
      </c>
      <c r="AG26" s="4" t="s">
        <v>1013</v>
      </c>
      <c r="AH26" s="4" t="s">
        <v>966</v>
      </c>
      <c r="AI26" s="4">
        <v>1.2</v>
      </c>
      <c r="AJ26" s="4" t="s">
        <v>1017</v>
      </c>
      <c r="AK26" s="4">
        <v>0</v>
      </c>
      <c r="AL26" s="4" t="s">
        <v>1038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1127</v>
      </c>
      <c r="BK26" s="39">
        <v>0</v>
      </c>
      <c r="BL26" s="39">
        <v>0</v>
      </c>
      <c r="BM26" s="39">
        <v>0</v>
      </c>
    </row>
    <row r="27" spans="1:65" x14ac:dyDescent="0.25">
      <c r="A27" t="s">
        <v>1047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954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993</v>
      </c>
      <c r="AB27" s="4" t="s">
        <v>996</v>
      </c>
      <c r="AC27" s="4" t="s">
        <v>1109</v>
      </c>
      <c r="AD27" s="39">
        <v>1</v>
      </c>
      <c r="AE27" s="4">
        <v>0.7</v>
      </c>
      <c r="AF27" s="4" t="s">
        <v>1009</v>
      </c>
      <c r="AG27" s="4" t="s">
        <v>1013</v>
      </c>
      <c r="AH27" s="4" t="s">
        <v>966</v>
      </c>
      <c r="AI27" s="4">
        <v>1.2</v>
      </c>
      <c r="AJ27" s="4" t="s">
        <v>1017</v>
      </c>
      <c r="AK27" s="4">
        <v>0</v>
      </c>
      <c r="AL27" s="4" t="s">
        <v>1038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1059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1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1127</v>
      </c>
      <c r="BK27" s="39">
        <v>0</v>
      </c>
      <c r="BL27" s="39">
        <v>0</v>
      </c>
      <c r="BM27" s="39">
        <v>0</v>
      </c>
    </row>
    <row r="28" spans="1:65" x14ac:dyDescent="0.25">
      <c r="A28" t="s">
        <v>635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1</v>
      </c>
      <c r="H28" s="40">
        <f>AVERAGE(21.6,12,10,13.1)</f>
        <v>14.175000000000001</v>
      </c>
      <c r="I28" s="41">
        <f>AVERAGE(0.54,1.5,1.5,0.86)</f>
        <v>1.1000000000000001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952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0.95</v>
      </c>
      <c r="AA28" s="4" t="s">
        <v>993</v>
      </c>
      <c r="AB28" s="4" t="s">
        <v>996</v>
      </c>
      <c r="AC28" s="4" t="s">
        <v>1108</v>
      </c>
      <c r="AD28" s="39">
        <v>1</v>
      </c>
      <c r="AE28" s="4">
        <v>0.7</v>
      </c>
      <c r="AF28" s="4" t="s">
        <v>1007</v>
      </c>
      <c r="AG28" s="4" t="s">
        <v>1013</v>
      </c>
      <c r="AH28" s="4" t="s">
        <v>966</v>
      </c>
      <c r="AI28" s="4">
        <v>1</v>
      </c>
      <c r="AJ28" s="4" t="s">
        <v>1016</v>
      </c>
      <c r="AK28" s="4">
        <v>0</v>
      </c>
      <c r="AL28" s="4" t="s">
        <v>1027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685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</v>
      </c>
      <c r="BI28" s="39">
        <v>0</v>
      </c>
      <c r="BJ28" s="39" t="s">
        <v>1125</v>
      </c>
      <c r="BK28" s="39">
        <v>0</v>
      </c>
      <c r="BL28" s="39">
        <v>0</v>
      </c>
      <c r="BM28" s="39">
        <v>0</v>
      </c>
    </row>
    <row r="29" spans="1:65" x14ac:dyDescent="0.25">
      <c r="A29" s="16" t="s">
        <v>930</v>
      </c>
      <c r="B29" s="39">
        <v>1</v>
      </c>
      <c r="C29" s="39">
        <v>1.3</v>
      </c>
      <c r="D29" s="39">
        <v>1</v>
      </c>
      <c r="E29" s="39">
        <v>5</v>
      </c>
      <c r="F29" s="39">
        <v>0</v>
      </c>
      <c r="G29" s="39">
        <v>1</v>
      </c>
      <c r="H29" s="40">
        <f>AVERAGE(21.6,12,10,13.1)</f>
        <v>14.175000000000001</v>
      </c>
      <c r="I29" s="41">
        <f>AVERAGE(0.54,1.5,1.5,0.86)</f>
        <v>1.1000000000000001</v>
      </c>
      <c r="J29" s="39">
        <v>1.0900000000000001</v>
      </c>
      <c r="K29" s="39" t="s">
        <v>942</v>
      </c>
      <c r="L29" s="39">
        <v>0</v>
      </c>
      <c r="M29" s="39">
        <v>0</v>
      </c>
      <c r="N29" s="4" t="s">
        <v>45</v>
      </c>
      <c r="O29" s="4">
        <v>0</v>
      </c>
      <c r="P29" s="4">
        <v>1</v>
      </c>
      <c r="Q29" s="4">
        <v>1</v>
      </c>
      <c r="R29" s="43" t="s">
        <v>1135</v>
      </c>
      <c r="S29" s="43" t="s">
        <v>972</v>
      </c>
      <c r="T29" s="4" t="s">
        <v>966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 t="s">
        <v>45</v>
      </c>
      <c r="AA29" s="4" t="s">
        <v>45</v>
      </c>
      <c r="AB29" s="4" t="s">
        <v>45</v>
      </c>
      <c r="AC29" s="4" t="s">
        <v>45</v>
      </c>
      <c r="AD29" s="39">
        <v>1</v>
      </c>
      <c r="AE29" s="4">
        <v>0.7</v>
      </c>
      <c r="AF29" s="4" t="s">
        <v>1007</v>
      </c>
      <c r="AG29" s="4" t="s">
        <v>1013</v>
      </c>
      <c r="AH29" s="4" t="s">
        <v>966</v>
      </c>
      <c r="AI29" s="4">
        <v>1</v>
      </c>
      <c r="AJ29" s="4" t="s">
        <v>1016</v>
      </c>
      <c r="AK29" s="4">
        <v>1</v>
      </c>
      <c r="AL29" s="4" t="s">
        <v>1043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1</v>
      </c>
      <c r="BF29" s="4">
        <v>0</v>
      </c>
      <c r="BG29" s="39">
        <v>0.7</v>
      </c>
      <c r="BH29" s="39">
        <v>0</v>
      </c>
      <c r="BI29" s="39">
        <v>0</v>
      </c>
      <c r="BJ29" s="39" t="s">
        <v>1129</v>
      </c>
      <c r="BK29" s="39">
        <v>0</v>
      </c>
      <c r="BL29" s="39">
        <v>0</v>
      </c>
      <c r="BM29" s="39">
        <v>0</v>
      </c>
    </row>
    <row r="30" spans="1:65" x14ac:dyDescent="0.25">
      <c r="A30" t="s">
        <v>636</v>
      </c>
      <c r="B30" s="39">
        <v>0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AVERAGE(21.6,12,10,13.1)</f>
        <v>14.175000000000001</v>
      </c>
      <c r="I30" s="41">
        <f>AVERAGE(0.54,1.5,1.5,0.86)</f>
        <v>1.1000000000000001</v>
      </c>
      <c r="J30" s="39">
        <v>1.0900000000000001</v>
      </c>
      <c r="K30" s="39" t="s">
        <v>942</v>
      </c>
      <c r="L30" s="39">
        <v>0</v>
      </c>
      <c r="M30" s="39">
        <v>0</v>
      </c>
      <c r="N30" s="4" t="s">
        <v>953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993</v>
      </c>
      <c r="AB30" s="4" t="s">
        <v>996</v>
      </c>
      <c r="AC30" s="4" t="s">
        <v>1108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1016</v>
      </c>
      <c r="AK30" s="4">
        <v>0</v>
      </c>
      <c r="AL30" s="4" t="s">
        <v>1027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685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0.7</v>
      </c>
      <c r="BH30" s="39">
        <v>0</v>
      </c>
      <c r="BI30" s="39">
        <v>0</v>
      </c>
      <c r="BJ30" s="39" t="s">
        <v>1125</v>
      </c>
      <c r="BK30" s="39">
        <v>0</v>
      </c>
      <c r="BL30" s="39">
        <v>0</v>
      </c>
      <c r="BM30" s="39">
        <v>0</v>
      </c>
    </row>
    <row r="31" spans="1:65" s="16" customFormat="1" x14ac:dyDescent="0.25">
      <c r="A31" s="16" t="s">
        <v>938</v>
      </c>
      <c r="B31" s="39">
        <v>1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AVERAGE(65.5,108.7)</f>
        <v>87.1</v>
      </c>
      <c r="I31" s="41">
        <f>AVERAGE(16.8%,11.9%)</f>
        <v>0.14350000000000002</v>
      </c>
      <c r="J31" s="39">
        <v>0.96</v>
      </c>
      <c r="K31" s="39">
        <v>0.32</v>
      </c>
      <c r="L31" s="39">
        <v>1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993</v>
      </c>
      <c r="AB31" s="4" t="s">
        <v>996</v>
      </c>
      <c r="AC31" s="4" t="s">
        <v>1108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1016</v>
      </c>
      <c r="AK31" s="4">
        <v>0</v>
      </c>
      <c r="AL31" s="4" t="s">
        <v>1029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685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0.5</v>
      </c>
      <c r="BH31" s="39">
        <v>0</v>
      </c>
      <c r="BI31" s="39">
        <v>0</v>
      </c>
      <c r="BJ31" s="39" t="s">
        <v>1125</v>
      </c>
      <c r="BK31" s="39">
        <v>0</v>
      </c>
      <c r="BL31" s="39">
        <v>0</v>
      </c>
      <c r="BM31" s="39">
        <v>0</v>
      </c>
    </row>
    <row r="32" spans="1:65" x14ac:dyDescent="0.25">
      <c r="A32" t="s">
        <v>463</v>
      </c>
      <c r="B32" s="39">
        <v>2</v>
      </c>
      <c r="C32" s="39">
        <v>2</v>
      </c>
      <c r="D32" s="39">
        <v>0</v>
      </c>
      <c r="E32" s="39">
        <v>1</v>
      </c>
      <c r="F32" s="39">
        <v>0</v>
      </c>
      <c r="G32" s="39">
        <v>0</v>
      </c>
      <c r="H32" s="40">
        <v>200</v>
      </c>
      <c r="I32" s="41">
        <v>0.2</v>
      </c>
      <c r="J32" s="39">
        <v>1.0900000000000001</v>
      </c>
      <c r="K32" s="39" t="s">
        <v>942</v>
      </c>
      <c r="L32" s="39">
        <v>1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993</v>
      </c>
      <c r="AB32" s="4" t="s">
        <v>996</v>
      </c>
      <c r="AC32" s="4" t="s">
        <v>1108</v>
      </c>
      <c r="AD32" s="39">
        <v>1</v>
      </c>
      <c r="AE32" s="4">
        <v>0.65</v>
      </c>
      <c r="AF32" s="4" t="s">
        <v>1007</v>
      </c>
      <c r="AG32" s="4" t="s">
        <v>1013</v>
      </c>
      <c r="AH32" s="4" t="s">
        <v>966</v>
      </c>
      <c r="AI32" s="4">
        <v>1.5</v>
      </c>
      <c r="AJ32" s="4" t="s">
        <v>41</v>
      </c>
      <c r="AK32" s="4">
        <v>0</v>
      </c>
      <c r="AL32" s="4" t="s">
        <v>1029</v>
      </c>
      <c r="AM32" s="4">
        <v>0</v>
      </c>
      <c r="AN32" s="4">
        <v>1</v>
      </c>
      <c r="AO32" s="4">
        <v>1</v>
      </c>
      <c r="AP32" s="4" t="s">
        <v>45</v>
      </c>
      <c r="AQ32" s="4">
        <v>0</v>
      </c>
      <c r="AR32" s="4" t="s">
        <v>1057</v>
      </c>
      <c r="AS32" s="4">
        <v>1</v>
      </c>
      <c r="AT32" s="4">
        <v>0</v>
      </c>
      <c r="AU32" s="4">
        <v>0</v>
      </c>
      <c r="AV32" s="4" t="s">
        <v>45</v>
      </c>
      <c r="AW32" s="4">
        <v>1</v>
      </c>
      <c r="AX32" s="4">
        <v>1</v>
      </c>
      <c r="AY32" s="4">
        <v>1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</v>
      </c>
      <c r="BH32" s="39">
        <v>0.25</v>
      </c>
      <c r="BI32" s="39">
        <v>0.05</v>
      </c>
      <c r="BJ32" s="39" t="s">
        <v>1125</v>
      </c>
      <c r="BK32" s="39">
        <v>1</v>
      </c>
      <c r="BL32" s="39">
        <v>0</v>
      </c>
      <c r="BM32" s="39">
        <v>1</v>
      </c>
    </row>
    <row r="33" spans="1:65" s="16" customFormat="1" x14ac:dyDescent="0.25">
      <c r="A33" s="16" t="s">
        <v>1076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>MAX(21.6,12,10,13.1)</f>
        <v>21.6</v>
      </c>
      <c r="I33" s="41">
        <f>MAX(0.54,1.5,1.5,0.86)</f>
        <v>1.5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997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1.2</v>
      </c>
      <c r="AJ33" s="4" t="s">
        <v>1016</v>
      </c>
      <c r="AK33" s="4">
        <v>0</v>
      </c>
      <c r="AL33" s="4" t="s">
        <v>1029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1059</v>
      </c>
      <c r="AS33" s="4">
        <v>1</v>
      </c>
      <c r="AT33" s="4">
        <v>1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1127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1073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1</v>
      </c>
      <c r="AU34" s="4">
        <v>1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1103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>MAX(21.6,12,10,13.1)</f>
        <v>21.6</v>
      </c>
      <c r="I35" s="41">
        <f>MAX(0.54,1.5,1.5,0.86)</f>
        <v>1.5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953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993</v>
      </c>
      <c r="AB35" s="4" t="s">
        <v>997</v>
      </c>
      <c r="AC35" s="4" t="s">
        <v>1108</v>
      </c>
      <c r="AD35" s="39">
        <v>1</v>
      </c>
      <c r="AE35" s="4">
        <v>0.65</v>
      </c>
      <c r="AF35" s="4" t="s">
        <v>1007</v>
      </c>
      <c r="AG35" s="4" t="s">
        <v>1013</v>
      </c>
      <c r="AH35" s="4" t="s">
        <v>966</v>
      </c>
      <c r="AI35" s="4">
        <v>1.2</v>
      </c>
      <c r="AJ35" s="4" t="s">
        <v>1016</v>
      </c>
      <c r="AK35" s="4">
        <v>0</v>
      </c>
      <c r="AL35" s="4" t="s">
        <v>1029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1059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2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1127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104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>MAX(21.6,12,10,13.1)</f>
        <v>21.6</v>
      </c>
      <c r="I36" s="41">
        <f>MAX(0.54,1.5,1.5,0.86)</f>
        <v>1.5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953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993</v>
      </c>
      <c r="AB36" s="4" t="s">
        <v>997</v>
      </c>
      <c r="AC36" s="4" t="s">
        <v>1108</v>
      </c>
      <c r="AD36" s="39">
        <v>1</v>
      </c>
      <c r="AE36" s="4">
        <v>0.65</v>
      </c>
      <c r="AF36" s="4" t="s">
        <v>1007</v>
      </c>
      <c r="AG36" s="4" t="s">
        <v>1013</v>
      </c>
      <c r="AH36" s="4" t="s">
        <v>966</v>
      </c>
      <c r="AI36" s="4">
        <v>1.2</v>
      </c>
      <c r="AJ36" s="4" t="s">
        <v>1016</v>
      </c>
      <c r="AK36" s="4">
        <v>0</v>
      </c>
      <c r="AL36" s="4" t="s">
        <v>1029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1059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1127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962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ref="H37:H44" si="0">AVERAGE(21.6,12,10,13.1)</f>
        <v>14.175000000000001</v>
      </c>
      <c r="I37" s="41">
        <f t="shared" ref="I37:I44" si="1">AVERAGE(0.54,1.5,1.5,0.86)</f>
        <v>1.1000000000000001</v>
      </c>
      <c r="J37" s="39">
        <v>1.0900000000000001</v>
      </c>
      <c r="K37" s="39" t="s">
        <v>942</v>
      </c>
      <c r="L37" s="39">
        <v>0</v>
      </c>
      <c r="M37" s="39">
        <v>0</v>
      </c>
      <c r="N37" s="4" t="s">
        <v>110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981</v>
      </c>
      <c r="X37" s="4" t="s">
        <v>982</v>
      </c>
      <c r="Y37" s="4" t="s">
        <v>966</v>
      </c>
      <c r="Z37" s="4">
        <v>0.95</v>
      </c>
      <c r="AA37" s="4" t="s">
        <v>993</v>
      </c>
      <c r="AB37" s="4" t="s">
        <v>996</v>
      </c>
      <c r="AC37" s="4" t="s">
        <v>1108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1016</v>
      </c>
      <c r="AK37" s="4">
        <v>1</v>
      </c>
      <c r="AL37" s="4" t="s">
        <v>1042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685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1125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1089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>MAX(21.6,12,10,13.1)</f>
        <v>21.6</v>
      </c>
      <c r="I38" s="41">
        <f t="shared" si="1"/>
        <v>1.1000000000000001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110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993</v>
      </c>
      <c r="AB38" s="4" t="s">
        <v>996</v>
      </c>
      <c r="AC38" s="4" t="s">
        <v>1108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1016</v>
      </c>
      <c r="AK38" s="4">
        <v>1</v>
      </c>
      <c r="AL38" s="4" t="s">
        <v>1031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685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1125</v>
      </c>
      <c r="BK38" s="39">
        <v>0</v>
      </c>
      <c r="BL38" s="39">
        <v>0</v>
      </c>
      <c r="BM38" s="39">
        <v>0</v>
      </c>
    </row>
    <row r="39" spans="1:65" x14ac:dyDescent="0.25">
      <c r="A39" t="s">
        <v>109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14.175000000000001</v>
      </c>
      <c r="I39" s="41">
        <f t="shared" si="1"/>
        <v>1.1000000000000001</v>
      </c>
      <c r="J39" s="39">
        <v>1.0900000000000001</v>
      </c>
      <c r="K39" s="39" t="s">
        <v>942</v>
      </c>
      <c r="L39" s="39">
        <v>0</v>
      </c>
      <c r="M39" s="39">
        <v>0</v>
      </c>
      <c r="N39" s="4" t="s">
        <v>110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1.1000000000000001</v>
      </c>
      <c r="AA39" s="4" t="s">
        <v>993</v>
      </c>
      <c r="AB39" s="4" t="s">
        <v>996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1016</v>
      </c>
      <c r="AK39" s="4">
        <v>1</v>
      </c>
      <c r="AL39" s="4" t="s">
        <v>1031</v>
      </c>
      <c r="AM39" s="4">
        <v>0</v>
      </c>
      <c r="AN39" s="4">
        <v>0</v>
      </c>
      <c r="AO39" s="4">
        <v>0</v>
      </c>
      <c r="AP39" s="4" t="s">
        <v>45</v>
      </c>
      <c r="AQ39" s="4">
        <v>1</v>
      </c>
      <c r="AR39" s="4" t="s">
        <v>685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0.5</v>
      </c>
      <c r="BH39" s="39">
        <v>0</v>
      </c>
      <c r="BI39" s="39">
        <v>0</v>
      </c>
      <c r="BJ39" s="39" t="s">
        <v>1125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998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>MAX(21.6,12,10,13.1)</f>
        <v>21.6</v>
      </c>
      <c r="I40" s="41">
        <f t="shared" si="1"/>
        <v>1.1000000000000001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45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>
        <v>3</v>
      </c>
      <c r="V40" s="4">
        <v>0.75</v>
      </c>
      <c r="W40" s="4" t="s">
        <v>981</v>
      </c>
      <c r="X40" s="4" t="s">
        <v>982</v>
      </c>
      <c r="Y40" s="4" t="s">
        <v>966</v>
      </c>
      <c r="Z40" s="4" t="s">
        <v>45</v>
      </c>
      <c r="AA40" s="4" t="s">
        <v>45</v>
      </c>
      <c r="AB40" s="4" t="s">
        <v>45</v>
      </c>
      <c r="AC40" s="4" t="s">
        <v>45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1016</v>
      </c>
      <c r="AK40" s="4">
        <v>0</v>
      </c>
      <c r="AL40" s="4" t="s">
        <v>1039</v>
      </c>
      <c r="AM40" s="4">
        <v>0</v>
      </c>
      <c r="AN40" s="4">
        <v>0</v>
      </c>
      <c r="AO40" s="4">
        <v>0</v>
      </c>
      <c r="AP40" s="4" t="s">
        <v>45</v>
      </c>
      <c r="AQ40" s="4">
        <v>0</v>
      </c>
      <c r="AR40" s="4" t="s">
        <v>1059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0.7</v>
      </c>
      <c r="BH40" s="39">
        <v>0.1</v>
      </c>
      <c r="BI40" s="39">
        <v>2.5000000000000001E-2</v>
      </c>
      <c r="BJ40" s="39" t="s">
        <v>1127</v>
      </c>
      <c r="BK40" s="39">
        <v>0</v>
      </c>
      <c r="BL40" s="39">
        <v>0</v>
      </c>
      <c r="BM40" s="39">
        <v>0</v>
      </c>
    </row>
    <row r="41" spans="1:65" x14ac:dyDescent="0.25">
      <c r="A41" t="s">
        <v>682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>MAX(21.6,12,10,13.1)</f>
        <v>21.6</v>
      </c>
      <c r="I41" s="41">
        <f t="shared" si="1"/>
        <v>1.1000000000000001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953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993</v>
      </c>
      <c r="AB41" s="4" t="s">
        <v>997</v>
      </c>
      <c r="AC41" s="4" t="s">
        <v>1108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1016</v>
      </c>
      <c r="AK41" s="4">
        <v>0</v>
      </c>
      <c r="AL41" s="4" t="s">
        <v>682</v>
      </c>
      <c r="AM41" s="4">
        <v>1</v>
      </c>
      <c r="AN41" s="4">
        <v>0</v>
      </c>
      <c r="AO41" s="4">
        <v>0</v>
      </c>
      <c r="AP41" s="4">
        <v>0.5</v>
      </c>
      <c r="AQ41" s="4">
        <v>0</v>
      </c>
      <c r="AR41" s="4" t="s">
        <v>1059</v>
      </c>
      <c r="AS41" s="4">
        <v>1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0.7</v>
      </c>
      <c r="BH41" s="39">
        <v>0.1</v>
      </c>
      <c r="BI41" s="39">
        <v>2.5000000000000001E-2</v>
      </c>
      <c r="BJ41" s="39" t="s">
        <v>1127</v>
      </c>
      <c r="BK41" s="39">
        <v>0</v>
      </c>
      <c r="BL41" s="39">
        <v>0</v>
      </c>
      <c r="BM41" s="39">
        <v>0</v>
      </c>
    </row>
    <row r="42" spans="1:65" x14ac:dyDescent="0.25">
      <c r="A42" t="s">
        <v>475</v>
      </c>
      <c r="B42" s="39">
        <v>2</v>
      </c>
      <c r="C42" s="39">
        <v>1.5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14.175000000000001</v>
      </c>
      <c r="I42" s="41">
        <f t="shared" si="1"/>
        <v>1.1000000000000001</v>
      </c>
      <c r="J42" s="39">
        <v>1.0900000000000001</v>
      </c>
      <c r="K42" s="39" t="s">
        <v>942</v>
      </c>
      <c r="L42" s="39">
        <v>0</v>
      </c>
      <c r="M42" s="39">
        <v>0</v>
      </c>
      <c r="N42" s="4" t="s">
        <v>41</v>
      </c>
      <c r="O42" s="4">
        <v>1</v>
      </c>
      <c r="P42" s="4">
        <v>1</v>
      </c>
      <c r="Q42" s="4">
        <v>0.9</v>
      </c>
      <c r="R42" s="4" t="s">
        <v>974</v>
      </c>
      <c r="S42" s="4" t="s">
        <v>973</v>
      </c>
      <c r="T42" s="4" t="s">
        <v>975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0.9</v>
      </c>
      <c r="AA42" s="4" t="s">
        <v>993</v>
      </c>
      <c r="AB42" s="4" t="s">
        <v>995</v>
      </c>
      <c r="AC42" s="4" t="s">
        <v>1108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</v>
      </c>
      <c r="AJ42" s="4" t="s">
        <v>1020</v>
      </c>
      <c r="AK42" s="4">
        <v>0</v>
      </c>
      <c r="AL42" s="4" t="s">
        <v>1041</v>
      </c>
      <c r="AM42" s="4">
        <v>0</v>
      </c>
      <c r="AN42" s="4">
        <v>0</v>
      </c>
      <c r="AO42" s="4">
        <v>0</v>
      </c>
      <c r="AP42" s="4" t="s">
        <v>45</v>
      </c>
      <c r="AQ42" s="4">
        <v>0</v>
      </c>
      <c r="AR42" s="4" t="s">
        <v>685</v>
      </c>
      <c r="AS42" s="4">
        <v>0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2</v>
      </c>
      <c r="BG42" s="39">
        <v>0.5</v>
      </c>
      <c r="BH42" s="39">
        <v>0</v>
      </c>
      <c r="BI42" s="39">
        <v>0</v>
      </c>
      <c r="BJ42" s="39" t="s">
        <v>1127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1036</v>
      </c>
      <c r="B43" s="39">
        <v>2</v>
      </c>
      <c r="C43" s="39">
        <v>1.3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14.175000000000001</v>
      </c>
      <c r="I43" s="41">
        <f t="shared" si="1"/>
        <v>1.1000000000000001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113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993</v>
      </c>
      <c r="AB43" s="4" t="s">
        <v>997</v>
      </c>
      <c r="AC43" s="4" t="s">
        <v>1108</v>
      </c>
      <c r="AD43" s="39">
        <v>1</v>
      </c>
      <c r="AE43" s="4">
        <v>0.65</v>
      </c>
      <c r="AF43" s="4" t="s">
        <v>1008</v>
      </c>
      <c r="AG43" s="4" t="s">
        <v>1011</v>
      </c>
      <c r="AH43" s="4" t="s">
        <v>969</v>
      </c>
      <c r="AI43" s="4">
        <v>1</v>
      </c>
      <c r="AJ43" s="4" t="s">
        <v>1016</v>
      </c>
      <c r="AK43" s="4">
        <v>0</v>
      </c>
      <c r="AL43" s="4" t="s">
        <v>1037</v>
      </c>
      <c r="AM43" s="4">
        <v>2</v>
      </c>
      <c r="AN43" s="4">
        <v>2.5000000000000001E-2</v>
      </c>
      <c r="AO43" s="4">
        <v>0.1</v>
      </c>
      <c r="AP43" s="4" t="s">
        <v>45</v>
      </c>
      <c r="AQ43" s="4">
        <v>0</v>
      </c>
      <c r="AR43" s="4" t="s">
        <v>1057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1130</v>
      </c>
      <c r="BK43" s="39">
        <v>0</v>
      </c>
      <c r="BL43" s="39">
        <v>0</v>
      </c>
      <c r="BM43" s="39">
        <v>0</v>
      </c>
    </row>
    <row r="44" spans="1:65" ht="14.25" customHeight="1" x14ac:dyDescent="0.25">
      <c r="A44" t="s">
        <v>113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14.175000000000001</v>
      </c>
      <c r="I44" s="41">
        <f t="shared" si="1"/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113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993</v>
      </c>
      <c r="AB44" s="4" t="s">
        <v>997</v>
      </c>
      <c r="AC44" s="4" t="s">
        <v>1108</v>
      </c>
      <c r="AD44" s="39">
        <v>1</v>
      </c>
      <c r="AE44" s="4">
        <v>0.65</v>
      </c>
      <c r="AF44" s="4" t="s">
        <v>1008</v>
      </c>
      <c r="AG44" s="4" t="s">
        <v>1011</v>
      </c>
      <c r="AH44" s="4" t="s">
        <v>969</v>
      </c>
      <c r="AI44" s="4">
        <v>1</v>
      </c>
      <c r="AJ44" s="4" t="s">
        <v>1016</v>
      </c>
      <c r="AK44" s="4">
        <v>0</v>
      </c>
      <c r="AL44" s="4" t="s">
        <v>116</v>
      </c>
      <c r="AM44" s="4">
        <v>2</v>
      </c>
      <c r="AN44" s="4">
        <v>0</v>
      </c>
      <c r="AO44" s="4">
        <v>0</v>
      </c>
      <c r="AP44" s="4">
        <v>0.5</v>
      </c>
      <c r="AQ44" s="4">
        <v>0</v>
      </c>
      <c r="AR44" s="4" t="s">
        <v>1057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1125</v>
      </c>
      <c r="BK44" s="39">
        <v>0</v>
      </c>
      <c r="BL44" s="39">
        <v>0</v>
      </c>
      <c r="BM44" s="39">
        <v>0</v>
      </c>
    </row>
    <row r="45" spans="1:65" x14ac:dyDescent="0.25">
      <c r="A45" t="s">
        <v>119</v>
      </c>
      <c r="B45" s="39">
        <v>2</v>
      </c>
      <c r="C45" s="39">
        <v>1</v>
      </c>
      <c r="D45" s="39">
        <v>1</v>
      </c>
      <c r="E45" s="39">
        <v>5</v>
      </c>
      <c r="F45" s="39">
        <v>0</v>
      </c>
      <c r="G45" s="39">
        <v>0</v>
      </c>
      <c r="H45" s="40">
        <v>30.5</v>
      </c>
      <c r="I45" s="41">
        <v>0.24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955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>
        <v>2</v>
      </c>
      <c r="V45" s="4">
        <v>0.7</v>
      </c>
      <c r="W45" s="4" t="s">
        <v>983</v>
      </c>
      <c r="X45" s="4" t="s">
        <v>984</v>
      </c>
      <c r="Y45" s="4" t="s">
        <v>966</v>
      </c>
      <c r="Z45" s="4">
        <v>1</v>
      </c>
      <c r="AA45" s="4" t="s">
        <v>993</v>
      </c>
      <c r="AB45" s="4" t="s">
        <v>996</v>
      </c>
      <c r="AC45" s="4" t="s">
        <v>1108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1.2</v>
      </c>
      <c r="AJ45" s="4" t="s">
        <v>1016</v>
      </c>
      <c r="AK45" s="4">
        <v>0</v>
      </c>
      <c r="AL45" s="4" t="s">
        <v>1034</v>
      </c>
      <c r="AM45" s="4">
        <v>0</v>
      </c>
      <c r="AN45" s="4">
        <v>0.05</v>
      </c>
      <c r="AO45" s="4">
        <v>0.3</v>
      </c>
      <c r="AP45" s="4" t="s">
        <v>45</v>
      </c>
      <c r="AQ45" s="4">
        <v>0</v>
      </c>
      <c r="AR45" s="4" t="s">
        <v>685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0.5</v>
      </c>
      <c r="BH45" s="39">
        <v>0.15</v>
      </c>
      <c r="BI45" s="39">
        <v>2.5000000000000001E-2</v>
      </c>
      <c r="BJ45" s="39" t="s">
        <v>1125</v>
      </c>
      <c r="BK45" s="39">
        <v>0</v>
      </c>
      <c r="BL45" s="39">
        <v>0</v>
      </c>
      <c r="BM45" s="39">
        <v>0</v>
      </c>
    </row>
    <row r="46" spans="1:65" s="16" customFormat="1" x14ac:dyDescent="0.25">
      <c r="A46" s="16" t="s">
        <v>1090</v>
      </c>
      <c r="B46" s="39">
        <v>1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ref="H46:H56" si="2">AVERAGE(21.6,12,10,13.1)</f>
        <v>14.175000000000001</v>
      </c>
      <c r="I46" s="41">
        <f t="shared" ref="I46:I56" si="3">AVERAGE(0.54,1.5,1.5,0.86)</f>
        <v>1.1000000000000001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0.95</v>
      </c>
      <c r="AA46" s="4" t="s">
        <v>993</v>
      </c>
      <c r="AB46" s="4" t="s">
        <v>999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1016</v>
      </c>
      <c r="AK46" s="4">
        <v>0</v>
      </c>
      <c r="AL46" s="4" t="s">
        <v>1027</v>
      </c>
      <c r="AM46" s="4">
        <v>0</v>
      </c>
      <c r="AN46" s="4">
        <v>0</v>
      </c>
      <c r="AO46" s="4">
        <v>0</v>
      </c>
      <c r="AP46" s="4">
        <v>0.5</v>
      </c>
      <c r="AQ46" s="4">
        <v>1</v>
      </c>
      <c r="AR46" s="4" t="s">
        <v>685</v>
      </c>
      <c r="AS46" s="4">
        <v>0</v>
      </c>
      <c r="AT46" s="4">
        <v>0</v>
      </c>
      <c r="AU46" s="4">
        <v>1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0.7</v>
      </c>
      <c r="BH46" s="39">
        <v>0</v>
      </c>
      <c r="BI46" s="39">
        <v>0</v>
      </c>
      <c r="BJ46" s="39" t="s">
        <v>1125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1028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14.175000000000001</v>
      </c>
      <c r="I47" s="41">
        <f t="shared" si="3"/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1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1027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1127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1104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952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0.9</v>
      </c>
      <c r="AA48" s="4" t="s">
        <v>993</v>
      </c>
      <c r="AB48" s="4" t="s">
        <v>999</v>
      </c>
      <c r="AC48" s="4" t="s">
        <v>1108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1029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1059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2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0.1</v>
      </c>
      <c r="BI48" s="39">
        <v>2.5000000000000001E-2</v>
      </c>
      <c r="BJ48" s="39" t="s">
        <v>1127</v>
      </c>
      <c r="BK48" s="39">
        <v>0</v>
      </c>
      <c r="BL48" s="39">
        <v>0</v>
      </c>
      <c r="BM48" s="39">
        <v>0</v>
      </c>
    </row>
    <row r="49" spans="1:65" x14ac:dyDescent="0.25">
      <c r="A49" t="s">
        <v>123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952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0.95</v>
      </c>
      <c r="AA49" s="4" t="s">
        <v>993</v>
      </c>
      <c r="AB49" s="4" t="s">
        <v>999</v>
      </c>
      <c r="AC49" s="4" t="s">
        <v>1108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1029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685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</v>
      </c>
      <c r="BI49" s="39">
        <v>0</v>
      </c>
      <c r="BJ49" s="39" t="s">
        <v>1127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1051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968</v>
      </c>
      <c r="S50" s="4" t="s">
        <v>971</v>
      </c>
      <c r="T50" s="4" t="s">
        <v>969</v>
      </c>
      <c r="U50" s="4">
        <v>3</v>
      </c>
      <c r="V50" s="4">
        <v>0.85</v>
      </c>
      <c r="W50" s="4" t="s">
        <v>983</v>
      </c>
      <c r="X50" s="4" t="s">
        <v>984</v>
      </c>
      <c r="Y50" s="4" t="s">
        <v>966</v>
      </c>
      <c r="Z50" s="4" t="s">
        <v>45</v>
      </c>
      <c r="AA50" s="4" t="s">
        <v>45</v>
      </c>
      <c r="AB50" s="4" t="s">
        <v>45</v>
      </c>
      <c r="AC50" s="4" t="s">
        <v>45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0</v>
      </c>
      <c r="AL50" s="4" t="s">
        <v>1376</v>
      </c>
      <c r="AM50" s="4">
        <v>0</v>
      </c>
      <c r="AN50" s="4">
        <v>2.5000000000000001E-2</v>
      </c>
      <c r="AO50" s="4">
        <v>0.1</v>
      </c>
      <c r="AP50" s="4" t="s">
        <v>45</v>
      </c>
      <c r="AQ50" s="4">
        <v>0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1</v>
      </c>
      <c r="BG50" s="39">
        <v>0.5</v>
      </c>
      <c r="BH50" s="39">
        <v>0</v>
      </c>
      <c r="BI50" s="39">
        <v>0</v>
      </c>
      <c r="BJ50" s="39" t="s">
        <v>1125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1375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984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0</v>
      </c>
      <c r="AL51" s="4" t="s">
        <v>1031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x14ac:dyDescent="0.25">
      <c r="A52" t="s">
        <v>1056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>
        <v>3</v>
      </c>
      <c r="V52" s="4">
        <v>0.85</v>
      </c>
      <c r="W52" s="4" t="s">
        <v>983</v>
      </c>
      <c r="X52" s="4" t="s">
        <v>984</v>
      </c>
      <c r="Y52" s="4" t="s">
        <v>966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0</v>
      </c>
      <c r="AL52" s="4" t="s">
        <v>1031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1125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1054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14.175000000000001</v>
      </c>
      <c r="I53" s="41">
        <f t="shared" si="3"/>
        <v>1.1000000000000001</v>
      </c>
      <c r="J53" s="39">
        <v>1.0900000000000001</v>
      </c>
      <c r="K53" s="39" t="s">
        <v>942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968</v>
      </c>
      <c r="S53" s="4" t="s">
        <v>971</v>
      </c>
      <c r="T53" s="4" t="s">
        <v>969</v>
      </c>
      <c r="U53" s="4">
        <v>3</v>
      </c>
      <c r="V53" s="4">
        <v>0.85</v>
      </c>
      <c r="W53" s="4" t="s">
        <v>983</v>
      </c>
      <c r="X53" s="4" t="s">
        <v>984</v>
      </c>
      <c r="Y53" s="4" t="s">
        <v>969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1016</v>
      </c>
      <c r="AK53" s="4">
        <v>1</v>
      </c>
      <c r="AL53" s="4" t="s">
        <v>1031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685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1055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14.175000000000001</v>
      </c>
      <c r="I54" s="41">
        <f t="shared" si="3"/>
        <v>1.1000000000000001</v>
      </c>
      <c r="J54" s="39">
        <v>1.0900000000000001</v>
      </c>
      <c r="K54" s="39" t="s">
        <v>942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968</v>
      </c>
      <c r="S54" s="4" t="s">
        <v>971</v>
      </c>
      <c r="T54" s="4" t="s">
        <v>969</v>
      </c>
      <c r="U54" s="4">
        <v>3</v>
      </c>
      <c r="V54" s="4">
        <v>0.85</v>
      </c>
      <c r="W54" s="4" t="s">
        <v>983</v>
      </c>
      <c r="X54" s="4" t="s">
        <v>985</v>
      </c>
      <c r="Y54" s="4" t="s">
        <v>966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1016</v>
      </c>
      <c r="AK54" s="4">
        <v>1</v>
      </c>
      <c r="AL54" s="4" t="s">
        <v>1031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1125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1382</v>
      </c>
      <c r="B55" s="39">
        <v>0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14.175000000000001</v>
      </c>
      <c r="I55" s="41">
        <f t="shared" si="3"/>
        <v>1.1000000000000001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968</v>
      </c>
      <c r="S55" s="4" t="s">
        <v>971</v>
      </c>
      <c r="T55" s="4" t="s">
        <v>969</v>
      </c>
      <c r="U55" s="4">
        <v>3</v>
      </c>
      <c r="V55" s="4">
        <v>0.85</v>
      </c>
      <c r="W55" s="4" t="s">
        <v>983</v>
      </c>
      <c r="X55" s="4" t="s">
        <v>985</v>
      </c>
      <c r="Y55" s="4" t="s">
        <v>966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1016</v>
      </c>
      <c r="AK55" s="4">
        <v>1</v>
      </c>
      <c r="AL55" s="4" t="s">
        <v>1376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685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1125</v>
      </c>
      <c r="BK55" s="39">
        <v>0</v>
      </c>
      <c r="BL55" s="39">
        <v>0</v>
      </c>
      <c r="BM55" s="39">
        <v>0</v>
      </c>
    </row>
    <row r="56" spans="1:65" s="16" customFormat="1" x14ac:dyDescent="0.25">
      <c r="A56" s="16" t="s">
        <v>140</v>
      </c>
      <c r="B56" s="39">
        <v>1</v>
      </c>
      <c r="C56" s="39">
        <v>0.85</v>
      </c>
      <c r="D56" s="39">
        <v>1</v>
      </c>
      <c r="E56" s="39">
        <v>5</v>
      </c>
      <c r="F56" s="39">
        <v>1</v>
      </c>
      <c r="G56" s="39">
        <v>0</v>
      </c>
      <c r="H56" s="40">
        <f t="shared" si="2"/>
        <v>14.175000000000001</v>
      </c>
      <c r="I56" s="41">
        <f t="shared" si="3"/>
        <v>1.1000000000000001</v>
      </c>
      <c r="J56" s="39">
        <v>1.0900000000000001</v>
      </c>
      <c r="K56" s="39" t="s">
        <v>942</v>
      </c>
      <c r="L56" s="39">
        <v>0</v>
      </c>
      <c r="M56" s="39">
        <v>0</v>
      </c>
      <c r="N56" s="4" t="s">
        <v>45</v>
      </c>
      <c r="O56" s="4">
        <v>0</v>
      </c>
      <c r="P56" s="4">
        <v>1</v>
      </c>
      <c r="Q56" s="4">
        <v>1</v>
      </c>
      <c r="R56" s="4" t="s">
        <v>968</v>
      </c>
      <c r="S56" s="4" t="s">
        <v>971</v>
      </c>
      <c r="T56" s="4" t="s">
        <v>969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 t="s">
        <v>45</v>
      </c>
      <c r="AA56" s="4" t="s">
        <v>45</v>
      </c>
      <c r="AB56" s="4" t="s">
        <v>45</v>
      </c>
      <c r="AC56" s="4" t="s">
        <v>45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1016</v>
      </c>
      <c r="AK56" s="4">
        <v>1</v>
      </c>
      <c r="AL56" s="4" t="s">
        <v>1031</v>
      </c>
      <c r="AM56" s="4">
        <v>0</v>
      </c>
      <c r="AN56" s="4">
        <v>0</v>
      </c>
      <c r="AO56" s="4">
        <v>0</v>
      </c>
      <c r="AP56" s="4" t="s">
        <v>45</v>
      </c>
      <c r="AQ56" s="4">
        <v>0</v>
      </c>
      <c r="AR56" s="4" t="s">
        <v>685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0</v>
      </c>
      <c r="BE56" s="4">
        <v>0</v>
      </c>
      <c r="BF56" s="4">
        <v>1</v>
      </c>
      <c r="BG56" s="39">
        <v>0.5</v>
      </c>
      <c r="BH56" s="39">
        <v>0</v>
      </c>
      <c r="BI56" s="39">
        <v>0</v>
      </c>
      <c r="BJ56" s="39" t="s">
        <v>1131</v>
      </c>
      <c r="BK56" s="39">
        <v>0</v>
      </c>
      <c r="BL56" s="39">
        <v>0</v>
      </c>
      <c r="BM56" s="39">
        <v>0</v>
      </c>
    </row>
    <row r="57" spans="1:65" x14ac:dyDescent="0.25">
      <c r="A57" t="s">
        <v>171</v>
      </c>
      <c r="B57" s="39">
        <v>1</v>
      </c>
      <c r="C57" s="39">
        <v>1</v>
      </c>
      <c r="D57" s="39">
        <v>0</v>
      </c>
      <c r="E57" s="39">
        <v>5</v>
      </c>
      <c r="F57" s="39">
        <v>0</v>
      </c>
      <c r="G57" s="39">
        <v>0</v>
      </c>
      <c r="H57" s="40">
        <f>AVERAGE(65.2,57.2,43.4)</f>
        <v>55.266666666666673</v>
      </c>
      <c r="I57" s="41">
        <f>AVERAGE(31.29%,20.98%,15.21%)</f>
        <v>0.22493333333333335</v>
      </c>
      <c r="J57" s="39">
        <v>1.86</v>
      </c>
      <c r="K57" s="39" t="s">
        <v>942</v>
      </c>
      <c r="L57" s="39">
        <v>1</v>
      </c>
      <c r="M57" s="39">
        <v>0</v>
      </c>
      <c r="N57" s="4" t="s">
        <v>955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0.85</v>
      </c>
      <c r="AA57" s="4" t="s">
        <v>993</v>
      </c>
      <c r="AB57" s="4" t="s">
        <v>996</v>
      </c>
      <c r="AC57" s="4" t="s">
        <v>1108</v>
      </c>
      <c r="AD57" s="39">
        <v>1</v>
      </c>
      <c r="AE57" s="4">
        <v>0.65</v>
      </c>
      <c r="AF57" s="4" t="s">
        <v>1007</v>
      </c>
      <c r="AG57" s="4" t="s">
        <v>1013</v>
      </c>
      <c r="AH57" s="4" t="s">
        <v>966</v>
      </c>
      <c r="AI57" s="4">
        <v>1.2</v>
      </c>
      <c r="AJ57" s="4" t="s">
        <v>1016</v>
      </c>
      <c r="AK57" s="4">
        <v>0</v>
      </c>
      <c r="AL57" s="4" t="s">
        <v>1029</v>
      </c>
      <c r="AM57" s="4">
        <v>0</v>
      </c>
      <c r="AN57" s="4">
        <v>0.05</v>
      </c>
      <c r="AO57" s="4">
        <v>0.3</v>
      </c>
      <c r="AP57" s="4" t="s">
        <v>45</v>
      </c>
      <c r="AQ57" s="4">
        <v>0</v>
      </c>
      <c r="AR57" s="4" t="s">
        <v>1059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1</v>
      </c>
      <c r="BD57" s="4">
        <v>0</v>
      </c>
      <c r="BE57" s="4">
        <v>0</v>
      </c>
      <c r="BF57" s="4">
        <v>1</v>
      </c>
      <c r="BG57" s="39">
        <v>0.25</v>
      </c>
      <c r="BH57" s="39">
        <v>0.1</v>
      </c>
      <c r="BI57" s="39">
        <v>2.5000000000000001E-2</v>
      </c>
      <c r="BJ57" s="39" t="s">
        <v>1125</v>
      </c>
      <c r="BK57" s="39">
        <v>0</v>
      </c>
      <c r="BL57" s="39">
        <v>0</v>
      </c>
      <c r="BM57" s="39">
        <v>0</v>
      </c>
    </row>
    <row r="58" spans="1:65" x14ac:dyDescent="0.25">
      <c r="A58" t="s">
        <v>672</v>
      </c>
      <c r="B58" s="39">
        <v>0</v>
      </c>
      <c r="C58" s="39">
        <v>1</v>
      </c>
      <c r="D58" s="39">
        <v>0</v>
      </c>
      <c r="E58" s="39">
        <v>11</v>
      </c>
      <c r="F58" s="39">
        <v>0</v>
      </c>
      <c r="G58" s="39">
        <v>0</v>
      </c>
      <c r="H58" s="40">
        <v>267</v>
      </c>
      <c r="I58" s="41">
        <f>H58/1000/54</f>
        <v>4.9444444444444449E-3</v>
      </c>
      <c r="J58" s="39">
        <v>2.7</v>
      </c>
      <c r="K58" s="39">
        <v>0.32</v>
      </c>
      <c r="L58" s="39">
        <v>1</v>
      </c>
      <c r="M58" s="39">
        <v>0</v>
      </c>
      <c r="N58" s="4" t="s">
        <v>956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1</v>
      </c>
      <c r="AA58" s="4" t="s">
        <v>992</v>
      </c>
      <c r="AB58" s="4" t="s">
        <v>1000</v>
      </c>
      <c r="AC58" s="4" t="s">
        <v>1108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1019</v>
      </c>
      <c r="AK58" s="4">
        <v>0</v>
      </c>
      <c r="AL58" s="4" t="s">
        <v>672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685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1</v>
      </c>
      <c r="BD58" s="4">
        <v>0</v>
      </c>
      <c r="BE58" s="4">
        <v>0</v>
      </c>
      <c r="BF58" s="4">
        <v>0</v>
      </c>
      <c r="BG58" s="39">
        <v>0.25</v>
      </c>
      <c r="BH58" s="39">
        <v>0</v>
      </c>
      <c r="BI58" s="39">
        <v>0</v>
      </c>
      <c r="BJ58" s="39" t="s">
        <v>1127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1110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21</v>
      </c>
      <c r="I59" s="41">
        <v>0.85</v>
      </c>
      <c r="J59" s="39">
        <v>1.0900000000000001</v>
      </c>
      <c r="K59" s="39" t="s">
        <v>942</v>
      </c>
      <c r="L59" s="39">
        <v>0</v>
      </c>
      <c r="M59" s="39">
        <v>0</v>
      </c>
      <c r="N59" s="4" t="s">
        <v>174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992</v>
      </c>
      <c r="AB59" s="4" t="s">
        <v>1001</v>
      </c>
      <c r="AC59" s="4" t="s">
        <v>1109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1017</v>
      </c>
      <c r="AK59" s="4">
        <v>0</v>
      </c>
      <c r="AL59" s="4" t="s">
        <v>174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685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1132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1373</v>
      </c>
      <c r="B60" s="39">
        <v>2</v>
      </c>
      <c r="C60" s="39">
        <v>1.5</v>
      </c>
      <c r="D60" s="39">
        <v>0</v>
      </c>
      <c r="E60" s="39">
        <v>1</v>
      </c>
      <c r="F60" s="39">
        <v>0</v>
      </c>
      <c r="G60" s="39">
        <v>0</v>
      </c>
      <c r="H60" s="40">
        <v>21</v>
      </c>
      <c r="I60" s="41">
        <v>0.85</v>
      </c>
      <c r="J60" s="39">
        <v>1.0900000000000001</v>
      </c>
      <c r="K60" s="39" t="s">
        <v>942</v>
      </c>
      <c r="L60" s="39">
        <v>0</v>
      </c>
      <c r="M60" s="39">
        <v>0</v>
      </c>
      <c r="N60" s="4" t="s">
        <v>174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0.3</v>
      </c>
      <c r="AA60" s="4" t="s">
        <v>992</v>
      </c>
      <c r="AB60" s="4" t="s">
        <v>1001</v>
      </c>
      <c r="AC60" s="4" t="s">
        <v>1109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1017</v>
      </c>
      <c r="AK60" s="4">
        <v>0</v>
      </c>
      <c r="AL60" s="4" t="s">
        <v>1374</v>
      </c>
      <c r="AM60" s="4">
        <v>0</v>
      </c>
      <c r="AN60" s="4">
        <v>0.1</v>
      </c>
      <c r="AO60" s="4">
        <v>0.3</v>
      </c>
      <c r="AP60" s="4" t="s">
        <v>45</v>
      </c>
      <c r="AQ60" s="4">
        <v>0</v>
      </c>
      <c r="AR60" s="4" t="s">
        <v>685</v>
      </c>
      <c r="AS60" s="4">
        <v>1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1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39">
        <v>0.5</v>
      </c>
      <c r="BH60" s="39">
        <v>0.1</v>
      </c>
      <c r="BI60" s="39">
        <v>2.5000000000000001E-2</v>
      </c>
      <c r="BJ60" s="39" t="s">
        <v>1132</v>
      </c>
      <c r="BK60" s="39">
        <v>0</v>
      </c>
      <c r="BL60" s="39">
        <v>0</v>
      </c>
      <c r="BM60" s="39">
        <v>0</v>
      </c>
    </row>
    <row r="61" spans="1:65" x14ac:dyDescent="0.25">
      <c r="A61" t="s">
        <v>174</v>
      </c>
      <c r="B61" s="39">
        <v>2</v>
      </c>
      <c r="C61" s="39">
        <v>1.5</v>
      </c>
      <c r="D61" s="39">
        <v>0</v>
      </c>
      <c r="E61" s="39">
        <v>1</v>
      </c>
      <c r="F61" s="39">
        <v>0</v>
      </c>
      <c r="G61" s="39">
        <v>0</v>
      </c>
      <c r="H61" s="40">
        <v>21</v>
      </c>
      <c r="I61" s="41">
        <v>0.85</v>
      </c>
      <c r="J61" s="39">
        <v>1.0900000000000001</v>
      </c>
      <c r="K61" s="39" t="s">
        <v>942</v>
      </c>
      <c r="L61" s="39">
        <v>0</v>
      </c>
      <c r="M61" s="39">
        <v>0</v>
      </c>
      <c r="N61" s="4" t="s">
        <v>174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0.8</v>
      </c>
      <c r="AA61" s="4" t="s">
        <v>992</v>
      </c>
      <c r="AB61" s="4" t="s">
        <v>1001</v>
      </c>
      <c r="AC61" s="4" t="s">
        <v>1108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1017</v>
      </c>
      <c r="AK61" s="4">
        <v>0</v>
      </c>
      <c r="AL61" s="4" t="s">
        <v>174</v>
      </c>
      <c r="AM61" s="4">
        <v>0</v>
      </c>
      <c r="AN61" s="4">
        <v>0.1</v>
      </c>
      <c r="AO61" s="4">
        <v>0.3</v>
      </c>
      <c r="AP61" s="4" t="s">
        <v>45</v>
      </c>
      <c r="AQ61" s="4">
        <v>0</v>
      </c>
      <c r="AR61" s="4" t="s">
        <v>685</v>
      </c>
      <c r="AS61" s="4">
        <v>1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1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39">
        <v>0.5</v>
      </c>
      <c r="BH61" s="39">
        <v>0.1</v>
      </c>
      <c r="BI61" s="39">
        <v>2.5000000000000001E-2</v>
      </c>
      <c r="BJ61" s="39" t="s">
        <v>1132</v>
      </c>
      <c r="BK61" s="39">
        <v>0</v>
      </c>
      <c r="BL61" s="39">
        <v>0</v>
      </c>
      <c r="BM61" s="39">
        <v>0</v>
      </c>
    </row>
    <row r="62" spans="1:65" x14ac:dyDescent="0.25">
      <c r="A62" t="s">
        <v>117</v>
      </c>
      <c r="B62" s="39">
        <v>2</v>
      </c>
      <c r="C62" s="39">
        <v>2</v>
      </c>
      <c r="D62" s="39">
        <v>0</v>
      </c>
      <c r="E62" s="39">
        <v>5</v>
      </c>
      <c r="F62" s="39">
        <v>2</v>
      </c>
      <c r="G62" s="39">
        <v>0</v>
      </c>
      <c r="H62" s="40">
        <v>200</v>
      </c>
      <c r="I62" s="41">
        <v>0.2</v>
      </c>
      <c r="J62" s="39">
        <v>1.0900000000000001</v>
      </c>
      <c r="K62" s="39" t="s">
        <v>942</v>
      </c>
      <c r="L62" s="39">
        <v>1</v>
      </c>
      <c r="M62" s="39">
        <v>0</v>
      </c>
      <c r="N62" s="4" t="s">
        <v>45</v>
      </c>
      <c r="O62" s="4">
        <v>0</v>
      </c>
      <c r="P62" s="4">
        <v>1</v>
      </c>
      <c r="Q62" s="4">
        <v>0.9</v>
      </c>
      <c r="R62" s="4" t="s">
        <v>968</v>
      </c>
      <c r="S62" s="4" t="s">
        <v>970</v>
      </c>
      <c r="T62" s="4" t="s">
        <v>969</v>
      </c>
      <c r="U62" s="4">
        <v>2</v>
      </c>
      <c r="V62" s="4">
        <v>0.6</v>
      </c>
      <c r="W62" s="4" t="s">
        <v>983</v>
      </c>
      <c r="X62" s="4" t="s">
        <v>984</v>
      </c>
      <c r="Y62" s="4" t="s">
        <v>966</v>
      </c>
      <c r="Z62" s="4" t="s">
        <v>45</v>
      </c>
      <c r="AA62" s="4" t="s">
        <v>45</v>
      </c>
      <c r="AB62" s="4" t="s">
        <v>45</v>
      </c>
      <c r="AC62" s="4" t="s">
        <v>45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1.5</v>
      </c>
      <c r="AJ62" s="4" t="s">
        <v>1016</v>
      </c>
      <c r="AK62" s="4">
        <v>0</v>
      </c>
      <c r="AL62" s="4" t="s">
        <v>1034</v>
      </c>
      <c r="AM62" s="4">
        <v>0</v>
      </c>
      <c r="AN62" s="4">
        <v>0</v>
      </c>
      <c r="AO62" s="4">
        <v>1</v>
      </c>
      <c r="AP62" s="4" t="s">
        <v>45</v>
      </c>
      <c r="AQ62" s="4">
        <v>0</v>
      </c>
      <c r="AR62" s="4" t="s">
        <v>1057</v>
      </c>
      <c r="AS62" s="4">
        <v>0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1</v>
      </c>
      <c r="BC62" s="4">
        <v>1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0.05</v>
      </c>
      <c r="BJ62" s="39" t="s">
        <v>1131</v>
      </c>
      <c r="BK62" s="39">
        <v>0</v>
      </c>
      <c r="BL62" s="39">
        <v>1</v>
      </c>
      <c r="BM62" s="39">
        <v>0</v>
      </c>
    </row>
    <row r="63" spans="1:65" x14ac:dyDescent="0.25">
      <c r="A63" t="s">
        <v>177</v>
      </c>
      <c r="B63" s="39">
        <v>1</v>
      </c>
      <c r="C63" s="39">
        <v>1.3</v>
      </c>
      <c r="D63" s="39">
        <v>1</v>
      </c>
      <c r="E63" s="39">
        <v>1</v>
      </c>
      <c r="F63" s="39">
        <v>0</v>
      </c>
      <c r="G63" s="39">
        <v>0</v>
      </c>
      <c r="H63" s="40">
        <v>165.1</v>
      </c>
      <c r="I63" s="41">
        <f>H63/AVERAGE(985,530,315,500,256,230)</f>
        <v>0.35177556818181821</v>
      </c>
      <c r="J63" s="39">
        <f>AVERAGE(1.52,1.47,1)</f>
        <v>1.33</v>
      </c>
      <c r="K63" s="39">
        <v>0.32</v>
      </c>
      <c r="L63" s="39">
        <v>1</v>
      </c>
      <c r="M63" s="39">
        <v>0</v>
      </c>
      <c r="N63" s="4" t="s">
        <v>956</v>
      </c>
      <c r="O63" s="4">
        <v>1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1</v>
      </c>
      <c r="AA63" s="4" t="s">
        <v>991</v>
      </c>
      <c r="AB63" s="4" t="s">
        <v>995</v>
      </c>
      <c r="AC63" s="4" t="s">
        <v>1108</v>
      </c>
      <c r="AD63" s="39">
        <v>0</v>
      </c>
      <c r="AE63" s="4" t="s">
        <v>45</v>
      </c>
      <c r="AF63" s="4" t="s">
        <v>45</v>
      </c>
      <c r="AG63" s="4" t="s">
        <v>45</v>
      </c>
      <c r="AH63" s="4" t="s">
        <v>45</v>
      </c>
      <c r="AI63" s="4">
        <v>1</v>
      </c>
      <c r="AJ63" s="4" t="s">
        <v>1017</v>
      </c>
      <c r="AK63" s="4">
        <v>0</v>
      </c>
      <c r="AL63" s="4" t="s">
        <v>1133</v>
      </c>
      <c r="AM63" s="4">
        <v>0</v>
      </c>
      <c r="AN63" s="4">
        <v>0</v>
      </c>
      <c r="AO63" s="4">
        <v>0</v>
      </c>
      <c r="AP63" s="4" t="s">
        <v>45</v>
      </c>
      <c r="AQ63" s="4">
        <v>0</v>
      </c>
      <c r="AR63" s="4" t="s">
        <v>685</v>
      </c>
      <c r="AS63" s="4">
        <v>0</v>
      </c>
      <c r="AT63" s="4">
        <v>0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1</v>
      </c>
      <c r="BD63" s="4">
        <v>0</v>
      </c>
      <c r="BE63" s="4">
        <v>0</v>
      </c>
      <c r="BF63" s="4">
        <v>1</v>
      </c>
      <c r="BG63" s="39">
        <v>0.25</v>
      </c>
      <c r="BH63" s="39">
        <v>0</v>
      </c>
      <c r="BI63" s="39">
        <v>0</v>
      </c>
      <c r="BJ63" s="39" t="s">
        <v>1127</v>
      </c>
      <c r="BK63" s="39">
        <v>0</v>
      </c>
      <c r="BL63" s="39">
        <v>0</v>
      </c>
      <c r="BM63" s="39">
        <v>0</v>
      </c>
    </row>
    <row r="64" spans="1:65" x14ac:dyDescent="0.25">
      <c r="A64" t="s">
        <v>181</v>
      </c>
      <c r="B64" s="39">
        <v>1</v>
      </c>
      <c r="C64" s="39">
        <v>1.1000000000000001</v>
      </c>
      <c r="D64" s="39">
        <v>0</v>
      </c>
      <c r="E64" s="39">
        <v>1</v>
      </c>
      <c r="F64" s="39">
        <v>1</v>
      </c>
      <c r="G64" s="39">
        <v>0</v>
      </c>
      <c r="H64" s="40">
        <f>MAX(21.6,12,10,13.1)</f>
        <v>21.6</v>
      </c>
      <c r="I64" s="41">
        <f>MAX(0.54,1.5,1.5,0.86)</f>
        <v>1.5</v>
      </c>
      <c r="J64" s="39">
        <v>1.0900000000000001</v>
      </c>
      <c r="K64" s="42">
        <f>AVERAGE(0.13,0.106,0.134,0.129)</f>
        <v>0.12475</v>
      </c>
      <c r="L64" s="39">
        <v>0</v>
      </c>
      <c r="M64" s="39">
        <v>0</v>
      </c>
      <c r="N64" s="4" t="s">
        <v>953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0.85</v>
      </c>
      <c r="AA64" s="4" t="s">
        <v>993</v>
      </c>
      <c r="AB64" s="4" t="s">
        <v>997</v>
      </c>
      <c r="AC64" s="4" t="s">
        <v>1108</v>
      </c>
      <c r="AD64" s="39">
        <v>1</v>
      </c>
      <c r="AE64" s="4">
        <v>0.65</v>
      </c>
      <c r="AF64" s="4" t="s">
        <v>1007</v>
      </c>
      <c r="AG64" s="4" t="s">
        <v>1013</v>
      </c>
      <c r="AH64" s="4" t="s">
        <v>966</v>
      </c>
      <c r="AI64" s="4">
        <v>1.2</v>
      </c>
      <c r="AJ64" s="4" t="s">
        <v>1016</v>
      </c>
      <c r="AK64" s="4">
        <v>0</v>
      </c>
      <c r="AL64" s="4" t="s">
        <v>1027</v>
      </c>
      <c r="AM64" s="4">
        <v>1</v>
      </c>
      <c r="AN64" s="4">
        <v>0.1</v>
      </c>
      <c r="AO64" s="4">
        <v>0.3</v>
      </c>
      <c r="AP64" s="4">
        <v>0.5</v>
      </c>
      <c r="AQ64" s="4">
        <v>0</v>
      </c>
      <c r="AR64" s="4" t="s">
        <v>1057</v>
      </c>
      <c r="AS64" s="4">
        <v>1</v>
      </c>
      <c r="AT64" s="4">
        <v>1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2</v>
      </c>
      <c r="BA64" s="4">
        <v>0</v>
      </c>
      <c r="BB64" s="4">
        <v>1</v>
      </c>
      <c r="BC64" s="4">
        <v>0</v>
      </c>
      <c r="BD64" s="4">
        <v>0</v>
      </c>
      <c r="BE64" s="4">
        <v>0</v>
      </c>
      <c r="BF64" s="4">
        <v>0</v>
      </c>
      <c r="BG64" s="39">
        <v>0.7</v>
      </c>
      <c r="BH64" s="39">
        <v>0.15</v>
      </c>
      <c r="BI64" s="39">
        <v>2.5000000000000001E-2</v>
      </c>
      <c r="BJ64" s="39" t="s">
        <v>1125</v>
      </c>
      <c r="BK64" s="39">
        <v>0</v>
      </c>
      <c r="BL64" s="39">
        <v>0</v>
      </c>
      <c r="BM64" s="39">
        <v>0</v>
      </c>
    </row>
    <row r="65" spans="1:65" s="16" customFormat="1" x14ac:dyDescent="0.25">
      <c r="A65" s="16" t="s">
        <v>1026</v>
      </c>
      <c r="B65" s="39">
        <v>1</v>
      </c>
      <c r="C65" s="39">
        <v>1.1000000000000001</v>
      </c>
      <c r="D65" s="39">
        <v>0</v>
      </c>
      <c r="E65" s="39">
        <v>1</v>
      </c>
      <c r="F65" s="39">
        <v>1</v>
      </c>
      <c r="G65" s="39">
        <v>0</v>
      </c>
      <c r="H65" s="40">
        <f>MAX(21.6,12,10,13.1)</f>
        <v>21.6</v>
      </c>
      <c r="I65" s="41">
        <f>MAX(0.54,1.5,1.5,0.86)</f>
        <v>1.5</v>
      </c>
      <c r="J65" s="39">
        <v>1.0900000000000001</v>
      </c>
      <c r="K65" s="42">
        <f>AVERAGE(0.13,0.106,0.134,0.129)</f>
        <v>0.12475</v>
      </c>
      <c r="L65" s="39">
        <v>0</v>
      </c>
      <c r="M65" s="39">
        <v>0</v>
      </c>
      <c r="N65" s="4" t="s">
        <v>953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0.85</v>
      </c>
      <c r="AA65" s="4" t="s">
        <v>993</v>
      </c>
      <c r="AB65" s="4" t="s">
        <v>997</v>
      </c>
      <c r="AC65" s="4" t="s">
        <v>1108</v>
      </c>
      <c r="AD65" s="39">
        <v>1</v>
      </c>
      <c r="AE65" s="4">
        <v>0.65</v>
      </c>
      <c r="AF65" s="4" t="s">
        <v>1007</v>
      </c>
      <c r="AG65" s="4" t="s">
        <v>1013</v>
      </c>
      <c r="AH65" s="4" t="s">
        <v>966</v>
      </c>
      <c r="AI65" s="4">
        <v>1.2</v>
      </c>
      <c r="AJ65" s="4" t="s">
        <v>1016</v>
      </c>
      <c r="AK65" s="4">
        <v>0</v>
      </c>
      <c r="AL65" s="4" t="s">
        <v>1029</v>
      </c>
      <c r="AM65" s="4">
        <v>1</v>
      </c>
      <c r="AN65" s="4">
        <v>0</v>
      </c>
      <c r="AO65" s="4">
        <v>0</v>
      </c>
      <c r="AP65" s="4">
        <v>0.5</v>
      </c>
      <c r="AQ65" s="4">
        <v>0</v>
      </c>
      <c r="AR65" s="4" t="s">
        <v>1057</v>
      </c>
      <c r="AS65" s="4">
        <v>0</v>
      </c>
      <c r="AT65" s="4">
        <v>1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1</v>
      </c>
      <c r="BA65" s="4">
        <v>0</v>
      </c>
      <c r="BB65" s="4">
        <v>1</v>
      </c>
      <c r="BC65" s="4">
        <v>0</v>
      </c>
      <c r="BD65" s="4">
        <v>0</v>
      </c>
      <c r="BE65" s="4">
        <v>0</v>
      </c>
      <c r="BF65" s="4">
        <v>0</v>
      </c>
      <c r="BG65" s="39">
        <v>0.7</v>
      </c>
      <c r="BH65" s="39">
        <v>0.1</v>
      </c>
      <c r="BI65" s="39">
        <v>2.5000000000000001E-2</v>
      </c>
      <c r="BJ65" s="39" t="s">
        <v>1125</v>
      </c>
      <c r="BK65" s="39">
        <v>0</v>
      </c>
      <c r="BL65" s="39">
        <v>0</v>
      </c>
      <c r="BM65" s="39">
        <v>0</v>
      </c>
    </row>
    <row r="66" spans="1:65" s="16" customFormat="1" x14ac:dyDescent="0.25">
      <c r="A66" s="16" t="s">
        <v>1237</v>
      </c>
      <c r="B66" s="39">
        <v>2</v>
      </c>
      <c r="C66" s="4" t="s">
        <v>1227</v>
      </c>
      <c r="D66" s="39">
        <v>0</v>
      </c>
      <c r="E66" s="39">
        <v>1</v>
      </c>
      <c r="F66" s="39">
        <v>2</v>
      </c>
      <c r="G66" s="39">
        <v>2</v>
      </c>
      <c r="H66" s="40">
        <v>1833.2</v>
      </c>
      <c r="I66" s="41">
        <v>1.2031000000000001</v>
      </c>
      <c r="J66" s="39">
        <v>2.21</v>
      </c>
      <c r="K66" s="42">
        <v>0.27100000000000002</v>
      </c>
      <c r="L66" s="39">
        <v>1</v>
      </c>
      <c r="M66" s="39">
        <v>0</v>
      </c>
      <c r="N66" s="4" t="s">
        <v>951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0.5</v>
      </c>
      <c r="AA66" s="4" t="s">
        <v>993</v>
      </c>
      <c r="AB66" s="4" t="s">
        <v>997</v>
      </c>
      <c r="AC66" s="4" t="s">
        <v>1108</v>
      </c>
      <c r="AD66" s="39">
        <v>1</v>
      </c>
      <c r="AE66" s="4">
        <v>0.45</v>
      </c>
      <c r="AF66" s="4" t="s">
        <v>1007</v>
      </c>
      <c r="AG66" s="4" t="s">
        <v>1013</v>
      </c>
      <c r="AH66" s="4" t="s">
        <v>966</v>
      </c>
      <c r="AI66" s="4">
        <v>1.2</v>
      </c>
      <c r="AJ66" s="4" t="s">
        <v>1210</v>
      </c>
      <c r="AK66" s="4">
        <v>0</v>
      </c>
      <c r="AL66" s="4" t="s">
        <v>1238</v>
      </c>
      <c r="AM66" s="4">
        <v>0</v>
      </c>
      <c r="AN66" s="4">
        <v>1</v>
      </c>
      <c r="AO66" s="4">
        <v>1</v>
      </c>
      <c r="AP66" s="4" t="s">
        <v>45</v>
      </c>
      <c r="AQ66" s="4">
        <v>0</v>
      </c>
      <c r="AR66" s="4" t="s">
        <v>1057</v>
      </c>
      <c r="AS66" s="4">
        <v>1</v>
      </c>
      <c r="AT66" s="4">
        <v>1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2.5</v>
      </c>
      <c r="BH66" s="39">
        <v>0.5</v>
      </c>
      <c r="BI66" s="39">
        <v>0.25</v>
      </c>
      <c r="BJ66" s="39" t="s">
        <v>1125</v>
      </c>
      <c r="BK66" s="39">
        <v>1</v>
      </c>
      <c r="BL66" s="39">
        <v>0</v>
      </c>
      <c r="BM66" s="39">
        <v>1</v>
      </c>
    </row>
    <row r="67" spans="1:65" s="16" customFormat="1" x14ac:dyDescent="0.25">
      <c r="A67" s="16" t="s">
        <v>1225</v>
      </c>
      <c r="B67" s="39">
        <v>2</v>
      </c>
      <c r="C67" s="4" t="s">
        <v>1227</v>
      </c>
      <c r="D67" s="39">
        <v>0</v>
      </c>
      <c r="E67" s="39">
        <v>5</v>
      </c>
      <c r="F67" s="39">
        <v>2</v>
      </c>
      <c r="G67" s="39">
        <v>2</v>
      </c>
      <c r="H67" s="40">
        <v>1833.2</v>
      </c>
      <c r="I67" s="41">
        <v>1.2031000000000001</v>
      </c>
      <c r="J67" s="39">
        <v>2.21</v>
      </c>
      <c r="K67" s="42">
        <v>0.27100000000000002</v>
      </c>
      <c r="L67" s="39">
        <v>1</v>
      </c>
      <c r="M67" s="39">
        <v>0</v>
      </c>
      <c r="N67" s="4" t="s">
        <v>45</v>
      </c>
      <c r="O67" s="4">
        <v>0</v>
      </c>
      <c r="P67" s="4">
        <v>1</v>
      </c>
      <c r="Q67" s="4">
        <v>0.8</v>
      </c>
      <c r="R67" s="4" t="s">
        <v>968</v>
      </c>
      <c r="S67" s="4" t="s">
        <v>971</v>
      </c>
      <c r="T67" s="4" t="s">
        <v>969</v>
      </c>
      <c r="U67" s="4">
        <v>2</v>
      </c>
      <c r="V67" s="4">
        <v>0.7</v>
      </c>
      <c r="W67" s="4" t="s">
        <v>983</v>
      </c>
      <c r="X67" s="4" t="s">
        <v>984</v>
      </c>
      <c r="Y67" s="4" t="s">
        <v>966</v>
      </c>
      <c r="Z67" s="4" t="s">
        <v>45</v>
      </c>
      <c r="AA67" s="4" t="s">
        <v>45</v>
      </c>
      <c r="AB67" s="4" t="s">
        <v>45</v>
      </c>
      <c r="AC67" s="4" t="s">
        <v>45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1210</v>
      </c>
      <c r="AK67" s="4">
        <v>0</v>
      </c>
      <c r="AL67" s="4" t="s">
        <v>1228</v>
      </c>
      <c r="AM67" s="4">
        <v>0</v>
      </c>
      <c r="AN67" s="4">
        <v>0.1</v>
      </c>
      <c r="AO67" s="4">
        <v>0.3</v>
      </c>
      <c r="AP67" s="4" t="s">
        <v>45</v>
      </c>
      <c r="AQ67" s="4">
        <v>0</v>
      </c>
      <c r="AR67" s="4" t="s">
        <v>1059</v>
      </c>
      <c r="AS67" s="4">
        <v>0</v>
      </c>
      <c r="AT67" s="4">
        <v>0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0.25</v>
      </c>
      <c r="BI67" s="39">
        <v>0.1</v>
      </c>
      <c r="BJ67" s="39" t="s">
        <v>1125</v>
      </c>
      <c r="BK67" s="39">
        <v>0</v>
      </c>
      <c r="BL67" s="39">
        <v>1</v>
      </c>
      <c r="BM67" s="39">
        <v>0</v>
      </c>
    </row>
    <row r="68" spans="1:65" s="16" customFormat="1" x14ac:dyDescent="0.25">
      <c r="A68" s="16" t="s">
        <v>1229</v>
      </c>
      <c r="B68" s="39">
        <v>2</v>
      </c>
      <c r="C68" s="4" t="s">
        <v>1227</v>
      </c>
      <c r="D68" s="39">
        <v>0</v>
      </c>
      <c r="E68" s="39">
        <v>1</v>
      </c>
      <c r="F68" s="39">
        <v>2</v>
      </c>
      <c r="G68" s="39">
        <v>2</v>
      </c>
      <c r="H68" s="40">
        <v>1833.2</v>
      </c>
      <c r="I68" s="41">
        <v>1.2031000000000001</v>
      </c>
      <c r="J68" s="39">
        <v>2.21</v>
      </c>
      <c r="K68" s="42">
        <v>0.27100000000000002</v>
      </c>
      <c r="L68" s="39">
        <v>1</v>
      </c>
      <c r="M68" s="39">
        <v>1</v>
      </c>
      <c r="N68" s="4" t="s">
        <v>951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0.6</v>
      </c>
      <c r="AA68" s="4" t="s">
        <v>993</v>
      </c>
      <c r="AB68" s="4" t="s">
        <v>996</v>
      </c>
      <c r="AC68" s="4" t="s">
        <v>1108</v>
      </c>
      <c r="AD68" s="39">
        <v>1</v>
      </c>
      <c r="AE68" s="4">
        <v>0.45</v>
      </c>
      <c r="AF68" s="4" t="s">
        <v>1007</v>
      </c>
      <c r="AG68" s="4" t="s">
        <v>1013</v>
      </c>
      <c r="AH68" s="4" t="s">
        <v>966</v>
      </c>
      <c r="AI68" s="4">
        <v>1.2</v>
      </c>
      <c r="AJ68" s="4" t="s">
        <v>1210</v>
      </c>
      <c r="AK68" s="4">
        <v>0</v>
      </c>
      <c r="AL68" s="4" t="s">
        <v>1226</v>
      </c>
      <c r="AM68" s="4">
        <v>0</v>
      </c>
      <c r="AN68" s="4">
        <v>1</v>
      </c>
      <c r="AO68" s="4">
        <v>1</v>
      </c>
      <c r="AP68" s="4" t="s">
        <v>45</v>
      </c>
      <c r="AQ68" s="4">
        <v>0</v>
      </c>
      <c r="AR68" s="4" t="s">
        <v>1059</v>
      </c>
      <c r="AS68" s="4">
        <v>1</v>
      </c>
      <c r="AT68" s="4">
        <v>1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0.35</v>
      </c>
      <c r="BI68" s="39">
        <v>0.15</v>
      </c>
      <c r="BJ68" s="39" t="s">
        <v>1132</v>
      </c>
      <c r="BK68" s="39">
        <v>1</v>
      </c>
      <c r="BL68" s="39">
        <v>0</v>
      </c>
      <c r="BM68" s="39">
        <v>1</v>
      </c>
    </row>
    <row r="69" spans="1:65" s="16" customFormat="1" x14ac:dyDescent="0.25">
      <c r="A69" s="16" t="s">
        <v>1230</v>
      </c>
      <c r="B69" s="39">
        <v>2</v>
      </c>
      <c r="C69" s="4" t="s">
        <v>1227</v>
      </c>
      <c r="D69" s="39">
        <v>0</v>
      </c>
      <c r="E69" s="39">
        <v>5</v>
      </c>
      <c r="F69" s="39">
        <v>2</v>
      </c>
      <c r="G69" s="39">
        <v>2</v>
      </c>
      <c r="H69" s="40">
        <v>1833.2</v>
      </c>
      <c r="I69" s="41">
        <v>1.2031000000000001</v>
      </c>
      <c r="J69" s="39">
        <v>2.21</v>
      </c>
      <c r="K69" s="42">
        <v>0.27100000000000002</v>
      </c>
      <c r="L69" s="39">
        <v>1</v>
      </c>
      <c r="M69" s="39">
        <v>0</v>
      </c>
      <c r="N69" s="4" t="s">
        <v>951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1232</v>
      </c>
      <c r="AB69" s="4" t="s">
        <v>1231</v>
      </c>
      <c r="AC69" s="4" t="s">
        <v>966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1210</v>
      </c>
      <c r="AK69" s="4">
        <v>0</v>
      </c>
      <c r="AL69" s="4" t="s">
        <v>1221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1059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1127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1339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951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992</v>
      </c>
      <c r="AB70" s="4" t="s">
        <v>994</v>
      </c>
      <c r="AC70" s="4" t="s">
        <v>1108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1019</v>
      </c>
      <c r="AK70" s="4">
        <v>0</v>
      </c>
      <c r="AL70" s="4" t="s">
        <v>1339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685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1127</v>
      </c>
      <c r="BK70" s="39">
        <v>0</v>
      </c>
      <c r="BL70" s="39">
        <v>0</v>
      </c>
      <c r="BM70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2"/>
  <sheetViews>
    <sheetView zoomScaleNormal="100" workbookViewId="0">
      <pane xSplit="1" topLeftCell="S1" activePane="topRight" state="frozen"/>
      <selection pane="topRight" activeCell="Z106" sqref="Z106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27.5703125" style="4" bestFit="1" customWidth="1"/>
    <col min="32" max="32" width="14.5703125" style="4" bestFit="1" customWidth="1"/>
    <col min="33" max="33" width="22.28515625" style="4" bestFit="1" customWidth="1"/>
    <col min="34" max="34" width="23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1156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43" t="s">
        <v>1390</v>
      </c>
      <c r="AA1" s="29" t="s">
        <v>1050</v>
      </c>
      <c r="AB1" s="29" t="s">
        <v>1383</v>
      </c>
      <c r="AC1" s="29" t="s">
        <v>1052</v>
      </c>
      <c r="AD1" s="29" t="s">
        <v>1053</v>
      </c>
      <c r="AE1" s="4" t="s">
        <v>1081</v>
      </c>
      <c r="AF1" s="29" t="s">
        <v>319</v>
      </c>
      <c r="AG1" s="29" t="s">
        <v>674</v>
      </c>
      <c r="AH1" s="29" t="s">
        <v>1378</v>
      </c>
      <c r="AI1" s="29" t="s">
        <v>1093</v>
      </c>
      <c r="AJ1" s="29" t="s">
        <v>1092</v>
      </c>
      <c r="AK1" s="29" t="s">
        <v>1094</v>
      </c>
      <c r="AL1" s="29" t="s">
        <v>932</v>
      </c>
      <c r="AM1" s="29" t="s">
        <v>1140</v>
      </c>
      <c r="AN1" s="38" t="s">
        <v>634</v>
      </c>
      <c r="AO1" s="30" t="s">
        <v>250</v>
      </c>
      <c r="AP1" s="30" t="s">
        <v>304</v>
      </c>
      <c r="AQ1" s="30" t="s">
        <v>305</v>
      </c>
      <c r="AR1" s="30" t="s">
        <v>33</v>
      </c>
      <c r="AS1" s="30" t="s">
        <v>34</v>
      </c>
      <c r="AT1" s="30" t="s">
        <v>35</v>
      </c>
      <c r="AU1" s="30" t="s">
        <v>1138</v>
      </c>
      <c r="AV1" s="45" t="s">
        <v>1099</v>
      </c>
      <c r="AW1" s="30" t="s">
        <v>1100</v>
      </c>
      <c r="AX1" s="30" t="s">
        <v>1105</v>
      </c>
      <c r="AY1" s="30" t="s">
        <v>1106</v>
      </c>
      <c r="AZ1" s="30" t="s">
        <v>1107</v>
      </c>
      <c r="BA1" s="30" t="s">
        <v>1139</v>
      </c>
      <c r="BB1" s="30" t="s">
        <v>1146</v>
      </c>
      <c r="BC1" s="30" t="s">
        <v>1150</v>
      </c>
      <c r="BD1" s="30" t="s">
        <v>1145</v>
      </c>
      <c r="BE1" s="30" t="s">
        <v>1117</v>
      </c>
      <c r="BF1" s="30" t="s">
        <v>1120</v>
      </c>
      <c r="BG1" s="30" t="s">
        <v>252</v>
      </c>
      <c r="BH1" s="30" t="s">
        <v>243</v>
      </c>
      <c r="BI1" s="30" t="s">
        <v>277</v>
      </c>
      <c r="BJ1" s="30" t="s">
        <v>251</v>
      </c>
      <c r="BK1" s="30" t="s">
        <v>1112</v>
      </c>
      <c r="BL1" s="30" t="s">
        <v>1116</v>
      </c>
      <c r="BM1" s="30" t="s">
        <v>1114</v>
      </c>
      <c r="BN1" s="30" t="s">
        <v>1118</v>
      </c>
      <c r="BO1" s="30" t="s">
        <v>1119</v>
      </c>
      <c r="BP1" s="30" t="s">
        <v>265</v>
      </c>
      <c r="BQ1" s="30" t="s">
        <v>261</v>
      </c>
      <c r="BR1" s="30" t="s">
        <v>270</v>
      </c>
      <c r="BS1" s="30" t="s">
        <v>264</v>
      </c>
      <c r="BT1" s="30" t="s">
        <v>266</v>
      </c>
      <c r="BU1" s="30" t="s">
        <v>263</v>
      </c>
      <c r="BV1" s="30" t="s">
        <v>262</v>
      </c>
      <c r="BW1" s="29" t="s">
        <v>1158</v>
      </c>
      <c r="BX1" s="29" t="s">
        <v>1157</v>
      </c>
    </row>
    <row r="2" spans="1:76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Groups!$A$64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383</v>
      </c>
      <c r="AH2" s="4" t="str">
        <f>Animals!C3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MROUND(40*Animals!AO2*_xlfn.XLOOKUP(Animals!BB2,Leathers!$A$2:$A$100,Leathers!$B$2:$B$100,0)+(140*_xlfn.XLOOKUP(B2,Animals!B:B,Animals!AO:AO)*2),5)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Groups!$A$64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383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MROUND(40*Animals!AO3*_xlfn.XLOOKUP(Animals!BB3,Leathers!$A$2:$A$100,Leathers!$B$2:$B$100,0)+(140*_xlfn.XLOOKUP(B3,Animals!B:B,Animals!AO:AO)*2),5)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Groups!$A$65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394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MROUND(40*Animals!AO4*_xlfn.XLOOKUP(Animals!BB4,Leathers!$A$2:$A$100,Leathers!$B$2:$B$100,0)+(140*_xlfn.XLOOKUP(B4,Animals!B:B,Animals!AO:AO)*2),5)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Groups!$A$9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320</v>
      </c>
      <c r="AG5" s="28" t="s">
        <v>384</v>
      </c>
      <c r="AH5" s="4" t="str">
        <f>Animals!C6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MROUND(40*Animals!AO5*_xlfn.XLOOKUP(Animals!BB5,Leathers!$A$2:$A$100,Leathers!$B$2:$B$100,0)+(140*_xlfn.XLOOKUP(B5,Animals!B:B,Animals!AO:AO)*2),5)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Groups!$A$7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384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MROUND(40*Animals!AO6*_xlfn.XLOOKUP(Animals!BB6,Leathers!$A$2:$A$100,Leathers!$B$2:$B$100,0)+(140*_xlfn.XLOOKUP(B6,Animals!B:B,Animals!AO:AO)*2),5)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Groups!$A$9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320</v>
      </c>
      <c r="AG7" s="28" t="s">
        <v>384</v>
      </c>
      <c r="AH7" s="4" t="str">
        <f>Animals!C6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MROUND(40*Animals!AO7*_xlfn.XLOOKUP(Animals!BB7,Leathers!$A$2:$A$100,Leathers!$B$2:$B$100,0)+(140*_xlfn.XLOOKUP(B7,Animals!B:B,Animals!AO:AO)*2),5)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Groups!$A$9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407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MROUND(40*Animals!AO8*_xlfn.XLOOKUP(Animals!BB8,Leathers!$A$2:$A$100,Leathers!$B$2:$B$100,0)+(140*_xlfn.XLOOKUP(B8,Animals!B:B,Animals!AO:AO)*2),5)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Groups!$A$6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407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MROUND(40*Animals!AO9*_xlfn.XLOOKUP(Animals!BB9,Leathers!$A$2:$A$100,Leathers!$B$2:$B$100,0)+(140*_xlfn.XLOOKUP(B9,Animals!B:B,Animals!AO:AO)*2),5)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Groups!$A$6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407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MROUND(40*Animals!AO10*_xlfn.XLOOKUP(Animals!BB10,Leathers!$A$2:$A$100,Leathers!$B$2:$B$100,0)+(140*_xlfn.XLOOKUP(B10,Animals!B:B,Animals!AO:AO)*2),5)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Groups!$A$9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407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MROUND(40*Animals!AO11*_xlfn.XLOOKUP(Animals!BB11,Leathers!$A$2:$A$100,Leathers!$B$2:$B$100,0)+(140*_xlfn.XLOOKUP(B11,Animals!B:B,Animals!AO:AO)*2),5)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90</v>
      </c>
      <c r="B12" s="6" t="s">
        <v>91</v>
      </c>
      <c r="C12" s="7">
        <v>434</v>
      </c>
      <c r="D12" s="7" t="s">
        <v>1180</v>
      </c>
      <c r="E12" s="7" t="str">
        <f>Groups!$A$23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407</v>
      </c>
      <c r="AG12" s="28" t="s">
        <v>386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MROUND(40*Animals!AO12*_xlfn.XLOOKUP(Animals!BB12,Leathers!$A$2:$A$100,Leathers!$B$2:$B$100,0)+(140*_xlfn.XLOOKUP(B12,Animals!B:B,Animals!AO:AO)*2),5)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Groups!$A$22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408</v>
      </c>
      <c r="AG13" s="28" t="s">
        <v>386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MROUND(40*Animals!AO13*_xlfn.XLOOKUP(Animals!BB13,Leathers!$A$2:$A$100,Leathers!$B$2:$B$100,0)+(140*_xlfn.XLOOKUP(B13,Animals!B:B,Animals!AO:AO)*2),5)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Groups!$A$11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320</v>
      </c>
      <c r="AG14" s="28" t="s">
        <v>388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MROUND(40*Animals!AO14*_xlfn.XLOOKUP(Animals!BB14,Leathers!$A$2:$A$100,Leathers!$B$2:$B$100,0)+(140*_xlfn.XLOOKUP(B14,Animals!B:B,Animals!AO:AO)*2),5)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Groups!$A$11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320</v>
      </c>
      <c r="AG15" s="28" t="s">
        <v>388</v>
      </c>
      <c r="AH15" s="4" t="str">
        <f>Animals!C14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MROUND(40*Animals!AO15*_xlfn.XLOOKUP(Animals!BB15,Leathers!$A$2:$A$100,Leathers!$B$2:$B$100,0)+(140*_xlfn.XLOOKUP(B15,Animals!B:B,Animals!AO:AO)*2),5)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Groups!$A$11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320</v>
      </c>
      <c r="AG16" s="28" t="s">
        <v>388</v>
      </c>
      <c r="AH16" s="4" t="str">
        <f>Animals!C14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MROUND(40*Animals!AO16*_xlfn.XLOOKUP(Animals!BB16,Leathers!$A$2:$A$100,Leathers!$B$2:$B$100,0)+(140*_xlfn.XLOOKUP(B16,Animals!B:B,Animals!AO:AO)*2),5)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Groups!$A$18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398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MROUND(40*Animals!AO17*_xlfn.XLOOKUP(Animals!BB17,Leathers!$A$2:$A$100,Leathers!$B$2:$B$100,0)+(140*_xlfn.XLOOKUP(B17,Animals!B:B,Animals!AO:AO)*2),5)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Groups!$A$18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398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MROUND(40*Animals!AO18*_xlfn.XLOOKUP(Animals!BB18,Leathers!$A$2:$A$100,Leathers!$B$2:$B$100,0)+(140*_xlfn.XLOOKUP(B18,Animals!B:B,Animals!AO:AO)*2),5)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Groups!$A$18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398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MROUND(40*Animals!AO19*_xlfn.XLOOKUP(Animals!BB19,Leathers!$A$2:$A$100,Leathers!$B$2:$B$100,0)+(140*_xlfn.XLOOKUP(B19,Animals!B:B,Animals!AO:AO)*2),5)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Groups!$A$18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394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MROUND(40*Animals!AO20*_xlfn.XLOOKUP(Animals!BB20,Leathers!$A$2:$A$100,Leathers!$B$2:$B$100,0)+(140*_xlfn.XLOOKUP(B20,Animals!B:B,Animals!AO:AO)*2),5)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92</v>
      </c>
      <c r="B21" s="6" t="s">
        <v>93</v>
      </c>
      <c r="C21" s="7">
        <v>410.3</v>
      </c>
      <c r="D21" s="7" t="s">
        <v>1181</v>
      </c>
      <c r="E21" s="7" t="str">
        <f>Groups!$A$25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407</v>
      </c>
      <c r="AG21" s="28" t="s">
        <v>401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MROUND(40*Animals!AO21*_xlfn.XLOOKUP(Animals!BB21,Leathers!$A$2:$A$100,Leathers!$B$2:$B$100,0)+(140*_xlfn.XLOOKUP(B21,Animals!B:B,Animals!AO:AO)*2),5)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Groups!$A$25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407</v>
      </c>
      <c r="AG22" s="28" t="s">
        <v>401</v>
      </c>
      <c r="AH22" s="4" t="str">
        <f>Animals!C21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MROUND(40*Animals!AO22*_xlfn.XLOOKUP(Animals!BB22,Leathers!$A$2:$A$100,Leathers!$B$2:$B$100,0)+(140*_xlfn.XLOOKUP(B22,Animals!B:B,Animals!AO:AO)*2),5)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Groups!$A$47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394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MROUND(40*Animals!AO23*_xlfn.XLOOKUP(Animals!BB23,Leathers!$A$2:$A$100,Leathers!$B$2:$B$100,0)+(140*_xlfn.XLOOKUP(B23,Animals!B:B,Animals!AO:AO)*2),5)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Groups!$A$47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394</v>
      </c>
      <c r="AH24" s="4" t="str">
        <f>Animals!C23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MROUND(40*Animals!AO24*_xlfn.XLOOKUP(Animals!BB24,Leathers!$A$2:$A$100,Leathers!$B$2:$B$100,0)+(140*_xlfn.XLOOKUP(B24,Animals!B:B,Animals!AO:AO)*2),5)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120</v>
      </c>
      <c r="B25" s="6" t="s">
        <v>1182</v>
      </c>
      <c r="C25" s="7">
        <v>2175</v>
      </c>
      <c r="D25" s="7" t="s">
        <v>1183</v>
      </c>
      <c r="E25" s="7" t="str">
        <f>Groups!$A$45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1183</v>
      </c>
      <c r="L25" s="7">
        <f>7.5*3.6</f>
        <v>27</v>
      </c>
      <c r="M25" s="7" t="s">
        <v>1185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402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</v>
      </c>
      <c r="AW25" s="8">
        <f>MROUND(40*Animals!AO25*_xlfn.XLOOKUP(Animals!BB25,Leathers!$A$2:$A$100,Leathers!$B$2:$B$100,0)+(140*_xlfn.XLOOKUP(B25,Animals!B:B,Animals!AO:AO)*2),5)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1184</v>
      </c>
      <c r="E26" s="7" t="str">
        <f>Groups!$A$17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1082</v>
      </c>
      <c r="AF26" s="4" t="s">
        <v>407</v>
      </c>
      <c r="AG26" s="28" t="s">
        <v>389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MROUND(40*Animals!AO26*_xlfn.XLOOKUP(Animals!BB26,Leathers!$A$2:$A$100,Leathers!$B$2:$B$100,0)+(140*_xlfn.XLOOKUP(B26,Animals!B:B,Animals!AO:AO)*2),5)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Groups!$A$62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1088</v>
      </c>
      <c r="AF27" s="4" t="s">
        <v>409</v>
      </c>
      <c r="AG27" s="28" t="s">
        <v>404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10.919939975358783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0.8</v>
      </c>
      <c r="AW27" s="8">
        <f>MROUND(40*Animals!AO27*_xlfn.XLOOKUP(Animals!BB27,Leathers!$A$2:$A$100,Leathers!$B$2:$B$100,0)+(140*_xlfn.XLOOKUP(B27,Animals!B:B,Animals!AO:AO)*2),5)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169</v>
      </c>
      <c r="B28" s="6" t="s">
        <v>170</v>
      </c>
      <c r="C28" s="7">
        <f>3705.7</f>
        <v>3705.7</v>
      </c>
      <c r="D28" s="7" t="s">
        <v>1186</v>
      </c>
      <c r="E28" s="7" t="str">
        <f>Groups!$A$57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1083</v>
      </c>
      <c r="AF28" s="4" t="s">
        <v>45</v>
      </c>
      <c r="AG28" s="28" t="s">
        <v>391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MROUND(40*Animals!AO28*_xlfn.XLOOKUP(Animals!BB28,Leathers!$A$2:$A$100,Leathers!$B$2:$B$100,0)+(140*_xlfn.XLOOKUP(B28,Animals!B:B,Animals!AO:AO)*2),5)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107</v>
      </c>
      <c r="B29" s="6" t="s">
        <v>108</v>
      </c>
      <c r="C29" s="7">
        <v>150</v>
      </c>
      <c r="D29" s="7" t="s">
        <v>1194</v>
      </c>
      <c r="E29" s="7" t="str">
        <f>Groups!$A$37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407</v>
      </c>
      <c r="AG29" s="28" t="s">
        <v>400</v>
      </c>
      <c r="AH29" s="4" t="str">
        <f>Animals!C30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MROUND(40*Animals!AO29*_xlfn.XLOOKUP(Animals!BB29,Leathers!$A$2:$A$100,Leathers!$B$2:$B$100,0)+(140*_xlfn.XLOOKUP(B29,Animals!B:B,Animals!AO:AO)*2),5)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110</v>
      </c>
      <c r="B30" s="6" t="s">
        <v>543</v>
      </c>
      <c r="C30" s="7">
        <f>AVERAGE(323,244)</f>
        <v>283.5</v>
      </c>
      <c r="D30" s="7" t="s">
        <v>1195</v>
      </c>
      <c r="E30" s="7" t="str">
        <f>Groups!$A$39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407</v>
      </c>
      <c r="AG30" s="28" t="s">
        <v>400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MROUND(40*Animals!AO30*_xlfn.XLOOKUP(Animals!BB30,Leathers!$A$2:$A$100,Leathers!$B$2:$B$100,0)+(140*_xlfn.XLOOKUP(B30,Animals!B:B,Animals!AO:AO)*2),5)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0.75</v>
      </c>
    </row>
    <row r="31" spans="1:76" x14ac:dyDescent="0.25">
      <c r="A31" s="26" t="s">
        <v>116</v>
      </c>
      <c r="B31" s="6" t="s">
        <v>271</v>
      </c>
      <c r="C31" s="7">
        <f>AVERAGE(7.7,5.34)</f>
        <v>6.52</v>
      </c>
      <c r="D31" s="7" t="s">
        <v>1196</v>
      </c>
      <c r="E31" s="7" t="str">
        <f>Groups!$A$44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1084</v>
      </c>
      <c r="AF31" s="4" t="s">
        <v>410</v>
      </c>
      <c r="AG31" s="28" t="s">
        <v>394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MROUND(40*Animals!AO31*_xlfn.XLOOKUP(Animals!BB31,Leathers!$A$2:$A$100,Leathers!$B$2:$B$100,0)+(140*_xlfn.XLOOKUP(B31,Animals!B:B,Animals!AO:AO)*2),5)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Groups!$A$26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395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MROUND(40*Animals!AO32*_xlfn.XLOOKUP(Animals!BB32,Leathers!$A$2:$A$100,Leathers!$B$2:$B$100,0)+(140*_xlfn.XLOOKUP(B32,Animals!B:B,Animals!AO:AO)*2),5)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Groups!$A$59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395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MROUND(40*Animals!AO33*_xlfn.XLOOKUP(Animals!BB33,Leathers!$A$2:$A$100,Leathers!$B$2:$B$100,0)+(140*_xlfn.XLOOKUP(B33,Animals!B:B,Animals!AO:AO)*2),5)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175</v>
      </c>
      <c r="B34" s="6" t="s">
        <v>176</v>
      </c>
      <c r="C34" s="7">
        <v>26</v>
      </c>
      <c r="D34" s="7" t="s">
        <v>1197</v>
      </c>
      <c r="E34" s="7" t="str">
        <f>Groups!$A$63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395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MROUND(40*Animals!AO34*_xlfn.XLOOKUP(Animals!BB34,Leathers!$A$2:$A$100,Leathers!$B$2:$B$100,0)+(140*_xlfn.XLOOKUP(B34,Animals!B:B,Animals!AO:AO)*2),5)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Groups!$A$48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409</v>
      </c>
      <c r="AG35" s="28" t="s">
        <v>394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MROUND(40*Animals!AO35*_xlfn.XLOOKUP(Animals!BB35,Leathers!$A$2:$A$100,Leathers!$B$2:$B$100,0)+(140*_xlfn.XLOOKUP(B35,Animals!B:B,Animals!AO:AO)*2),5)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Groups!$A$49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374</v>
      </c>
      <c r="AH36" s="4" t="str">
        <f>Animals!C35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MROUND(40*Animals!AO36*_xlfn.XLOOKUP(Animals!BB36,Leathers!$A$2:$A$100,Leathers!$B$2:$B$100,0)+(140*_xlfn.XLOOKUP(B36,Animals!B:B,Animals!AO:AO)*2),5)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Groups!$A$47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408</v>
      </c>
      <c r="AG37" s="28" t="s">
        <v>394</v>
      </c>
      <c r="AH37" s="4" t="str">
        <f>Animals!C35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MROUND(40*Animals!AO37*_xlfn.XLOOKUP(Animals!BB37,Leathers!$A$2:$A$100,Leathers!$B$2:$B$100,0)+(140*_xlfn.XLOOKUP(B37,Animals!B:B,Animals!AO:AO)*2),5)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Groups!$A$49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410</v>
      </c>
      <c r="AG38" s="28" t="s">
        <v>387</v>
      </c>
      <c r="AH38" s="4" t="str">
        <f>Animals!C35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MROUND(40*Animals!AO38*_xlfn.XLOOKUP(Animals!BB38,Leathers!$A$2:$A$100,Leathers!$B$2:$B$100,0)+(140*_xlfn.XLOOKUP(B38,Animals!B:B,Animals!AO:AO)*2),5)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1198</v>
      </c>
      <c r="E39" s="7" t="str">
        <f>Groups!$A$46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410</v>
      </c>
      <c r="AG39" s="28" t="s">
        <v>394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MROUND(40*Animals!AO39*_xlfn.XLOOKUP(Animals!BB39,Leathers!$A$2:$A$100,Leathers!$B$2:$B$100,0)+(140*_xlfn.XLOOKUP(B39,Animals!B:B,Animals!AO:AO)*2),5)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Groups!$A$49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407</v>
      </c>
      <c r="AG40" s="28" t="s">
        <v>394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MROUND(40*Animals!AO40*_xlfn.XLOOKUP(Animals!BB40,Leathers!$A$2:$A$100,Leathers!$B$2:$B$100,0)+(140*_xlfn.XLOOKUP(B40,Animals!B:B,Animals!AO:AO)*2),5)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Groups!$A$48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394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MROUND(40*Animals!AO41*_xlfn.XLOOKUP(Animals!BB41,Leathers!$A$2:$A$100,Leathers!$B$2:$B$100,0)+(140*_xlfn.XLOOKUP(B41,Animals!B:B,Animals!AO:AO)*2),5)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Groups!$A$50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410</v>
      </c>
      <c r="AG42" s="28" t="s">
        <v>401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MROUND(40*Animals!AO42*_xlfn.XLOOKUP(Animals!BB42,Leathers!$A$2:$A$100,Leathers!$B$2:$B$100,0)+(140*_xlfn.XLOOKUP(B42,Animals!B:B,Animals!AO:AO)*2),5)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1199</v>
      </c>
      <c r="E43" s="7" t="str">
        <f>Groups!$A$52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407</v>
      </c>
      <c r="AG43" s="28" t="s">
        <v>401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MROUND(40*Animals!AO43*_xlfn.XLOOKUP(Animals!BB43,Leathers!$A$2:$A$100,Leathers!$B$2:$B$100,0)+(140*_xlfn.XLOOKUP(B43,Animals!B:B,Animals!AO:AO)*2),5)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0.25</v>
      </c>
      <c r="BX43" s="4">
        <v>0.75</v>
      </c>
    </row>
    <row r="44" spans="1:76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Groups!$A$50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407</v>
      </c>
      <c r="AG44" s="28" t="s">
        <v>385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MROUND(40*Animals!AO44*_xlfn.XLOOKUP(Animals!BB44,Leathers!$A$2:$A$100,Leathers!$B$2:$B$100,0)+(140*_xlfn.XLOOKUP(B44,Animals!B:B,Animals!AO:AO)*2),5)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Groups!$A$50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407</v>
      </c>
      <c r="AG45" s="28" t="s">
        <v>401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MROUND(40*Animals!AO45*_xlfn.XLOOKUP(Animals!BB45,Leathers!$A$2:$A$100,Leathers!$B$2:$B$100,0)+(140*_xlfn.XLOOKUP(B45,Animals!B:B,Animals!AO:AO)*2),5)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Groups!$A$54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407</v>
      </c>
      <c r="AG46" s="28" t="s">
        <v>401</v>
      </c>
      <c r="AH46" s="4" t="str">
        <f>Animals!C53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MROUND(40*Animals!AO46*_xlfn.XLOOKUP(Animals!BB46,Leathers!$A$2:$A$100,Leathers!$B$2:$B$100,0)+(140*_xlfn.XLOOKUP(B46,Animals!B:B,Animals!AO:AO)*2),5)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Groups!$A$23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320</v>
      </c>
      <c r="AG47" s="28" t="s">
        <v>401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MROUND(40*Animals!AO47*_xlfn.XLOOKUP(Animals!BB47,Leathers!$A$2:$A$100,Leathers!$B$2:$B$100,0)+(140*_xlfn.XLOOKUP(B47,Animals!B:B,Animals!AO:AO)*2),5)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Groups!$A$23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320</v>
      </c>
      <c r="AG48" s="28" t="s">
        <v>1380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MROUND(40*Animals!AO48*_xlfn.XLOOKUP(Animals!BB48,Leathers!$A$2:$A$100,Leathers!$B$2:$B$100,0)+(140*_xlfn.XLOOKUP(B48,Animals!B:B,Animals!AO:AO)*2),5)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158</v>
      </c>
      <c r="B49" s="6" t="s">
        <v>159</v>
      </c>
      <c r="C49" s="7">
        <v>115.52</v>
      </c>
      <c r="D49" s="7" t="s">
        <v>1200</v>
      </c>
      <c r="E49" s="7" t="str">
        <f>Groups!$A$54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410</v>
      </c>
      <c r="AG49" s="28" t="s">
        <v>401</v>
      </c>
      <c r="AH49" s="4" t="str">
        <f>Animals!C53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MROUND(40*Animals!AO49*_xlfn.XLOOKUP(Animals!BB49,Leathers!$A$2:$A$100,Leathers!$B$2:$B$100,0)+(140*_xlfn.XLOOKUP(B49,Animals!B:B,Animals!AO:AO)*2),5)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Groups!$A$53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407</v>
      </c>
      <c r="AG50" s="28" t="s">
        <v>401</v>
      </c>
      <c r="AH50" s="4" t="str">
        <f>Animals!C51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MROUND(40*Animals!AO50*_xlfn.XLOOKUP(Animals!BB50,Leathers!$A$2:$A$100,Leathers!$B$2:$B$100,0)+(140*_xlfn.XLOOKUP(B50,Animals!B:B,Animals!AO:AO)*2),5)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1201</v>
      </c>
      <c r="E51" s="7" t="str">
        <f>Groups!$A$52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407</v>
      </c>
      <c r="AG51" s="28" t="s">
        <v>401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MROUND(40*Animals!AO51*_xlfn.XLOOKUP(Animals!BB51,Leathers!$A$2:$A$100,Leathers!$B$2:$B$100,0)+(140*_xlfn.XLOOKUP(B51,Animals!B:B,Animals!AO:AO)*2),5)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1202</v>
      </c>
      <c r="E52" s="7" t="str">
        <f>Groups!$A$53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407</v>
      </c>
      <c r="AG52" s="28" t="s">
        <v>401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MROUND(40*Animals!AO52*_xlfn.XLOOKUP(Animals!BB52,Leathers!$A$2:$A$100,Leathers!$B$2:$B$100,0)+(140*_xlfn.XLOOKUP(B52,Animals!B:B,Animals!AO:AO)*2),5)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Groups!$A$54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407</v>
      </c>
      <c r="AG53" s="28" t="s">
        <v>401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MROUND(40*Animals!AO53*_xlfn.XLOOKUP(Animals!BB53,Leathers!$A$2:$A$100,Leathers!$B$2:$B$100,0)+(140*_xlfn.XLOOKUP(B53,Animals!B:B,Animals!AO:AO)*2),5)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Groups!$A$52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410</v>
      </c>
      <c r="AG54" s="28" t="s">
        <v>401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MROUND(40*Animals!AO54*_xlfn.XLOOKUP(Animals!BB54,Leathers!$A$2:$A$100,Leathers!$B$2:$B$100,0)+(140*_xlfn.XLOOKUP(B54,Animals!B:B,Animals!AO:AO)*2),5)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Groups!$A$11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405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MROUND(40*Animals!AO55*_xlfn.XLOOKUP(Animals!BB55,Leathers!$A$2:$A$100,Leathers!$B$2:$B$100,0)+(140*_xlfn.XLOOKUP(B55,Animals!B:B,Animals!AO:AO)*2),5)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893</v>
      </c>
      <c r="C56" s="7">
        <v>40</v>
      </c>
      <c r="D56" s="7" t="s">
        <v>1203</v>
      </c>
      <c r="E56" s="7" t="str">
        <f>Groups!$A$11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320</v>
      </c>
      <c r="AG56" s="28" t="s">
        <v>405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MROUND(40*Animals!AO56*_xlfn.XLOOKUP(Animals!BB56,Leathers!$A$2:$A$100,Leathers!$B$2:$B$100,0)+(140*_xlfn.XLOOKUP(B56,Animals!B:B,Animals!AO:AO)*2),5)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1025</v>
      </c>
      <c r="B57" s="6" t="s">
        <v>892</v>
      </c>
      <c r="C57" s="7">
        <v>40</v>
      </c>
      <c r="D57" s="7" t="s">
        <v>1203</v>
      </c>
      <c r="E57" s="7" t="str">
        <f>Groups!$A$11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320</v>
      </c>
      <c r="AG57" s="28" t="s">
        <v>405</v>
      </c>
      <c r="AH57" s="4" t="str">
        <f>Animals!C56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MROUND(40*Animals!AO57*_xlfn.XLOOKUP(Animals!BB57,Leathers!$A$2:$A$100,Leathers!$B$2:$B$100,0)+(140*_xlfn.XLOOKUP(B57,Animals!B:B,Animals!AO:AO)*2),5)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Groups!$A$11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390</v>
      </c>
      <c r="AH58" s="4" t="str">
        <f>Animals!C60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3684.533572807044</v>
      </c>
      <c r="AP58" s="8">
        <f>IFERROR(C58*_xlfn.XLOOKUP(E58,Groups!A:A,Groups!K:K),0.106*C58^0.94)</f>
        <v>0.79007917500000002</v>
      </c>
      <c r="AQ58" s="8">
        <f>AP58*10000/(_xlfn.XLOOKUP(E58,Groups!A:A,Groups!J:J)*AO58)</f>
        <v>1.9672592622471217</v>
      </c>
      <c r="AR58" s="8">
        <f t="shared" si="22"/>
        <v>258.56971798699504</v>
      </c>
      <c r="AS58" s="8">
        <f>IF(_xlfn.XLOOKUP(E58,Groups!A:A,Groups!M:M)=1,EXP(0.7444*LN('Base stats'!C58)+6.5696),EXP(0.7927*LN('Base stats'!C58)+4.28))</f>
        <v>312.05599580556532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U58" s="8">
        <f>IF(_xlfn.XLOOKUP(E58,Groups!A:A,Groups!U:U)=3,AS58,IF(_xlfn.XLOOKUP(E58,Groups!A:A,Groups!U:U)=2,AR58,AT58))</f>
        <v>706.56767140812713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MROUND(40*Animals!AO58*_xlfn.XLOOKUP(Animals!BB58,Leathers!$A$2:$A$100,Leathers!$B$2:$B$100,0)+(140*_xlfn.XLOOKUP(B58,Animals!B:B,Animals!AO:AO)*2),5)</f>
        <v>160</v>
      </c>
      <c r="AX58" s="8">
        <f>IFERROR(ROUND(SQRT(V58-1)*IF(_xlfn.XLOOKUP(E58,Groups!A:A,Groups!BF:BF)=0,2,1)*IF(_xlfn.XLOOKUP('Base stats'!E58,Groups!A:A,Groups!O:O)=0,1,0.1),1),0)</f>
        <v>2.2000000000000002</v>
      </c>
      <c r="AY58" s="8">
        <f t="shared" si="23"/>
        <v>0</v>
      </c>
      <c r="AZ58" s="8">
        <f t="shared" si="24"/>
        <v>0</v>
      </c>
      <c r="BA58" s="8">
        <f t="shared" si="25"/>
        <v>1.2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1.1936057181351558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0.18173586703179376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0.2995917127930291</v>
      </c>
      <c r="BF58" s="8">
        <f>(0.048*C58^1.01)/IF(_xlfn.XLOOKUP(E58,Groups!A:A,Groups!M:M)=1,0.25,0.8)*C58^-0.25</f>
        <v>0.24400015169414049</v>
      </c>
      <c r="BG58" s="8">
        <f>EXP(1.076*LN(AR58)-4.5397)*IF(_xlfn.XLOOKUP(E58,Groups!A:A,Groups!BC:BC)=1,1.25,IF(_xlfn.XLOOKUP(E58,Groups!A:A,Groups!BD:BD)=1,3.5,2.5))</f>
        <v>10.527055515355739</v>
      </c>
      <c r="BH58" s="8">
        <f>EXP(1.076*LN(AS58)-4.5397)*IF(_xlfn.XLOOKUP(E58,Groups!A:A,Groups!M:M)=1,0.8,IF(_xlfn.XLOOKUP(E58,Groups!A:A,Groups!BC:BC)=1,1.3,3))</f>
        <v>15.464959930645772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46.57512797186186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8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3.1221830370346076E-2</v>
      </c>
      <c r="BS58" s="8">
        <f t="shared" si="29"/>
        <v>5.7141862367864123E-2</v>
      </c>
      <c r="BT58" s="8" t="str">
        <f t="shared" si="13"/>
        <v>No</v>
      </c>
      <c r="BU58" s="8" t="str">
        <f t="shared" si="30"/>
        <v>No</v>
      </c>
      <c r="BV58" s="8">
        <f t="shared" si="14"/>
        <v>1491.7487994585374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Groups!$A$11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390</v>
      </c>
      <c r="AH59" s="4" t="str">
        <f>Animals!C60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2482.5922230260171</v>
      </c>
      <c r="AP59" s="8">
        <f>IFERROR(C59*_xlfn.XLOOKUP(E59,Groups!A:A,Groups!K:K),0.106*C59^0.94)</f>
        <v>0.43038750000000003</v>
      </c>
      <c r="AQ59" s="8">
        <f>AP59*10000/(_xlfn.XLOOKUP(E59,Groups!A:A,Groups!J:J)*AO59)</f>
        <v>1.5904783466610202</v>
      </c>
      <c r="AR59" s="8">
        <f t="shared" si="22"/>
        <v>154.7877328657456</v>
      </c>
      <c r="AS59" s="8">
        <f>IF(_xlfn.XLOOKUP(E59,Groups!A:A,Groups!M:M)=1,EXP(0.7444*LN('Base stats'!C59)+6.5696),EXP(0.7927*LN('Base stats'!C59)+4.28))</f>
        <v>192.80113188807815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U59" s="8">
        <f>IF(_xlfn.XLOOKUP(E59,Groups!A:A,Groups!U:U)=3,AS59,IF(_xlfn.XLOOKUP(E59,Groups!A:A,Groups!U:U)=2,AR59,AT59))</f>
        <v>381.29936358731965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MROUND(40*Animals!AO59*_xlfn.XLOOKUP(Animals!BB59,Leathers!$A$2:$A$100,Leathers!$B$2:$B$100,0)+(140*_xlfn.XLOOKUP(B59,Animals!B:B,Animals!AO:AO)*2),5)</f>
        <v>115</v>
      </c>
      <c r="AX59" s="8">
        <f>IFERROR(ROUND(SQRT(V59-1)*IF(_xlfn.XLOOKUP(E59,Groups!A:A,Groups!BF:BF)=0,2,1)*IF(_xlfn.XLOOKUP('Base stats'!E59,Groups!A:A,Groups!O:O)=0,1,0.1),1),0)</f>
        <v>1.3</v>
      </c>
      <c r="AY59" s="8">
        <f t="shared" si="23"/>
        <v>0</v>
      </c>
      <c r="AZ59" s="8">
        <f t="shared" si="24"/>
        <v>0</v>
      </c>
      <c r="BA59" s="8">
        <f t="shared" si="25"/>
        <v>0.9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0.70409681222747555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0.1097017953113776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0.18653367340850413</v>
      </c>
      <c r="BF59" s="8">
        <f>(0.048*C59^1.01)/IF(_xlfn.XLOOKUP(E59,Groups!A:A,Groups!M:M)=1,0.25,0.8)*C59^-0.25</f>
        <v>0.15377784220661878</v>
      </c>
      <c r="BG59" s="8">
        <f>EXP(1.076*LN(AR59)-4.5397)*IF(_xlfn.XLOOKUP(E59,Groups!A:A,Groups!BC:BC)=1,1.25,IF(_xlfn.XLOOKUP(E59,Groups!A:A,Groups!BD:BD)=1,3.5,2.5))</f>
        <v>6.0607987784578112</v>
      </c>
      <c r="BH59" s="8">
        <f>EXP(1.076*LN(AS59)-4.5397)*IF(_xlfn.XLOOKUP(E59,Groups!A:A,Groups!M:M)=1,0.8,IF(_xlfn.XLOOKUP(E59,Groups!A:A,Groups!BC:BC)=1,1.3,3))</f>
        <v>9.2115455176779086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23.983187940855935</v>
      </c>
      <c r="BK59" s="8">
        <f t="shared" si="10"/>
        <v>10</v>
      </c>
      <c r="BL59" s="8">
        <f t="shared" si="11"/>
        <v>9</v>
      </c>
      <c r="BM59" s="8" t="str">
        <f t="shared" si="27"/>
        <v>No</v>
      </c>
      <c r="BN59" s="8">
        <f t="shared" si="28"/>
        <v>8</v>
      </c>
      <c r="BO59" s="8">
        <f t="shared" si="12"/>
        <v>10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2.437116265271768E-2</v>
      </c>
      <c r="BS59" s="8">
        <f t="shared" si="29"/>
        <v>4.8826373677029716E-2</v>
      </c>
      <c r="BT59" s="8" t="str">
        <f t="shared" si="13"/>
        <v>No</v>
      </c>
      <c r="BU59" s="8" t="str">
        <f t="shared" si="30"/>
        <v>No</v>
      </c>
      <c r="BV59" s="8">
        <f t="shared" si="14"/>
        <v>984.08058255610217</v>
      </c>
      <c r="BW59" s="4">
        <v>0</v>
      </c>
      <c r="BX59" s="4">
        <v>1</v>
      </c>
    </row>
    <row r="60" spans="1:76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Groups!$A$11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390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MROUND(40*Animals!AO60*_xlfn.XLOOKUP(Animals!BB60,Leathers!$A$2:$A$100,Leathers!$B$2:$B$100,0)+(140*_xlfn.XLOOKUP(B60,Animals!B:B,Animals!AO:AO)*2),5)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Groups!$A$48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409</v>
      </c>
      <c r="AG61" s="28" t="s">
        <v>1380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MROUND(40*Animals!AO61*_xlfn.XLOOKUP(Animals!BB61,Leathers!$A$2:$A$100,Leathers!$B$2:$B$100,0)+(140*_xlfn.XLOOKUP(B61,Animals!B:B,Animals!AO:AO)*2),5)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Groups!$A$64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383</v>
      </c>
      <c r="AH62" s="4" t="str">
        <f>Animals!C3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MROUND(40*Animals!AO62*_xlfn.XLOOKUP(Animals!BB62,Leathers!$A$2:$A$100,Leathers!$B$2:$B$100,0)+(140*_xlfn.XLOOKUP(B62,Animals!B:B,Animals!AO:AO)*2),5)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1204</v>
      </c>
      <c r="E63" s="7" t="str">
        <f>Groups!$A$5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408</v>
      </c>
      <c r="AG63" s="28" t="s">
        <v>45</v>
      </c>
      <c r="AH63" s="4" t="str">
        <f>Animals!C6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MROUND(40*Animals!AO63*_xlfn.XLOOKUP(Animals!BB63,Leathers!$A$2:$A$100,Leathers!$B$2:$B$100,0)+(140*_xlfn.XLOOKUP(B63,Animals!B:B,Animals!AO:AO)*2),5)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Groups!$A$5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Animals!C6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MROUND(40*Animals!AO64*_xlfn.XLOOKUP(Animals!BB64,Leathers!$A$2:$A$100,Leathers!$B$2:$B$100,0)+(140*_xlfn.XLOOKUP(B64,Animals!B:B,Animals!AO:AO)*2),5)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203</v>
      </c>
      <c r="B65" s="6" t="s">
        <v>299</v>
      </c>
      <c r="C65" s="7">
        <v>0.47270000000000001</v>
      </c>
      <c r="D65" s="7" t="s">
        <v>1205</v>
      </c>
      <c r="E65" s="7" t="str">
        <f>Groups!$A$4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408</v>
      </c>
      <c r="AG65" s="28" t="s">
        <v>45</v>
      </c>
      <c r="AH65" s="4" t="str">
        <f>Animals!C6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MROUND(40*Animals!AO65*_xlfn.XLOOKUP(Animals!BB65,Leathers!$A$2:$A$100,Leathers!$B$2:$B$100,0)+(140*_xlfn.XLOOKUP(B65,Animals!B:B,Animals!AO:AO)*2),5)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213</v>
      </c>
      <c r="B66" s="6" t="s">
        <v>231</v>
      </c>
      <c r="C66" s="7">
        <v>1</v>
      </c>
      <c r="D66" s="7" t="s">
        <v>1206</v>
      </c>
      <c r="E66" s="7" t="str">
        <f>Groups!$A$3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408</v>
      </c>
      <c r="AG66" s="28" t="s">
        <v>45</v>
      </c>
      <c r="AH66" s="4" t="str">
        <f>Animals!C6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MROUND(40*Animals!AO66*_xlfn.XLOOKUP(Animals!BB66,Leathers!$A$2:$A$100,Leathers!$B$2:$B$100,0)+(140*_xlfn.XLOOKUP(B66,Animals!B:B,Animals!AO:AO)*2),5)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205</v>
      </c>
      <c r="B67" s="6" t="s">
        <v>224</v>
      </c>
      <c r="C67" s="7">
        <v>0.1</v>
      </c>
      <c r="D67" s="7" t="s">
        <v>1299</v>
      </c>
      <c r="E67" s="7" t="str">
        <f>Groups!$A$9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408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MROUND(40*Animals!AO67*_xlfn.XLOOKUP(Animals!BB67,Leathers!$A$2:$A$100,Leathers!$B$2:$B$100,0)+(140*_xlfn.XLOOKUP(B67,Animals!B:B,Animals!AO:AO)*2),5)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201</v>
      </c>
      <c r="B68" s="6" t="s">
        <v>222</v>
      </c>
      <c r="C68" s="7">
        <v>9.42</v>
      </c>
      <c r="D68" s="7" t="s">
        <v>1297</v>
      </c>
      <c r="E68" s="7" t="str">
        <f>Groups!$A$6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Animals!C6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MROUND(40*Animals!AO68*_xlfn.XLOOKUP(Animals!BB68,Leathers!$A$2:$A$100,Leathers!$B$2:$B$100,0)+(140*_xlfn.XLOOKUP(B68,Animals!B:B,Animals!AO:AO)*2),5)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209</v>
      </c>
      <c r="B69" s="6" t="s">
        <v>228</v>
      </c>
      <c r="C69" s="7">
        <v>1.5</v>
      </c>
      <c r="D69" s="7" t="s">
        <v>1298</v>
      </c>
      <c r="E69" s="7" t="str">
        <f>Groups!$A$6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Animals!C6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MROUND(40*Animals!AO69*_xlfn.XLOOKUP(Animals!BB69,Leathers!$A$2:$A$100,Leathers!$B$2:$B$100,0)+(140*_xlfn.XLOOKUP(B69,Animals!B:B,Animals!AO:AO)*2),5)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216</v>
      </c>
      <c r="B70" s="6" t="s">
        <v>246</v>
      </c>
      <c r="C70" s="7">
        <f>(2+4.5)/2</f>
        <v>3.25</v>
      </c>
      <c r="D70" s="7" t="s">
        <v>1300</v>
      </c>
      <c r="E70" s="7" t="str">
        <f>Groups!$A$6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410</v>
      </c>
      <c r="AG70" s="28" t="s">
        <v>45</v>
      </c>
      <c r="AH70" s="4" t="str">
        <f>Animals!C6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MROUND(40*Animals!AO70*_xlfn.XLOOKUP(Animals!BB70,Leathers!$A$2:$A$100,Leathers!$B$2:$B$100,0)+(140*_xlfn.XLOOKUP(B70,Animals!B:B,Animals!AO:AO)*2),5)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187</v>
      </c>
      <c r="B71" s="6" t="s">
        <v>188</v>
      </c>
      <c r="C71" s="7">
        <v>29.5</v>
      </c>
      <c r="D71" s="7" t="s">
        <v>569</v>
      </c>
      <c r="E71" s="7" t="str">
        <f>Groups!$A$6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410</v>
      </c>
      <c r="AG71" s="28" t="s">
        <v>45</v>
      </c>
      <c r="AH71" s="4" t="str">
        <f>Animals!C6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MROUND(40*Animals!AO71*_xlfn.XLOOKUP(Animals!BB71,Leathers!$A$2:$A$100,Leathers!$B$2:$B$100,0)+(140*_xlfn.XLOOKUP(B71,Animals!B:B,Animals!AO:AO)*2),5)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214</v>
      </c>
      <c r="B72" s="6" t="s">
        <v>232</v>
      </c>
      <c r="C72" s="7">
        <v>4.2</v>
      </c>
      <c r="D72" s="7" t="s">
        <v>1301</v>
      </c>
      <c r="E72" s="7" t="str">
        <f>Groups!$A$9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320</v>
      </c>
      <c r="AG72" s="28" t="s">
        <v>45</v>
      </c>
      <c r="AH72" s="4" t="str">
        <f>Animals!C6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MROUND(40*Animals!AO72*_xlfn.XLOOKUP(Animals!BB72,Leathers!$A$2:$A$100,Leathers!$B$2:$B$100,0)+(140*_xlfn.XLOOKUP(B72,Animals!B:B,Animals!AO:AO)*2),5)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220</v>
      </c>
      <c r="B73" s="6" t="s">
        <v>234</v>
      </c>
      <c r="C73" s="7">
        <v>5.4329999999999998</v>
      </c>
      <c r="D73" s="7" t="s">
        <v>1302</v>
      </c>
      <c r="E73" s="7" t="str">
        <f>Groups!$A$8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Animals!C6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MROUND(40*Animals!AO73*_xlfn.XLOOKUP(Animals!BB73,Leathers!$A$2:$A$100,Leathers!$B$2:$B$100,0)+(140*_xlfn.XLOOKUP(B73,Animals!B:B,Animals!AO:AO)*2),5)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1207</v>
      </c>
      <c r="E74" s="7" t="str">
        <f>Groups!$A$19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398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MROUND(40*Animals!AO74*_xlfn.XLOOKUP(Animals!BB74,Leathers!$A$2:$A$100,Leathers!$B$2:$B$100,0)+(140*_xlfn.XLOOKUP(B74,Animals!B:B,Animals!AO:AO)*2),5)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1177</v>
      </c>
      <c r="E75" s="7" t="str">
        <f>Groups!$A$18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462</v>
      </c>
      <c r="AG75" s="28" t="s">
        <v>398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MROUND(40*Animals!AO75*_xlfn.XLOOKUP(Animals!BB75,Leathers!$A$2:$A$100,Leathers!$B$2:$B$100,0)+(140*_xlfn.XLOOKUP(B75,Animals!B:B,Animals!AO:AO)*2),5)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210</v>
      </c>
      <c r="B76" s="6" t="s">
        <v>229</v>
      </c>
      <c r="C76" s="7">
        <v>0.5</v>
      </c>
      <c r="D76" s="7" t="s">
        <v>1303</v>
      </c>
      <c r="E76" s="7" t="str">
        <f>Groups!$A$21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Animals!C77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MROUND(40*Animals!AO76*_xlfn.XLOOKUP(Animals!BB76,Leathers!$A$2:$A$100,Leathers!$B$2:$B$100,0)+(140*_xlfn.XLOOKUP(B76,Animals!B:B,Animals!AO:AO)*2),5)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218</v>
      </c>
      <c r="B77" s="6" t="s">
        <v>310</v>
      </c>
      <c r="C77" s="7">
        <v>55</v>
      </c>
      <c r="D77" s="7" t="s">
        <v>538</v>
      </c>
      <c r="E77" s="7" t="str">
        <f>Groups!$A$21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MROUND(40*Animals!AO77*_xlfn.XLOOKUP(Animals!BB77,Leathers!$A$2:$A$100,Leathers!$B$2:$B$100,0)+(140*_xlfn.XLOOKUP(B77,Animals!B:B,Animals!AO:AO)*2),5)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217</v>
      </c>
      <c r="B78" s="6" t="s">
        <v>186</v>
      </c>
      <c r="C78" s="7">
        <f>AVERAGE(1316,1354)</f>
        <v>1335</v>
      </c>
      <c r="D78" s="7" t="s">
        <v>1304</v>
      </c>
      <c r="E78" s="7" t="str">
        <f>Groups!$A$38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410</v>
      </c>
      <c r="AG78" s="28" t="s">
        <v>392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MROUND(40*Animals!AO78*_xlfn.XLOOKUP(Animals!BB78,Leathers!$A$2:$A$100,Leathers!$B$2:$B$100,0)+(140*_xlfn.XLOOKUP(B78,Animals!B:B,Animals!AO:AO)*2),5)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286</v>
      </c>
      <c r="B79" s="6" t="s">
        <v>287</v>
      </c>
      <c r="C79" s="7">
        <f>AVERAGE(8000,4000)</f>
        <v>6000</v>
      </c>
      <c r="D79" s="7" t="s">
        <v>1184</v>
      </c>
      <c r="E79" s="7" t="str">
        <f>Groups!$A$17</f>
        <v>Elephantlike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1082</v>
      </c>
      <c r="AF79" s="4" t="s">
        <v>407</v>
      </c>
      <c r="AG79" s="28" t="s">
        <v>396</v>
      </c>
      <c r="AH79" s="4" t="str">
        <f>Animals!C26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MROUND(40*Animals!AO79*_xlfn.XLOOKUP(Animals!BB79,Leathers!$A$2:$A$100,Leathers!$B$2:$B$100,0)+(140*_xlfn.XLOOKUP(B79,Animals!B:B,Animals!AO:AO)*2),5)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289</v>
      </c>
      <c r="B80" s="6" t="s">
        <v>1142</v>
      </c>
      <c r="C80" s="7">
        <v>7000</v>
      </c>
      <c r="D80" s="7" t="s">
        <v>538</v>
      </c>
      <c r="E80" s="7" t="str">
        <f>Groups!$A$62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1</v>
      </c>
      <c r="AA80" s="4">
        <v>0</v>
      </c>
      <c r="AB80" s="4">
        <v>0</v>
      </c>
      <c r="AC80" s="4">
        <v>0</v>
      </c>
      <c r="AD80" s="4">
        <v>0</v>
      </c>
      <c r="AE80" s="4" t="s">
        <v>1088</v>
      </c>
      <c r="AF80" s="4" t="s">
        <v>409</v>
      </c>
      <c r="AG80" s="28" t="s">
        <v>381</v>
      </c>
      <c r="AH80" s="4" t="str">
        <f>Animals!C27</f>
        <v>&lt;li&gt;Thrumbo&lt;/li&gt;</v>
      </c>
      <c r="AI80" s="4">
        <v>0</v>
      </c>
      <c r="AJ80" s="4">
        <v>0</v>
      </c>
      <c r="AK80" s="4">
        <v>0</v>
      </c>
      <c r="AL80" s="4">
        <v>0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11.419177406619859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0.8</v>
      </c>
      <c r="AW80" s="8">
        <f>MROUND(40*Animals!AO80*_xlfn.XLOOKUP(Animals!BB80,Leathers!$A$2:$A$100,Leathers!$B$2:$B$100,0)+(140*_xlfn.XLOOKUP(B80,Animals!B:B,Animals!AO:AO)*2),5)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221</v>
      </c>
      <c r="B81" s="6" t="s">
        <v>235</v>
      </c>
      <c r="C81" s="7">
        <v>5.5</v>
      </c>
      <c r="D81" s="7" t="s">
        <v>576</v>
      </c>
      <c r="E81" s="7" t="str">
        <f>Groups!$A$31</f>
        <v>ArmoredMammal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25.350386103494984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382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3361.6982414074623</v>
      </c>
      <c r="AP81" s="8">
        <f>IFERROR(C81*_xlfn.XLOOKUP(E81,Groups!A:A,Groups!K:K),0.106*C81^0.94)</f>
        <v>1.76</v>
      </c>
      <c r="AQ81" s="8">
        <f>AP81*10000/(_xlfn.XLOOKUP(E81,Groups!A:A,Groups!J:J)*AO81)</f>
        <v>5.4535928024454705</v>
      </c>
      <c r="AR81" s="8">
        <f t="shared" si="35"/>
        <v>229.52241957602808</v>
      </c>
      <c r="AS81" s="8">
        <f>IF(_xlfn.XLOOKUP(E81,Groups!A:A,Groups!M:M)=1,EXP(0.7444*LN('Base stats'!C81)+6.5696),EXP(0.7927*LN('Base stats'!C81)+4.28))</f>
        <v>279.03962943422897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243.92832248984715</v>
      </c>
      <c r="AU81" s="8">
        <f>IF(_xlfn.XLOOKUP(E81,Groups!A:A,Groups!U:U)=3,AS81,IF(_xlfn.XLOOKUP(E81,Groups!A:A,Groups!U:U)=2,AR81,AT81))</f>
        <v>243.92832248984715</v>
      </c>
      <c r="AV81" s="46">
        <f>IFERROR(AVERAGE(_xlfn.XLOOKUP(B81,Animals!B:B,Animals!N:N),_xlfn.XLOOKUP(B81,Animals!B:B,Animals!O:O)),0)</f>
        <v>0.25</v>
      </c>
      <c r="AW81" s="8">
        <f>MROUND(40*Animals!AO81*_xlfn.XLOOKUP(Animals!BB81,Leathers!$A$2:$A$100,Leathers!$B$2:$B$100,0)+(140*_xlfn.XLOOKUP(B81,Animals!B:B,Animals!AO:AO)*2),5)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0.4592721757129784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0.16163204285849328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0.26837449888753917</v>
      </c>
      <c r="BF81" s="8">
        <f>(0.048*C81^1.01)/IF(_xlfn.XLOOKUP(E81,Groups!A:A,Groups!M:M)=1,0.25,0.8)*C81^-0.25</f>
        <v>0.21919310785743251</v>
      </c>
      <c r="BG81" s="8">
        <f>EXP(1.076*LN(AR81)-4.5397)*IF(_xlfn.XLOOKUP(E81,Groups!A:A,Groups!BC:BC)=1,1.25,IF(_xlfn.XLOOKUP(E81,Groups!A:A,Groups!BD:BD)=1,3.5,2.5))</f>
        <v>9.260217158407297</v>
      </c>
      <c r="BH81" s="8">
        <f>EXP(1.076*LN(AS81)-4.5397)*IF(_xlfn.XLOOKUP(E81,Groups!A:A,Groups!M:M)=1,0.8,IF(_xlfn.XLOOKUP(E81,Groups!A:A,Groups!BC:BC)=1,1.3,3))</f>
        <v>13.711693256346145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14.830601542844571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8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2.9476337872033787E-2</v>
      </c>
      <c r="BS81" s="8">
        <f t="shared" si="42"/>
        <v>5.5092494884551362E-2</v>
      </c>
      <c r="BT81" s="8" t="str">
        <f t="shared" si="47"/>
        <v>No</v>
      </c>
      <c r="BU81" s="8" t="str">
        <f t="shared" si="43"/>
        <v>No</v>
      </c>
      <c r="BV81" s="8">
        <f t="shared" si="48"/>
        <v>503.1358239693464</v>
      </c>
      <c r="BW81" s="4">
        <v>0</v>
      </c>
      <c r="BX81" s="4">
        <v>1</v>
      </c>
    </row>
    <row r="82" spans="1:76" x14ac:dyDescent="0.25">
      <c r="A82" s="26" t="s">
        <v>199</v>
      </c>
      <c r="B82" s="6" t="s">
        <v>254</v>
      </c>
      <c r="C82" s="7">
        <v>19.5</v>
      </c>
      <c r="D82" s="7" t="s">
        <v>941</v>
      </c>
      <c r="E82" s="7" t="str">
        <f>Groups!$A$35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394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MROUND(40*Animals!AO82*_xlfn.XLOOKUP(Animals!BB82,Leathers!$A$2:$A$100,Leathers!$B$2:$B$100,0)+(140*_xlfn.XLOOKUP(B82,Animals!B:B,Animals!AO:AO)*2),5)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200</v>
      </c>
      <c r="B83" s="6" t="s">
        <v>290</v>
      </c>
      <c r="C83" s="7">
        <v>0.94499999999999995</v>
      </c>
      <c r="D83" s="7" t="s">
        <v>941</v>
      </c>
      <c r="E83" s="7" t="str">
        <f>Groups!$A$33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397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MROUND(40*Animals!AO83*_xlfn.XLOOKUP(Animals!BB83,Leathers!$A$2:$A$100,Leathers!$B$2:$B$100,0)+(140*_xlfn.XLOOKUP(B83,Animals!B:B,Animals!AO:AO)*2),5)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105</v>
      </c>
      <c r="B84" s="6" t="s">
        <v>106</v>
      </c>
      <c r="C84" s="7">
        <v>13</v>
      </c>
      <c r="D84" s="7" t="s">
        <v>578</v>
      </c>
      <c r="E84" s="7" t="str">
        <f>Groups!$A$36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394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MROUND(40*Animals!AO84*_xlfn.XLOOKUP(Animals!BB84,Leathers!$A$2:$A$100,Leathers!$B$2:$B$100,0)+(140*_xlfn.XLOOKUP(B84,Animals!B:B,Animals!AO:AO)*2),5)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208</v>
      </c>
      <c r="B85" s="6" t="s">
        <v>227</v>
      </c>
      <c r="C85" s="7">
        <v>10.9999</v>
      </c>
      <c r="D85" s="7" t="s">
        <v>941</v>
      </c>
      <c r="E85" s="7" t="str">
        <f>Groups!$A$34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394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MROUND(40*Animals!AO85*_xlfn.XLOOKUP(Animals!BB85,Leathers!$A$2:$A$100,Leathers!$B$2:$B$100,0)+(140*_xlfn.XLOOKUP(B85,Animals!B:B,Animals!AO:AO)*2),5)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206</v>
      </c>
      <c r="B86" s="6" t="s">
        <v>225</v>
      </c>
      <c r="C86" s="7">
        <v>180</v>
      </c>
      <c r="D86" s="7" t="s">
        <v>580</v>
      </c>
      <c r="E86" s="7" t="str">
        <f>Groups!$A$41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945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410</v>
      </c>
      <c r="AG86" s="28" t="s">
        <v>403</v>
      </c>
      <c r="AH86" s="4" t="str">
        <f>Animals!C87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MROUND(40*Animals!AO86*_xlfn.XLOOKUP(Animals!BB86,Leathers!$A$2:$A$100,Leathers!$B$2:$B$100,0)+(140*_xlfn.XLOOKUP(B86,Animals!B:B,Animals!AO:AO)*2),5)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189</v>
      </c>
      <c r="B87" s="6" t="s">
        <v>190</v>
      </c>
      <c r="C87" s="7">
        <v>115</v>
      </c>
      <c r="D87" s="7" t="s">
        <v>581</v>
      </c>
      <c r="E87" s="7" t="str">
        <f>Groups!$A$41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945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410</v>
      </c>
      <c r="AG87" s="28" t="s">
        <v>403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MROUND(40*Animals!AO87*_xlfn.XLOOKUP(Animals!BB87,Leathers!$A$2:$A$100,Leathers!$B$2:$B$100,0)+(140*_xlfn.XLOOKUP(B87,Animals!B:B,Animals!AO:AO)*2),5)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191</v>
      </c>
      <c r="B88" s="6" t="s">
        <v>192</v>
      </c>
      <c r="C88" s="7">
        <v>1012.5</v>
      </c>
      <c r="D88" s="7" t="s">
        <v>582</v>
      </c>
      <c r="E88" s="7" t="str">
        <f>Groups!$A$40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410</v>
      </c>
      <c r="AG88" s="28" t="s">
        <v>403</v>
      </c>
      <c r="AH88" s="4" t="str">
        <f>Animals!C87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MROUND(40*Animals!AO88*_xlfn.XLOOKUP(Animals!BB88,Leathers!$A$2:$A$100,Leathers!$B$2:$B$100,0)+(140*_xlfn.XLOOKUP(B88,Animals!B:B,Animals!AO:AO)*2),5)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111</v>
      </c>
      <c r="B89" s="6" t="s">
        <v>112</v>
      </c>
      <c r="C89" s="7">
        <v>150</v>
      </c>
      <c r="D89" s="7" t="s">
        <v>1305</v>
      </c>
      <c r="E89" s="7" t="str">
        <f>Groups!$A$43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1085</v>
      </c>
      <c r="AF89" s="4" t="s">
        <v>407</v>
      </c>
      <c r="AG89" s="28" t="s">
        <v>394</v>
      </c>
      <c r="AH89" s="4" t="str">
        <f>Animals!C31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MROUND(40*Animals!AO89*_xlfn.XLOOKUP(Animals!BB89,Leathers!$A$2:$A$100,Leathers!$B$2:$B$100,0)+(140*_xlfn.XLOOKUP(B89,Animals!B:B,Animals!AO:AO)*2),5)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219</v>
      </c>
      <c r="B90" s="6" t="s">
        <v>268</v>
      </c>
      <c r="C90" s="7">
        <v>87</v>
      </c>
      <c r="D90" s="7" t="s">
        <v>584</v>
      </c>
      <c r="E90" s="7" t="str">
        <f>Groups!$A$27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395</v>
      </c>
      <c r="AH90" s="4" t="str">
        <f>Animals!C32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MROUND(40*Animals!AO90*_xlfn.XLOOKUP(Animals!BB90,Leathers!$A$2:$A$100,Leathers!$B$2:$B$100,0)+(140*_xlfn.XLOOKUP(B90,Animals!B:B,Animals!AO:AO)*2),5)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D91" s="7" t="s">
        <v>1306</v>
      </c>
      <c r="E91" s="7" t="str">
        <f>Groups!$A$16</f>
        <v>Crocodilian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395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MROUND(40*Animals!AO91*_xlfn.XLOOKUP(Animals!BB91,Leathers!$A$2:$A$100,Leathers!$B$2:$B$100,0)+(140*_xlfn.XLOOKUP(B91,Animals!B:B,Animals!AO:AO)*2),5)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215</v>
      </c>
      <c r="B92" s="6" t="s">
        <v>233</v>
      </c>
      <c r="C92" s="7">
        <f>(186+89.9+235)/3</f>
        <v>170.29999999999998</v>
      </c>
      <c r="D92" s="7" t="s">
        <v>1307</v>
      </c>
      <c r="E92" s="7" t="str">
        <f>Groups!$A$63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395</v>
      </c>
      <c r="AH92" s="4" t="str">
        <f>Animals!C34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MROUND(40*Animals!AO92*_xlfn.XLOOKUP(Animals!BB92,Leathers!$A$2:$A$100,Leathers!$B$2:$B$100,0)+(140*_xlfn.XLOOKUP(B92,Animals!B:B,Animals!AO:AO)*2),5)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278</v>
      </c>
      <c r="B93" s="6" t="s">
        <v>279</v>
      </c>
      <c r="C93" s="7">
        <v>1.125</v>
      </c>
      <c r="D93" s="7" t="s">
        <v>587</v>
      </c>
      <c r="E93" s="7" t="str">
        <f>Groups!$A$49</f>
        <v>Rodentlike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20.235630218079802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410</v>
      </c>
      <c r="AG93" s="28" t="s">
        <v>394</v>
      </c>
      <c r="AH93" s="4" t="str">
        <f>Animals!C35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MROUND(40*Animals!AO93*_xlfn.XLOOKUP(Animals!BB93,Leathers!$A$2:$A$100,Leathers!$B$2:$B$100,0)+(140*_xlfn.XLOOKUP(B93,Animals!B:B,Animals!AO:AO)*2),5)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198</v>
      </c>
      <c r="B94" s="6" t="s">
        <v>269</v>
      </c>
      <c r="C94" s="7">
        <v>15</v>
      </c>
      <c r="D94" s="7" t="s">
        <v>1308</v>
      </c>
      <c r="E94" s="7" t="str">
        <f>Groups!$A$49</f>
        <v>Rodentlike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394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MROUND(40*Animals!AO94*_xlfn.XLOOKUP(Animals!BB94,Leathers!$A$2:$A$100,Leathers!$B$2:$B$100,0)+(140*_xlfn.XLOOKUP(B94,Animals!B:B,Animals!AO:AO)*2),5)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282</v>
      </c>
      <c r="B95" s="6" t="s">
        <v>283</v>
      </c>
      <c r="C95" s="7">
        <v>60</v>
      </c>
      <c r="D95" s="7" t="s">
        <v>538</v>
      </c>
      <c r="E95" s="7" t="str">
        <f>Groups!$A$49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1083</v>
      </c>
      <c r="AF95" s="4" t="s">
        <v>45</v>
      </c>
      <c r="AG95" s="28" t="s">
        <v>394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MROUND(40*Animals!AO95*_xlfn.XLOOKUP(Animals!BB95,Leathers!$A$2:$A$100,Leathers!$B$2:$B$100,0)+(140*_xlfn.XLOOKUP(B95,Animals!B:B,Animals!AO:AO)*2),5)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146</v>
      </c>
      <c r="B96" s="6" t="s">
        <v>147</v>
      </c>
      <c r="C96" s="7">
        <v>386</v>
      </c>
      <c r="D96" s="7" t="s">
        <v>588</v>
      </c>
      <c r="E96" s="7" t="str">
        <f>Groups!$A$54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401</v>
      </c>
      <c r="AH96" s="4" t="str">
        <f>Animals!C53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MROUND(40*Animals!AO96*_xlfn.XLOOKUP(Animals!BB96,Leathers!$A$2:$A$100,Leathers!$B$2:$B$100,0)+(140*_xlfn.XLOOKUP(B96,Animals!B:B,Animals!AO:AO)*2),5)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212</v>
      </c>
      <c r="B97" s="6" t="s">
        <v>230</v>
      </c>
      <c r="C97" s="7">
        <v>315</v>
      </c>
      <c r="D97" s="7" t="s">
        <v>589</v>
      </c>
      <c r="E97" s="7" t="str">
        <f>Groups!$A$53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54.155884391441859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407</v>
      </c>
      <c r="AG97" s="28" t="s">
        <v>401</v>
      </c>
      <c r="AH97" s="4" t="str">
        <f>Animals!C52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MROUND(40*Animals!AO97*_xlfn.XLOOKUP(Animals!BB97,Leathers!$A$2:$A$100,Leathers!$B$2:$B$100,0)+(140*_xlfn.XLOOKUP(B97,Animals!B:B,Animals!AO:AO)*2),5)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292</v>
      </c>
      <c r="B98" s="6" t="s">
        <v>293</v>
      </c>
      <c r="C98" s="7">
        <v>50</v>
      </c>
      <c r="D98" s="7" t="s">
        <v>538</v>
      </c>
      <c r="E98" s="7" t="str">
        <f>Groups!$A$58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0.32500000000000007</v>
      </c>
      <c r="AW98" s="8">
        <f>MROUND(40*Animals!AO98*_xlfn.XLOOKUP(Animals!BB98,Leathers!$A$2:$A$100,Leathers!$B$2:$B$100,0)+(140*_xlfn.XLOOKUP(B98,Animals!B:B,Animals!AO:AO)*2),5)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284</v>
      </c>
      <c r="B99" s="6" t="s">
        <v>285</v>
      </c>
      <c r="C99" s="7">
        <v>45</v>
      </c>
      <c r="D99" s="7" t="s">
        <v>538</v>
      </c>
      <c r="E99" s="7" t="str">
        <f>Groups!$A$11</f>
        <v>Canid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408</v>
      </c>
      <c r="AG99" s="28" t="s">
        <v>388</v>
      </c>
      <c r="AH99" s="4" t="str">
        <f>Animals!C14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MROUND(40*Animals!AO99*_xlfn.XLOOKUP(Animals!BB99,Leathers!$A$2:$A$100,Leathers!$B$2:$B$100,0)+(140*_xlfn.XLOOKUP(B99,Animals!B:B,Animals!AO:AO)*2),5)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211</v>
      </c>
      <c r="B100" s="6" t="s">
        <v>288</v>
      </c>
      <c r="C100" s="7">
        <v>68</v>
      </c>
      <c r="D100" s="7" t="s">
        <v>1309</v>
      </c>
      <c r="E100" s="7" t="str">
        <f>Groups!$A$11</f>
        <v>Canid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320</v>
      </c>
      <c r="AG100" s="28" t="s">
        <v>405</v>
      </c>
      <c r="AH100" s="4" t="str">
        <f>Animals!C56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MROUND(40*Animals!AO100*_xlfn.XLOOKUP(Animals!BB100,Leathers!$A$2:$A$100,Leathers!$B$2:$B$100,0)+(140*_xlfn.XLOOKUP(B100,Animals!B:B,Animals!AO:AO)*2),5)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207</v>
      </c>
      <c r="B101" s="6" t="s">
        <v>226</v>
      </c>
      <c r="C101" s="7">
        <v>0.3</v>
      </c>
      <c r="D101" s="7" t="s">
        <v>538</v>
      </c>
      <c r="E101" s="7" t="str">
        <f>Groups!$A$15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MROUND(40*Animals!AO101*_xlfn.XLOOKUP(Animals!BB101,Leathers!$A$2:$A$100,Leathers!$B$2:$B$100,0)+(140*_xlfn.XLOOKUP(B101,Animals!B:B,Animals!AO:AO)*2),5)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294</v>
      </c>
      <c r="B102" s="6" t="s">
        <v>295</v>
      </c>
      <c r="C102" s="7">
        <v>0.3</v>
      </c>
      <c r="D102" s="7" t="s">
        <v>538</v>
      </c>
      <c r="E102" s="7" t="str">
        <f>Groups!$A$15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Animals!C101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MROUND(40*Animals!AO102*_xlfn.XLOOKUP(Animals!BB102,Leathers!$A$2:$A$100,Leathers!$B$2:$B$100,0)+(140*_xlfn.XLOOKUP(B102,Animals!B:B,Animals!AO:AO)*2),5)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247</v>
      </c>
      <c r="B103" s="6" t="s">
        <v>432</v>
      </c>
      <c r="C103" s="7">
        <v>10</v>
      </c>
      <c r="D103" s="7" t="s">
        <v>538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945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1085</v>
      </c>
      <c r="AF103" s="4" t="s">
        <v>45</v>
      </c>
      <c r="AG103" s="28" t="s">
        <v>45</v>
      </c>
      <c r="AH103" s="4" t="str">
        <f>Animals!C105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MROUND(40*Animals!AO103*_xlfn.XLOOKUP(Animals!BB103,Leathers!$A$2:$A$100,Leathers!$B$2:$B$100,0)+(140*_xlfn.XLOOKUP(B103,Animals!B:B,Animals!AO:AO)*2),5)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249</v>
      </c>
      <c r="B104" s="6" t="s">
        <v>433</v>
      </c>
      <c r="C104" s="7">
        <v>150</v>
      </c>
      <c r="D104" s="7" t="s">
        <v>538</v>
      </c>
      <c r="E104" s="7" t="str">
        <f>Groups!$A$14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1083</v>
      </c>
      <c r="AF104" s="4" t="s">
        <v>45</v>
      </c>
      <c r="AG104" s="28" t="s">
        <v>45</v>
      </c>
      <c r="AH104" s="4" t="str">
        <f>Animals!C105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</v>
      </c>
      <c r="AW104" s="8">
        <f>MROUND(40*Animals!AO104*_xlfn.XLOOKUP(Animals!BB104,Leathers!$A$2:$A$100,Leathers!$B$2:$B$100,0)+(140*_xlfn.XLOOKUP(B104,Animals!B:B,Animals!AO:AO)*2),5)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248</v>
      </c>
      <c r="B105" s="6" t="s">
        <v>434</v>
      </c>
      <c r="C105" s="7">
        <v>300</v>
      </c>
      <c r="D105" s="7" t="s">
        <v>538</v>
      </c>
      <c r="E105" s="7" t="str">
        <f>Groups!$A$12</f>
        <v>ScorpionLike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1084</v>
      </c>
      <c r="AF105" s="4" t="s">
        <v>45</v>
      </c>
      <c r="AG105" s="28" t="s">
        <v>45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MROUND(40*Animals!AO105*_xlfn.XLOOKUP(Animals!BB105,Leathers!$A$2:$A$100,Leathers!$B$2:$B$100,0)+(140*_xlfn.XLOOKUP(B105,Animals!B:B,Animals!AO:AO)*2),5)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296</v>
      </c>
      <c r="B106" s="6" t="s">
        <v>435</v>
      </c>
      <c r="C106" s="7">
        <v>6500</v>
      </c>
      <c r="D106" s="7" t="s">
        <v>538</v>
      </c>
      <c r="E106" s="7" t="str">
        <f>Groups!$A$2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1.5</v>
      </c>
      <c r="AA106" s="4">
        <v>0</v>
      </c>
      <c r="AB106" s="4">
        <v>0</v>
      </c>
      <c r="AC106" s="4">
        <v>0</v>
      </c>
      <c r="AD106" s="4">
        <v>0</v>
      </c>
      <c r="AE106" s="4" t="s">
        <v>1086</v>
      </c>
      <c r="AF106" s="4" t="s">
        <v>45</v>
      </c>
      <c r="AG106" s="28" t="s">
        <v>45</v>
      </c>
      <c r="AH106" s="4" t="str">
        <f>Animals!C105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2080</v>
      </c>
      <c r="AQ106" s="8">
        <f>AP106*10000/(_xlfn.XLOOKUP(E106,Groups!A:A,Groups!J:J)*AO106)</f>
        <v>51.899769412701936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0.60000000000000009</v>
      </c>
      <c r="AW106" s="8">
        <f>MROUND(40*Animals!AO106*_xlfn.XLOOKUP(Animals!BB106,Leathers!$A$2:$A$100,Leathers!$B$2:$B$100,0)+(140*_xlfn.XLOOKUP(B106,Animals!B:B,Animals!AO:AO)*2),5)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298</v>
      </c>
      <c r="B107" s="6" t="s">
        <v>436</v>
      </c>
      <c r="C107" s="7">
        <v>10</v>
      </c>
      <c r="D107" s="7" t="s">
        <v>538</v>
      </c>
      <c r="E107" s="7" t="str">
        <f>Groups!$A$2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945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1087</v>
      </c>
      <c r="AF107" s="4" t="s">
        <v>45</v>
      </c>
      <c r="AG107" s="28" t="s">
        <v>45</v>
      </c>
      <c r="AH107" s="4" t="str">
        <f>Animals!C105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MROUND(40*Animals!AO107*_xlfn.XLOOKUP(Animals!BB107,Leathers!$A$2:$A$100,Leathers!$B$2:$B$100,0)+(140*_xlfn.XLOOKUP(B107,Animals!B:B,Animals!AO:AO)*2),5)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297</v>
      </c>
      <c r="B108" s="6" t="s">
        <v>437</v>
      </c>
      <c r="C108" s="7">
        <v>20</v>
      </c>
      <c r="D108" s="7" t="s">
        <v>538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945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1085</v>
      </c>
      <c r="AF108" s="4" t="s">
        <v>45</v>
      </c>
      <c r="AG108" s="28" t="s">
        <v>45</v>
      </c>
      <c r="AH108" s="4" t="str">
        <f>Animals!C105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MROUND(40*Animals!AO108*_xlfn.XLOOKUP(Animals!BB108,Leathers!$A$2:$A$100,Leathers!$B$2:$B$100,0)+(140*_xlfn.XLOOKUP(B108,Animals!B:B,Animals!AO:AO)*2),5)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926</v>
      </c>
      <c r="C109" s="7">
        <v>13.25</v>
      </c>
      <c r="D109" s="7" t="s">
        <v>593</v>
      </c>
      <c r="E109" s="7" t="str">
        <f>Groups!$A$11</f>
        <v>Canid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320</v>
      </c>
      <c r="AG109" s="28" t="s">
        <v>405</v>
      </c>
      <c r="AH109" s="4" t="str">
        <f>Animals!C56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MROUND(40*Animals!AO109*_xlfn.XLOOKUP(Animals!BB109,Leathers!$A$2:$A$100,Leathers!$B$2:$B$100,0)+(140*_xlfn.XLOOKUP(B109,Animals!B:B,Animals!AO:AO)*2),5)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140</v>
      </c>
      <c r="B110" s="6" t="s">
        <v>141</v>
      </c>
      <c r="C110" s="7">
        <f>AVERAGE(828,1192)</f>
        <v>1010</v>
      </c>
      <c r="D110" s="7" t="s">
        <v>1310</v>
      </c>
      <c r="E110" s="7" t="str">
        <f>Groups!$A$56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407</v>
      </c>
      <c r="AG110" s="28" t="s">
        <v>401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MROUND(40*Animals!AO110*_xlfn.XLOOKUP(Animals!BB110,Leathers!$A$2:$A$100,Leathers!$B$2:$B$100,0)+(140*_xlfn.XLOOKUP(B110,Animals!B:B,Animals!AO:AO)*2),5)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0.25</v>
      </c>
      <c r="BX110" s="4">
        <v>1</v>
      </c>
    </row>
    <row r="111" spans="1:76" x14ac:dyDescent="0.25">
      <c r="A111" s="26" t="s">
        <v>94</v>
      </c>
      <c r="B111" s="6" t="s">
        <v>95</v>
      </c>
      <c r="C111" s="7">
        <f>AVERAGE(313,302)</f>
        <v>307.5</v>
      </c>
      <c r="D111" s="7" t="s">
        <v>1310</v>
      </c>
      <c r="E111" s="7" t="str">
        <f>Groups!$A$24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410</v>
      </c>
      <c r="AG111" s="28" t="s">
        <v>401</v>
      </c>
      <c r="AH111" s="4" t="str">
        <f>Animals!C21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MROUND(40*Animals!AO111*_xlfn.XLOOKUP(Animals!BB111,Leathers!$A$2:$A$100,Leathers!$B$2:$B$100,0)+(140*_xlfn.XLOOKUP(B111,Animals!B:B,Animals!AO:AO)*2),5)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152</v>
      </c>
      <c r="B112" s="6" t="s">
        <v>153</v>
      </c>
      <c r="C112" s="7">
        <f>AVERAGE(250,200)</f>
        <v>225</v>
      </c>
      <c r="D112" s="7" t="s">
        <v>1310</v>
      </c>
      <c r="E112" s="7" t="str">
        <f>Groups!$A$52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410</v>
      </c>
      <c r="AG112" s="28" t="s">
        <v>401</v>
      </c>
      <c r="AH112" s="4" t="str">
        <f>Animals!C54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MROUND(40*Animals!AO112*_xlfn.XLOOKUP(Animals!BB112,Leathers!$A$2:$A$100,Leathers!$B$2:$B$100,0)+(140*_xlfn.XLOOKUP(B112,Animals!B:B,Animals!AO:AO)*2),5)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D113" s="7" t="s">
        <v>1311</v>
      </c>
      <c r="E113" s="7" t="str">
        <f>Groups!$A$16</f>
        <v>Crocodilian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395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MROUND(40*Animals!AO113*_xlfn.XLOOKUP(Animals!BB113,Leathers!$A$2:$A$100,Leathers!$B$2:$B$100,0)+(140*_xlfn.XLOOKUP(B113,Animals!B:B,Animals!AO:AO)*2),5)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469</v>
      </c>
      <c r="B114" s="6" t="s">
        <v>236</v>
      </c>
      <c r="C114" s="7">
        <v>53.5</v>
      </c>
      <c r="D114" s="7" t="s">
        <v>597</v>
      </c>
      <c r="E114" s="7" t="str">
        <f>Groups!$A$18</f>
        <v>Felid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945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398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MROUND(40*Animals!AO114*_xlfn.XLOOKUP(Animals!BB114,Leathers!$A$2:$A$100,Leathers!$B$2:$B$100,0)+(140*_xlfn.XLOOKUP(B114,Animals!B:B,Animals!AO:AO)*2),5)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470</v>
      </c>
      <c r="B115" s="6" t="s">
        <v>471</v>
      </c>
      <c r="C115" s="7">
        <f>25.5</f>
        <v>25.5</v>
      </c>
      <c r="D115" s="7" t="s">
        <v>610</v>
      </c>
      <c r="E115" s="7" t="str">
        <f>Groups!$A$28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394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MROUND(40*Animals!AO115*_xlfn.XLOOKUP(Animals!BB115,Leathers!$A$2:$A$100,Leathers!$B$2:$B$100,0)+(140*_xlfn.XLOOKUP(B115,Animals!B:B,Animals!AO:AO)*2),5)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472</v>
      </c>
      <c r="B116" s="6" t="s">
        <v>611</v>
      </c>
      <c r="C116" s="7">
        <v>55</v>
      </c>
      <c r="D116" s="7" t="s">
        <v>612</v>
      </c>
      <c r="E116" s="7" t="str">
        <f>Groups!$A$29</f>
        <v>MarsupialHopper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407</v>
      </c>
      <c r="AG116" s="28" t="s">
        <v>401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MROUND(40*Animals!AO116*_xlfn.XLOOKUP(Animals!BB116,Leathers!$A$2:$A$100,Leathers!$B$2:$B$100,0)+(140*_xlfn.XLOOKUP(B116,Animals!B:B,Animals!AO:AO)*2),5)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474</v>
      </c>
      <c r="B117" s="6" t="s">
        <v>473</v>
      </c>
      <c r="C117" s="7">
        <v>9.3000000000000007</v>
      </c>
      <c r="D117" s="7" t="s">
        <v>600</v>
      </c>
      <c r="E117" s="7" t="str">
        <f>Groups!$A$28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394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MROUND(40*Animals!AO117*_xlfn.XLOOKUP(Animals!BB117,Leathers!$A$2:$A$100,Leathers!$B$2:$B$100,0)+(140*_xlfn.XLOOKUP(B117,Animals!B:B,Animals!AO:AO)*2),5)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475</v>
      </c>
      <c r="B118" s="6" t="s">
        <v>476</v>
      </c>
      <c r="C118" s="7">
        <v>1.25</v>
      </c>
      <c r="D118" s="7" t="s">
        <v>601</v>
      </c>
      <c r="E118" s="7" t="str">
        <f>Groups!$A$42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394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MROUND(40*Animals!AO118*_xlfn.XLOOKUP(Animals!BB118,Leathers!$A$2:$A$100,Leathers!$B$2:$B$100,0)+(140*_xlfn.XLOOKUP(B118,Animals!B:B,Animals!AO:AO)*2),5)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1024</v>
      </c>
      <c r="B119" s="6" t="s">
        <v>925</v>
      </c>
      <c r="C119" s="7">
        <v>13.25</v>
      </c>
      <c r="D119" s="7" t="s">
        <v>593</v>
      </c>
      <c r="E119" s="7" t="str">
        <f>Groups!$A$11</f>
        <v>Canid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320</v>
      </c>
      <c r="AG119" s="28" t="s">
        <v>405</v>
      </c>
      <c r="AH119" s="4" t="str">
        <f>Animals!C56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MROUND(40*Animals!AO119*_xlfn.XLOOKUP(Animals!BB119,Leathers!$A$2:$A$100,Leathers!$B$2:$B$100,0)+(140*_xlfn.XLOOKUP(B119,Animals!B:B,Animals!AO:AO)*2),5)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477</v>
      </c>
      <c r="B120" s="6" t="s">
        <v>237</v>
      </c>
      <c r="C120" s="7">
        <f>154.25</f>
        <v>154.25</v>
      </c>
      <c r="D120" s="7" t="s">
        <v>602</v>
      </c>
      <c r="E120" s="7" t="str">
        <f>Groups!$A$64</f>
        <v>Ursid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383</v>
      </c>
      <c r="AH120" s="4" t="str">
        <f>Animals!C3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MROUND(40*Animals!AO120*_xlfn.XLOOKUP(Animals!BB120,Leathers!$A$2:$A$100,Leathers!$B$2:$B$100,0)+(140*_xlfn.XLOOKUP(B120,Animals!B:B,Animals!AO:AO)*2),5)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603</v>
      </c>
      <c r="E121" s="7" t="str">
        <f>Groups!$A$10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320</v>
      </c>
      <c r="AG121" s="28" t="s">
        <v>388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MROUND(40*Animals!AO121*_xlfn.XLOOKUP(Animals!BB121,Leathers!$A$2:$A$100,Leathers!$B$2:$B$100,0)+(140*_xlfn.XLOOKUP(B121,Animals!B:B,Animals!AO:AO)*2),5)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480</v>
      </c>
      <c r="B122" s="6" t="s">
        <v>478</v>
      </c>
      <c r="C122" s="7">
        <v>43</v>
      </c>
      <c r="D122" s="7" t="s">
        <v>604</v>
      </c>
      <c r="E122" s="7" t="str">
        <f>Groups!$A$63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395</v>
      </c>
      <c r="AH122" s="4" t="str">
        <f>Animals!C34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0.75</v>
      </c>
      <c r="AW122" s="8">
        <f>MROUND(40*Animals!AO122*_xlfn.XLOOKUP(Animals!BB122,Leathers!$A$2:$A$100,Leathers!$B$2:$B$100,0)+(140*_xlfn.XLOOKUP(B122,Animals!B:B,Animals!AO:AO)*2),5)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76</v>
      </c>
      <c r="B123" s="6" t="s">
        <v>77</v>
      </c>
      <c r="C123" s="7">
        <f>AVERAGE(199,143)</f>
        <v>171</v>
      </c>
      <c r="D123" s="7" t="s">
        <v>1209</v>
      </c>
      <c r="E123" s="7" t="str">
        <f>Groups!$A$18</f>
        <v>Felid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320</v>
      </c>
      <c r="AG123" s="28" t="s">
        <v>398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MROUND(40*Animals!AO123*_xlfn.XLOOKUP(Animals!BB123,Leathers!$A$2:$A$100,Leathers!$B$2:$B$100,0)+(140*_xlfn.XLOOKUP(B123,Animals!B:B,Animals!AO:AO)*2),5)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481</v>
      </c>
      <c r="B124" s="6" t="s">
        <v>614</v>
      </c>
      <c r="C124" s="7">
        <f>1.244</f>
        <v>1.244</v>
      </c>
      <c r="D124" s="7" t="s">
        <v>1312</v>
      </c>
      <c r="E124" s="7" t="str">
        <f>Groups!$A$27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395</v>
      </c>
      <c r="AH124" s="4" t="str">
        <f>Animals!C32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MROUND(40*Animals!AO124*_xlfn.XLOOKUP(Animals!BB124,Leathers!$A$2:$A$100,Leathers!$B$2:$B$100,0)+(140*_xlfn.XLOOKUP(B124,Animals!B:B,Animals!AO:AO)*2),5)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87</v>
      </c>
      <c r="B125" s="6" t="s">
        <v>88</v>
      </c>
      <c r="C125" s="7">
        <v>690</v>
      </c>
      <c r="D125" s="7" t="s">
        <v>941</v>
      </c>
      <c r="E125" s="7" t="str">
        <f>Groups!$A$23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407</v>
      </c>
      <c r="AG125" s="28" t="s">
        <v>386</v>
      </c>
      <c r="AH125" s="4" t="str">
        <f>Animals!C12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MROUND(40*Animals!AO125*_xlfn.XLOOKUP(Animals!BB125,Leathers!$A$2:$A$100,Leathers!$B$2:$B$100,0)+(140*_xlfn.XLOOKUP(B125,Animals!B:B,Animals!AO:AO)*2),5)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483</v>
      </c>
      <c r="B126" s="6" t="s">
        <v>482</v>
      </c>
      <c r="C126" s="7">
        <v>5.6749999999999998</v>
      </c>
      <c r="D126" s="7" t="s">
        <v>616</v>
      </c>
      <c r="E126" s="7" t="str">
        <f>Groups!$A$59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395</v>
      </c>
      <c r="AH126" s="4" t="str">
        <f>Animals!C33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MROUND(40*Animals!AO126*_xlfn.XLOOKUP(Animals!BB126,Leathers!$A$2:$A$100,Leathers!$B$2:$B$100,0)+(140*_xlfn.XLOOKUP(B126,Animals!B:B,Animals!AO:AO)*2),5)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484</v>
      </c>
      <c r="B127" s="6" t="s">
        <v>495</v>
      </c>
      <c r="C127" s="7">
        <v>10</v>
      </c>
      <c r="D127" s="7" t="s">
        <v>538</v>
      </c>
      <c r="E127" s="7" t="str">
        <f>Groups!$A$12</f>
        <v>ScorpionLike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25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945</v>
      </c>
      <c r="Y127" s="4" t="s">
        <v>53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1084</v>
      </c>
      <c r="AF127" s="4" t="s">
        <v>45</v>
      </c>
      <c r="AG127" s="28" t="s">
        <v>45</v>
      </c>
      <c r="AH127" s="4" t="str">
        <f>Animals!C105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MROUND(40*Animals!AO127*_xlfn.XLOOKUP(Animals!BB127,Leathers!$A$2:$A$100,Leathers!$B$2:$B$100,0)+(140*_xlfn.XLOOKUP(B127,Animals!B:B,Animals!AO:AO)*2),5)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485</v>
      </c>
      <c r="B128" s="6" t="s">
        <v>253</v>
      </c>
      <c r="C128" s="7">
        <v>4.3250000000000002</v>
      </c>
      <c r="D128" s="7" t="s">
        <v>605</v>
      </c>
      <c r="E128" s="7" t="str">
        <f>Groups!$A$36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394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MROUND(40*Animals!AO128*_xlfn.XLOOKUP(Animals!BB128,Leathers!$A$2:$A$100,Leathers!$B$2:$B$100,0)+(140*_xlfn.XLOOKUP(B128,Animals!B:B,Animals!AO:AO)*2),5)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650</v>
      </c>
      <c r="B129" s="6" t="s">
        <v>490</v>
      </c>
      <c r="C129" s="7">
        <v>3.2</v>
      </c>
      <c r="D129" s="7" t="s">
        <v>606</v>
      </c>
      <c r="E129" s="7" t="str">
        <f>Groups!$A$6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408</v>
      </c>
      <c r="AG129" s="28" t="s">
        <v>45</v>
      </c>
      <c r="AH129" s="4" t="str">
        <f>Animals!C9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MROUND(40*Animals!AO129*_xlfn.XLOOKUP(Animals!BB129,Leathers!$A$2:$A$100,Leathers!$B$2:$B$100,0)+(140*_xlfn.XLOOKUP(B129,Animals!B:B,Animals!AO:AO)*2),5)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486</v>
      </c>
      <c r="B130" s="6" t="s">
        <v>491</v>
      </c>
      <c r="C130" s="7">
        <v>25</v>
      </c>
      <c r="D130" s="7" t="s">
        <v>558</v>
      </c>
      <c r="E130" s="7" t="str">
        <f>Groups!$A$49</f>
        <v>Rodentlike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408</v>
      </c>
      <c r="AG130" s="28" t="s">
        <v>394</v>
      </c>
      <c r="AH130" s="4" t="str">
        <f>Animals!C40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66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MROUND(40*Animals!AO130*_xlfn.XLOOKUP(Animals!BB130,Leathers!$A$2:$A$100,Leathers!$B$2:$B$100,0)+(140*_xlfn.XLOOKUP(B130,Animals!B:B,Animals!AO:AO)*2),5)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487</v>
      </c>
      <c r="B131" s="6" t="s">
        <v>492</v>
      </c>
      <c r="C131" s="7">
        <v>1.2135</v>
      </c>
      <c r="D131" s="7" t="s">
        <v>608</v>
      </c>
      <c r="E131" s="7" t="str">
        <f>Groups!$A$30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394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MROUND(40*Animals!AO131*_xlfn.XLOOKUP(Animals!BB131,Leathers!$A$2:$A$100,Leathers!$B$2:$B$100,0)+(140*_xlfn.XLOOKUP(B131,Animals!B:B,Animals!AO:AO)*2),5)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1208</v>
      </c>
      <c r="E132" s="7" t="str">
        <f>Groups!$A$19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398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MROUND(40*Animals!AO132*_xlfn.XLOOKUP(Animals!BB132,Leathers!$A$2:$A$100,Leathers!$B$2:$B$100,0)+(140*_xlfn.XLOOKUP(B132,Animals!B:B,Animals!AO:AO)*2),5)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245</v>
      </c>
      <c r="B133" s="6" t="s">
        <v>256</v>
      </c>
      <c r="C133" s="7">
        <v>2.5550000000000002</v>
      </c>
      <c r="D133" s="7" t="s">
        <v>609</v>
      </c>
      <c r="E133" s="7" t="str">
        <f>Groups!$A$44</f>
        <v>Primate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407</v>
      </c>
      <c r="AG133" s="28" t="s">
        <v>394</v>
      </c>
      <c r="AH133" s="4" t="str">
        <f>Animals!C31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MROUND(40*Animals!AO133*_xlfn.XLOOKUP(Animals!BB133,Leathers!$A$2:$A$100,Leathers!$B$2:$B$100,0)+(140*_xlfn.XLOOKUP(B133,Animals!B:B,Animals!AO:AO)*2),5)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114</v>
      </c>
      <c r="B134" s="6" t="s">
        <v>115</v>
      </c>
      <c r="C134" s="7">
        <v>18.2499</v>
      </c>
      <c r="D134" s="7" t="s">
        <v>941</v>
      </c>
      <c r="E134" s="7" t="str">
        <f>Groups!$A$44</f>
        <v>Primate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1084</v>
      </c>
      <c r="AF134" s="4" t="s">
        <v>407</v>
      </c>
      <c r="AG134" s="28" t="s">
        <v>394</v>
      </c>
      <c r="AH134" s="4" t="str">
        <f>Animals!C31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MROUND(40*Animals!AO134*_xlfn.XLOOKUP(Animals!BB134,Leathers!$A$2:$A$100,Leathers!$B$2:$B$100,0)+(140*_xlfn.XLOOKUP(B134,Animals!B:B,Animals!AO:AO)*2),5)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96</v>
      </c>
      <c r="B135" s="6" t="s">
        <v>97</v>
      </c>
      <c r="C135" s="7">
        <f>299.9991</f>
        <v>299.9991</v>
      </c>
      <c r="D135" s="7" t="s">
        <v>941</v>
      </c>
      <c r="E135" s="7" t="str">
        <f>Groups!$A$24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401</v>
      </c>
      <c r="AH135" s="4" t="str">
        <f>Animals!C30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MROUND(40*Animals!AO135*_xlfn.XLOOKUP(Animals!BB135,Leathers!$A$2:$A$100,Leathers!$B$2:$B$100,0)+(140*_xlfn.XLOOKUP(B135,Animals!B:B,Animals!AO:AO)*2),5)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488</v>
      </c>
      <c r="B136" s="6" t="s">
        <v>493</v>
      </c>
      <c r="C136" s="7">
        <f>97.5</f>
        <v>97.5</v>
      </c>
      <c r="D136" s="7" t="s">
        <v>617</v>
      </c>
      <c r="E136" s="7" t="str">
        <f>Groups!$A$61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395</v>
      </c>
      <c r="AH136" s="4" t="str">
        <f>Animals!C33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MROUND(40*Animals!AO136*_xlfn.XLOOKUP(Animals!BB136,Leathers!$A$2:$A$100,Leathers!$B$2:$B$100,0)+(140*_xlfn.XLOOKUP(B136,Animals!B:B,Animals!AO:AO)*2),5)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467</v>
      </c>
      <c r="B137" s="6" t="s">
        <v>239</v>
      </c>
      <c r="C137" s="7">
        <f>AVERAGE(4000,2700)</f>
        <v>3350</v>
      </c>
      <c r="D137" s="7" t="s">
        <v>1184</v>
      </c>
      <c r="E137" s="7" t="str">
        <f>Groups!$A$17</f>
        <v>Elephantlike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407</v>
      </c>
      <c r="AG137" s="28" t="s">
        <v>389</v>
      </c>
      <c r="AH137" s="4" t="str">
        <f>Animals!C26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MROUND(40*Animals!AO137*_xlfn.XLOOKUP(Animals!BB137,Leathers!$A$2:$A$100,Leathers!$B$2:$B$100,0)+(140*_xlfn.XLOOKUP(B137,Animals!B:B,Animals!AO:AO)*2),5)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489</v>
      </c>
      <c r="B138" s="6" t="s">
        <v>494</v>
      </c>
      <c r="C138" s="7">
        <v>500</v>
      </c>
      <c r="D138" s="7" t="s">
        <v>538</v>
      </c>
      <c r="E138" s="7" t="str">
        <f>Groups!$A$35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1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391</v>
      </c>
      <c r="AH138" s="4" t="s">
        <v>45</v>
      </c>
      <c r="AI138" s="4">
        <v>0</v>
      </c>
      <c r="AJ138" s="4">
        <v>0</v>
      </c>
      <c r="AK138" s="4">
        <v>0</v>
      </c>
      <c r="AL138" s="4">
        <v>0</v>
      </c>
      <c r="AM138" s="4">
        <v>1</v>
      </c>
      <c r="AN138" s="44" t="s">
        <v>40</v>
      </c>
      <c r="AO138" s="8">
        <f t="shared" si="67"/>
        <v>63045.411191767809</v>
      </c>
      <c r="AP138" s="8">
        <f>IFERROR(C138*_xlfn.XLOOKUP(E138,Groups!A:A,Groups!K:K),0.106*C138^0.94)</f>
        <v>62.375</v>
      </c>
      <c r="AQ138" s="8">
        <f>AP138*10000/(_xlfn.XLOOKUP(E138,Groups!A:A,Groups!J:J)*AO138)</f>
        <v>9.0767542887679653</v>
      </c>
      <c r="AR138" s="8">
        <f t="shared" si="68"/>
        <v>10357.637618796818</v>
      </c>
      <c r="AS138" s="8">
        <f>IF(_xlfn.XLOOKUP(E138,Groups!A:A,Groups!M:M)=1,EXP(0.7444*LN('Base stats'!C138)+6.5696),EXP(0.7927*LN('Base stats'!C138)+4.28))</f>
        <v>9959.8753916241294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U138" s="8">
        <f>IF(_xlfn.XLOOKUP(E138,Groups!A:A,Groups!U:U)=3,AS138,IF(_xlfn.XLOOKUP(E138,Groups!A:A,Groups!U:U)=2,AR138,AT138))</f>
        <v>15678.866100276233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MROUND(40*Animals!AO138*_xlfn.XLOOKUP(Animals!BB138,Leathers!$A$2:$A$100,Leathers!$B$2:$B$100,0)+(140*_xlfn.XLOOKUP(B138,Animals!B:B,Animals!AO:AO)*2),5)</f>
        <v>1135</v>
      </c>
      <c r="AX138" s="8">
        <f>IFERROR(ROUND(SQRT(V138-1)*IF(_xlfn.XLOOKUP(E138,Groups!A:A,Groups!BF:BF)=0,2,1)*IF(_xlfn.XLOOKUP('Base stats'!E138,Groups!A:A,Groups!O:O)=0,1,0.1),1),0)</f>
        <v>5.6</v>
      </c>
      <c r="AY138" s="8">
        <f t="shared" si="69"/>
        <v>3</v>
      </c>
      <c r="AZ138" s="8">
        <f t="shared" si="70"/>
        <v>0</v>
      </c>
      <c r="BA138" s="8">
        <f t="shared" si="71"/>
        <v>7.4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15.295476566855196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6.8569367053883514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F138" s="8">
        <f>(0.048*C138^1.01)/IF(_xlfn.XLOOKUP(E138,Groups!A:A,Groups!M:M)=1,0.25,0.8)*C138^-0.25</f>
        <v>6.7510053736705169</v>
      </c>
      <c r="BG138" s="8">
        <f>EXP(1.076*LN(AR138)-4.5397)*IF(_xlfn.XLOOKUP(E138,Groups!A:A,Groups!BC:BC)=1,1.25,IF(_xlfn.XLOOKUP(E138,Groups!A:A,Groups!BD:BD)=1,3.5,2.5))</f>
        <v>558.20519715935461</v>
      </c>
      <c r="BH138" s="8">
        <f>EXP(1.076*LN(AS138)-4.5397)*IF(_xlfn.XLOOKUP(E138,Groups!A:A,Groups!M:M)=1,0.8,IF(_xlfn.XLOOKUP(E138,Groups!A:A,Groups!BC:BC)=1,1.3,3))</f>
        <v>642.20812673473438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1308.0464693785887</v>
      </c>
      <c r="BK138" s="8">
        <f t="shared" si="77"/>
        <v>12</v>
      </c>
      <c r="BL138" s="8">
        <f t="shared" si="78"/>
        <v>11</v>
      </c>
      <c r="BM138" s="8" t="str">
        <f t="shared" si="73"/>
        <v>No</v>
      </c>
      <c r="BN138" s="8">
        <f t="shared" si="74"/>
        <v>13</v>
      </c>
      <c r="BO138" s="8">
        <f t="shared" si="79"/>
        <v>13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0.18543580286977573</v>
      </c>
      <c r="BS138" s="8">
        <f t="shared" si="75"/>
        <v>0.17708035735112868</v>
      </c>
      <c r="BT138" s="8">
        <f t="shared" si="80"/>
        <v>3463.2369628519464</v>
      </c>
      <c r="BU138" s="8" t="str">
        <f t="shared" si="76"/>
        <v>No</v>
      </c>
      <c r="BV138" s="8">
        <f t="shared" si="81"/>
        <v>7053.904635110719</v>
      </c>
      <c r="BW138" s="4">
        <v>0</v>
      </c>
      <c r="BX138" s="4">
        <v>1</v>
      </c>
    </row>
    <row r="139" spans="1:76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 t="s">
        <v>1313</v>
      </c>
      <c r="E139" s="7" t="str">
        <f>Groups!$A$11</f>
        <v>Canid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506</v>
      </c>
      <c r="AG139" s="28" t="s">
        <v>388</v>
      </c>
      <c r="AH139" s="4" t="str">
        <f>Animals!C14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MROUND(40*Animals!AO139*_xlfn.XLOOKUP(Animals!BB139,Leathers!$A$2:$A$100,Leathers!$B$2:$B$100,0)+(140*_xlfn.XLOOKUP(B139,Animals!B:B,Animals!AO:AO)*2),5)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499</v>
      </c>
      <c r="B140" s="6" t="s">
        <v>905</v>
      </c>
      <c r="C140" s="7">
        <v>2</v>
      </c>
      <c r="D140" s="7" t="s">
        <v>1317</v>
      </c>
      <c r="E140" s="7" t="str">
        <f>Groups!$A$11</f>
        <v>Canid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506</v>
      </c>
      <c r="AG140" s="28" t="s">
        <v>388</v>
      </c>
      <c r="AH140" s="4" t="str">
        <f>Animals!C14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MROUND(40*Animals!AO140*_xlfn.XLOOKUP(Animals!BB140,Leathers!$A$2:$A$100,Leathers!$B$2:$B$100,0)+(140*_xlfn.XLOOKUP(B140,Animals!B:B,Animals!AO:AO)*2),5)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500</v>
      </c>
      <c r="B141" s="6" t="s">
        <v>906</v>
      </c>
      <c r="C141" s="7">
        <f>AVERAGE(14,17)</f>
        <v>15.5</v>
      </c>
      <c r="D141" s="7" t="s">
        <v>1318</v>
      </c>
      <c r="E141" s="7" t="str">
        <f>Groups!$A$11</f>
        <v>Canid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506</v>
      </c>
      <c r="AG141" s="28" t="s">
        <v>388</v>
      </c>
      <c r="AH141" s="4" t="str">
        <f>Animals!C14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MROUND(40*Animals!AO141*_xlfn.XLOOKUP(Animals!BB141,Leathers!$A$2:$A$100,Leathers!$B$2:$B$100,0)+(140*_xlfn.XLOOKUP(B141,Animals!B:B,Animals!AO:AO)*2),5)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505</v>
      </c>
      <c r="B142" s="6" t="s">
        <v>907</v>
      </c>
      <c r="C142" s="7">
        <f>AVERAGE(9,14,8,13)</f>
        <v>11</v>
      </c>
      <c r="D142" s="7" t="s">
        <v>1319</v>
      </c>
      <c r="E142" s="7" t="str">
        <f>Groups!$A$11</f>
        <v>Canid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506</v>
      </c>
      <c r="AG142" s="28" t="s">
        <v>388</v>
      </c>
      <c r="AH142" s="4" t="str">
        <f>Animals!C14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MROUND(40*Animals!AO142*_xlfn.XLOOKUP(Animals!BB142,Leathers!$A$2:$A$100,Leathers!$B$2:$B$100,0)+(140*_xlfn.XLOOKUP(B142,Animals!B:B,Animals!AO:AO)*2),5)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D143" s="7" t="s">
        <v>1320</v>
      </c>
      <c r="E143" s="7" t="str">
        <f>Groups!$A$11</f>
        <v>Canid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506</v>
      </c>
      <c r="AG143" s="28" t="s">
        <v>388</v>
      </c>
      <c r="AH143" s="4" t="str">
        <f>Animals!C14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MROUND(40*Animals!AO143*_xlfn.XLOOKUP(Animals!BB143,Leathers!$A$2:$A$100,Leathers!$B$2:$B$100,0)+(140*_xlfn.XLOOKUP(B143,Animals!B:B,Animals!AO:AO)*2),5)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504</v>
      </c>
      <c r="B144" s="6" t="s">
        <v>909</v>
      </c>
      <c r="C144" s="7">
        <f>AVERAGE(63,79,50,63)</f>
        <v>63.75</v>
      </c>
      <c r="D144" s="7" t="s">
        <v>1321</v>
      </c>
      <c r="E144" s="7" t="str">
        <f>Groups!$A$11</f>
        <v>Canid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506</v>
      </c>
      <c r="AG144" s="28" t="s">
        <v>388</v>
      </c>
      <c r="AH144" s="4" t="str">
        <f>Animals!C14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MROUND(40*Animals!AO144*_xlfn.XLOOKUP(Animals!BB144,Leathers!$A$2:$A$100,Leathers!$B$2:$B$100,0)+(140*_xlfn.XLOOKUP(B144,Animals!B:B,Animals!AO:AO)*2),5)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501</v>
      </c>
      <c r="B145" s="6" t="s">
        <v>910</v>
      </c>
      <c r="C145" s="7">
        <f>AVERAGE(20,32)</f>
        <v>26</v>
      </c>
      <c r="D145" s="7" t="s">
        <v>1314</v>
      </c>
      <c r="E145" s="7" t="str">
        <f>Groups!$A$11</f>
        <v>Canid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506</v>
      </c>
      <c r="AG145" s="28" t="s">
        <v>388</v>
      </c>
      <c r="AH145" s="4" t="str">
        <f>Animals!C14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MROUND(40*Animals!AO145*_xlfn.XLOOKUP(Animals!BB145,Leathers!$A$2:$A$100,Leathers!$B$2:$B$100,0)+(140*_xlfn.XLOOKUP(B145,Animals!B:B,Animals!AO:AO)*2),5)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502</v>
      </c>
      <c r="B146" s="6" t="s">
        <v>911</v>
      </c>
      <c r="C146" s="7">
        <f>AVERAGE(6.35,8.16)</f>
        <v>7.2549999999999999</v>
      </c>
      <c r="D146" s="7" t="s">
        <v>1315</v>
      </c>
      <c r="E146" s="7" t="str">
        <f>Groups!$A$11</f>
        <v>Canid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506</v>
      </c>
      <c r="AG146" s="28" t="s">
        <v>388</v>
      </c>
      <c r="AH146" s="4" t="str">
        <f>Animals!C14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MROUND(40*Animals!AO146*_xlfn.XLOOKUP(Animals!BB146,Leathers!$A$2:$A$100,Leathers!$B$2:$B$100,0)+(140*_xlfn.XLOOKUP(B146,Animals!B:B,Animals!AO:AO)*2),5)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912</v>
      </c>
      <c r="C147" s="7">
        <f>AVERAGE(AVERAGE(50,60),AVERAGE(35,48))</f>
        <v>48.25</v>
      </c>
      <c r="D147" s="7" t="s">
        <v>1316</v>
      </c>
      <c r="E147" s="7" t="str">
        <f>Groups!$A$11</f>
        <v>Canid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506</v>
      </c>
      <c r="AG147" s="28" t="s">
        <v>388</v>
      </c>
      <c r="AH147" s="4" t="str">
        <f>Animals!C14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MROUND(40*Animals!AO147*_xlfn.XLOOKUP(Animals!BB147,Leathers!$A$2:$A$100,Leathers!$B$2:$B$100,0)+(140*_xlfn.XLOOKUP(B147,Animals!B:B,Animals!AO:AO)*2),5)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503</v>
      </c>
      <c r="B148" s="6" t="s">
        <v>913</v>
      </c>
      <c r="C148" s="7">
        <f>AVERAGE(4,7.5)</f>
        <v>5.75</v>
      </c>
      <c r="D148" s="7" t="s">
        <v>1322</v>
      </c>
      <c r="E148" s="7" t="str">
        <f>Groups!$A$11</f>
        <v>Canid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506</v>
      </c>
      <c r="AG148" s="28" t="s">
        <v>388</v>
      </c>
      <c r="AH148" s="4" t="str">
        <f>Animals!C14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MROUND(40*Animals!AO148*_xlfn.XLOOKUP(Animals!BB148,Leathers!$A$2:$A$100,Leathers!$B$2:$B$100,0)+(140*_xlfn.XLOOKUP(B148,Animals!B:B,Animals!AO:AO)*2),5)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678</v>
      </c>
      <c r="B149" s="6" t="s">
        <v>914</v>
      </c>
      <c r="C149" s="7">
        <f>AVERAGE(AVERAGE(18,20),AVERAGE(23,29))</f>
        <v>22.5</v>
      </c>
      <c r="D149" s="7" t="s">
        <v>1323</v>
      </c>
      <c r="E149" s="7" t="str">
        <f>Groups!$A$11</f>
        <v>Canid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506</v>
      </c>
      <c r="AG149" s="28" t="s">
        <v>388</v>
      </c>
      <c r="AH149" s="4" t="str">
        <f>Animals!C14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MROUND(40*Animals!AO149*_xlfn.XLOOKUP(Animals!BB149,Leathers!$A$2:$A$100,Leathers!$B$2:$B$100,0)+(140*_xlfn.XLOOKUP(B149,Animals!B:B,Animals!AO:AO)*2),5)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895</v>
      </c>
      <c r="B150" s="6" t="s">
        <v>915</v>
      </c>
      <c r="C150" s="7">
        <v>4.5</v>
      </c>
      <c r="D150" s="7" t="s">
        <v>1324</v>
      </c>
      <c r="E150" s="7" t="str">
        <f>Groups!$A$18</f>
        <v>Felid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394</v>
      </c>
      <c r="AH150" s="4" t="str">
        <f>Animals!C20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MROUND(40*Animals!AO150*_xlfn.XLOOKUP(Animals!BB150,Leathers!$A$2:$A$100,Leathers!$B$2:$B$100,0)+(140*_xlfn.XLOOKUP(B150,Animals!B:B,Animals!AO:AO)*2),5)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894</v>
      </c>
      <c r="B151" s="6" t="s">
        <v>916</v>
      </c>
      <c r="C151" s="7">
        <f>AVERAGE(5,6)</f>
        <v>5.5</v>
      </c>
      <c r="D151" s="7" t="s">
        <v>1325</v>
      </c>
      <c r="E151" s="7" t="str">
        <f>Groups!$A$18</f>
        <v>Felid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394</v>
      </c>
      <c r="AH151" s="4" t="str">
        <f>Animals!C20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MROUND(40*Animals!AO151*_xlfn.XLOOKUP(Animals!BB151,Leathers!$A$2:$A$100,Leathers!$B$2:$B$100,0)+(140*_xlfn.XLOOKUP(B151,Animals!B:B,Animals!AO:AO)*2),5)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896</v>
      </c>
      <c r="B152" s="6" t="s">
        <v>917</v>
      </c>
      <c r="C152" s="7">
        <f>AVERAGE(AVERAGE(4,8),AVERAGE(3,5))</f>
        <v>5</v>
      </c>
      <c r="D152" s="7" t="s">
        <v>1326</v>
      </c>
      <c r="E152" s="7" t="str">
        <f>Groups!$A$18</f>
        <v>Felid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394</v>
      </c>
      <c r="AH152" s="4" t="str">
        <f>Animals!C20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MROUND(40*Animals!AO152*_xlfn.XLOOKUP(Animals!BB152,Leathers!$A$2:$A$100,Leathers!$B$2:$B$100,0)+(140*_xlfn.XLOOKUP(B152,Animals!B:B,Animals!AO:AO)*2),5)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898</v>
      </c>
      <c r="B153" s="6" t="s">
        <v>918</v>
      </c>
      <c r="C153" s="7">
        <f>AVERAGE(AVERAGE(8.2,10),AVERAGE(5.4,6.8))</f>
        <v>7.6</v>
      </c>
      <c r="D153" s="7" t="s">
        <v>1327</v>
      </c>
      <c r="E153" s="7" t="str">
        <f>Groups!$A$18</f>
        <v>Felid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394</v>
      </c>
      <c r="AH153" s="4" t="str">
        <f>Animals!C20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MROUND(40*Animals!AO153*_xlfn.XLOOKUP(Animals!BB153,Leathers!$A$2:$A$100,Leathers!$B$2:$B$100,0)+(140*_xlfn.XLOOKUP(B153,Animals!B:B,Animals!AO:AO)*2),5)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897</v>
      </c>
      <c r="B154" s="6" t="s">
        <v>919</v>
      </c>
      <c r="C154" s="7">
        <f>AVERAGE(2.7,4.1)</f>
        <v>3.4</v>
      </c>
      <c r="D154" s="7" t="s">
        <v>1328</v>
      </c>
      <c r="E154" s="7" t="str">
        <f>Groups!$A$18</f>
        <v>Felid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394</v>
      </c>
      <c r="AH154" s="4" t="str">
        <f>Animals!C20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MROUND(40*Animals!AO154*_xlfn.XLOOKUP(Animals!BB154,Leathers!$A$2:$A$100,Leathers!$B$2:$B$100,0)+(140*_xlfn.XLOOKUP(B154,Animals!B:B,Animals!AO:AO)*2),5)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D155" s="7" t="s">
        <v>1329</v>
      </c>
      <c r="E155" s="7" t="str">
        <f>Groups!$A$18</f>
        <v>Felid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394</v>
      </c>
      <c r="AH155" s="4" t="str">
        <f>Animals!C20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MROUND(40*Animals!AO155*_xlfn.XLOOKUP(Animals!BB155,Leathers!$A$2:$A$100,Leathers!$B$2:$B$100,0)+(140*_xlfn.XLOOKUP(B155,Animals!B:B,Animals!AO:AO)*2),5)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900</v>
      </c>
      <c r="B156" s="6" t="s">
        <v>921</v>
      </c>
      <c r="C156" s="7">
        <f>AVERAGE(AVERAGE(2.4,3.8),AVERAGE(3.3,4.7))</f>
        <v>3.55</v>
      </c>
      <c r="D156" s="7" t="s">
        <v>1330</v>
      </c>
      <c r="E156" s="7" t="str">
        <f>Groups!$A$18</f>
        <v>Felid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394</v>
      </c>
      <c r="AH156" s="4" t="str">
        <f>Animals!C20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MROUND(40*Animals!AO156*_xlfn.XLOOKUP(Animals!BB156,Leathers!$A$2:$A$100,Leathers!$B$2:$B$100,0)+(140*_xlfn.XLOOKUP(B156,Animals!B:B,Animals!AO:AO)*2),5)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D157" s="7" t="s">
        <v>1331</v>
      </c>
      <c r="E157" s="7" t="str">
        <f>Groups!$A$18</f>
        <v>Felid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394</v>
      </c>
      <c r="AH157" s="4" t="str">
        <f>Animals!C20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MROUND(40*Animals!AO157*_xlfn.XLOOKUP(Animals!BB157,Leathers!$A$2:$A$100,Leathers!$B$2:$B$100,0)+(140*_xlfn.XLOOKUP(B157,Animals!B:B,Animals!AO:AO)*2),5)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902</v>
      </c>
      <c r="B158" s="6" t="s">
        <v>923</v>
      </c>
      <c r="C158" s="7">
        <v>4.5</v>
      </c>
      <c r="D158" s="7" t="s">
        <v>1179</v>
      </c>
      <c r="E158" s="7" t="str">
        <f>Groups!$A$18</f>
        <v>Felid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394</v>
      </c>
      <c r="AH158" s="4" t="str">
        <f>Animals!C20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MROUND(40*Animals!AO158*_xlfn.XLOOKUP(Animals!BB158,Leathers!$A$2:$A$100,Leathers!$B$2:$B$100,0)+(140*_xlfn.XLOOKUP(B158,Animals!B:B,Animals!AO:AO)*2),5)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1178</v>
      </c>
      <c r="E159" s="7" t="str">
        <f>Groups!$A$18</f>
        <v>Felid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394</v>
      </c>
      <c r="AH159" s="4" t="str">
        <f>Animals!C20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MROUND(40*Animals!AO159*_xlfn.XLOOKUP(Animals!BB159,Leathers!$A$2:$A$100,Leathers!$B$2:$B$100,0)+(140*_xlfn.XLOOKUP(B159,Animals!B:B,Animals!AO:AO)*2),5)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Groups!$A$32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465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12.663576799658493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0.85000000000000009</v>
      </c>
      <c r="AW160" s="8">
        <f>MROUND(40*Animals!AO160*_xlfn.XLOOKUP(Animals!BB160,Leathers!$A$2:$A$100,Leathers!$B$2:$B$100,0)+(140*_xlfn.XLOOKUP(B160,Animals!B:B,Animals!AO:AO)*2),5)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1159</v>
      </c>
      <c r="B161" s="6" t="s">
        <v>1160</v>
      </c>
      <c r="C161" s="7">
        <f>MIN(369,440,389,462)</f>
        <v>369</v>
      </c>
      <c r="D161" s="7" t="s">
        <v>1177</v>
      </c>
      <c r="E161" s="7" t="str">
        <f>Groups!$A$18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398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MROUND(40*Animals!AO161*_xlfn.XLOOKUP(Animals!BB161,Leathers!$A$2:$A$100,Leathers!$B$2:$B$100,0)+(140*_xlfn.XLOOKUP(B161,Animals!B:B,Animals!AO:AO)*2),5)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1166</v>
      </c>
      <c r="B162" s="6" t="s">
        <v>1163</v>
      </c>
      <c r="C162" s="7">
        <v>1.095</v>
      </c>
      <c r="D162" s="7" t="s">
        <v>1164</v>
      </c>
      <c r="E162" s="7" t="str">
        <f>Groups!$A$9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1164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408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MROUND(40*Animals!AO162*_xlfn.XLOOKUP(Animals!BB162,Leathers!$A$2:$A$100,Leathers!$B$2:$B$100,0)+(140*_xlfn.XLOOKUP(B162,Animals!B:B,Animals!AO:AO)*2),5)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1175</v>
      </c>
      <c r="B163" s="6" t="s">
        <v>1167</v>
      </c>
      <c r="C163" s="7">
        <v>64.474999999999994</v>
      </c>
      <c r="D163" s="7" t="s">
        <v>1176</v>
      </c>
      <c r="E163" s="7" t="str">
        <f>Groups!$A$43</f>
        <v>Primate (tailless)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1176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394</v>
      </c>
      <c r="AH163" s="4" t="str">
        <f>Animals!C31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MROUND(40*Animals!AO163*_xlfn.XLOOKUP(Animals!BB163,Leathers!$A$2:$A$100,Leathers!$B$2:$B$100,0)+(140*_xlfn.XLOOKUP(B163,Animals!B:B,Animals!AO:AO)*2),5)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1187</v>
      </c>
      <c r="B164" s="6" t="s">
        <v>1170</v>
      </c>
      <c r="C164" s="7">
        <v>5</v>
      </c>
      <c r="D164" s="7" t="s">
        <v>538</v>
      </c>
      <c r="E164" s="7" t="str">
        <f>Groups!$A$9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384</v>
      </c>
      <c r="AH164" s="4" t="str">
        <f>Animals!C11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MROUND(40*Animals!AO164*_xlfn.XLOOKUP(Animals!BB164,Leathers!$A$2:$A$100,Leathers!$B$2:$B$100,0)+(140*_xlfn.XLOOKUP(B164,Animals!B:B,Animals!AO:AO)*2),5)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1188</v>
      </c>
      <c r="B165" s="6" t="s">
        <v>1172</v>
      </c>
      <c r="C165" s="7">
        <v>8.5</v>
      </c>
      <c r="D165" s="7" t="s">
        <v>1189</v>
      </c>
      <c r="E165" s="7" t="str">
        <f>Groups!$A$6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1189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Animals!C6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MROUND(40*Animals!AO165*_xlfn.XLOOKUP(Animals!BB165,Leathers!$A$2:$A$100,Leathers!$B$2:$B$100,0)+(140*_xlfn.XLOOKUP(B165,Animals!B:B,Animals!AO:AO)*2),5)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1191</v>
      </c>
      <c r="B166" s="48" t="s">
        <v>1190</v>
      </c>
      <c r="C166" s="7">
        <f>AVERAGE(2,5.5)</f>
        <v>3.75</v>
      </c>
      <c r="D166" s="7" t="s">
        <v>1192</v>
      </c>
      <c r="E166" s="7" t="str">
        <f>Groups!$A$47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1193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408</v>
      </c>
      <c r="AG166" s="28" t="s">
        <v>394</v>
      </c>
      <c r="AH166" s="4" t="str">
        <f>Animals!C23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MROUND(40*Animals!AO166*_xlfn.XLOOKUP(Animals!BB166,Leathers!$A$2:$A$100,Leathers!$B$2:$B$100,0)+(140*_xlfn.XLOOKUP(B166,Animals!B:B,Animals!AO:AO)*2),5)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1211</v>
      </c>
      <c r="B167" s="6" t="s">
        <v>1212</v>
      </c>
      <c r="C167" s="7">
        <v>7000</v>
      </c>
      <c r="D167" s="7" t="s">
        <v>1213</v>
      </c>
      <c r="E167" s="7" t="str">
        <f>Groups!$A$66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1213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1389</v>
      </c>
      <c r="AF167" s="4" t="s">
        <v>45</v>
      </c>
      <c r="AG167" s="28" t="s">
        <v>1216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>43.97*10000</f>
        <v>439700</v>
      </c>
      <c r="AP167" s="8">
        <f>IFERROR(C167*_xlfn.XLOOKUP(E167,Groups!A:A,Groups!K:K),0.106*C167^0.94)</f>
        <v>1897.0000000000002</v>
      </c>
      <c r="AQ167" s="8">
        <f>AP167*10000/(_xlfn.XLOOKUP(E167,Groups!A:A,Groups!J:J)*AO167)</f>
        <v>19.521743023060772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1.8250000000000002</v>
      </c>
      <c r="AW167" s="8">
        <f>MROUND(40*Animals!AO167*_xlfn.XLOOKUP(Animals!BB167,Leathers!$A$2:$A$100,Leathers!$B$2:$B$100,0)+(140*_xlfn.XLOOKUP(B167,Animals!B:B,Animals!AO:AO)*2),5)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0.27949881322491188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1234</v>
      </c>
      <c r="B168" s="6" t="s">
        <v>1235</v>
      </c>
      <c r="C168" s="7">
        <v>5000</v>
      </c>
      <c r="D168" s="7" t="s">
        <v>1213</v>
      </c>
      <c r="E168" s="7" t="str">
        <f>Groups!$A$67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1213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1389</v>
      </c>
      <c r="AF168" s="4" t="s">
        <v>407</v>
      </c>
      <c r="AG168" s="28" t="s">
        <v>1216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ref="AO168:AO170" si="102">43.97*10000</f>
        <v>439700</v>
      </c>
      <c r="AP168" s="8">
        <f>IFERROR(C168*_xlfn.XLOOKUP(E168,Groups!A:A,Groups!K:K),0.106*C168^0.94)</f>
        <v>1355</v>
      </c>
      <c r="AQ168" s="8">
        <f>AP168*10000/(_xlfn.XLOOKUP(E168,Groups!A:A,Groups!J:J)*AO168)</f>
        <v>13.94410215932912</v>
      </c>
      <c r="AR168" s="8">
        <f t="shared" ref="AR168:AR181" si="103">EXP(0.8447*LN(C168)+3.996)</f>
        <v>72437.042827169687</v>
      </c>
      <c r="AS168" s="8">
        <f>IF(_xlfn.XLOOKUP(E168,Groups!A:A,Groups!M:M)=1,EXP(0.7444*LN('Base stats'!C168)+6.5696),EXP(0.7927*LN('Base stats'!C168)+4.28))</f>
        <v>61795.080878079119</v>
      </c>
      <c r="AT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U168" s="8">
        <f>IF(_xlfn.XLOOKUP(E168,Groups!A:A,Groups!U:U)=3,AS168,IF(_xlfn.XLOOKUP(E168,Groups!A:A,Groups!U:U)=2,AR168,AT168))</f>
        <v>72437.042827169687</v>
      </c>
      <c r="AV168" s="46">
        <f>IFERROR(AVERAGE(_xlfn.XLOOKUP(B168,Animals!B:B,Animals!N:N),_xlfn.XLOOKUP(B168,Animals!B:B,Animals!O:O)),0)</f>
        <v>1.7000000000000002</v>
      </c>
      <c r="AW168" s="8">
        <f>MROUND(40*Animals!AO168*_xlfn.XLOOKUP(Animals!BB168,Leathers!$A$2:$A$100,Leathers!$B$2:$B$100,0)+(140*_xlfn.XLOOKUP(B168,Animals!B:B,Animals!AO:AO)*2),5)</f>
        <v>6400</v>
      </c>
      <c r="AX168" s="8">
        <f>IFERROR(ROUND(SQRT(V168-1)*IF(_xlfn.XLOOKUP(E168,Groups!A:A,Groups!BF:BF)=0,2,1)*IF(_xlfn.XLOOKUP('Base stats'!E168,Groups!A:A,Groups!O:O)=0,1,0.1),1),0)</f>
        <v>0</v>
      </c>
      <c r="AY168" s="8">
        <f t="shared" ref="AY168:AY181" si="104">IFERROR(ROUND(SQRT(U168-1),1),0)</f>
        <v>0</v>
      </c>
      <c r="AZ168" s="8">
        <f t="shared" ref="AZ168:AZ181" si="105">IFERROR(ROUND(SQRT(W168),1),0)</f>
        <v>5</v>
      </c>
      <c r="BA168" s="8">
        <f t="shared" ref="BA168:BA181" si="106">ROUND(
  EXP(0.3582*LN(C168)-0.2221) *
  (0.75 + 0.25*(C168^4/(C168^4+10^4))),
1)</f>
        <v>16.899999999999999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24.116231840641284</v>
      </c>
      <c r="BC168" s="8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24.116231840641284</v>
      </c>
      <c r="BD168" s="8">
        <f t="shared" ref="BD168:BD181" si="107">(0.0392*C168^IF(OR(Y168="Herbivore",Y168="Dendrovore",Y168="OmnivoreRough"),0.889,0.966))*C168^-0.135</f>
        <v>24.116231840641284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F168" s="8">
        <f>(0.048*C168^1.01)/IF(_xlfn.XLOOKUP(E168,Groups!A:A,Groups!M:M)=1,0.25,0.8)*C168^-0.25</f>
        <v>38.847981091877756</v>
      </c>
      <c r="BG168" s="8">
        <f>EXP(1.076*LN(AR168)-4.5397)*IF(_xlfn.XLOOKUP(E168,Groups!A:A,Groups!BC:BC)=1,1.25,IF(_xlfn.XLOOKUP(E168,Groups!A:A,Groups!BD:BD)=1,3.5,2.5))</f>
        <v>4525.755372771675</v>
      </c>
      <c r="BH168" s="8">
        <f>EXP(1.076*LN(AS168)-4.5397)*IF(_xlfn.XLOOKUP(E168,Groups!A:A,Groups!M:M)=1,0.8,IF(_xlfn.XLOOKUP(E168,Groups!A:A,Groups!BC:BC)=1,1.3,3))</f>
        <v>4577.4224679256631</v>
      </c>
      <c r="BI168" s="8">
        <f>IF(W168="No","No",IF(_xlfn.XLOOKUP(E168,Groups!A:A,Groups!U:U)=1,'Base stats'!BJ168,IF(OR(_xlfn.XLOOKUP(E168,Groups!A:A,Groups!BD:BD)=1,_xlfn.XLOOKUP(E168,Groups!A:A,Groups!U:U)=2),BG168,BH168))*1.2)</f>
        <v>5430.9064473260096</v>
      </c>
      <c r="BJ168" s="8" t="str">
        <f>IFERROR(EXP(1.076*LN(AT168)-4.5397)*IF(_xlfn.XLOOKUP(E168,Groups!A:A,Groups!N:N)="Insect",1,IF(OR(_xlfn.XLOOKUP(E168,Groups!A:A,Groups!N:N)="Pig",_xlfn.XLOOKUP(E168,Groups!A:A,Groups!N:N)="StrongBitingHerbivore"),3.5,3.75)),"No")</f>
        <v>No</v>
      </c>
      <c r="BK168" s="8">
        <f t="shared" ref="BK168:BK181" si="108">ROUNDDOWN(SQRT((2*BG168)/BD168),0)</f>
        <v>19</v>
      </c>
      <c r="BL168" s="8">
        <f t="shared" ref="BL168:BL181" si="109">ROUNDDOWN(SQRT((2*BH168)/BE168),0)</f>
        <v>16</v>
      </c>
      <c r="BM168" s="8">
        <f t="shared" ref="BM168:BM181" si="110">IF(W168="No","No",ROUNDDOWN(SQRT((2*BI168)/BC168),0))</f>
        <v>21</v>
      </c>
      <c r="BN168" s="8" t="str">
        <f t="shared" ref="BN168:BN181" si="111">IF(V168="No","No",ROUNDDOWN(SQRT((2*BJ168)/BB168),0))</f>
        <v>No</v>
      </c>
      <c r="BO168" s="8">
        <f t="shared" ref="BO168:BO181" si="112">ROUNDDOWN(SQRT((2*BH168)/BF168),0)</f>
        <v>15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Q168" s="8">
        <f>IF(W168="No","No",IF(_xlfn.XLOOKUP(E168,Groups!A:A,Groups!BD:BD)=1,(AO168*5%),EXP(0.7354*LN(C168)^0.4078)*2/IF(_xlfn.XLOOKUP(E168,Groups!A:A,Groups!BL:BL)=1,1000,100)))</f>
        <v>1.1643075570203649E-2</v>
      </c>
      <c r="BR168" s="8" t="str">
        <f>IF(BJ168="No","No",IF(_xlfn.XLOOKUP(E168,Groups!A:A,Groups!BF:BF)=1,(0.0315*C168+2.1825)*2,(0.7354*C168^0.4078)*2)/IF(_xlfn.XLOOKUP(E168,Groups!A:A,Groups!BM:BM)=1,1000,100))</f>
        <v>No</v>
      </c>
      <c r="BS168" s="8">
        <f t="shared" ref="BS168:BS181" si="113">BG168/(AO168*5%)</f>
        <v>0.20585651001918012</v>
      </c>
      <c r="BT168" s="8">
        <f t="shared" ref="BT168:BT181" si="114">IF(BP168="No","No",BH168/BP168)</f>
        <v>6.0808636677302674</v>
      </c>
      <c r="BU168" s="8">
        <f t="shared" ref="BU168:BU181" si="115">IF(W168="No","No",BI168/BQ168)</f>
        <v>466449.47158330755</v>
      </c>
      <c r="BV168" s="8" t="str">
        <f t="shared" ref="BV168:BV181" si="116">IF(BJ168="No","No",BJ168/BR168)</f>
        <v>No</v>
      </c>
      <c r="BW168" s="4">
        <v>0</v>
      </c>
      <c r="BX168" s="4">
        <v>1</v>
      </c>
    </row>
    <row r="169" spans="1:76" s="16" customFormat="1" x14ac:dyDescent="0.25">
      <c r="A169" s="26" t="s">
        <v>1219</v>
      </c>
      <c r="B169" s="6" t="s">
        <v>1220</v>
      </c>
      <c r="C169" s="7">
        <v>50</v>
      </c>
      <c r="D169" s="7" t="s">
        <v>1213</v>
      </c>
      <c r="E169" s="7" t="str">
        <f>Groups!$A$68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1213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1387</v>
      </c>
      <c r="AF169" s="4" t="s">
        <v>45</v>
      </c>
      <c r="AG169" s="28" t="s">
        <v>1216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102"/>
        <v>439700</v>
      </c>
      <c r="AP169" s="8">
        <f>IFERROR(C169*_xlfn.XLOOKUP(E169,Groups!A:A,Groups!K:K),0.106*C169^0.94)</f>
        <v>13.55</v>
      </c>
      <c r="AQ169" s="8">
        <f>AP169*10000/(_xlfn.XLOOKUP(E169,Groups!A:A,Groups!J:J)*AO169)</f>
        <v>0.13944102159329119</v>
      </c>
      <c r="AR169" s="8">
        <f t="shared" si="103"/>
        <v>1481.019280401604</v>
      </c>
      <c r="AS169" s="8">
        <f>IF(_xlfn.XLOOKUP(E169,Groups!A:A,Groups!M:M)=1,EXP(0.7444*LN('Base stats'!C169)+6.5696),EXP(0.7927*LN('Base stats'!C169)+4.28))</f>
        <v>13117.597459187402</v>
      </c>
      <c r="AT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U169" s="8">
        <f>IF(_xlfn.XLOOKUP(E169,Groups!A:A,Groups!U:U)=3,AS169,IF(_xlfn.XLOOKUP(E169,Groups!A:A,Groups!U:U)=2,AR169,AT169))</f>
        <v>13117.597459187402</v>
      </c>
      <c r="AV169" s="46">
        <f>IFERROR(AVERAGE(_xlfn.XLOOKUP(B169,Animals!B:B,Animals!N:N),_xlfn.XLOOKUP(B169,Animals!B:B,Animals!O:O)),0)</f>
        <v>0.5</v>
      </c>
      <c r="AW169" s="8">
        <f>MROUND(40*Animals!AO169*_xlfn.XLOOKUP(Animals!BB169,Leathers!$A$2:$A$100,Leathers!$B$2:$B$100,0)+(140*_xlfn.XLOOKUP(B169,Animals!B:B,Animals!AO:AO)*2),5)</f>
        <v>1090</v>
      </c>
      <c r="AX169" s="8">
        <f>IFERROR(ROUND(SQRT(V169-1)*IF(_xlfn.XLOOKUP(E169,Groups!A:A,Groups!BF:BF)=0,2,1)*IF(_xlfn.XLOOKUP('Base stats'!E169,Groups!A:A,Groups!O:O)=0,1,0.1),1),0)</f>
        <v>2</v>
      </c>
      <c r="AY169" s="8">
        <f t="shared" si="104"/>
        <v>3</v>
      </c>
      <c r="AZ169" s="8">
        <f t="shared" si="105"/>
        <v>0</v>
      </c>
      <c r="BA169" s="8">
        <f t="shared" si="106"/>
        <v>3.3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2.5297065736002207</v>
      </c>
      <c r="BC169" s="8" t="str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No</v>
      </c>
      <c r="BD169" s="8">
        <f t="shared" si="107"/>
        <v>1.0118826294400882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F169" s="8">
        <f>(0.048*C169^1.01)/IF(_xlfn.XLOOKUP(E169,Groups!A:A,Groups!M:M)=1,0.25,0.8)*C169^-0.25</f>
        <v>3.754208874641956</v>
      </c>
      <c r="BG169" s="8">
        <f>EXP(1.076*LN(AR169)-4.5397)*IF(_xlfn.XLOOKUP(E169,Groups!A:A,Groups!BC:BC)=1,1.25,IF(_xlfn.XLOOKUP(E169,Groups!A:A,Groups!BD:BD)=1,3.5,2.5))</f>
        <v>68.848847644384961</v>
      </c>
      <c r="BH169" s="8">
        <f>EXP(1.076*LN(AS169)-4.5397)*IF(_xlfn.XLOOKUP(E169,Groups!A:A,Groups!M:M)=1,0.8,IF(_xlfn.XLOOKUP(E169,Groups!A:A,Groups!BC:BC)=1,1.3,3))</f>
        <v>230.32153898976432</v>
      </c>
      <c r="BI169" s="8" t="str">
        <f>IF(W169="No","No",IF(_xlfn.XLOOKUP(E169,Groups!A:A,Groups!U:U)=1,'Base stats'!BJ169,IF(OR(_xlfn.XLOOKUP(E169,Groups!A:A,Groups!BD:BD)=1,_xlfn.XLOOKUP(E169,Groups!A:A,Groups!U:U)=2),BG169,BH169))*1.2)</f>
        <v>No</v>
      </c>
      <c r="BJ169" s="8">
        <f>IFERROR(EXP(1.076*LN(AT169)-4.5397)*IF(_xlfn.XLOOKUP(E169,Groups!A:A,Groups!N:N)="Insect",1,IF(OR(_xlfn.XLOOKUP(E169,Groups!A:A,Groups!N:N)="Pig",_xlfn.XLOOKUP(E169,Groups!A:A,Groups!N:N)="StrongBitingHerbivore"),3.5,3.75)),"No")</f>
        <v>287.90192373720538</v>
      </c>
      <c r="BK169" s="8">
        <f t="shared" si="108"/>
        <v>11</v>
      </c>
      <c r="BL169" s="8">
        <f t="shared" si="109"/>
        <v>16</v>
      </c>
      <c r="BM169" s="8" t="str">
        <f t="shared" si="110"/>
        <v>No</v>
      </c>
      <c r="BN169" s="8">
        <f t="shared" si="111"/>
        <v>15</v>
      </c>
      <c r="BO169" s="8">
        <f t="shared" si="112"/>
        <v>11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Q169" s="8" t="str">
        <f>IF(W169="No","No",IF(_xlfn.XLOOKUP(E169,Groups!A:A,Groups!BD:BD)=1,(AO169*5%),EXP(0.7354*LN(C169)^0.4078)*2/IF(_xlfn.XLOOKUP(E169,Groups!A:A,Groups!BL:BL)=1,1000,100)))</f>
        <v>No</v>
      </c>
      <c r="BR169" s="8">
        <f>IF(BJ169="No","No",IF(_xlfn.XLOOKUP(E169,Groups!A:A,Groups!BF:BF)=1,(0.0315*C169+2.1825)*2,(0.7354*C169^0.4078)*2)/IF(_xlfn.XLOOKUP(E169,Groups!A:A,Groups!BM:BM)=1,1000,100))</f>
        <v>7.2509279375208967E-3</v>
      </c>
      <c r="BS169" s="8">
        <f t="shared" si="113"/>
        <v>3.1316282758419357E-3</v>
      </c>
      <c r="BT169" s="8">
        <f t="shared" si="114"/>
        <v>31764.422564170676</v>
      </c>
      <c r="BU169" s="8" t="str">
        <f t="shared" si="115"/>
        <v>No</v>
      </c>
      <c r="BV169" s="8">
        <f t="shared" si="116"/>
        <v>39705.528205213341</v>
      </c>
      <c r="BW169" s="4">
        <v>0</v>
      </c>
      <c r="BX169" s="4">
        <v>1</v>
      </c>
    </row>
    <row r="170" spans="1:76" s="16" customFormat="1" x14ac:dyDescent="0.25">
      <c r="A170" s="26" t="s">
        <v>1221</v>
      </c>
      <c r="B170" s="6" t="s">
        <v>1222</v>
      </c>
      <c r="C170" s="7">
        <v>100</v>
      </c>
      <c r="D170" s="7" t="s">
        <v>1213</v>
      </c>
      <c r="E170" s="7" t="str">
        <f>Groups!$A$69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1213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>
        <v>1</v>
      </c>
      <c r="W170" s="7" t="s">
        <v>45</v>
      </c>
      <c r="X170" s="7" t="s">
        <v>945</v>
      </c>
      <c r="Y170" s="4" t="s">
        <v>1023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1388</v>
      </c>
      <c r="AF170" s="4" t="s">
        <v>45</v>
      </c>
      <c r="AG170" s="28" t="s">
        <v>1233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102"/>
        <v>439700</v>
      </c>
      <c r="AP170" s="8">
        <f>IFERROR(C170*_xlfn.XLOOKUP(E170,Groups!A:A,Groups!K:K),0.106*C170^0.94)</f>
        <v>27.1</v>
      </c>
      <c r="AQ170" s="8">
        <f>AP170*10000/(_xlfn.XLOOKUP(E170,Groups!A:A,Groups!J:J)*AO170)</f>
        <v>0.27888204318658238</v>
      </c>
      <c r="AR170" s="8">
        <f t="shared" si="103"/>
        <v>2659.7495843014949</v>
      </c>
      <c r="AS170" s="8">
        <f>IF(_xlfn.XLOOKUP(E170,Groups!A:A,Groups!M:M)=1,EXP(0.7444*LN('Base stats'!C170)+6.5696),EXP(0.7927*LN('Base stats'!C170)+4.28))</f>
        <v>2780.8680507952254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U170" s="8">
        <f>IF(_xlfn.XLOOKUP(E170,Groups!A:A,Groups!U:U)=3,AS170,IF(_xlfn.XLOOKUP(E170,Groups!A:A,Groups!U:U)=2,AR170,AT170))</f>
        <v>21975.614515210149</v>
      </c>
      <c r="AV170" s="46">
        <f>IFERROR(AVERAGE(_xlfn.XLOOKUP(B170,Animals!B:B,Animals!N:N),_xlfn.XLOOKUP(B170,Animals!B:B,Animals!O:O)),0)</f>
        <v>0.57500000000000007</v>
      </c>
      <c r="AW170" s="8">
        <f>MROUND(40*Animals!AO170*_xlfn.XLOOKUP(Animals!BB170,Leathers!$A$2:$A$100,Leathers!$B$2:$B$100,0)+(140*_xlfn.XLOOKUP(B170,Animals!B:B,Animals!AO:AO)*2),5)</f>
        <v>1600</v>
      </c>
      <c r="AX170" s="8">
        <f>IFERROR(ROUND(SQRT(V170-1)*IF(_xlfn.XLOOKUP(E170,Groups!A:A,Groups!BF:BF)=0,2,1)*IF(_xlfn.XLOOKUP('Base stats'!E170,Groups!A:A,Groups!O:O)=0,1,0.1),1),0)</f>
        <v>0</v>
      </c>
      <c r="AY170" s="8">
        <f t="shared" si="104"/>
        <v>0</v>
      </c>
      <c r="AZ170" s="8">
        <f t="shared" si="105"/>
        <v>0</v>
      </c>
      <c r="BA170" s="8">
        <f t="shared" si="106"/>
        <v>4.2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3.1566474154577655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07"/>
        <v>1.2626589661831062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F170" s="8">
        <f>(0.048*C170^1.01)/IF(_xlfn.XLOOKUP(E170,Groups!A:A,Groups!M:M)=1,0.25,0.8)*C170^-0.25</f>
        <v>1.986786728895547</v>
      </c>
      <c r="BG170" s="8">
        <f>EXP(1.076*LN(AR170)-4.5397)*IF(_xlfn.XLOOKUP(E170,Groups!A:A,Groups!BC:BC)=1,1.25,IF(_xlfn.XLOOKUP(E170,Groups!A:A,Groups!BD:BD)=1,3.5,2.5))</f>
        <v>129.27126415643053</v>
      </c>
      <c r="BH170" s="8">
        <f>EXP(1.076*LN(AS170)-4.5397)*IF(_xlfn.XLOOKUP(E170,Groups!A:A,Groups!M:M)=1,0.8,IF(_xlfn.XLOOKUP(E170,Groups!A:A,Groups!BC:BC)=1,1.3,3))</f>
        <v>162.73939114543509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501.60503473544446</v>
      </c>
      <c r="BK170" s="8">
        <f t="shared" si="108"/>
        <v>14</v>
      </c>
      <c r="BL170" s="8">
        <f t="shared" si="109"/>
        <v>11</v>
      </c>
      <c r="BM170" s="8" t="str">
        <f t="shared" si="110"/>
        <v>No</v>
      </c>
      <c r="BN170" s="8">
        <f t="shared" si="111"/>
        <v>17</v>
      </c>
      <c r="BO170" s="8">
        <f t="shared" si="112"/>
        <v>12</v>
      </c>
      <c r="BP170" s="8" t="str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9.6195248569743513E-2</v>
      </c>
      <c r="BS170" s="8">
        <f t="shared" si="113"/>
        <v>5.8799756268560627E-3</v>
      </c>
      <c r="BT170" s="8" t="str">
        <f t="shared" si="114"/>
        <v>No</v>
      </c>
      <c r="BU170" s="8" t="str">
        <f t="shared" si="115"/>
        <v>No</v>
      </c>
      <c r="BV170" s="8">
        <f t="shared" si="116"/>
        <v>5214.4470978914369</v>
      </c>
      <c r="BW170" s="4">
        <v>0</v>
      </c>
      <c r="BX170" s="4">
        <v>1</v>
      </c>
    </row>
    <row r="171" spans="1:76" x14ac:dyDescent="0.25">
      <c r="A171" s="26" t="s">
        <v>1239</v>
      </c>
      <c r="B171" s="6" t="s">
        <v>1240</v>
      </c>
      <c r="C171" s="7">
        <v>1.0209999999999999</v>
      </c>
      <c r="D171" s="7" t="s">
        <v>1241</v>
      </c>
      <c r="E171" s="7" t="str">
        <f>Groups!$A$36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1241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IF(AT171="No","No",IF(_xlfn.XLOOKUP(E171,Groups!A:A,Groups!AM:AM)=1,MROUND(EXP(0.3582*LN(C171)-0.2221)*T171,0.05),IF(_xlfn.XLOOKUP(E171,Groups!A:A,Groups!AM:AM)=2,MROUND(EXP(0.3582*LN(C171)-0.2221)*T171,0.05),"Need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1</v>
      </c>
      <c r="AB171" s="4">
        <v>0</v>
      </c>
      <c r="AC171" s="4">
        <v>0</v>
      </c>
      <c r="AD171" s="4">
        <v>0</v>
      </c>
      <c r="AE171" s="4" t="s">
        <v>45</v>
      </c>
      <c r="AF171" s="4" t="s">
        <v>45</v>
      </c>
      <c r="AG171" s="28" t="s">
        <v>394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1</v>
      </c>
      <c r="AN171" s="44" t="s">
        <v>40</v>
      </c>
      <c r="AO171" s="8">
        <f t="shared" ref="AO171:AO181" si="117">(0.111*C171^0.65)*10000</f>
        <v>1125.096338028226</v>
      </c>
      <c r="AP171" s="8">
        <f>IFERROR(C171*_xlfn.XLOOKUP(E171,Groups!A:A,Groups!K:K),0.106*C171^0.94)</f>
        <v>0.12736974999999998</v>
      </c>
      <c r="AQ171" s="8">
        <f>AP171*10000/(_xlfn.XLOOKUP(E171,Groups!A:A,Groups!J:J)*AO171)</f>
        <v>1.0386042306045133</v>
      </c>
      <c r="AR171" s="8">
        <f t="shared" si="103"/>
        <v>55.343267175725082</v>
      </c>
      <c r="AS171" s="8">
        <f>IF(_xlfn.XLOOKUP(E171,Groups!A:A,Groups!M:M)=1,EXP(0.7444*LN('Base stats'!C171)+6.5696),EXP(0.7927*LN('Base stats'!C171)+4.28))</f>
        <v>73.440409245375434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U171" s="8">
        <f>IF(_xlfn.XLOOKUP(E171,Groups!A:A,Groups!U:U)=3,AS171,IF(_xlfn.XLOOKUP(E171,Groups!A:A,Groups!U:U)=2,AR171,AT171))</f>
        <v>69.148599776552857</v>
      </c>
      <c r="AV171" s="46">
        <f>IFERROR(AVERAGE(_xlfn.XLOOKUP(B171,Animals!B:B,Animals!N:N),_xlfn.XLOOKUP(B171,Animals!B:B,Animals!O:O)),0)</f>
        <v>0</v>
      </c>
      <c r="AW171" s="8">
        <f>MROUND(40*Animals!AO171*_xlfn.XLOOKUP(Animals!BB171,Leathers!$A$2:$A$100,Leathers!$B$2:$B$100,0)+(140*_xlfn.XLOOKUP(B171,Animals!B:B,Animals!AO:AO)*2),5)</f>
        <v>55</v>
      </c>
      <c r="AX171" s="8">
        <f>IFERROR(ROUND(SQRT(V171-1)*IF(_xlfn.XLOOKUP(E171,Groups!A:A,Groups!BF:BF)=0,2,1)*IF(_xlfn.XLOOKUP('Base stats'!E171,Groups!A:A,Groups!O:O)=0,1,0.1),1),0)</f>
        <v>0</v>
      </c>
      <c r="AY171" s="8">
        <f t="shared" si="104"/>
        <v>0</v>
      </c>
      <c r="AZ171" s="8">
        <f t="shared" si="105"/>
        <v>0</v>
      </c>
      <c r="BA171" s="8">
        <f t="shared" si="106"/>
        <v>0.6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0.16046633278129638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si="107"/>
        <v>3.9882875123161909E-2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F171" s="8">
        <f>(0.048*C171^1.01)/IF(_xlfn.XLOOKUP(E171,Groups!A:A,Groups!M:M)=1,0.25,0.8)*C171^-0.25</f>
        <v>6.0955207551135558E-2</v>
      </c>
      <c r="BG171" s="8">
        <f>EXP(1.076*LN(AR171)-4.5397)*IF(_xlfn.XLOOKUP(E171,Groups!A:A,Groups!BC:BC)=1,1.25,IF(_xlfn.XLOOKUP(E171,Groups!A:A,Groups!BD:BD)=1,3.5,2.5))</f>
        <v>2.0040616045550155</v>
      </c>
      <c r="BH171" s="8">
        <f>EXP(1.076*LN(AS171)-4.5397)*IF(_xlfn.XLOOKUP(E171,Groups!A:A,Groups!M:M)=1,0.8,IF(_xlfn.XLOOKUP(E171,Groups!A:A,Groups!BC:BC)=1,1.3,3))</f>
        <v>3.2606242204274993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3.8200718918048557</v>
      </c>
      <c r="BK171" s="8">
        <f t="shared" si="108"/>
        <v>10</v>
      </c>
      <c r="BL171" s="8">
        <f t="shared" si="109"/>
        <v>9</v>
      </c>
      <c r="BM171" s="8" t="str">
        <f t="shared" si="110"/>
        <v>No</v>
      </c>
      <c r="BN171" s="8">
        <f t="shared" si="111"/>
        <v>6</v>
      </c>
      <c r="BO171" s="8">
        <f t="shared" si="112"/>
        <v>10</v>
      </c>
      <c r="BP171" s="8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1.4833181773242334E-2</v>
      </c>
      <c r="BS171" s="8">
        <f t="shared" si="113"/>
        <v>3.5624711179261491E-2</v>
      </c>
      <c r="BT171" s="8">
        <f t="shared" si="114"/>
        <v>219.81960918926774</v>
      </c>
      <c r="BU171" s="8" t="str">
        <f t="shared" si="115"/>
        <v>No</v>
      </c>
      <c r="BV171" s="8">
        <f t="shared" si="116"/>
        <v>257.53556790464921</v>
      </c>
      <c r="BW171" s="4">
        <v>0</v>
      </c>
      <c r="BX171" s="4">
        <v>1</v>
      </c>
    </row>
    <row r="172" spans="1:76" x14ac:dyDescent="0.25">
      <c r="A172" s="26" t="s">
        <v>1270</v>
      </c>
      <c r="B172" s="6" t="s">
        <v>1262</v>
      </c>
      <c r="C172" s="7">
        <v>1100</v>
      </c>
      <c r="D172" s="7" t="s">
        <v>1271</v>
      </c>
      <c r="E172" s="7" t="str">
        <f>Groups!$A$45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1271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1</v>
      </c>
      <c r="AA172" s="4">
        <v>0</v>
      </c>
      <c r="AB172" s="4">
        <v>0</v>
      </c>
      <c r="AC172" s="4">
        <v>0</v>
      </c>
      <c r="AD172" s="4">
        <v>0</v>
      </c>
      <c r="AE172" s="4" t="s">
        <v>45</v>
      </c>
      <c r="AF172" s="4" t="s">
        <v>45</v>
      </c>
      <c r="AG172" s="28" t="s">
        <v>402</v>
      </c>
      <c r="AH172" s="4" t="str">
        <f>Animals!C25</f>
        <v>&lt;li&gt;Rhinoceros&lt;/li&gt;</v>
      </c>
      <c r="AI172" s="4">
        <v>0</v>
      </c>
      <c r="AJ172" s="4">
        <v>0</v>
      </c>
      <c r="AK172" s="4">
        <v>0</v>
      </c>
      <c r="AL172" s="4">
        <v>0</v>
      </c>
      <c r="AM172" s="4">
        <v>1</v>
      </c>
      <c r="AN172" s="44" t="s">
        <v>40</v>
      </c>
      <c r="AO172" s="8">
        <f t="shared" si="117"/>
        <v>105251.48308535226</v>
      </c>
      <c r="AP172" s="8">
        <f>IFERROR(C172*_xlfn.XLOOKUP(E172,Groups!A:A,Groups!K:K),0.106*C172^0.94)</f>
        <v>76.597569493188232</v>
      </c>
      <c r="AQ172" s="8">
        <f>AP172*10000/(_xlfn.XLOOKUP(E172,Groups!A:A,Groups!J:J)*AO172)</f>
        <v>6.6766754705060203</v>
      </c>
      <c r="AR172" s="8">
        <f t="shared" si="103"/>
        <v>20160.678815796717</v>
      </c>
      <c r="AS172" s="8">
        <f>IF(_xlfn.XLOOKUP(E172,Groups!A:A,Groups!M:M)=1,EXP(0.7444*LN('Base stats'!C172)+6.5696),EXP(0.7927*LN('Base stats'!C172)+4.28))</f>
        <v>18607.685795809553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U172" s="8">
        <f>IF(_xlfn.XLOOKUP(E172,Groups!A:A,Groups!U:U)=3,AS172,IF(_xlfn.XLOOKUP(E172,Groups!A:A,Groups!U:U)=2,AR172,AT172))</f>
        <v>20160.678815796717</v>
      </c>
      <c r="AV172" s="46">
        <f>IFERROR(AVERAGE(_xlfn.XLOOKUP(B172,Animals!B:B,Animals!N:N),_xlfn.XLOOKUP(B172,Animals!B:B,Animals!O:O)),0)</f>
        <v>0</v>
      </c>
      <c r="AW172" s="8">
        <f>MROUND(40*Animals!AO172*_xlfn.XLOOKUP(Animals!BB172,Leathers!$A$2:$A$100,Leathers!$B$2:$B$100,0)+(140*_xlfn.XLOOKUP(B172,Animals!B:B,Animals!AO:AO)*2),5)</f>
        <v>1570</v>
      </c>
      <c r="AX172" s="8">
        <f>IFERROR(ROUND(SQRT(V172-1)*IF(_xlfn.XLOOKUP(E172,Groups!A:A,Groups!BF:BF)=0,2,1)*IF(_xlfn.XLOOKUP('Base stats'!E172,Groups!A:A,Groups!O:O)=0,1,0.1),1),0)</f>
        <v>2.2000000000000002</v>
      </c>
      <c r="AY172" s="8">
        <f t="shared" si="104"/>
        <v>0</v>
      </c>
      <c r="AZ172" s="8">
        <f t="shared" si="105"/>
        <v>6.9</v>
      </c>
      <c r="BA172" s="8">
        <f t="shared" si="106"/>
        <v>9.8000000000000007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10.6868186552502</v>
      </c>
      <c r="BC172" s="8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7.700096211174249</v>
      </c>
      <c r="BD172" s="8">
        <f t="shared" si="107"/>
        <v>7.700096211174249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F172" s="8">
        <f>(0.048*C172^1.01)/IF(_xlfn.XLOOKUP(E172,Groups!A:A,Groups!M:M)=1,0.25,0.8)*C172^-0.25</f>
        <v>12.291636010376193</v>
      </c>
      <c r="BG172" s="8">
        <f>EXP(1.076*LN(AR172)-4.5397)*IF(_xlfn.XLOOKUP(E172,Groups!A:A,Groups!BC:BC)=1,1.25,IF(_xlfn.XLOOKUP(E172,Groups!A:A,Groups!BD:BD)=1,3.5,2.5))</f>
        <v>1142.9333135956558</v>
      </c>
      <c r="BH172" s="8">
        <f>EXP(1.076*LN(AS172)-4.5397)*IF(_xlfn.XLOOKUP(E172,Groups!A:A,Groups!M:M)=1,0.8,IF(_xlfn.XLOOKUP(E172,Groups!A:A,Groups!BC:BC)=1,1.3,3))</f>
        <v>1258.182322275647</v>
      </c>
      <c r="BI172" s="8">
        <f>IF(W172="No","No",IF(_xlfn.XLOOKUP(E172,Groups!A:A,Groups!U:U)=1,'Base stats'!BJ172,IF(OR(_xlfn.XLOOKUP(E172,Groups!A:A,Groups!BD:BD)=1,_xlfn.XLOOKUP(E172,Groups!A:A,Groups!U:U)=2),BG172,BH172))*1.2)</f>
        <v>1371.5199763147868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694.58430497858171</v>
      </c>
      <c r="BK172" s="8">
        <f t="shared" si="108"/>
        <v>17</v>
      </c>
      <c r="BL172" s="8">
        <f t="shared" si="109"/>
        <v>12</v>
      </c>
      <c r="BM172" s="8">
        <f t="shared" si="110"/>
        <v>18</v>
      </c>
      <c r="BN172" s="8">
        <f t="shared" si="111"/>
        <v>11</v>
      </c>
      <c r="BO172" s="8">
        <f t="shared" si="112"/>
        <v>14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>
        <f>IF(W172="No","No",IF(_xlfn.XLOOKUP(E172,Groups!A:A,Groups!BD:BD)=1,(AO172*5%),EXP(0.7354*LN(C172)^0.4078)*2/IF(_xlfn.XLOOKUP(E172,Groups!A:A,Groups!BL:BL)=1,1000,100)))</f>
        <v>0.10171249757005109</v>
      </c>
      <c r="BR172" s="8">
        <f>IF(BJ172="No","No",IF(_xlfn.XLOOKUP(E172,Groups!A:A,Groups!BF:BF)=1,(0.0315*C172+2.1825)*2,(0.7354*C172^0.4078)*2)/IF(_xlfn.XLOOKUP(E172,Groups!A:A,Groups!BM:BM)=1,1000,100))</f>
        <v>0.25576055059574831</v>
      </c>
      <c r="BS172" s="8">
        <f t="shared" si="113"/>
        <v>0.21718141732384133</v>
      </c>
      <c r="BT172" s="8" t="str">
        <f t="shared" si="114"/>
        <v>No</v>
      </c>
      <c r="BU172" s="8">
        <f t="shared" si="115"/>
        <v>13484.281765573578</v>
      </c>
      <c r="BV172" s="8">
        <f t="shared" si="116"/>
        <v>2715.7601254793681</v>
      </c>
      <c r="BW172" s="4">
        <v>0</v>
      </c>
      <c r="BX172" s="4">
        <v>1</v>
      </c>
    </row>
    <row r="173" spans="1:76" x14ac:dyDescent="0.25">
      <c r="A173" s="26" t="s">
        <v>1254</v>
      </c>
      <c r="B173" s="6" t="s">
        <v>1263</v>
      </c>
      <c r="C173" s="7">
        <v>39.924999999999997</v>
      </c>
      <c r="D173" s="7" t="s">
        <v>1272</v>
      </c>
      <c r="E173" s="7" t="str">
        <f>Groups!$A$43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1272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1</v>
      </c>
      <c r="AA173" s="4">
        <v>0</v>
      </c>
      <c r="AB173" s="4">
        <v>0</v>
      </c>
      <c r="AC173" s="4">
        <v>0</v>
      </c>
      <c r="AD173" s="4">
        <v>0</v>
      </c>
      <c r="AE173" s="4" t="s">
        <v>1085</v>
      </c>
      <c r="AF173" s="4" t="s">
        <v>407</v>
      </c>
      <c r="AG173" s="28" t="s">
        <v>394</v>
      </c>
      <c r="AH173" s="4" t="str">
        <f>Animals!C31</f>
        <v>&lt;li&gt;Monkey&lt;/li&gt;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si="117"/>
        <v>12193.606615764173</v>
      </c>
      <c r="AP173" s="8">
        <f>IFERROR(C173*_xlfn.XLOOKUP(E173,Groups!A:A,Groups!K:K),0.106*C173^0.94)</f>
        <v>3.392158171478437</v>
      </c>
      <c r="AQ173" s="8">
        <f>AP173*10000/(_xlfn.XLOOKUP(E173,Groups!A:A,Groups!J:J)*AO173)</f>
        <v>2.5522159398920881</v>
      </c>
      <c r="AR173" s="8">
        <f t="shared" si="103"/>
        <v>1224.6509893194125</v>
      </c>
      <c r="AS173" s="8">
        <f>IF(_xlfn.XLOOKUP(E173,Groups!A:A,Groups!M:M)=1,EXP(0.7444*LN('Base stats'!C173)+6.5696),EXP(0.7927*LN('Base stats'!C173)+4.28))</f>
        <v>1343.0347023471277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U173" s="8">
        <f>IF(_xlfn.XLOOKUP(E173,Groups!A:A,Groups!U:U)=3,AS173,IF(_xlfn.XLOOKUP(E173,Groups!A:A,Groups!U:U)=2,AR173,AT173))</f>
        <v>593.65064942336471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MROUND(40*Animals!AO173*_xlfn.XLOOKUP(Animals!BB173,Leathers!$A$2:$A$100,Leathers!$B$2:$B$100,0)+(140*_xlfn.XLOOKUP(B173,Animals!B:B,Animals!AO:AO)*2),5)</f>
        <v>285</v>
      </c>
      <c r="AX173" s="8">
        <f>IFERROR(ROUND(SQRT(V173-1)*IF(_xlfn.XLOOKUP(E173,Groups!A:A,Groups!BF:BF)=0,2,1)*IF(_xlfn.XLOOKUP('Base stats'!E173,Groups!A:A,Groups!O:O)=0,1,0.1),1),0)</f>
        <v>2.8</v>
      </c>
      <c r="AY173" s="8">
        <f t="shared" si="104"/>
        <v>0</v>
      </c>
      <c r="AZ173" s="8">
        <f t="shared" si="105"/>
        <v>0</v>
      </c>
      <c r="BA173" s="8">
        <f t="shared" si="106"/>
        <v>3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0.92779462698216975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07"/>
        <v>0.63186564097306441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F173" s="8">
        <f>(0.048*C173^1.01)/IF(_xlfn.XLOOKUP(E173,Groups!A:A,Groups!M:M)=1,0.25,0.8)*C173^-0.25</f>
        <v>0.98877480869839474</v>
      </c>
      <c r="BG173" s="8">
        <f>EXP(1.076*LN(AR173)-4.5397)*IF(_xlfn.XLOOKUP(E173,Groups!A:A,Groups!BC:BC)=1,1.25,IF(_xlfn.XLOOKUP(E173,Groups!A:A,Groups!BD:BD)=1,3.5,2.5))</f>
        <v>56.114438879003373</v>
      </c>
      <c r="BH173" s="8">
        <f>EXP(1.076*LN(AS173)-4.5397)*IF(_xlfn.XLOOKUP(E173,Groups!A:A,Groups!M:M)=1,0.8,IF(_xlfn.XLOOKUP(E173,Groups!A:A,Groups!BC:BC)=1,1.3,3))</f>
        <v>74.366348840447856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38.617477968946893</v>
      </c>
      <c r="BK173" s="8">
        <f t="shared" si="108"/>
        <v>13</v>
      </c>
      <c r="BL173" s="8">
        <f t="shared" si="109"/>
        <v>10</v>
      </c>
      <c r="BM173" s="8" t="str">
        <f t="shared" si="110"/>
        <v>No</v>
      </c>
      <c r="BN173" s="8">
        <f t="shared" si="111"/>
        <v>9</v>
      </c>
      <c r="BO173" s="8">
        <f t="shared" si="112"/>
        <v>12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6.6151744499875986E-2</v>
      </c>
      <c r="BS173" s="8">
        <f t="shared" si="113"/>
        <v>9.2039116312736133E-2</v>
      </c>
      <c r="BT173" s="8">
        <f t="shared" si="114"/>
        <v>39.091770919217133</v>
      </c>
      <c r="BU173" s="8" t="str">
        <f t="shared" si="115"/>
        <v>No</v>
      </c>
      <c r="BV173" s="8">
        <f t="shared" si="116"/>
        <v>583.77111988360775</v>
      </c>
      <c r="BW173" s="4">
        <v>0</v>
      </c>
      <c r="BX173" s="4">
        <v>1</v>
      </c>
    </row>
    <row r="174" spans="1:76" x14ac:dyDescent="0.25">
      <c r="A174" s="26" t="s">
        <v>1255</v>
      </c>
      <c r="B174" s="6" t="s">
        <v>1264</v>
      </c>
      <c r="C174" s="7">
        <v>158</v>
      </c>
      <c r="D174" s="7" t="s">
        <v>1273</v>
      </c>
      <c r="E174" s="7" t="str">
        <f>Groups!$A$9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320</v>
      </c>
      <c r="AG174" s="28" t="s">
        <v>384</v>
      </c>
      <c r="AH174" s="4" t="str">
        <f>Animals!C6</f>
        <v>&lt;li&gt;Cassowary&lt;/li&gt;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17"/>
        <v>29816.048439554645</v>
      </c>
      <c r="AP174" s="8">
        <f>IFERROR(C174*_xlfn.XLOOKUP(E174,Groups!A:A,Groups!K:K),0.106*C174^0.94)</f>
        <v>12.360713120212504</v>
      </c>
      <c r="AQ174" s="8">
        <f>AP174*10000/(_xlfn.XLOOKUP(E174,Groups!A:A,Groups!J:J)*AO174)</f>
        <v>3.8033557005385839</v>
      </c>
      <c r="AR174" s="8">
        <f t="shared" si="103"/>
        <v>3914.2304491773752</v>
      </c>
      <c r="AS174" s="8">
        <f>IF(_xlfn.XLOOKUP(E174,Groups!A:A,Groups!M:M)=1,EXP(0.7444*LN('Base stats'!C174)+6.5696),EXP(0.7927*LN('Base stats'!C174)+4.28))</f>
        <v>3996.2795016509476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U174" s="8">
        <f>IF(_xlfn.XLOOKUP(E174,Groups!A:A,Groups!U:U)=3,AS174,IF(_xlfn.XLOOKUP(E174,Groups!A:A,Groups!U:U)=2,AR174,AT174))</f>
        <v>467.03853082898877</v>
      </c>
      <c r="AV174" s="46">
        <f>IFERROR(AVERAGE(_xlfn.XLOOKUP(B174,Animals!B:B,Animals!N:N),_xlfn.XLOOKUP(B174,Animals!B:B,Animals!O:O)),0)</f>
        <v>0</v>
      </c>
      <c r="AW174" s="8">
        <f>MROUND(40*Animals!AO174*_xlfn.XLOOKUP(Animals!BB174,Leathers!$A$2:$A$100,Leathers!$B$2:$B$100,0)+(140*_xlfn.XLOOKUP(B174,Animals!B:B,Animals!AO:AO)*2),5)</f>
        <v>565</v>
      </c>
      <c r="AX174" s="8">
        <f>IFERROR(ROUND(SQRT(V174-1)*IF(_xlfn.XLOOKUP(E174,Groups!A:A,Groups!BF:BF)=0,2,1)*IF(_xlfn.XLOOKUP('Base stats'!E174,Groups!A:A,Groups!O:O)=0,1,0.1),1),0)</f>
        <v>0.3</v>
      </c>
      <c r="AY174" s="8">
        <f t="shared" si="104"/>
        <v>2.2000000000000002</v>
      </c>
      <c r="AZ174" s="8">
        <f t="shared" si="105"/>
        <v>0</v>
      </c>
      <c r="BA174" s="8">
        <f t="shared" si="106"/>
        <v>4.9000000000000004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0.93073584075318005</v>
      </c>
      <c r="BC174" s="8" t="str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No</v>
      </c>
      <c r="BD174" s="8">
        <f t="shared" si="107"/>
        <v>1.7826804862107648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F174" s="8">
        <f>(0.048*C174^1.01)/IF(_xlfn.XLOOKUP(E174,Groups!A:A,Groups!M:M)=1,0.25,0.8)*C174^-0.25</f>
        <v>2.8127467818541616</v>
      </c>
      <c r="BG174" s="8">
        <f>EXP(1.076*LN(AR174)-4.5397)*IF(_xlfn.XLOOKUP(E174,Groups!A:A,Groups!BC:BC)=1,1.25,IF(_xlfn.XLOOKUP(E174,Groups!A:A,Groups!BD:BD)=1,3.5,2.5))</f>
        <v>195.91192228350945</v>
      </c>
      <c r="BH174" s="8">
        <f>EXP(1.076*LN(AS174)-4.5397)*IF(_xlfn.XLOOKUP(E174,Groups!A:A,Groups!M:M)=1,0.8,IF(_xlfn.XLOOKUP(E174,Groups!A:A,Groups!BC:BC)=1,1.3,3))</f>
        <v>240.40101424282807</v>
      </c>
      <c r="BI174" s="8" t="str">
        <f>IF(W174="No","No",IF(_xlfn.XLOOKUP(E174,Groups!A:A,Groups!U:U)=1,'Base stats'!BJ174,IF(OR(_xlfn.XLOOKUP(E174,Groups!A:A,Groups!BD:BD)=1,_xlfn.XLOOKUP(E174,Groups!A:A,Groups!U:U)=2),BG174,BH174))*1.2)</f>
        <v>No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29.832395347188957</v>
      </c>
      <c r="BK174" s="8">
        <f t="shared" si="108"/>
        <v>14</v>
      </c>
      <c r="BL174" s="8">
        <f t="shared" si="109"/>
        <v>9</v>
      </c>
      <c r="BM174" s="8" t="str">
        <f t="shared" si="110"/>
        <v>No</v>
      </c>
      <c r="BN174" s="8">
        <f t="shared" si="111"/>
        <v>8</v>
      </c>
      <c r="BO174" s="8">
        <f t="shared" si="112"/>
        <v>13</v>
      </c>
      <c r="BP174" s="8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Q174" s="8" t="str">
        <f>IF(W174="No","No",IF(_xlfn.XLOOKUP(E174,Groups!A:A,Groups!BD:BD)=1,(AO174*5%),EXP(0.7354*LN(C174)^0.4078)*2/IF(_xlfn.XLOOKUP(E174,Groups!A:A,Groups!BL:BL)=1,1000,100)))</f>
        <v>No</v>
      </c>
      <c r="BR174" s="8">
        <f>IF(BJ174="No","No",IF(_xlfn.XLOOKUP(E174,Groups!A:A,Groups!BF:BF)=1,(0.0315*C174+2.1825)*2,(0.7354*C174^0.4078)*2)/IF(_xlfn.XLOOKUP(E174,Groups!A:A,Groups!BM:BM)=1,1000,100))</f>
        <v>0.11592203092401863</v>
      </c>
      <c r="BS174" s="8">
        <f t="shared" si="113"/>
        <v>0.13141374027525946</v>
      </c>
      <c r="BT174" s="8">
        <f t="shared" si="114"/>
        <v>2073.8164465079071</v>
      </c>
      <c r="BU174" s="8" t="str">
        <f t="shared" si="115"/>
        <v>No</v>
      </c>
      <c r="BV174" s="8">
        <f t="shared" si="116"/>
        <v>257.3487982344156</v>
      </c>
      <c r="BW174" s="4">
        <v>0</v>
      </c>
      <c r="BX174" s="4">
        <v>1</v>
      </c>
    </row>
    <row r="175" spans="1:76" x14ac:dyDescent="0.25">
      <c r="A175" s="26" t="s">
        <v>1256</v>
      </c>
      <c r="B175" s="6" t="s">
        <v>1265</v>
      </c>
      <c r="C175" s="7">
        <v>280</v>
      </c>
      <c r="D175" s="7" t="s">
        <v>607</v>
      </c>
      <c r="E175" s="7" t="str">
        <f>Groups!$A$24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45</v>
      </c>
      <c r="AF175" s="4" t="s">
        <v>410</v>
      </c>
      <c r="AG175" s="28" t="s">
        <v>401</v>
      </c>
      <c r="AH175" s="4" t="str">
        <f>Animals!C21</f>
        <v>&lt;li&gt;Horse&lt;/li&gt;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17"/>
        <v>43248.963050706334</v>
      </c>
      <c r="AP175" s="8">
        <f>IFERROR(C175*_xlfn.XLOOKUP(E175,Groups!A:A,Groups!K:K),0.106*C175^0.94)</f>
        <v>21.165786678220933</v>
      </c>
      <c r="AQ175" s="8">
        <f>AP175*10000/(_xlfn.XLOOKUP(E175,Groups!A:A,Groups!J:J)*AO175)</f>
        <v>4.4898539863331788</v>
      </c>
      <c r="AR175" s="8">
        <f t="shared" si="103"/>
        <v>6346.804759702758</v>
      </c>
      <c r="AS175" s="8">
        <f>IF(_xlfn.XLOOKUP(E175,Groups!A:A,Groups!M:M)=1,EXP(0.7444*LN('Base stats'!C175)+6.5696),EXP(0.7927*LN('Base stats'!C175)+4.28))</f>
        <v>6289.8828104523209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U175" s="8">
        <f>IF(_xlfn.XLOOKUP(E175,Groups!A:A,Groups!U:U)=3,AS175,IF(_xlfn.XLOOKUP(E175,Groups!A:A,Groups!U:U)=2,AR175,AT175))</f>
        <v>3728.4083499042572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MROUND(40*Animals!AO175*_xlfn.XLOOKUP(Animals!BB175,Leathers!$A$2:$A$100,Leathers!$B$2:$B$100,0)+(140*_xlfn.XLOOKUP(B175,Animals!B:B,Animals!AO:AO)*2),5)</f>
        <v>820</v>
      </c>
      <c r="AX175" s="8">
        <f>IFERROR(ROUND(SQRT(V175-1)*IF(_xlfn.XLOOKUP(E175,Groups!A:A,Groups!BF:BF)=0,2,1)*IF(_xlfn.XLOOKUP('Base stats'!E175,Groups!A:A,Groups!O:O)=0,1,0.1),1),0)</f>
        <v>0.7</v>
      </c>
      <c r="AY175" s="8">
        <f t="shared" si="104"/>
        <v>0</v>
      </c>
      <c r="AZ175" s="8">
        <f t="shared" si="105"/>
        <v>0</v>
      </c>
      <c r="BA175" s="8">
        <f t="shared" si="106"/>
        <v>6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5.0817406215823828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07"/>
        <v>2.7443735352452556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F175" s="8">
        <f>(0.048*C175^1.01)/IF(_xlfn.XLOOKUP(E175,Groups!A:A,Groups!M:M)=1,0.25,0.8)*C175^-0.25</f>
        <v>4.3450157416647412</v>
      </c>
      <c r="BG175" s="8">
        <f>EXP(1.076*LN(AR175)-4.5397)*IF(_xlfn.XLOOKUP(E175,Groups!A:A,Groups!BC:BC)=1,1.25,IF(_xlfn.XLOOKUP(E175,Groups!A:A,Groups!BD:BD)=1,3.5,2.5))</f>
        <v>329.55103389391587</v>
      </c>
      <c r="BH175" s="8">
        <f>EXP(1.076*LN(AS175)-4.5397)*IF(_xlfn.XLOOKUP(E175,Groups!A:A,Groups!M:M)=1,0.8,IF(_xlfn.XLOOKUP(E175,Groups!A:A,Groups!BC:BC)=1,1.3,3))</f>
        <v>391.64625971648672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260.29189226422181</v>
      </c>
      <c r="BK175" s="8">
        <f t="shared" si="108"/>
        <v>15</v>
      </c>
      <c r="BL175" s="8">
        <f t="shared" si="109"/>
        <v>11</v>
      </c>
      <c r="BM175" s="8" t="str">
        <f t="shared" si="110"/>
        <v>No</v>
      </c>
      <c r="BN175" s="8">
        <f t="shared" si="111"/>
        <v>10</v>
      </c>
      <c r="BO175" s="8">
        <f t="shared" si="112"/>
        <v>13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0.22005000000000002</v>
      </c>
      <c r="BS175" s="8">
        <f t="shared" si="113"/>
        <v>0.15239719551543501</v>
      </c>
      <c r="BT175" s="8">
        <f t="shared" si="114"/>
        <v>7.4695602633057803</v>
      </c>
      <c r="BU175" s="8" t="str">
        <f t="shared" si="115"/>
        <v>No</v>
      </c>
      <c r="BV175" s="8">
        <f t="shared" si="116"/>
        <v>1182.8761293534278</v>
      </c>
      <c r="BW175" s="4">
        <v>0</v>
      </c>
      <c r="BX175" s="4">
        <v>1</v>
      </c>
    </row>
    <row r="176" spans="1:76" x14ac:dyDescent="0.25">
      <c r="A176" s="26" t="s">
        <v>1257</v>
      </c>
      <c r="B176" s="6" t="s">
        <v>1266</v>
      </c>
      <c r="C176" s="7">
        <v>4.5</v>
      </c>
      <c r="D176" s="7" t="s">
        <v>1274</v>
      </c>
      <c r="E176" s="7" t="str">
        <f>Groups!$A$6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1274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410</v>
      </c>
      <c r="AG176" s="28" t="s">
        <v>45</v>
      </c>
      <c r="AH176" s="4" t="str">
        <f>Animals!C6</f>
        <v>&lt;li&gt;Cassowary&lt;/li&gt;</v>
      </c>
      <c r="AI176" s="4">
        <v>0</v>
      </c>
      <c r="AJ176" s="4">
        <v>1</v>
      </c>
      <c r="AK176" s="4">
        <v>0</v>
      </c>
      <c r="AL176" s="4">
        <v>0</v>
      </c>
      <c r="AM176" s="4">
        <v>1</v>
      </c>
      <c r="AN176" s="44">
        <v>11</v>
      </c>
      <c r="AO176" s="8">
        <f t="shared" si="117"/>
        <v>2950.6052630710305</v>
      </c>
      <c r="AP176" s="8">
        <f>IFERROR(C176*_xlfn.XLOOKUP(E176,Groups!A:A,Groups!K:K),0.106*C176^0.94)</f>
        <v>0.43583853713193826</v>
      </c>
      <c r="AQ176" s="8">
        <f>AP176*10000/(_xlfn.XLOOKUP(E176,Groups!A:A,Groups!J:J)*AO176)</f>
        <v>1.3551520223081701</v>
      </c>
      <c r="AR176" s="8">
        <f t="shared" si="103"/>
        <v>193.73556787208551</v>
      </c>
      <c r="AS176" s="8">
        <f>IF(_xlfn.XLOOKUP(E176,Groups!A:A,Groups!M:M)=1,EXP(0.7444*LN('Base stats'!C176)+6.5696),EXP(0.7927*LN('Base stats'!C176)+4.28))</f>
        <v>238.00273195891231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U176" s="8">
        <f>IF(_xlfn.XLOOKUP(E176,Groups!A:A,Groups!U:U)=3,AS176,IF(_xlfn.XLOOKUP(E176,Groups!A:A,Groups!U:U)=2,AR176,AT176))</f>
        <v>39.802015714796987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MROUND(40*Animals!AO176*_xlfn.XLOOKUP(Animals!BB176,Leathers!$A$2:$A$100,Leathers!$B$2:$B$100,0)+(140*_xlfn.XLOOKUP(B176,Animals!B:B,Animals!AO:AO)*2),5)</f>
        <v>85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04"/>
        <v>0</v>
      </c>
      <c r="AZ176" s="8">
        <f t="shared" si="105"/>
        <v>0</v>
      </c>
      <c r="BA176" s="8">
        <f t="shared" si="106"/>
        <v>1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0.12206734153284268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07"/>
        <v>0.1368061641182855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F176" s="8">
        <f>(0.048*C176^1.01)/IF(_xlfn.XLOOKUP(E176,Groups!A:A,Groups!M:M)=1,0.25,0.8)*C176^-0.25</f>
        <v>0.18818836143592041</v>
      </c>
      <c r="BG176" s="8">
        <f>EXP(1.076*LN(AR176)-4.5397)*IF(_xlfn.XLOOKUP(E176,Groups!A:A,Groups!BC:BC)=1,1.25,IF(_xlfn.XLOOKUP(E176,Groups!A:A,Groups!BD:BD)=1,3.5,2.5))</f>
        <v>7.716326944216144</v>
      </c>
      <c r="BH176" s="8">
        <f>EXP(1.076*LN(AS176)-4.5397)*IF(_xlfn.XLOOKUP(E176,Groups!A:A,Groups!M:M)=1,0.8,IF(_xlfn.XLOOKUP(E176,Groups!A:A,Groups!BC:BC)=1,1.3,3))</f>
        <v>11.55464920650892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2.1084458907362174</v>
      </c>
      <c r="BK176" s="8">
        <f t="shared" si="108"/>
        <v>10</v>
      </c>
      <c r="BL176" s="8">
        <f t="shared" si="109"/>
        <v>7</v>
      </c>
      <c r="BM176" s="8" t="str">
        <f t="shared" si="110"/>
        <v>No</v>
      </c>
      <c r="BN176" s="8">
        <f t="shared" si="111"/>
        <v>5</v>
      </c>
      <c r="BO176" s="8">
        <f t="shared" si="112"/>
        <v>11</v>
      </c>
      <c r="BP176" s="8" t="str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2.7160245069965436E-2</v>
      </c>
      <c r="BS176" s="8">
        <f t="shared" si="113"/>
        <v>5.2303349694325998E-2</v>
      </c>
      <c r="BT176" s="8" t="str">
        <f t="shared" si="114"/>
        <v>No</v>
      </c>
      <c r="BU176" s="8" t="str">
        <f t="shared" si="115"/>
        <v>No</v>
      </c>
      <c r="BV176" s="8">
        <f t="shared" si="116"/>
        <v>77.629855154281955</v>
      </c>
      <c r="BW176" s="4">
        <v>0</v>
      </c>
      <c r="BX176" s="4">
        <v>1</v>
      </c>
    </row>
    <row r="177" spans="1:76" x14ac:dyDescent="0.25">
      <c r="A177" s="26" t="s">
        <v>1258</v>
      </c>
      <c r="B177" s="6" t="s">
        <v>1267</v>
      </c>
      <c r="C177" s="7">
        <v>6.1268000000000002</v>
      </c>
      <c r="D177" s="7" t="s">
        <v>1275</v>
      </c>
      <c r="E177" s="7" t="str">
        <f>Groups!$A$35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1275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IF(AT177="No","No",IF(_xlfn.XLOOKUP(E177,Groups!A:A,Groups!AM:AM)=1,MROUND(EXP(0.3582*LN(C177)-0.2221)*T177,0.05),IF(_xlfn.XLOOKUP(E177,Groups!A:A,Groups!AM:AM)=2,MROUND(EXP(0.3582*LN(C177)-0.2221)*T177,0.05),"Need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1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45</v>
      </c>
      <c r="AG177" s="28" t="s">
        <v>394</v>
      </c>
      <c r="AH177" s="4" t="s">
        <v>45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17"/>
        <v>3605.9930569006506</v>
      </c>
      <c r="AP177" s="8">
        <f>IFERROR(C177*_xlfn.XLOOKUP(E177,Groups!A:A,Groups!K:K),0.106*C177^0.94)</f>
        <v>0.76431830000000001</v>
      </c>
      <c r="AQ177" s="8">
        <f>AP177*10000/(_xlfn.XLOOKUP(E177,Groups!A:A,Groups!J:J)*AO177)</f>
        <v>1.9445668321501803</v>
      </c>
      <c r="AR177" s="8">
        <f t="shared" si="103"/>
        <v>251.42997905005222</v>
      </c>
      <c r="AS177" s="8">
        <f>IF(_xlfn.XLOOKUP(E177,Groups!A:A,Groups!M:M)=1,EXP(0.7444*LN('Base stats'!C177)+6.5696),EXP(0.7927*LN('Base stats'!C177)+4.28))</f>
        <v>303.96287211097786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U177" s="8">
        <f>IF(_xlfn.XLOOKUP(E177,Groups!A:A,Groups!U:U)=3,AS177,IF(_xlfn.XLOOKUP(E177,Groups!A:A,Groups!U:U)=2,AR177,AT177))</f>
        <v>264.45383560190891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MROUND(40*Animals!AO177*_xlfn.XLOOKUP(Animals!BB177,Leathers!$A$2:$A$100,Leathers!$B$2:$B$100,0)+(140*_xlfn.XLOOKUP(B177,Animals!B:B,Animals!AO:AO)*2),5)</f>
        <v>125</v>
      </c>
      <c r="AX177" s="8">
        <f>IFERROR(ROUND(SQRT(V177-1)*IF(_xlfn.XLOOKUP(E177,Groups!A:A,Groups!BF:BF)=0,2,1)*IF(_xlfn.XLOOKUP('Base stats'!E177,Groups!A:A,Groups!O:O)=0,1,0.1),1),0)</f>
        <v>1.5</v>
      </c>
      <c r="AY177" s="8">
        <f t="shared" si="104"/>
        <v>1.2</v>
      </c>
      <c r="AZ177" s="8">
        <f t="shared" si="105"/>
        <v>0</v>
      </c>
      <c r="BA177" s="8">
        <f t="shared" si="106"/>
        <v>1.2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0.49132872418829543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07"/>
        <v>0.17679797026889368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F177" s="8">
        <f>(0.048*C177^1.01)/IF(_xlfn.XLOOKUP(E177,Groups!A:A,Groups!M:M)=1,0.25,0.8)*C177^-0.25</f>
        <v>0.23792981405136351</v>
      </c>
      <c r="BG177" s="8">
        <f>EXP(1.076*LN(AR177)-4.5397)*IF(_xlfn.XLOOKUP(E177,Groups!A:A,Groups!BC:BC)=1,1.25,IF(_xlfn.XLOOKUP(E177,Groups!A:A,Groups!BD:BD)=1,3.5,2.5))</f>
        <v>10.214617413604199</v>
      </c>
      <c r="BH177" s="8">
        <f>EXP(1.076*LN(AS177)-4.5397)*IF(_xlfn.XLOOKUP(E177,Groups!A:A,Groups!M:M)=1,0.8,IF(_xlfn.XLOOKUP(E177,Groups!A:A,Groups!BC:BC)=1,1.3,3))</f>
        <v>15.033825176859128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16.17756184386171</v>
      </c>
      <c r="BK177" s="8">
        <f t="shared" si="108"/>
        <v>10</v>
      </c>
      <c r="BL177" s="8">
        <f t="shared" si="109"/>
        <v>10</v>
      </c>
      <c r="BM177" s="8" t="str">
        <f t="shared" si="110"/>
        <v>No</v>
      </c>
      <c r="BN177" s="8">
        <f t="shared" si="111"/>
        <v>8</v>
      </c>
      <c r="BO177" s="8">
        <f t="shared" si="112"/>
        <v>11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3.0802610595156293E-2</v>
      </c>
      <c r="BS177" s="8">
        <f t="shared" si="113"/>
        <v>5.6653561182303865E-2</v>
      </c>
      <c r="BT177" s="8">
        <f t="shared" si="114"/>
        <v>488.069838444901</v>
      </c>
      <c r="BU177" s="8" t="str">
        <f t="shared" si="115"/>
        <v>No</v>
      </c>
      <c r="BV177" s="8">
        <f t="shared" si="116"/>
        <v>525.20099859346431</v>
      </c>
      <c r="BW177" s="4">
        <v>0</v>
      </c>
      <c r="BX177" s="4">
        <v>1</v>
      </c>
    </row>
    <row r="178" spans="1:76" x14ac:dyDescent="0.25">
      <c r="A178" s="26" t="s">
        <v>1259</v>
      </c>
      <c r="B178" s="6" t="s">
        <v>1268</v>
      </c>
      <c r="C178" s="7">
        <v>16.7</v>
      </c>
      <c r="D178" s="7" t="s">
        <v>1276</v>
      </c>
      <c r="E178" s="7" t="str">
        <f>Groups!$A$11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IF(AT178="No","No",IF(_xlfn.XLOOKUP(E178,Groups!A:A,Groups!AM:AM)=1,MROUND(EXP(0.3582*LN(C178)-0.2221)*T178,0.05),IF(_xlfn.XLOOKUP(E178,Groups!A:A,Groups!AM:AM)=2,MROUND(EXP(0.3582*LN(C178)-0.2221)*T178,0.05),"Need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45</v>
      </c>
      <c r="AG178" s="28" t="s">
        <v>388</v>
      </c>
      <c r="AH178" s="4" t="s">
        <v>45</v>
      </c>
      <c r="AI178" s="4">
        <v>0</v>
      </c>
      <c r="AJ178" s="4">
        <v>0</v>
      </c>
      <c r="AK178" s="4">
        <v>0</v>
      </c>
      <c r="AL178" s="4">
        <v>0</v>
      </c>
      <c r="AM178" s="4">
        <v>1</v>
      </c>
      <c r="AN178" s="44" t="s">
        <v>40</v>
      </c>
      <c r="AO178" s="8">
        <f t="shared" si="117"/>
        <v>6919.7226057303715</v>
      </c>
      <c r="AP178" s="8">
        <f>IFERROR(C178*_xlfn.XLOOKUP(E178,Groups!A:A,Groups!K:K),0.106*C178^0.94)</f>
        <v>2.0833249999999999</v>
      </c>
      <c r="AQ178" s="8">
        <f>AP178*10000/(_xlfn.XLOOKUP(E178,Groups!A:A,Groups!J:J)*AO178)</f>
        <v>2.762115547618551</v>
      </c>
      <c r="AR178" s="8">
        <f t="shared" si="103"/>
        <v>586.50180478223808</v>
      </c>
      <c r="AS178" s="8">
        <f>IF(_xlfn.XLOOKUP(E178,Groups!A:A,Groups!M:M)=1,EXP(0.7444*LN('Base stats'!C178)+6.5696),EXP(0.7927*LN('Base stats'!C178)+4.28))</f>
        <v>673.01962647480741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U178" s="8">
        <f>IF(_xlfn.XLOOKUP(E178,Groups!A:A,Groups!U:U)=3,AS178,IF(_xlfn.XLOOKUP(E178,Groups!A:A,Groups!U:U)=2,AR178,AT178))</f>
        <v>1382.9199872954503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MROUND(40*Animals!AO178*_xlfn.XLOOKUP(Animals!BB178,Leathers!$A$2:$A$100,Leathers!$B$2:$B$100,0)+(140*_xlfn.XLOOKUP(B178,Animals!B:B,Animals!AO:AO)*2),5)</f>
        <v>200</v>
      </c>
      <c r="AX178" s="8">
        <f>IFERROR(ROUND(SQRT(V178-1)*IF(_xlfn.XLOOKUP(E178,Groups!A:A,Groups!BF:BF)=0,2,1)*IF(_xlfn.XLOOKUP('Base stats'!E178,Groups!A:A,Groups!O:O)=0,1,0.1),1),0)</f>
        <v>2.2000000000000002</v>
      </c>
      <c r="AY178" s="8">
        <f t="shared" si="104"/>
        <v>0</v>
      </c>
      <c r="AZ178" s="8">
        <f t="shared" si="105"/>
        <v>0</v>
      </c>
      <c r="BA178" s="8">
        <f t="shared" si="106"/>
        <v>2.1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2.0670109099857714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07"/>
        <v>0.40678361786832601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F178" s="8">
        <f>(0.048*C178^1.01)/IF(_xlfn.XLOOKUP(E178,Groups!A:A,Groups!M:M)=1,0.25,0.8)*C178^-0.25</f>
        <v>0.50981870849494881</v>
      </c>
      <c r="BG178" s="8">
        <f>EXP(1.076*LN(AR178)-4.5397)*IF(_xlfn.XLOOKUP(E178,Groups!A:A,Groups!BC:BC)=1,1.25,IF(_xlfn.XLOOKUP(E178,Groups!A:A,Groups!BD:BD)=1,3.5,2.5))</f>
        <v>25.41155098431426</v>
      </c>
      <c r="BH178" s="8">
        <f>EXP(1.076*LN(AS178)-4.5397)*IF(_xlfn.XLOOKUP(E178,Groups!A:A,Groups!M:M)=1,0.8,IF(_xlfn.XLOOKUP(E178,Groups!A:A,Groups!BC:BC)=1,1.3,3))</f>
        <v>35.360014291397988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95.931721463424893</v>
      </c>
      <c r="BK178" s="8">
        <f t="shared" si="108"/>
        <v>11</v>
      </c>
      <c r="BL178" s="8">
        <f t="shared" si="109"/>
        <v>10</v>
      </c>
      <c r="BM178" s="8" t="str">
        <f t="shared" si="110"/>
        <v>No</v>
      </c>
      <c r="BN178" s="8">
        <f t="shared" si="111"/>
        <v>9</v>
      </c>
      <c r="BO178" s="8">
        <f t="shared" si="112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4.6363626455710044E-2</v>
      </c>
      <c r="BS178" s="8">
        <f t="shared" si="113"/>
        <v>7.3446733148725948E-2</v>
      </c>
      <c r="BT178" s="8" t="str">
        <f t="shared" si="114"/>
        <v>No</v>
      </c>
      <c r="BU178" s="8" t="str">
        <f t="shared" si="115"/>
        <v>No</v>
      </c>
      <c r="BV178" s="8">
        <f t="shared" si="116"/>
        <v>2069.1160031466898</v>
      </c>
      <c r="BW178" s="4">
        <v>0</v>
      </c>
      <c r="BX178" s="4">
        <v>1</v>
      </c>
    </row>
    <row r="179" spans="1:76" x14ac:dyDescent="0.25">
      <c r="A179" s="26" t="s">
        <v>1260</v>
      </c>
      <c r="B179" s="6" t="s">
        <v>1269</v>
      </c>
      <c r="C179" s="7">
        <v>26.5</v>
      </c>
      <c r="D179" s="7" t="s">
        <v>1277</v>
      </c>
      <c r="E179" s="7" t="str">
        <f>Groups!$A$11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1277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1</v>
      </c>
      <c r="AA179" s="4">
        <v>0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408</v>
      </c>
      <c r="AG179" s="28" t="s">
        <v>388</v>
      </c>
      <c r="AH179" s="4" t="str">
        <f>Animals!C14</f>
        <v>&lt;li&gt;YorkshireTerrier&lt;/li&gt;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17"/>
        <v>9341.8480039934075</v>
      </c>
      <c r="AP179" s="8">
        <f>IFERROR(C179*_xlfn.XLOOKUP(E179,Groups!A:A,Groups!K:K),0.106*C179^0.94)</f>
        <v>3.3058749999999999</v>
      </c>
      <c r="AQ179" s="8">
        <f>AP179*10000/(_xlfn.XLOOKUP(E179,Groups!A:A,Groups!J:J)*AO179)</f>
        <v>3.2465876588231817</v>
      </c>
      <c r="AR179" s="8">
        <f t="shared" si="103"/>
        <v>866.27651238056524</v>
      </c>
      <c r="AS179" s="8">
        <f>IF(_xlfn.XLOOKUP(E179,Groups!A:A,Groups!M:M)=1,EXP(0.7444*LN('Base stats'!C179)+6.5696),EXP(0.7927*LN('Base stats'!C179)+4.28))</f>
        <v>970.48178120144519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U179" s="8">
        <f>IF(_xlfn.XLOOKUP(E179,Groups!A:A,Groups!U:U)=3,AS179,IF(_xlfn.XLOOKUP(E179,Groups!A:A,Groups!U:U)=2,AR179,AT179))</f>
        <v>2035.073058254738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MROUND(40*Animals!AO179*_xlfn.XLOOKUP(Animals!BB179,Leathers!$A$2:$A$100,Leathers!$B$2:$B$100,0)+(140*_xlfn.XLOOKUP(B179,Animals!B:B,Animals!AO:AO)*2),5)</f>
        <v>235</v>
      </c>
      <c r="AX179" s="8">
        <f>IFERROR(ROUND(SQRT(V179-1)*IF(_xlfn.XLOOKUP(E179,Groups!A:A,Groups!BF:BF)=0,2,1)*IF(_xlfn.XLOOKUP('Base stats'!E179,Groups!A:A,Groups!O:O)=0,1,0.1),1),0)</f>
        <v>2.5</v>
      </c>
      <c r="AY179" s="8">
        <f t="shared" si="104"/>
        <v>0</v>
      </c>
      <c r="AZ179" s="8">
        <f t="shared" si="105"/>
        <v>0</v>
      </c>
      <c r="BA179" s="8">
        <f t="shared" si="106"/>
        <v>2.6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2.8574420810274579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07"/>
        <v>0.59703994452888687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F179" s="8">
        <f>(0.048*C179^1.01)/IF(_xlfn.XLOOKUP(E179,Groups!A:A,Groups!M:M)=1,0.25,0.8)*C179^-0.25</f>
        <v>0.72413262498904141</v>
      </c>
      <c r="BG179" s="8">
        <f>EXP(1.076*LN(AR179)-4.5397)*IF(_xlfn.XLOOKUP(E179,Groups!A:A,Groups!BC:BC)=1,1.25,IF(_xlfn.XLOOKUP(E179,Groups!A:A,Groups!BD:BD)=1,3.5,2.5))</f>
        <v>38.66266492198455</v>
      </c>
      <c r="BH179" s="8">
        <f>EXP(1.076*LN(AS179)-4.5397)*IF(_xlfn.XLOOKUP(E179,Groups!A:A,Groups!M:M)=1,0.8,IF(_xlfn.XLOOKUP(E179,Groups!A:A,Groups!BC:BC)=1,1.3,3))</f>
        <v>52.426760544473467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145.37733170187784</v>
      </c>
      <c r="BK179" s="8">
        <f t="shared" si="108"/>
        <v>11</v>
      </c>
      <c r="BL179" s="8">
        <f t="shared" si="109"/>
        <v>10</v>
      </c>
      <c r="BM179" s="8" t="str">
        <f t="shared" si="110"/>
        <v>No</v>
      </c>
      <c r="BN179" s="8">
        <f t="shared" si="111"/>
        <v>10</v>
      </c>
      <c r="BO179" s="8">
        <f t="shared" si="112"/>
        <v>12</v>
      </c>
      <c r="BP179" s="8" t="str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5.5969739888423069E-2</v>
      </c>
      <c r="BS179" s="8">
        <f t="shared" si="113"/>
        <v>8.2773054978966087E-2</v>
      </c>
      <c r="BT179" s="8" t="str">
        <f t="shared" si="114"/>
        <v>No</v>
      </c>
      <c r="BU179" s="8" t="str">
        <f t="shared" si="115"/>
        <v>No</v>
      </c>
      <c r="BV179" s="8">
        <f t="shared" si="116"/>
        <v>2597.4273239734684</v>
      </c>
      <c r="BW179" s="4">
        <v>0</v>
      </c>
      <c r="BX179" s="4">
        <v>1</v>
      </c>
    </row>
    <row r="180" spans="1:76" x14ac:dyDescent="0.25">
      <c r="A180" s="26" t="s">
        <v>1261</v>
      </c>
      <c r="B180" s="6" t="s">
        <v>1278</v>
      </c>
      <c r="C180" s="7">
        <v>13.015000000000001</v>
      </c>
      <c r="D180" s="7" t="s">
        <v>1279</v>
      </c>
      <c r="E180" s="7" t="str">
        <f>Groups!$A$31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1279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382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17"/>
        <v>5884.5287751512305</v>
      </c>
      <c r="AP180" s="8">
        <f>IFERROR(C180*_xlfn.XLOOKUP(E180,Groups!A:A,Groups!K:K),0.106*C180^0.94)</f>
        <v>4.1648000000000005</v>
      </c>
      <c r="AQ180" s="8">
        <f>AP180*10000/(_xlfn.XLOOKUP(E180,Groups!A:A,Groups!J:J)*AO180)</f>
        <v>7.3724396618688308</v>
      </c>
      <c r="AR180" s="8">
        <f t="shared" si="103"/>
        <v>475.12922241490219</v>
      </c>
      <c r="AS180" s="8">
        <f>IF(_xlfn.XLOOKUP(E180,Groups!A:A,Groups!M:M)=1,EXP(0.7444*LN('Base stats'!C180)+6.5696),EXP(0.7927*LN('Base stats'!C180)+4.28))</f>
        <v>552.33209250027983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U180" s="8">
        <f>IF(_xlfn.XLOOKUP(E180,Groups!A:A,Groups!U:U)=3,AS180,IF(_xlfn.XLOOKUP(E180,Groups!A:A,Groups!U:U)=2,AR180,AT180))</f>
        <v>464.83586290819727</v>
      </c>
      <c r="AV180" s="46">
        <f>IFERROR(AVERAGE(_xlfn.XLOOKUP(B180,Animals!B:B,Animals!N:N),_xlfn.XLOOKUP(B180,Animals!B:B,Animals!O:O)),0)</f>
        <v>0.32500000000000007</v>
      </c>
      <c r="AW180" s="8">
        <f>MROUND(40*Animals!AO180*_xlfn.XLOOKUP(Animals!BB180,Leathers!$A$2:$A$100,Leathers!$B$2:$B$100,0)+(140*_xlfn.XLOOKUP(B180,Animals!B:B,Animals!AO:AO)*2),5)</f>
        <v>185</v>
      </c>
      <c r="AX180" s="8">
        <f>IFERROR(ROUND(SQRT(V180-1)*IF(_xlfn.XLOOKUP(E180,Groups!A:A,Groups!BF:BF)=0,2,1)*IF(_xlfn.XLOOKUP('Base stats'!E180,Groups!A:A,Groups!O:O)=0,1,0.1),1),0)</f>
        <v>1.4</v>
      </c>
      <c r="AY180" s="8">
        <f t="shared" si="104"/>
        <v>1.7</v>
      </c>
      <c r="AZ180" s="8">
        <f t="shared" si="105"/>
        <v>0</v>
      </c>
      <c r="BA180" s="8">
        <f t="shared" si="106"/>
        <v>1.9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0.78713510677615284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07"/>
        <v>0.33066572017725104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F180" s="8">
        <f>(0.048*C180^1.01)/IF(_xlfn.XLOOKUP(E180,Groups!A:A,Groups!M:M)=1,0.25,0.8)*C180^-0.25</f>
        <v>0.42182160658214174</v>
      </c>
      <c r="BG180" s="8">
        <f>EXP(1.076*LN(AR180)-4.5397)*IF(_xlfn.XLOOKUP(E180,Groups!A:A,Groups!BC:BC)=1,1.25,IF(_xlfn.XLOOKUP(E180,Groups!A:A,Groups!BD:BD)=1,3.5,2.5))</f>
        <v>20.259222945854933</v>
      </c>
      <c r="BH180" s="8">
        <f>EXP(1.076*LN(AS180)-4.5397)*IF(_xlfn.XLOOKUP(E180,Groups!A:A,Groups!M:M)=1,0.8,IF(_xlfn.XLOOKUP(E180,Groups!A:A,Groups!BC:BC)=1,1.3,3))</f>
        <v>28.586572985154973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29.681032684461776</v>
      </c>
      <c r="BK180" s="8">
        <f t="shared" si="108"/>
        <v>11</v>
      </c>
      <c r="BL180" s="8">
        <f t="shared" si="109"/>
        <v>10</v>
      </c>
      <c r="BM180" s="8" t="str">
        <f t="shared" si="110"/>
        <v>No</v>
      </c>
      <c r="BN180" s="8">
        <f t="shared" si="111"/>
        <v>8</v>
      </c>
      <c r="BO180" s="8">
        <f t="shared" si="112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4.1881666547881835E-2</v>
      </c>
      <c r="BS180" s="8">
        <f t="shared" si="113"/>
        <v>6.8855888788934602E-2</v>
      </c>
      <c r="BT180" s="8" t="str">
        <f t="shared" si="114"/>
        <v>No</v>
      </c>
      <c r="BU180" s="8" t="str">
        <f t="shared" si="115"/>
        <v>No</v>
      </c>
      <c r="BV180" s="8">
        <f t="shared" si="116"/>
        <v>708.68795659142404</v>
      </c>
      <c r="BW180" s="4">
        <v>0</v>
      </c>
      <c r="BX180" s="4">
        <v>1</v>
      </c>
    </row>
    <row r="181" spans="1:76" s="16" customFormat="1" x14ac:dyDescent="0.25">
      <c r="A181" s="26" t="s">
        <v>1333</v>
      </c>
      <c r="B181" s="6" t="s">
        <v>1336</v>
      </c>
      <c r="C181" s="7">
        <v>8</v>
      </c>
      <c r="D181" s="7" t="s">
        <v>538</v>
      </c>
      <c r="E181" s="7" t="str">
        <f>Groups!$A$60</f>
        <v>Snake (three-headed)</v>
      </c>
      <c r="F181" s="7" t="str">
        <f t="shared" ref="F181" si="121">"Lay eggs"</f>
        <v>Lay eggs</v>
      </c>
      <c r="G181" s="7">
        <v>5</v>
      </c>
      <c r="H181" s="7">
        <v>22.5</v>
      </c>
      <c r="I181" s="4">
        <v>0</v>
      </c>
      <c r="J181" s="7" t="str">
        <f t="shared" ref="J181" si="122">"Lay eggs"</f>
        <v>Lay eggs</v>
      </c>
      <c r="K181" s="7" t="s">
        <v>538</v>
      </c>
      <c r="L181" s="7">
        <v>19</v>
      </c>
      <c r="M181" s="7" t="s">
        <v>538</v>
      </c>
      <c r="N181" s="4">
        <v>1</v>
      </c>
      <c r="O181" s="4">
        <v>0</v>
      </c>
      <c r="P181" s="4">
        <v>0</v>
      </c>
      <c r="Q181" s="4">
        <v>0</v>
      </c>
      <c r="R181" s="4">
        <v>1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MROUND(1.27,0.05)</f>
        <v>1.25</v>
      </c>
      <c r="W181" s="7" t="s">
        <v>45</v>
      </c>
      <c r="X181" s="7" t="s">
        <v>945</v>
      </c>
      <c r="Y181" s="4" t="s">
        <v>56</v>
      </c>
      <c r="Z181" s="4">
        <v>1</v>
      </c>
      <c r="AA181" s="4">
        <v>1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45</v>
      </c>
      <c r="AG181" s="28" t="s">
        <v>1380</v>
      </c>
      <c r="AH181" s="4" t="s">
        <v>45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4" t="s">
        <v>40</v>
      </c>
      <c r="AO181" s="8">
        <f t="shared" si="117"/>
        <v>4288.757300426314</v>
      </c>
      <c r="AP181" s="8">
        <f>IFERROR(C181*_xlfn.XLOOKUP(E181,Groups!A:A,Groups!K:K),0.106*C181^0.94)</f>
        <v>0.74853214085447506</v>
      </c>
      <c r="AQ181" s="8">
        <f>AP181*10000/(_xlfn.XLOOKUP(E181,Groups!A:A,Groups!J:J)*AO181)</f>
        <v>1.6012254520921798</v>
      </c>
      <c r="AR181" s="8">
        <f t="shared" si="103"/>
        <v>314.9784646370465</v>
      </c>
      <c r="AS181" s="8">
        <f>IF(_xlfn.XLOOKUP(E181,Groups!A:A,Groups!M:M)=1,EXP(0.7444*LN('Base stats'!C181)+6.5696),EXP(0.7927*LN('Base stats'!C181)+4.28))</f>
        <v>375.54312447761004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199.99999999999994</v>
      </c>
      <c r="AU181" s="8">
        <f>IF(_xlfn.XLOOKUP(E181,Groups!A:A,Groups!U:U)=3,AS181,IF(_xlfn.XLOOKUP(E181,Groups!A:A,Groups!U:U)=2,AR181,AT181))</f>
        <v>199.99999999999994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MROUND(40*Animals!AO181*_xlfn.XLOOKUP(Animals!BB181,Leathers!$A$2:$A$100,Leathers!$B$2:$B$100,0)+(140*_xlfn.XLOOKUP(B181,Animals!B:B,Animals!AO:AO)*2),5)</f>
        <v>320</v>
      </c>
      <c r="AX181" s="8">
        <f>IFERROR(ROUND(SQRT(V181-1)*IF(_xlfn.XLOOKUP(E181,Groups!A:A,Groups!BF:BF)=0,2,1)*IF(_xlfn.XLOOKUP('Base stats'!E181,Groups!A:A,Groups!O:O)=0,1,0.1),1),0)</f>
        <v>1</v>
      </c>
      <c r="AY181" s="8">
        <f t="shared" si="104"/>
        <v>0</v>
      </c>
      <c r="AZ181" s="8">
        <f t="shared" si="105"/>
        <v>0</v>
      </c>
      <c r="BA181" s="8">
        <f t="shared" si="106"/>
        <v>1.4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0.39127650212614778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07"/>
        <v>0.22067536125102225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0.3594748726875594</v>
      </c>
      <c r="BF181" s="8">
        <f>(0.048*C181^1.01)/IF(_xlfn.XLOOKUP(E181,Groups!A:A,Groups!M:M)=1,0.25,0.8)*C181^-0.25</f>
        <v>0.29140677225481115</v>
      </c>
      <c r="BG181" s="8">
        <f>EXP(1.076*LN(AR181)-4.5397)*IF(_xlfn.XLOOKUP(E181,Groups!A:A,Groups!BC:BC)=1,1.25,IF(_xlfn.XLOOKUP(E181,Groups!A:A,Groups!BD:BD)=1,3.5,2.5))</f>
        <v>13.017379206175637</v>
      </c>
      <c r="BH181" s="8">
        <f>EXP(1.076*LN(AS181)-4.5397)*IF(_xlfn.XLOOKUP(E181,Groups!A:A,Groups!M:M)=1,0.8,IF(_xlfn.XLOOKUP(E181,Groups!A:A,Groups!BC:BC)=1,1.3,3))</f>
        <v>18.875069369328124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11.977684893457671</v>
      </c>
      <c r="BK181" s="8">
        <f t="shared" si="108"/>
        <v>10</v>
      </c>
      <c r="BL181" s="8">
        <f t="shared" si="109"/>
        <v>10</v>
      </c>
      <c r="BM181" s="8" t="str">
        <f t="shared" si="110"/>
        <v>No</v>
      </c>
      <c r="BN181" s="8">
        <f t="shared" si="111"/>
        <v>7</v>
      </c>
      <c r="BO181" s="8">
        <f t="shared" si="112"/>
        <v>11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3.434264320573633E-2</v>
      </c>
      <c r="BS181" s="8">
        <f t="shared" si="113"/>
        <v>6.07046670833142E-2</v>
      </c>
      <c r="BT181" s="8" t="str">
        <f t="shared" si="114"/>
        <v>No</v>
      </c>
      <c r="BU181" s="8" t="str">
        <f t="shared" si="115"/>
        <v>No</v>
      </c>
      <c r="BV181" s="8">
        <f t="shared" si="116"/>
        <v>348.77003559985184</v>
      </c>
      <c r="BW181" s="4">
        <v>0</v>
      </c>
      <c r="BX181" s="4">
        <v>1</v>
      </c>
    </row>
    <row r="182" spans="1:76" s="16" customFormat="1" x14ac:dyDescent="0.25">
      <c r="A182" s="26" t="s">
        <v>1339</v>
      </c>
      <c r="B182" s="6" t="s">
        <v>1340</v>
      </c>
      <c r="C182" s="7">
        <v>250</v>
      </c>
      <c r="D182" s="7" t="s">
        <v>538</v>
      </c>
      <c r="E182" s="7" t="str">
        <f>Groups!$A$70</f>
        <v>Megatardi</v>
      </c>
      <c r="F182" s="7">
        <v>250</v>
      </c>
      <c r="G182" s="7">
        <v>3</v>
      </c>
      <c r="H182" s="7">
        <v>12</v>
      </c>
      <c r="I182" s="4">
        <v>1</v>
      </c>
      <c r="J182" s="7">
        <v>3</v>
      </c>
      <c r="K182" s="7" t="s">
        <v>538</v>
      </c>
      <c r="L182" s="7">
        <v>12</v>
      </c>
      <c r="M182" s="7" t="s">
        <v>538</v>
      </c>
      <c r="N182" s="4">
        <v>1</v>
      </c>
      <c r="O182" s="4">
        <v>0</v>
      </c>
      <c r="P182" s="4">
        <v>30</v>
      </c>
      <c r="Q182" s="4">
        <v>30</v>
      </c>
      <c r="R182" s="4">
        <v>1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 t="s">
        <v>45</v>
      </c>
      <c r="V182" s="7">
        <v>1</v>
      </c>
      <c r="W182" s="7" t="s">
        <v>45</v>
      </c>
      <c r="X182" s="7" t="s">
        <v>945</v>
      </c>
      <c r="Y182" s="4" t="s">
        <v>1023</v>
      </c>
      <c r="Z182" s="4">
        <v>1</v>
      </c>
      <c r="AA182" s="4">
        <v>1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45</v>
      </c>
      <c r="AH182" s="4" t="s">
        <v>45</v>
      </c>
      <c r="AI182" s="4">
        <v>1</v>
      </c>
      <c r="AJ182" s="4">
        <v>0</v>
      </c>
      <c r="AK182" s="4">
        <v>1</v>
      </c>
      <c r="AL182" s="4">
        <v>0</v>
      </c>
      <c r="AM182" s="4">
        <v>0</v>
      </c>
      <c r="AN182" s="44" t="s">
        <v>40</v>
      </c>
      <c r="AO182" s="8">
        <f t="shared" ref="AO182:AO186" si="123">(0.111*C182^0.65)*10000</f>
        <v>40177.59941909022</v>
      </c>
      <c r="AP182" s="8">
        <f>IFERROR(C182*_xlfn.XLOOKUP(E182,Groups!A:A,Groups!K:K),0.106*C182^0.94)</f>
        <v>80</v>
      </c>
      <c r="AQ182" s="8">
        <f>AP182*10000/(_xlfn.XLOOKUP(E182,Groups!A:A,Groups!J:J)*AO182)</f>
        <v>16.592994014219347</v>
      </c>
      <c r="AR182" s="8">
        <f t="shared" ref="AR182:AR186" si="124">EXP(0.8447*LN(C182)+3.996)</f>
        <v>5767.4079933655148</v>
      </c>
      <c r="AS182" s="8">
        <f>IF(_xlfn.XLOOKUP(E182,Groups!A:A,Groups!M:M)=1,EXP(0.7444*LN('Base stats'!C182)+6.5696),EXP(0.7927*LN('Base stats'!C182)+4.28))</f>
        <v>43467.791053039065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43467.791053039065</v>
      </c>
      <c r="AU182" s="8">
        <f>IF(_xlfn.XLOOKUP(E182,Groups!A:A,Groups!U:U)=3,AS182,IF(_xlfn.XLOOKUP(E182,Groups!A:A,Groups!U:U)=2,AR182,AT182))</f>
        <v>43467.791053039065</v>
      </c>
      <c r="AV182" s="46">
        <f>IFERROR(AVERAGE(_xlfn.XLOOKUP(B182,Animals!B:B,Animals!N:N),_xlfn.XLOOKUP(B182,Animals!B:B,Animals!O:O)),0)</f>
        <v>0.45</v>
      </c>
      <c r="AW182" s="8">
        <f>MROUND(40*Animals!AO182*_xlfn.XLOOKUP(Animals!BB182,Leathers!$A$2:$A$100,Leathers!$B$2:$B$100,0)+(140*_xlfn.XLOOKUP(B182,Animals!B:B,Animals!AO:AO)*2),5)</f>
        <v>590</v>
      </c>
      <c r="AX182" s="8">
        <f>IFERROR(ROUND(SQRT(V182-1)*IF(_xlfn.XLOOKUP(E182,Groups!A:A,Groups!BF:BF)=0,2,1)*IF(_xlfn.XLOOKUP('Base stats'!E182,Groups!A:A,Groups!O:O)=0,1,0.1),1),0)</f>
        <v>0</v>
      </c>
      <c r="AY182" s="8">
        <f t="shared" ref="AY182:AY186" si="125">IFERROR(ROUND(SQRT(U182-1),1),0)</f>
        <v>0</v>
      </c>
      <c r="AZ182" s="8">
        <f t="shared" ref="AZ182:AZ186" si="126">IFERROR(ROUND(SQRT(W182),1),0)</f>
        <v>0</v>
      </c>
      <c r="BA182" s="8">
        <f t="shared" ref="BA182:BA186" si="127">ROUND(
  EXP(0.3582*LN(C182)-0.2221) *
  (0.75 + 0.25*(C182^4/(C182^4+10^4))),
1)</f>
        <v>5.8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6.2990178962199987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ref="BD182:BD186" si="128">(0.0392*C182^IF(OR(Y182="Herbivore",Y182="Dendrovore",Y182="OmnivoreRough"),0.889,0.966))*C182^-0.135</f>
        <v>2.5196071584879993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6.1977296746955153</v>
      </c>
      <c r="BF182" s="8">
        <f>(0.048*C182^1.01)/IF(_xlfn.XLOOKUP(E182,Groups!A:A,Groups!M:M)=1,0.25,0.8)*C182^-0.25</f>
        <v>12.756620485721925</v>
      </c>
      <c r="BG182" s="8">
        <f>EXP(1.076*LN(AR182)-4.5397)*IF(_xlfn.XLOOKUP(E182,Groups!A:A,Groups!BC:BC)=1,1.25,IF(_xlfn.XLOOKUP(E182,Groups!A:A,Groups!BD:BD)=1,3.5,2.5))</f>
        <v>148.64782527005457</v>
      </c>
      <c r="BH182" s="8">
        <f>EXP(1.076*LN(AS182)-4.5397)*IF(_xlfn.XLOOKUP(E182,Groups!A:A,Groups!M:M)=1,0.8,IF(_xlfn.XLOOKUP(E182,Groups!A:A,Groups!BC:BC)=1,1.3,3))</f>
        <v>835.97181173337106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1044.9647646667138</v>
      </c>
      <c r="BK182" s="8">
        <f t="shared" ref="BK182:BK186" si="129">ROUNDDOWN(SQRT((2*BG182)/BD182),0)</f>
        <v>10</v>
      </c>
      <c r="BL182" s="8">
        <f t="shared" ref="BL182:BL186" si="130">ROUNDDOWN(SQRT((2*BH182)/BE182),0)</f>
        <v>16</v>
      </c>
      <c r="BM182" s="8" t="str">
        <f t="shared" ref="BM182:BM186" si="131">IF(W182="No","No",ROUNDDOWN(SQRT((2*BI182)/BC182),0))</f>
        <v>No</v>
      </c>
      <c r="BN182" s="8">
        <f t="shared" ref="BN182:BN186" si="132">IF(V182="No","No",ROUNDDOWN(SQRT((2*BJ182)/BB182),0))</f>
        <v>18</v>
      </c>
      <c r="BO182" s="8">
        <f t="shared" ref="BO182:BO186" si="133">ROUNDDOWN(SQRT((2*BH182)/BF182),0)</f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0.13977630534113397</v>
      </c>
      <c r="BS182" s="8">
        <f t="shared" ref="BS182:BS186" si="134">BG182/(AO182*5%)</f>
        <v>7.3995374247982151E-2</v>
      </c>
      <c r="BT182" s="8" t="str">
        <f t="shared" ref="BT182:BT186" si="135">IF(BP182="No","No",BH182/BP182)</f>
        <v>No</v>
      </c>
      <c r="BU182" s="8" t="str">
        <f t="shared" ref="BU182:BU186" si="136">IF(W182="No","No",BI182/BQ182)</f>
        <v>No</v>
      </c>
      <c r="BV182" s="8">
        <f t="shared" ref="BV182:BV186" si="137">IF(BJ182="No","No",BJ182/BR182)</f>
        <v>7475.9792950343281</v>
      </c>
      <c r="BW182" s="4">
        <v>0</v>
      </c>
      <c r="BX182" s="4">
        <v>1</v>
      </c>
    </row>
    <row r="183" spans="1:76" s="16" customFormat="1" x14ac:dyDescent="0.25">
      <c r="A183" s="26" t="s">
        <v>1343</v>
      </c>
      <c r="B183" s="6" t="s">
        <v>1342</v>
      </c>
      <c r="C183" s="7">
        <v>1000</v>
      </c>
      <c r="D183" s="7" t="s">
        <v>538</v>
      </c>
      <c r="E183" s="7" t="str">
        <f>Groups!A16</f>
        <v>Crocodilian</v>
      </c>
      <c r="F183" s="7" t="str">
        <f t="shared" ref="F183" si="138">"Lay eggs"</f>
        <v>Lay eggs</v>
      </c>
      <c r="G183" s="7">
        <v>14</v>
      </c>
      <c r="H183" s="7">
        <v>70</v>
      </c>
      <c r="I183" s="4">
        <v>0</v>
      </c>
      <c r="J183" s="7" t="str">
        <f t="shared" ref="J183" si="139">"Lay eggs"</f>
        <v>Lay eggs</v>
      </c>
      <c r="K183" s="7" t="s">
        <v>538</v>
      </c>
      <c r="L183" s="7">
        <v>12</v>
      </c>
      <c r="M183" s="7" t="s">
        <v>538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v>7</v>
      </c>
      <c r="W183" s="7" t="s">
        <v>45</v>
      </c>
      <c r="X183" s="7" t="s">
        <v>945</v>
      </c>
      <c r="Y183" s="4" t="s">
        <v>56</v>
      </c>
      <c r="Z183" s="4">
        <v>1</v>
      </c>
      <c r="AA183" s="4">
        <v>1</v>
      </c>
      <c r="AB183" s="4">
        <v>1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1380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>
        <v>15</v>
      </c>
      <c r="AO183" s="8">
        <f t="shared" si="123"/>
        <v>98928.854132845765</v>
      </c>
      <c r="AP183" s="8">
        <f>IFERROR(C183*_xlfn.XLOOKUP(E183,Groups!A:A,Groups!K:K),0.106*C183^0.94)</f>
        <v>200</v>
      </c>
      <c r="AQ183" s="8">
        <f>AP183*10000/(_xlfn.XLOOKUP(E183,Groups!A:A,Groups!J:J)*AO183)</f>
        <v>10.869112218366398</v>
      </c>
      <c r="AR183" s="8">
        <f t="shared" si="124"/>
        <v>18601.190892984225</v>
      </c>
      <c r="AS183" s="8">
        <f>IF(_xlfn.XLOOKUP(E183,Groups!A:A,Groups!M:M)=1,EXP(0.7444*LN('Base stats'!C183)+6.5696),EXP(0.7927*LN('Base stats'!C183)+4.28))</f>
        <v>17253.62611008879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29422.479390509896</v>
      </c>
      <c r="AU183" s="8">
        <f>IF(_xlfn.XLOOKUP(E183,Groups!A:A,Groups!U:U)=3,AS183,IF(_xlfn.XLOOKUP(E183,Groups!A:A,Groups!U:U)=2,AR183,AT183))</f>
        <v>29422.479390509896</v>
      </c>
      <c r="AV183" s="46">
        <f>IFERROR(AVERAGE(_xlfn.XLOOKUP(B183,Animals!B:B,Animals!N:N),_xlfn.XLOOKUP(B183,Animals!B:B,Animals!O:O)),0)</f>
        <v>0.375</v>
      </c>
      <c r="AW183" s="8">
        <f>MROUND(40*Animals!AO183*_xlfn.XLOOKUP(Animals!BB183,Leathers!$A$2:$A$100,Leathers!$B$2:$B$100,0)+(140*_xlfn.XLOOKUP(B183,Animals!B:B,Animals!AO:AO)*2),5)</f>
        <v>980</v>
      </c>
      <c r="AX183" s="8">
        <f>IFERROR(ROUND(SQRT(V183-1)*IF(_xlfn.XLOOKUP(E183,Groups!A:A,Groups!BF:BF)=0,2,1)*IF(_xlfn.XLOOKUP('Base stats'!E183,Groups!A:A,Groups!O:O)=0,1,0.1),1),0)</f>
        <v>2.4</v>
      </c>
      <c r="AY183" s="8">
        <f t="shared" si="125"/>
        <v>0</v>
      </c>
      <c r="AZ183" s="8">
        <f t="shared" si="126"/>
        <v>0</v>
      </c>
      <c r="BA183" s="8">
        <f t="shared" si="127"/>
        <v>9.5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26.007218156739359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8"/>
        <v>12.19792804145558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15.53310753004182</v>
      </c>
      <c r="BF183" s="8">
        <f>(0.048*C183^1.01)/IF(_xlfn.XLOOKUP(E183,Groups!A:A,Groups!M:M)=1,0.25,0.8)*C183^-0.25</f>
        <v>11.432764307779475</v>
      </c>
      <c r="BG183" s="8">
        <f>EXP(1.076*LN(AR183)-4.5397)*IF(_xlfn.XLOOKUP(E183,Groups!A:A,Groups!BC:BC)=1,1.25,IF(_xlfn.XLOOKUP(E183,Groups!A:A,Groups!BD:BD)=1,3.5,2.5))</f>
        <v>1048.091492659345</v>
      </c>
      <c r="BH183" s="8">
        <f>EXP(1.076*LN(AS183)-4.5397)*IF(_xlfn.XLOOKUP(E183,Groups!A:A,Groups!M:M)=1,0.8,IF(_xlfn.XLOOKUP(E183,Groups!A:A,Groups!BC:BC)=1,1.3,3))</f>
        <v>1159.9463078008507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2574.9185731096982</v>
      </c>
      <c r="BK183" s="8">
        <f t="shared" si="129"/>
        <v>13</v>
      </c>
      <c r="BL183" s="8">
        <f t="shared" si="130"/>
        <v>12</v>
      </c>
      <c r="BM183" s="8" t="str">
        <f t="shared" si="131"/>
        <v>No</v>
      </c>
      <c r="BN183" s="8">
        <f t="shared" si="132"/>
        <v>14</v>
      </c>
      <c r="BO183" s="8">
        <f t="shared" si="133"/>
        <v>14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0.67364999999999997</v>
      </c>
      <c r="BS183" s="8">
        <f t="shared" si="134"/>
        <v>0.21188792730822986</v>
      </c>
      <c r="BT183" s="8" t="str">
        <f t="shared" si="135"/>
        <v>No</v>
      </c>
      <c r="BU183" s="8" t="str">
        <f t="shared" si="136"/>
        <v>No</v>
      </c>
      <c r="BV183" s="8">
        <f t="shared" si="137"/>
        <v>3822.3388601049483</v>
      </c>
      <c r="BW183" s="4">
        <v>0</v>
      </c>
      <c r="BX183" s="4">
        <v>1</v>
      </c>
    </row>
    <row r="184" spans="1:76" s="16" customFormat="1" x14ac:dyDescent="0.25">
      <c r="A184" s="26" t="s">
        <v>1346</v>
      </c>
      <c r="B184" s="6" t="s">
        <v>1344</v>
      </c>
      <c r="C184" s="7">
        <v>6</v>
      </c>
      <c r="D184" s="7" t="s">
        <v>538</v>
      </c>
      <c r="E184" s="7" t="str">
        <f>Groups!$A$11</f>
        <v>Canid</v>
      </c>
      <c r="F184" s="7">
        <v>52</v>
      </c>
      <c r="G184" s="7">
        <f>300/365</f>
        <v>0.82191780821917804</v>
      </c>
      <c r="H184" s="7">
        <v>20</v>
      </c>
      <c r="I184" s="4">
        <v>0</v>
      </c>
      <c r="J184" s="7">
        <v>5</v>
      </c>
      <c r="K184" s="7" t="s">
        <v>538</v>
      </c>
      <c r="L184" s="7">
        <f>MIN(37.5*C184^0.089,79.3*C184^-0.072)</f>
        <v>43.983190451791103</v>
      </c>
      <c r="M184" s="7" t="s">
        <v>638</v>
      </c>
      <c r="N184" s="4">
        <v>1</v>
      </c>
      <c r="O184" s="4">
        <v>0</v>
      </c>
      <c r="P184" s="4">
        <v>0</v>
      </c>
      <c r="Q184" s="4">
        <v>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f>IF(AT184="No","No",IF(_xlfn.XLOOKUP(E184,Groups!A:A,Groups!AM:AM)=1,MROUND(EXP(0.3582*LN(C184)-0.2221)*T184,0.05),IF(_xlfn.XLOOKUP(E184,Groups!A:A,Groups!AM:AM)=2,MROUND(EXP(0.3582*LN(C184)-0.2221)*T184,0.05),"Need a formula")))</f>
        <v>1.5</v>
      </c>
      <c r="W184" s="7" t="s">
        <v>45</v>
      </c>
      <c r="X184" s="7" t="s">
        <v>945</v>
      </c>
      <c r="Y184" s="4" t="s">
        <v>56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1380</v>
      </c>
      <c r="AH184" s="4" t="s">
        <v>45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4" t="s">
        <v>40</v>
      </c>
      <c r="AO184" s="8">
        <f t="shared" si="123"/>
        <v>3557.3065460643379</v>
      </c>
      <c r="AP184" s="8">
        <f>IFERROR(C184*_xlfn.XLOOKUP(E184,Groups!A:A,Groups!K:K),0.106*C184^0.94)</f>
        <v>0.74849999999999994</v>
      </c>
      <c r="AQ184" s="8">
        <f>AP184*10000/(_xlfn.XLOOKUP(E184,Groups!A:A,Groups!J:J)*AO184)</f>
        <v>1.9303853598621024</v>
      </c>
      <c r="AR184" s="8">
        <f t="shared" si="124"/>
        <v>247.02739061475725</v>
      </c>
      <c r="AS184" s="8">
        <f>IF(_xlfn.XLOOKUP(E184,Groups!A:A,Groups!M:M)=1,EXP(0.7444*LN('Base stats'!C184)+6.5696),EXP(0.7927*LN('Base stats'!C184)+4.28))</f>
        <v>298.96536520817432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587.25852949475495</v>
      </c>
      <c r="AU184" s="8">
        <f>IF(_xlfn.XLOOKUP(E184,Groups!A:A,Groups!U:U)=3,AS184,IF(_xlfn.XLOOKUP(E184,Groups!A:A,Groups!U:U)=2,AR184,AT184))</f>
        <v>587.25852949475495</v>
      </c>
      <c r="AV184" s="46">
        <f>IFERROR(AVERAGE(_xlfn.XLOOKUP(B184,Animals!B:B,Animals!N:N),_xlfn.XLOOKUP(B184,Animals!B:B,Animals!O:O)),0)</f>
        <v>0</v>
      </c>
      <c r="AW184" s="8">
        <f>MROUND(40*Animals!AO184*_xlfn.XLOOKUP(Animals!BB184,Leathers!$A$2:$A$100,Leathers!$B$2:$B$100,0)+(140*_xlfn.XLOOKUP(B184,Animals!B:B,Animals!AO:AO)*2),5)</f>
        <v>100</v>
      </c>
      <c r="AX184" s="8">
        <f>IFERROR(ROUND(SQRT(V184-1)*IF(_xlfn.XLOOKUP(E184,Groups!A:A,Groups!BF:BF)=0,2,1)*IF(_xlfn.XLOOKUP('Base stats'!E184,Groups!A:A,Groups!O:O)=0,1,0.1),1),0)</f>
        <v>1.4</v>
      </c>
      <c r="AY184" s="8">
        <f t="shared" si="125"/>
        <v>0</v>
      </c>
      <c r="AZ184" s="8">
        <f t="shared" si="126"/>
        <v>0</v>
      </c>
      <c r="BA184" s="8">
        <f t="shared" si="127"/>
        <v>1.2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1.0082362829110374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si="128"/>
        <v>0.17375197750865831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0.28722108868268298</v>
      </c>
      <c r="BF184" s="8">
        <f>(0.048*C184^1.01)/IF(_xlfn.XLOOKUP(E184,Groups!A:A,Groups!M:M)=1,0.25,0.8)*C184^-0.25</f>
        <v>0.23417805828463806</v>
      </c>
      <c r="BG184" s="8">
        <f>EXP(1.076*LN(AR184)-4.5397)*IF(_xlfn.XLOOKUP(E184,Groups!A:A,Groups!BC:BC)=1,1.25,IF(_xlfn.XLOOKUP(E184,Groups!A:A,Groups!BD:BD)=1,3.5,2.5))</f>
        <v>10.022292847033164</v>
      </c>
      <c r="BH184" s="8">
        <f>EXP(1.076*LN(AS184)-4.5397)*IF(_xlfn.XLOOKUP(E184,Groups!A:A,Groups!M:M)=1,0.8,IF(_xlfn.XLOOKUP(E184,Groups!A:A,Groups!BC:BC)=1,1.3,3))</f>
        <v>14.768033224201108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38.170247051121599</v>
      </c>
      <c r="BK184" s="8">
        <f t="shared" si="129"/>
        <v>10</v>
      </c>
      <c r="BL184" s="8">
        <f t="shared" si="130"/>
        <v>10</v>
      </c>
      <c r="BM184" s="8" t="str">
        <f t="shared" si="131"/>
        <v>No</v>
      </c>
      <c r="BN184" s="8">
        <f t="shared" si="132"/>
        <v>8</v>
      </c>
      <c r="BO184" s="8">
        <f t="shared" si="133"/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3.0541031512019721E-2</v>
      </c>
      <c r="BS184" s="8">
        <f t="shared" si="134"/>
        <v>5.6347647959220322E-2</v>
      </c>
      <c r="BT184" s="8" t="str">
        <f t="shared" si="135"/>
        <v>No</v>
      </c>
      <c r="BU184" s="8" t="str">
        <f t="shared" si="136"/>
        <v>No</v>
      </c>
      <c r="BV184" s="8">
        <f t="shared" si="137"/>
        <v>1249.8021566854848</v>
      </c>
      <c r="BW184" s="4">
        <v>0</v>
      </c>
      <c r="BX184" s="4">
        <v>1</v>
      </c>
    </row>
    <row r="185" spans="1:76" s="16" customFormat="1" x14ac:dyDescent="0.25">
      <c r="A185" s="26" t="s">
        <v>1347</v>
      </c>
      <c r="B185" s="6" t="s">
        <v>1349</v>
      </c>
      <c r="C185" s="7">
        <v>2000</v>
      </c>
      <c r="D185" s="7" t="s">
        <v>538</v>
      </c>
      <c r="E185" s="7" t="str">
        <f>Groups!A64</f>
        <v>Ursid</v>
      </c>
      <c r="F185" s="7">
        <v>110</v>
      </c>
      <c r="G185" s="7">
        <v>5</v>
      </c>
      <c r="H185" s="7">
        <v>40</v>
      </c>
      <c r="I185" s="4">
        <v>0</v>
      </c>
      <c r="J185" s="7">
        <v>2</v>
      </c>
      <c r="K185" s="7" t="s">
        <v>538</v>
      </c>
      <c r="L185" s="7">
        <v>48</v>
      </c>
      <c r="M185" s="7" t="s">
        <v>638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>
        <v>10</v>
      </c>
      <c r="V185" s="7">
        <f>IF(AT185="No","No",IF(_xlfn.XLOOKUP(E185,Groups!A:A,Groups!AM:AM)=1,MROUND(EXP(0.3582*LN(C185)-0.2221)*T185,0.05),IF(_xlfn.XLOOKUP(E185,Groups!A:A,Groups!AM:AM)=2,MROUND(EXP(0.3582*LN(C185)-0.2221)*T185,0.05),"Need a formula")))</f>
        <v>12.200000000000001</v>
      </c>
      <c r="W185" s="7" t="s">
        <v>45</v>
      </c>
      <c r="X185" s="7" t="s">
        <v>945</v>
      </c>
      <c r="Y185" s="4" t="s">
        <v>53</v>
      </c>
      <c r="Z185" s="4">
        <v>1</v>
      </c>
      <c r="AA185" s="4">
        <v>0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1380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 t="s">
        <v>40</v>
      </c>
      <c r="AO185" s="8">
        <f t="shared" si="123"/>
        <v>155236.011551556</v>
      </c>
      <c r="AP185" s="8">
        <f>IFERROR(C185*_xlfn.XLOOKUP(E185,Groups!A:A,Groups!K:K),0.106*C185^0.94)</f>
        <v>249.5</v>
      </c>
      <c r="AQ185" s="8">
        <f>AP185*10000/(_xlfn.XLOOKUP(E185,Groups!A:A,Groups!J:J)*AO185)</f>
        <v>14.745230844377033</v>
      </c>
      <c r="AR185" s="8">
        <f t="shared" si="124"/>
        <v>33405.716184674973</v>
      </c>
      <c r="AS185" s="8">
        <f>IF(_xlfn.XLOOKUP(E185,Groups!A:A,Groups!M:M)=1,EXP(0.7444*LN('Base stats'!C185)+6.5696),EXP(0.7927*LN('Base stats'!C185)+4.28))</f>
        <v>29888.688587116343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20145.487184266236</v>
      </c>
      <c r="AU185" s="8">
        <f>IF(_xlfn.XLOOKUP(E185,Groups!A:A,Groups!U:U)=3,AS185,IF(_xlfn.XLOOKUP(E185,Groups!A:A,Groups!U:U)=2,AR185,AT185))</f>
        <v>20145.487184266236</v>
      </c>
      <c r="AV185" s="46">
        <f>IFERROR(AVERAGE(_xlfn.XLOOKUP(B185,Animals!B:B,Animals!N:N),_xlfn.XLOOKUP(B185,Animals!B:B,Animals!O:O)),0)</f>
        <v>0</v>
      </c>
      <c r="AW185" s="8">
        <f>MROUND(40*Animals!AO185*_xlfn.XLOOKUP(Animals!BB185,Leathers!$A$2:$A$100,Leathers!$B$2:$B$100,0)+(140*_xlfn.XLOOKUP(B185,Animals!B:B,Animals!AO:AO)*2),5)</f>
        <v>1405</v>
      </c>
      <c r="AX185" s="8">
        <f>IFERROR(ROUND(SQRT(V185-1)*IF(_xlfn.XLOOKUP(E185,Groups!A:A,Groups!BF:BF)=0,2,1)*IF(_xlfn.XLOOKUP('Base stats'!E185,Groups!A:A,Groups!O:O)=0,1,0.1),1),0)</f>
        <v>6.7</v>
      </c>
      <c r="AY185" s="8">
        <f t="shared" si="125"/>
        <v>3</v>
      </c>
      <c r="AZ185" s="8">
        <f t="shared" si="126"/>
        <v>0</v>
      </c>
      <c r="BA185" s="8">
        <f t="shared" si="127"/>
        <v>12.2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18.608143606729282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28"/>
        <v>21.699113598001556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26.672378491529827</v>
      </c>
      <c r="BF185" s="8">
        <f>(0.048*C185^1.01)/IF(_xlfn.XLOOKUP(E185,Groups!A:A,Groups!M:M)=1,0.25,0.8)*C185^-0.25</f>
        <v>19.361279169915775</v>
      </c>
      <c r="BG185" s="8">
        <f>EXP(1.076*LN(AR185)-4.5397)*IF(_xlfn.XLOOKUP(E185,Groups!A:A,Groups!BC:BC)=1,1.25,IF(_xlfn.XLOOKUP(E185,Groups!A:A,Groups!BD:BD)=1,3.5,2.5))</f>
        <v>1967.9067528840988</v>
      </c>
      <c r="BH185" s="8">
        <f>EXP(1.076*LN(AS185)-4.5397)*IF(_xlfn.XLOOKUP(E185,Groups!A:A,Groups!M:M)=1,0.8,IF(_xlfn.XLOOKUP(E185,Groups!A:A,Groups!BC:BC)=1,1.3,3))</f>
        <v>2095.0769399661822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1713.0099817547809</v>
      </c>
      <c r="BK185" s="8">
        <f t="shared" si="129"/>
        <v>13</v>
      </c>
      <c r="BL185" s="8">
        <f t="shared" si="130"/>
        <v>12</v>
      </c>
      <c r="BM185" s="8" t="str">
        <f t="shared" si="131"/>
        <v>No</v>
      </c>
      <c r="BN185" s="8">
        <f t="shared" si="132"/>
        <v>13</v>
      </c>
      <c r="BO185" s="8">
        <f t="shared" si="133"/>
        <v>14</v>
      </c>
      <c r="BP185" s="8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0.32637257159006128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0.32637257159006128</v>
      </c>
      <c r="BS185" s="8">
        <f t="shared" si="134"/>
        <v>0.25353740194884228</v>
      </c>
      <c r="BT185" s="8">
        <f t="shared" si="135"/>
        <v>6419.280057019294</v>
      </c>
      <c r="BU185" s="8" t="str">
        <f t="shared" si="136"/>
        <v>No</v>
      </c>
      <c r="BV185" s="8">
        <f t="shared" si="137"/>
        <v>5248.6334050963051</v>
      </c>
      <c r="BW185" s="4">
        <v>0</v>
      </c>
      <c r="BX185" s="4">
        <v>1</v>
      </c>
    </row>
    <row r="186" spans="1:76" s="16" customFormat="1" x14ac:dyDescent="0.25">
      <c r="A186" s="26" t="s">
        <v>1362</v>
      </c>
      <c r="B186" s="6" t="s">
        <v>1351</v>
      </c>
      <c r="C186" s="7">
        <v>3</v>
      </c>
      <c r="D186" s="7" t="s">
        <v>538</v>
      </c>
      <c r="E186" s="7" t="str">
        <f>Groups!$A$26</f>
        <v>Lizardlike (iguana)</v>
      </c>
      <c r="F186" s="7" t="str">
        <f t="shared" ref="F186" si="140">"Lay eggs"</f>
        <v>Lay eggs</v>
      </c>
      <c r="G186" s="7">
        <f>1640/365</f>
        <v>4.493150684931507</v>
      </c>
      <c r="H186" s="7">
        <v>19.8</v>
      </c>
      <c r="I186" s="4">
        <v>0</v>
      </c>
      <c r="J186" s="7" t="str">
        <f t="shared" ref="J186" si="141">"Lay eggs"</f>
        <v>Lay eggs</v>
      </c>
      <c r="K186" s="7" t="s">
        <v>538</v>
      </c>
      <c r="L186" s="7">
        <f>164.31*1.5/33.3*3.6</f>
        <v>26.644864864864868</v>
      </c>
      <c r="M186" s="7" t="s">
        <v>644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>
        <v>1.5</v>
      </c>
      <c r="V186" s="7">
        <v>1</v>
      </c>
      <c r="W186" s="7" t="s">
        <v>45</v>
      </c>
      <c r="X186" s="7" t="s">
        <v>945</v>
      </c>
      <c r="Y186" s="4" t="s">
        <v>42</v>
      </c>
      <c r="Z186" s="4">
        <v>1</v>
      </c>
      <c r="AA186" s="4">
        <v>0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1380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23"/>
        <v>2267.00143145934</v>
      </c>
      <c r="AP186" s="8">
        <f>IFERROR(C186*_xlfn.XLOOKUP(E186,Groups!A:A,Groups!K:K),0.106*C186^0.94)</f>
        <v>0.29771440231177032</v>
      </c>
      <c r="AQ186" s="8">
        <f>AP186*10000/(_xlfn.XLOOKUP(E186,Groups!A:A,Groups!J:J)*AO186)</f>
        <v>1.2048182916641847</v>
      </c>
      <c r="AR186" s="8">
        <f t="shared" si="124"/>
        <v>137.55141854222117</v>
      </c>
      <c r="AS186" s="8">
        <f>IF(_xlfn.XLOOKUP(E186,Groups!A:A,Groups!M:M)=1,EXP(0.7444*LN('Base stats'!C186)+6.5696),EXP(0.7927*LN('Base stats'!C186)+4.28))</f>
        <v>172.58156429758728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589.84328491402005</v>
      </c>
      <c r="AU186" s="8">
        <f>IF(_xlfn.XLOOKUP(E186,Groups!A:A,Groups!U:U)=3,AS186,IF(_xlfn.XLOOKUP(E186,Groups!A:A,Groups!U:U)=2,AR186,AT186))</f>
        <v>589.84328491402005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MROUND(40*Animals!AO186*_xlfn.XLOOKUP(Animals!BB186,Leathers!$A$2:$A$100,Leathers!$B$2:$B$100,0)+(140*_xlfn.XLOOKUP(B186,Animals!B:B,Animals!AO:AO)*2),5)</f>
        <v>350</v>
      </c>
      <c r="AX186" s="8">
        <f>IFERROR(ROUND(SQRT(V186-1)*IF(_xlfn.XLOOKUP(E186,Groups!A:A,Groups!BF:BF)=0,2,1)*IF(_xlfn.XLOOKUP('Base stats'!E186,Groups!A:A,Groups!O:O)=0,1,0.1),1),0)</f>
        <v>0</v>
      </c>
      <c r="AY186" s="8">
        <f t="shared" si="125"/>
        <v>0.7</v>
      </c>
      <c r="AZ186" s="8">
        <f t="shared" si="126"/>
        <v>0</v>
      </c>
      <c r="BA186" s="8">
        <f t="shared" si="127"/>
        <v>0.9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1.0754687487511485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28"/>
        <v>8.9750214061524822E-2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0.16726802436537791</v>
      </c>
      <c r="BF186" s="8">
        <f>(0.048*C186^1.01)/IF(_xlfn.XLOOKUP(E186,Groups!A:A,Groups!M:M)=1,0.25,0.8)*C186^-0.25</f>
        <v>0.13828128415098723</v>
      </c>
      <c r="BG186" s="8">
        <f>EXP(1.076*LN(AR186)-4.5397)*IF(_xlfn.XLOOKUP(E186,Groups!A:A,Groups!BC:BC)=1,1.25,IF(_xlfn.XLOOKUP(E186,Groups!A:A,Groups!BD:BD)=1,3.5,2.5))</f>
        <v>5.337793497848077</v>
      </c>
      <c r="BH186" s="8">
        <f>EXP(1.076*LN(AS186)-4.5397)*IF(_xlfn.XLOOKUP(E186,Groups!A:A,Groups!M:M)=1,0.8,IF(_xlfn.XLOOKUP(E186,Groups!A:A,Groups!BC:BC)=1,1.3,3))</f>
        <v>8.1763706549931605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38.351047663098335</v>
      </c>
      <c r="BK186" s="8">
        <f t="shared" si="129"/>
        <v>10</v>
      </c>
      <c r="BL186" s="8">
        <f t="shared" si="130"/>
        <v>9</v>
      </c>
      <c r="BM186" s="8" t="str">
        <f t="shared" si="131"/>
        <v>No</v>
      </c>
      <c r="BN186" s="8">
        <f t="shared" si="132"/>
        <v>8</v>
      </c>
      <c r="BO186" s="8">
        <f t="shared" si="133"/>
        <v>10</v>
      </c>
      <c r="BP186" s="8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2.3020972649252382E-2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2.3020972649252382E-2</v>
      </c>
      <c r="BS186" s="8">
        <f t="shared" si="134"/>
        <v>4.7091223002995383E-2</v>
      </c>
      <c r="BT186" s="8">
        <f t="shared" si="135"/>
        <v>355.17051253951655</v>
      </c>
      <c r="BU186" s="8" t="str">
        <f t="shared" si="136"/>
        <v>No</v>
      </c>
      <c r="BV186" s="8">
        <f t="shared" si="137"/>
        <v>1665.9177806001087</v>
      </c>
      <c r="BW186" s="4">
        <v>0</v>
      </c>
      <c r="BX186" s="4">
        <v>1</v>
      </c>
    </row>
    <row r="187" spans="1:76" s="16" customFormat="1" x14ac:dyDescent="0.25">
      <c r="A187" s="26" t="s">
        <v>1363</v>
      </c>
      <c r="B187" s="6" t="s">
        <v>1352</v>
      </c>
      <c r="C187" s="7">
        <v>160</v>
      </c>
      <c r="D187" s="7" t="s">
        <v>538</v>
      </c>
      <c r="E187" s="7" t="str">
        <f>Groups!$A$20</f>
        <v>Felid (Waste)</v>
      </c>
      <c r="F187" s="7">
        <v>109</v>
      </c>
      <c r="G187" s="7">
        <f>1095/365</f>
        <v>3</v>
      </c>
      <c r="H187" s="7">
        <v>28</v>
      </c>
      <c r="I187" s="4">
        <v>0</v>
      </c>
      <c r="J187" s="7">
        <v>3</v>
      </c>
      <c r="K187" s="7" t="s">
        <v>538</v>
      </c>
      <c r="L187" s="7">
        <v>59</v>
      </c>
      <c r="M187" s="7" t="s">
        <v>638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_xlfn.XLOOKUP(B186,[1]TeethAdjusters!$A:$A,[1]BiteAdjusters!$C:$C,1)</f>
        <v>1</v>
      </c>
      <c r="T187" s="7">
        <f>_xlfn.XLOOKUP(B186,[1]TeethAdjusters!$A:$A,[1]TeethAdjusters!$B:$B,1)</f>
        <v>1</v>
      </c>
      <c r="U187" s="7">
        <f>MROUND(6.985,0.05)</f>
        <v>7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4.95</v>
      </c>
      <c r="W187" s="7" t="s">
        <v>45</v>
      </c>
      <c r="X187" s="7" t="s">
        <v>945</v>
      </c>
      <c r="Y187" s="4" t="s">
        <v>56</v>
      </c>
      <c r="Z187" s="4">
        <v>1</v>
      </c>
      <c r="AA187" s="4">
        <v>0</v>
      </c>
      <c r="AB187" s="4">
        <v>0</v>
      </c>
      <c r="AC187" s="4">
        <v>0</v>
      </c>
      <c r="AD187" s="4">
        <v>0</v>
      </c>
      <c r="AE187" s="4" t="s">
        <v>45</v>
      </c>
      <c r="AF187" s="4" t="s">
        <v>320</v>
      </c>
      <c r="AG187" s="28" t="s">
        <v>1380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>(0.111*C187^0.65)*10000</f>
        <v>30060.829995154538</v>
      </c>
      <c r="AP187" s="8">
        <f>IFERROR(C187*_xlfn.XLOOKUP(E187,Groups!A:A,Groups!K:K),0.106*C187^0.94)</f>
        <v>19.96</v>
      </c>
      <c r="AQ187" s="8">
        <f>AP187*10000/(_xlfn.XLOOKUP(E187,Groups!A:A,Groups!J:J)*AO187)</f>
        <v>6.0916237537207918</v>
      </c>
      <c r="AR187" s="8">
        <f>EXP(0.8447*LN(C187)+3.996)</f>
        <v>3956.0420484897504</v>
      </c>
      <c r="AS187" s="8">
        <f>IF(_xlfn.XLOOKUP(E187,Groups!A:A,Groups!M:M)=1,EXP(0.7444*LN('Base stats'!C187)+6.5696),EXP(0.7927*LN('Base stats'!C187)+4.28))</f>
        <v>4036.3265331248585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5929.8774358526098</v>
      </c>
      <c r="AU187" s="8">
        <f>IF(_xlfn.XLOOKUP(E187,Groups!A:A,Groups!U:U)=3,AS187,IF(_xlfn.XLOOKUP(E187,Groups!A:A,Groups!U:U)=2,AR187,AT187))</f>
        <v>5929.8774358526098</v>
      </c>
      <c r="AV187" s="46">
        <f>IFERROR(AVERAGE(_xlfn.XLOOKUP(B186,Animals!B:B,Animals!N:N),_xlfn.XLOOKUP(B186,Animals!B:B,Animals!O:O)),0)</f>
        <v>0</v>
      </c>
      <c r="AW187" s="8">
        <f>MROUND(40*Animals!AO186*_xlfn.XLOOKUP(Animals!BB186,Leathers!$A$2:$A$100,Leathers!$B$2:$B$100,0)+(140*_xlfn.XLOOKUP(B186,Animals!B:B,Animals!AO:AO)*2),5)</f>
        <v>350</v>
      </c>
      <c r="AX187" s="8">
        <f>IFERROR(ROUND(SQRT(V187-1)*IF(_xlfn.XLOOKUP(E187,Groups!A:A,Groups!BF:BF)=0,2,1)*IF(_xlfn.XLOOKUP('Base stats'!E187,Groups!A:A,Groups!O:O)=0,1,0.1),1),0)</f>
        <v>4</v>
      </c>
      <c r="AY187" s="8">
        <f>IFERROR(ROUND(SQRT(U187-1),1),0)</f>
        <v>2.4</v>
      </c>
      <c r="AZ187" s="8">
        <f>IFERROR(ROUND(SQRT(W187),1),0)</f>
        <v>0</v>
      </c>
      <c r="BA187" s="8">
        <f>ROUND(
  EXP(0.3582*LN(C187)-0.2221) *
  (0.75 + 0.25*(C187^4/(C187^4+10^4))),
1)</f>
        <v>4.9000000000000004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6.7636550985785888</v>
      </c>
      <c r="BC187" s="8" t="str">
        <f>IF(W187="No","No",IF(_xlfn.XLOOKUP(E187,Groups!A:A,Groups!U:U)=1,'Base stats'!BB187,IF(OR(_xlfn.XLOOKUP(E187,Groups!A:A,Groups!BD:BD)=1,_xlfn.XLOOKUP(E187,Groups!A:A,Groups!U:U)=2),BD187,IF(_xlfn.XLOOKUP(B186,Animals!B:B,Animals!AO:AO)&gt;4,AVERAGE(BD187,BF187),BF187))))</f>
        <v>No</v>
      </c>
      <c r="BD187" s="8">
        <f>(0.0392*C187^IF(OR(Y187="Herbivore",Y187="Dendrovore",Y187="OmnivoreRough"),0.889,0.966))*C187^-0.135</f>
        <v>2.660172334959094</v>
      </c>
      <c r="BE187" s="8">
        <f>IF(_xlfn.XLOOKUP(E187,Groups!A:A,Groups!BE:BE)=1,(0.048*C187^1.01)+(0.071*C187^1.03),0.071*C187^1.03)/IF(_xlfn.XLOOKUP(E187,Groups!A:A,Groups!M:M)=1,0.85,IF(OR(_xlfn.XLOOKUP(B186,Animals!B:B,Animals!AO:AO)&gt;4,_xlfn.XLOOKUP(E187,Groups!A:A,Groups!BC:BC)=1),1.7,1))*C187^-0.25</f>
        <v>3.7193918507580448</v>
      </c>
      <c r="BF187" s="8">
        <f>(0.048*C187^1.01)/IF(_xlfn.XLOOKUP(E187,Groups!A:A,Groups!M:M)=1,0.25,0.8)*C187^-0.25</f>
        <v>2.8397652287348705</v>
      </c>
      <c r="BG187" s="8">
        <f>EXP(1.076*LN(AR187)-4.5397)*IF(_xlfn.XLOOKUP(E187,Groups!A:A,Groups!BC:BC)=1,1.25,IF(_xlfn.XLOOKUP(E187,Groups!A:A,Groups!BD:BD)=1,3.5,2.5))</f>
        <v>198.16460070884057</v>
      </c>
      <c r="BH187" s="8">
        <f>EXP(1.076*LN(AS187)-4.5397)*IF(_xlfn.XLOOKUP(E187,Groups!A:A,Groups!M:M)=1,0.8,IF(_xlfn.XLOOKUP(E187,Groups!A:A,Groups!BC:BC)=1,1.3,3))</f>
        <v>242.99416568789746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459.47490832948648</v>
      </c>
      <c r="BK187" s="8">
        <f>ROUNDDOWN(SQRT((2*BG187)/BD187),0)</f>
        <v>12</v>
      </c>
      <c r="BL187" s="8">
        <f>ROUNDDOWN(SQRT((2*BH187)/BE187),0)</f>
        <v>11</v>
      </c>
      <c r="BM187" s="8" t="str">
        <f>IF(W187="No","No",ROUNDDOWN(SQRT((2*BI187)/BC187),0))</f>
        <v>No</v>
      </c>
      <c r="BN187" s="8">
        <f>IF(V187="No","No",ROUNDDOWN(SQRT((2*BJ187)/BB187),0))</f>
        <v>11</v>
      </c>
      <c r="BO187" s="8">
        <f>ROUNDDOWN(SQRT((2*BH187)/BF187),0)</f>
        <v>13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0.11651819549205408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0.11651819549205408</v>
      </c>
      <c r="BS187" s="8">
        <f>BG187/(AO187*5%)</f>
        <v>0.13184240138464734</v>
      </c>
      <c r="BT187" s="8">
        <f>IF(BP187="No","No",BH187/BP187)</f>
        <v>2085.4611132770965</v>
      </c>
      <c r="BU187" s="8" t="str">
        <f>IF(W187="No","No",BI187/BQ187)</f>
        <v>No</v>
      </c>
      <c r="BV187" s="8">
        <f>IF(BJ187="No","No",BJ187/BR187)</f>
        <v>3943.3747355006044</v>
      </c>
      <c r="BW187" s="4">
        <v>0</v>
      </c>
      <c r="BX187" s="4">
        <v>1</v>
      </c>
    </row>
    <row r="188" spans="1:76" s="16" customFormat="1" x14ac:dyDescent="0.25">
      <c r="A188" s="26" t="s">
        <v>1364</v>
      </c>
      <c r="B188" s="6" t="s">
        <v>1355</v>
      </c>
      <c r="C188" s="7">
        <v>400</v>
      </c>
      <c r="D188" s="7" t="s">
        <v>538</v>
      </c>
      <c r="E188" s="7" t="str">
        <f>Groups!$A$13</f>
        <v>ScorpionLike (Waste)</v>
      </c>
      <c r="F188" s="7" t="str">
        <f t="shared" ref="F188" si="142">"Lay eggs"</f>
        <v>Lay eggs</v>
      </c>
      <c r="G188" s="7">
        <v>2</v>
      </c>
      <c r="H188" s="7">
        <v>20</v>
      </c>
      <c r="I188" s="4">
        <v>0</v>
      </c>
      <c r="J188" s="7" t="str">
        <f t="shared" ref="J188" si="143">"Lay eggs"</f>
        <v>Lay eggs</v>
      </c>
      <c r="K188" s="7" t="s">
        <v>538</v>
      </c>
      <c r="L188" s="7">
        <v>20</v>
      </c>
      <c r="M188" s="7" t="s">
        <v>538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19</v>
      </c>
      <c r="V188" s="7">
        <v>6</v>
      </c>
      <c r="W188" s="7">
        <v>9</v>
      </c>
      <c r="X188" s="7" t="s">
        <v>945</v>
      </c>
      <c r="Y188" s="4" t="s">
        <v>53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1084</v>
      </c>
      <c r="AF188" s="4" t="s">
        <v>45</v>
      </c>
      <c r="AG188" s="28" t="s">
        <v>45</v>
      </c>
      <c r="AH188" s="4" t="str">
        <f>Animals!C105</f>
        <v>&lt;li&gt;Megaspider&lt;/li&gt;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ref="AO188" si="144">(0.111*C188^0.65)*10000</f>
        <v>54533.324359541104</v>
      </c>
      <c r="AP188" s="8">
        <f>IFERROR(C188*_xlfn.XLOOKUP(E188,Groups!A:A,Groups!K:K),0.106*C188^0.94)</f>
        <v>128</v>
      </c>
      <c r="AQ188" s="8">
        <f>AP188*10000/(_xlfn.XLOOKUP(E188,Groups!A:A,Groups!J:J)*AO188)</f>
        <v>19.559905419190599</v>
      </c>
      <c r="AR188" s="8">
        <f t="shared" ref="AR188" si="145">EXP(0.8447*LN(C188)+3.996)</f>
        <v>8578.2919817776201</v>
      </c>
      <c r="AS188" s="8">
        <f>IF(_xlfn.XLOOKUP(E188,Groups!A:A,Groups!M:M)=1,EXP(0.7444*LN('Base stats'!C188)+6.5696),EXP(0.7927*LN('Base stats'!C188)+4.28))</f>
        <v>61675.756600829809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61675.756600829809</v>
      </c>
      <c r="AU188" s="8">
        <f>IF(_xlfn.XLOOKUP(E188,Groups!A:A,Groups!U:U)=3,AS188,IF(_xlfn.XLOOKUP(E188,Groups!A:A,Groups!U:U)=2,AR188,AT188))</f>
        <v>61675.756600829809</v>
      </c>
      <c r="AV188" s="46">
        <f>IFERROR(AVERAGE(_xlfn.XLOOKUP(B188,Animals!B:B,Animals!N:N),_xlfn.XLOOKUP(B188,Animals!B:B,Animals!O:O)),0)</f>
        <v>0.47500000000000003</v>
      </c>
      <c r="AW188" s="8">
        <f>MROUND(40*Animals!AO188*_xlfn.XLOOKUP(Animals!BB188,Leathers!$A$2:$A$100,Leathers!$B$2:$B$100,0)+(140*_xlfn.XLOOKUP(B188,Animals!B:B,Animals!AO:AO)*2),5)</f>
        <v>960</v>
      </c>
      <c r="AX188" s="8">
        <f>IFERROR(ROUND(SQRT(V188-1)*IF(_xlfn.XLOOKUP(E188,Groups!A:A,Groups!BF:BF)=0,2,1)*IF(_xlfn.XLOOKUP('Base stats'!E188,Groups!A:A,Groups!O:O)=0,1,0.1),1),0)</f>
        <v>4.5</v>
      </c>
      <c r="AY188" s="8">
        <f t="shared" ref="AY188" si="146">IFERROR(ROUND(SQRT(U188-1),1),0)</f>
        <v>4.2</v>
      </c>
      <c r="AZ188" s="8">
        <f t="shared" ref="AZ188" si="147">IFERROR(ROUND(SQRT(W188),1),0)</f>
        <v>3</v>
      </c>
      <c r="BA188" s="8">
        <f t="shared" ref="BA188" si="148">ROUND(
  EXP(0.3582*LN(C188)-0.2221) *
  (0.75 + 0.25*(C188^4/(C188^4+10^4))),
1)</f>
        <v>6.8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14.24091612215088</v>
      </c>
      <c r="BC188" s="8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18.233364842162999</v>
      </c>
      <c r="BD188" s="8">
        <f t="shared" ref="BD188" si="149">(0.0392*C188^IF(OR(Y188="Herbivore",Y188="Dendrovore",Y188="OmnivoreRough"),0.889,0.966))*C188^-0.135</f>
        <v>5.6963664488603518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8.9422378289708213</v>
      </c>
      <c r="BF188" s="8">
        <f>(0.048*C188^1.01)/IF(_xlfn.XLOOKUP(E188,Groups!A:A,Groups!M:M)=1,0.25,0.8)*C188^-0.25</f>
        <v>18.233364842162999</v>
      </c>
      <c r="BG188" s="8">
        <f>EXP(1.076*LN(AR188)-4.5397)*IF(_xlfn.XLOOKUP(E188,Groups!A:A,Groups!BC:BC)=1,1.25,IF(_xlfn.XLOOKUP(E188,Groups!A:A,Groups!BD:BD)=1,3.5,2.5))</f>
        <v>227.86763271095117</v>
      </c>
      <c r="BH188" s="8">
        <f>EXP(1.076*LN(AS188)-4.5397)*IF(_xlfn.XLOOKUP(E188,Groups!A:A,Groups!M:M)=1,0.8,IF(_xlfn.XLOOKUP(E188,Groups!A:A,Groups!BC:BC)=1,1.3,3))</f>
        <v>1218.1100161375859</v>
      </c>
      <c r="BI188" s="8">
        <f>IF(W188="No","No",IF(_xlfn.XLOOKUP(E188,Groups!A:A,Groups!U:U)=1,'Base stats'!BJ188,IF(OR(_xlfn.XLOOKUP(E188,Groups!A:A,Groups!BD:BD)=1,_xlfn.XLOOKUP(E188,Groups!A:A,Groups!U:U)=2),BG188,BH188))*1.2)</f>
        <v>1461.732019365103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1522.6375201719823</v>
      </c>
      <c r="BK188" s="8">
        <f t="shared" ref="BK188" si="150">ROUNDDOWN(SQRT((2*BG188)/BD188),0)</f>
        <v>8</v>
      </c>
      <c r="BL188" s="8">
        <f t="shared" ref="BL188" si="151">ROUNDDOWN(SQRT((2*BH188)/BE188),0)</f>
        <v>16</v>
      </c>
      <c r="BM188" s="8">
        <f t="shared" ref="BM188" si="152">IF(W188="No","No",ROUNDDOWN(SQRT((2*BI188)/BC188),0))</f>
        <v>12</v>
      </c>
      <c r="BN188" s="8">
        <f t="shared" ref="BN188" si="153">IF(V188="No","No",ROUNDDOWN(SQRT((2*BJ188)/BB188),0))</f>
        <v>14</v>
      </c>
      <c r="BO188" s="8">
        <f t="shared" ref="BO188" si="154">ROUNDDOWN(SQRT((2*BH188)/BF188),0)</f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1.6930652098775201E-2</v>
      </c>
      <c r="BQ188" s="8">
        <f>IF(W188="No","No",IF(_xlfn.XLOOKUP(E188,Groups!A:A,Groups!BD:BD)=1,(AO188*5%),EXP(0.7354*LN(C188)^0.4078)*2/IF(_xlfn.XLOOKUP(E188,Groups!A:A,Groups!BL:BL)=1,1000,100)))</f>
        <v>9.2010030010980084E-2</v>
      </c>
      <c r="BR188" s="8">
        <f>IF(BJ188="No","No",IF(_xlfn.XLOOKUP(E188,Groups!A:A,Groups!BF:BF)=1,(0.0315*C188+2.1825)*2,(0.7354*C188^0.4078)*2)/IF(_xlfn.XLOOKUP(E188,Groups!A:A,Groups!BM:BM)=1,1000,100))</f>
        <v>0.16930652098775201</v>
      </c>
      <c r="BS188" s="8">
        <f t="shared" ref="BS188" si="155">BG188/(AO188*5%)</f>
        <v>8.3570050198519985E-2</v>
      </c>
      <c r="BT188" s="8">
        <f t="shared" ref="BT188" si="156">IF(BP188="No","No",BH188/BP188)</f>
        <v>71947.023010750228</v>
      </c>
      <c r="BU188" s="8">
        <f t="shared" ref="BU188" si="157">IF(W188="No","No",BI188/BQ188)</f>
        <v>15886.659521691996</v>
      </c>
      <c r="BV188" s="8">
        <f t="shared" ref="BV188" si="158">IF(BJ188="No","No",BJ188/BR188)</f>
        <v>8993.3778763437767</v>
      </c>
      <c r="BW188" s="4">
        <v>0</v>
      </c>
      <c r="BX188" s="4">
        <v>1</v>
      </c>
    </row>
    <row r="189" spans="1:76" s="16" customFormat="1" x14ac:dyDescent="0.25">
      <c r="A189" s="26" t="s">
        <v>1365</v>
      </c>
      <c r="B189" s="6" t="s">
        <v>1356</v>
      </c>
      <c r="C189" s="7">
        <v>150</v>
      </c>
      <c r="D189" s="7" t="s">
        <v>538</v>
      </c>
      <c r="E189" s="7" t="str">
        <f>Groups!$A$37</f>
        <v>TuskedPiglike</v>
      </c>
      <c r="F189" s="7">
        <v>115</v>
      </c>
      <c r="G189" s="7">
        <f>334/365</f>
        <v>0.91506849315068495</v>
      </c>
      <c r="H189" s="7">
        <v>27</v>
      </c>
      <c r="I189" s="4">
        <v>0</v>
      </c>
      <c r="J189" s="7">
        <v>7</v>
      </c>
      <c r="K189" s="7" t="s">
        <v>538</v>
      </c>
      <c r="L189" s="7">
        <f>AVERAGE(5.83,4.56)*3.6*(23.3/11)</f>
        <v>39.614236363636365</v>
      </c>
      <c r="M189" s="7" t="s">
        <v>642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_xlfn.XLOOKUP(B189,[1]TeethAdjusters!$A:$A,[1]BiteAdjusters!$C:$C,1)</f>
        <v>1</v>
      </c>
      <c r="T189" s="7">
        <f>_xlfn.XLOOKUP(B189,[1]TeethAdjusters!$A:$A,[1]TeethAdjusters!$B:$B,1)</f>
        <v>1</v>
      </c>
      <c r="U189" s="7" t="s">
        <v>45</v>
      </c>
      <c r="V189" s="7">
        <f>MROUND(AVERAGE(140/10,55/10),0.05)</f>
        <v>9.75</v>
      </c>
      <c r="W189" s="7">
        <f>MROUND(AVERAGE(230/10,100/10),0.05)</f>
        <v>16.5</v>
      </c>
      <c r="X189" s="7" t="s">
        <v>977</v>
      </c>
      <c r="Y189" s="4" t="s">
        <v>1023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407</v>
      </c>
      <c r="AG189" s="28" t="s">
        <v>1380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 t="shared" ref="AO189:AO191" si="159">(0.111*C189^0.65)*10000</f>
        <v>28825.861601687579</v>
      </c>
      <c r="AP189" s="8">
        <f>IFERROR(C189*_xlfn.XLOOKUP(E189,Groups!A:A,Groups!K:K),0.106*C189^0.94)</f>
        <v>11.771495712556113</v>
      </c>
      <c r="AQ189" s="8">
        <f>AP189*10000/(_xlfn.XLOOKUP(E189,Groups!A:A,Groups!J:J)*AO189)</f>
        <v>3.7464751271603496</v>
      </c>
      <c r="AR189" s="8">
        <f t="shared" ref="AR189:AR191" si="160">EXP(0.8447*LN(C189)+3.996)</f>
        <v>3746.1489061563307</v>
      </c>
      <c r="AS189" s="8">
        <f>IF(_xlfn.XLOOKUP(E189,Groups!A:A,Groups!M:M)=1,EXP(0.7444*LN('Base stats'!C189)+6.5696),EXP(0.7927*LN('Base stats'!C189)+4.28))</f>
        <v>3835.0225645496203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5297.8559377238153</v>
      </c>
      <c r="AU189" s="8">
        <f>IF(_xlfn.XLOOKUP(E189,Groups!A:A,Groups!U:U)=3,AS189,IF(_xlfn.XLOOKUP(E189,Groups!A:A,Groups!U:U)=2,AR189,AT189))</f>
        <v>5297.8559377238153</v>
      </c>
      <c r="AV189" s="46">
        <f>IFERROR(AVERAGE(_xlfn.XLOOKUP(B189,Animals!B:B,Animals!N:N),_xlfn.XLOOKUP(B189,Animals!B:B,Animals!O:O)),0)</f>
        <v>0</v>
      </c>
      <c r="AW189" s="8">
        <f>MROUND(40*Animals!AO189*_xlfn.XLOOKUP(Animals!BB189,Leathers!$A$2:$A$100,Leathers!$B$2:$B$100,0)+(140*_xlfn.XLOOKUP(B189,Animals!B:B,Animals!AO:AO)*2),5)</f>
        <v>455</v>
      </c>
      <c r="AX189" s="8">
        <f>IFERROR(ROUND(SQRT(V189-1)*IF(_xlfn.XLOOKUP(E189,Groups!A:A,Groups!BF:BF)=0,2,1)*IF(_xlfn.XLOOKUP('Base stats'!E189,Groups!A:A,Groups!O:O)=0,1,0.1),1),0)</f>
        <v>5.9</v>
      </c>
      <c r="AY189" s="8">
        <f t="shared" ref="AY189:AY191" si="161">IFERROR(ROUND(SQRT(U189-1),1),0)</f>
        <v>0</v>
      </c>
      <c r="AZ189" s="8">
        <f t="shared" ref="AZ189:AZ191" si="162">IFERROR(ROUND(SQRT(W189),1),0)</f>
        <v>4.0999999999999996</v>
      </c>
      <c r="BA189" s="8">
        <f t="shared" ref="BA189:BA191" si="163">ROUND(
  EXP(0.3582*LN(C189)-0.2221) *
  (0.75 + 0.25*(C189^4/(C189^4+10^4))),
1)</f>
        <v>4.8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7.300109850718572</v>
      </c>
      <c r="BC189" s="8">
        <f>IF(W189="No","No",IF(_xlfn.XLOOKUP(E189,Groups!A:A,Groups!U:U)=1,'Base stats'!BB189,IF(OR(_xlfn.XLOOKUP(E189,Groups!A:A,Groups!BD:BD)=1,_xlfn.XLOOKUP(E189,Groups!A:A,Groups!U:U)=2),BD189,IF(_xlfn.XLOOKUP(B189,Animals!B:B,Animals!AO:AO)&gt;4,AVERAGE(BD189,BF189),BF189))))</f>
        <v>7.300109850718572</v>
      </c>
      <c r="BD189" s="8">
        <f t="shared" ref="BD189:BD191" si="164">(0.0392*C189^IF(OR(Y189="Herbivore",Y189="Dendrovore",Y189="OmnivoreRough"),0.889,0.966))*C189^-0.135</f>
        <v>1.7141896806845596</v>
      </c>
      <c r="BE189" s="8">
        <f>IF(_xlfn.XLOOKUP(E189,Groups!A:A,Groups!BE:BE)=1,(0.048*C189^1.01)+(0.071*C189^1.03),0.071*C189^1.03)/IF(_xlfn.XLOOKUP(E189,Groups!A:A,Groups!M:M)=1,0.85,IF(OR(_xlfn.XLOOKUP(B189,Animals!B:B,Animals!AO:AO)&gt;4,_xlfn.XLOOKUP(E189,Groups!A:A,Groups!BC:BC)=1),1.7,1))*C189^-0.25</f>
        <v>3.5367920914565221</v>
      </c>
      <c r="BF189" s="8">
        <f>(0.048*C189^1.01)/IF(_xlfn.XLOOKUP(E189,Groups!A:A,Groups!M:M)=1,0.25,0.8)*C189^-0.25</f>
        <v>2.7038376258152188</v>
      </c>
      <c r="BG189" s="8">
        <f>EXP(1.076*LN(AR189)-4.5397)*IF(_xlfn.XLOOKUP(E189,Groups!A:A,Groups!BC:BC)=1,1.25,IF(_xlfn.XLOOKUP(E189,Groups!A:A,Groups!BD:BD)=1,3.5,2.5))</f>
        <v>186.87484615605439</v>
      </c>
      <c r="BH189" s="8">
        <f>EXP(1.076*LN(AS189)-4.5397)*IF(_xlfn.XLOOKUP(E189,Groups!A:A,Groups!M:M)=1,0.8,IF(_xlfn.XLOOKUP(E189,Groups!A:A,Groups!BC:BC)=1,1.3,3))</f>
        <v>229.97937056804284</v>
      </c>
      <c r="BI189" s="8">
        <f>IF(W189="No","No",IF(_xlfn.XLOOKUP(E189,Groups!A:A,Groups!U:U)=1,'Base stats'!BJ189,IF(OR(_xlfn.XLOOKUP(E189,Groups!A:A,Groups!BD:BD)=1,_xlfn.XLOOKUP(E189,Groups!A:A,Groups!U:U)=2),BG189,BH189))*1.2)</f>
        <v>455.84205150343917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379.86837625286597</v>
      </c>
      <c r="BK189" s="8">
        <f t="shared" ref="BK189:BK191" si="165">ROUNDDOWN(SQRT((2*BG189)/BD189),0)</f>
        <v>14</v>
      </c>
      <c r="BL189" s="8">
        <f t="shared" ref="BL189:BL191" si="166">ROUNDDOWN(SQRT((2*BH189)/BE189),0)</f>
        <v>11</v>
      </c>
      <c r="BM189" s="8">
        <f t="shared" ref="BM189:BM191" si="167">IF(W189="No","No",ROUNDDOWN(SQRT((2*BI189)/BC189),0))</f>
        <v>11</v>
      </c>
      <c r="BN189" s="8">
        <f t="shared" ref="BN189:BN191" si="168">IF(V189="No","No",ROUNDDOWN(SQRT((2*BJ189)/BB189),0))</f>
        <v>10</v>
      </c>
      <c r="BO189" s="8">
        <f t="shared" ref="BO189:BO191" si="169">ROUNDDOWN(SQRT((2*BH189)/BF189),0)</f>
        <v>13</v>
      </c>
      <c r="BP189" s="8" t="str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No</v>
      </c>
      <c r="BQ189" s="8">
        <f>IF(W189="No","No",IF(_xlfn.XLOOKUP(E189,Groups!A:A,Groups!BD:BD)=1,(AO189*5%),EXP(0.7354*LN(C189)^0.4078)*2/IF(_xlfn.XLOOKUP(E189,Groups!A:A,Groups!BL:BL)=1,1000,100)))</f>
        <v>8.2648233730893056E-2</v>
      </c>
      <c r="BR189" s="8">
        <f>IF(BJ189="No","No",IF(_xlfn.XLOOKUP(E189,Groups!A:A,Groups!BF:BF)=1,(0.0315*C189+2.1825)*2,(0.7354*C189^0.4078)*2)/IF(_xlfn.XLOOKUP(E189,Groups!A:A,Groups!BM:BM)=1,1000,100))</f>
        <v>0.11349157855001941</v>
      </c>
      <c r="BS189" s="8">
        <f t="shared" ref="BS189:BS191" si="170">BG189/(AO189*5%)</f>
        <v>0.12965776963635597</v>
      </c>
      <c r="BT189" s="8" t="str">
        <f t="shared" ref="BT189:BT191" si="171">IF(BP189="No","No",BH189/BP189)</f>
        <v>No</v>
      </c>
      <c r="BU189" s="8">
        <f t="shared" ref="BU189:BU191" si="172">IF(W189="No","No",BI189/BQ189)</f>
        <v>5515.4481944246336</v>
      </c>
      <c r="BV189" s="8">
        <f t="shared" ref="BV189:BV191" si="173">IF(BJ189="No","No",BJ189/BR189)</f>
        <v>3347.1062884674361</v>
      </c>
      <c r="BW189" s="4">
        <v>0</v>
      </c>
      <c r="BX189" s="4">
        <v>1</v>
      </c>
    </row>
    <row r="190" spans="1:76" s="16" customFormat="1" x14ac:dyDescent="0.25">
      <c r="A190" s="26" t="s">
        <v>1366</v>
      </c>
      <c r="B190" s="6" t="s">
        <v>1357</v>
      </c>
      <c r="C190" s="7">
        <v>70</v>
      </c>
      <c r="D190" s="7" t="s">
        <v>538</v>
      </c>
      <c r="E190" s="7" t="str">
        <f>Groups!$A$55</f>
        <v>Ruminant (cervid, two-headed)</v>
      </c>
      <c r="F190" s="7">
        <f>ROUND(7.545*(C190*1000)^0.2689,0)</f>
        <v>152</v>
      </c>
      <c r="G190" s="7">
        <f>478/365</f>
        <v>1.3095890410958904</v>
      </c>
      <c r="H190" s="7">
        <v>22</v>
      </c>
      <c r="I190" s="4">
        <v>0</v>
      </c>
      <c r="J190" s="7">
        <v>1</v>
      </c>
      <c r="K190" s="7" t="s">
        <v>538</v>
      </c>
      <c r="L190" s="7">
        <f>MIN(114.4*C190^-0.13,97.8*C190^-0.094)</f>
        <v>65.599365542046741</v>
      </c>
      <c r="M190" s="7" t="s">
        <v>638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 t="s">
        <v>45</v>
      </c>
      <c r="V190" s="7" t="str">
        <f>IF(AT190="No","No",IF(_xlfn.XLOOKUP(E190,Groups!A:A,Groups!AM:AM)=1,MROUND(EXP(0.3582*LN(C190)-0.2221)*T190,0.05),IF(_xlfn.XLOOKUP(E190,Groups!A:A,Groups!AM:AM)=2,MROUND(EXP(0.3582*LN(C190)-0.2221)*T190,0.05),"Need a formula")))</f>
        <v>No</v>
      </c>
      <c r="W190" s="7">
        <v>41.2</v>
      </c>
      <c r="X190" s="7" t="s">
        <v>977</v>
      </c>
      <c r="Y190" s="4" t="s">
        <v>42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407</v>
      </c>
      <c r="AG190" s="28" t="s">
        <v>1380</v>
      </c>
      <c r="AH190" s="4" t="s">
        <v>45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si="159"/>
        <v>17564.536938929268</v>
      </c>
      <c r="AP190" s="8">
        <f>IFERROR(C190*_xlfn.XLOOKUP(E190,Groups!A:A,Groups!K:K),0.106*C190^0.94)</f>
        <v>5.7503995690030791</v>
      </c>
      <c r="AQ190" s="8">
        <f>AP190*10000/(_xlfn.XLOOKUP(E190,Groups!A:A,Groups!J:J)*AO190)</f>
        <v>3.0035496826407138</v>
      </c>
      <c r="AR190" s="8">
        <f t="shared" si="160"/>
        <v>1967.863924091341</v>
      </c>
      <c r="AS190" s="8">
        <f>IF(_xlfn.XLOOKUP(E190,Groups!A:A,Groups!M:M)=1,EXP(0.7444*LN('Base stats'!C190)+6.5696),EXP(0.7927*LN('Base stats'!C190)+4.28))</f>
        <v>2095.9918946402931</v>
      </c>
      <c r="AT190" s="8" t="str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No</v>
      </c>
      <c r="AU190" s="8">
        <f>IF(_xlfn.XLOOKUP(E190,Groups!A:A,Groups!U:U)=3,AS190,IF(_xlfn.XLOOKUP(E190,Groups!A:A,Groups!U:U)=2,AR190,AT190))</f>
        <v>2095.9918946402931</v>
      </c>
      <c r="AV190" s="46">
        <f>IFERROR(AVERAGE(_xlfn.XLOOKUP(B190,Animals!B:B,Animals!N:N),_xlfn.XLOOKUP(B190,Animals!B:B,Animals!O:O)),0)</f>
        <v>0</v>
      </c>
      <c r="AW190" s="8">
        <f>MROUND(40*Animals!AO190*_xlfn.XLOOKUP(Animals!BB190,Leathers!$A$2:$A$100,Leathers!$B$2:$B$100,0)+(140*_xlfn.XLOOKUP(B190,Animals!B:B,Animals!AO:AO)*2),5)</f>
        <v>395</v>
      </c>
      <c r="AX190" s="8">
        <f>IFERROR(ROUND(SQRT(V190-1)*IF(_xlfn.XLOOKUP(E190,Groups!A:A,Groups!BF:BF)=0,2,1)*IF(_xlfn.XLOOKUP('Base stats'!E190,Groups!A:A,Groups!O:O)=0,1,0.1),1),0)</f>
        <v>0</v>
      </c>
      <c r="AY190" s="8">
        <f t="shared" si="161"/>
        <v>0</v>
      </c>
      <c r="AZ190" s="8">
        <f t="shared" si="162"/>
        <v>6.4</v>
      </c>
      <c r="BA190" s="8">
        <f t="shared" si="163"/>
        <v>3.7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0.96491706949761447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1.515045796469928</v>
      </c>
      <c r="BD190" s="8">
        <f t="shared" si="164"/>
        <v>0.96491706949761447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1.9517977810631861</v>
      </c>
      <c r="BF190" s="8">
        <f>(0.048*C190^1.01)/IF(_xlfn.XLOOKUP(E190,Groups!A:A,Groups!M:M)=1,0.25,0.8)*C190^-0.25</f>
        <v>1.515045796469928</v>
      </c>
      <c r="BG190" s="8">
        <f>EXP(1.076*LN(AR190)-4.5397)*IF(_xlfn.XLOOKUP(E190,Groups!A:A,Groups!BC:BC)=1,1.25,IF(_xlfn.XLOOKUP(E190,Groups!A:A,Groups!BD:BD)=1,3.5,2.5))</f>
        <v>93.478565272069602</v>
      </c>
      <c r="BH190" s="8">
        <f>EXP(1.076*LN(AS190)-4.5397)*IF(_xlfn.XLOOKUP(E190,Groups!A:A,Groups!M:M)=1,0.8,IF(_xlfn.XLOOKUP(E190,Groups!A:A,Groups!BC:BC)=1,1.3,3))</f>
        <v>120.05211168963112</v>
      </c>
      <c r="BI190" s="8">
        <f>IF(W190="No","No",IF(_xlfn.XLOOKUP(E190,Groups!A:A,Groups!U:U)=1,'Base stats'!BJ190,IF(OR(_xlfn.XLOOKUP(E190,Groups!A:A,Groups!BD:BD)=1,_xlfn.XLOOKUP(E190,Groups!A:A,Groups!U:U)=2),BG190,BH190))*1.2)</f>
        <v>144.06253402755735</v>
      </c>
      <c r="BJ190" s="8" t="str">
        <f>IFERROR(EXP(1.076*LN(AT190)-4.5397)*IF(_xlfn.XLOOKUP(E190,Groups!A:A,Groups!N:N)="Insect",1,IF(OR(_xlfn.XLOOKUP(E190,Groups!A:A,Groups!N:N)="Pig",_xlfn.XLOOKUP(E190,Groups!A:A,Groups!N:N)="StrongBitingHerbivore"),3.5,3.75)),"No")</f>
        <v>No</v>
      </c>
      <c r="BK190" s="8">
        <f t="shared" si="165"/>
        <v>13</v>
      </c>
      <c r="BL190" s="8">
        <f t="shared" si="166"/>
        <v>11</v>
      </c>
      <c r="BM190" s="8">
        <f t="shared" si="167"/>
        <v>13</v>
      </c>
      <c r="BN190" s="8" t="str">
        <f t="shared" si="168"/>
        <v>No</v>
      </c>
      <c r="BO190" s="8">
        <f t="shared" si="169"/>
        <v>12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15.416068414458092</v>
      </c>
      <c r="BQ190" s="8">
        <f>IF(W190="No","No",IF(_xlfn.XLOOKUP(E190,Groups!A:A,Groups!BD:BD)=1,(AO190*5%),EXP(0.7354*LN(C190)^0.4078)*2/IF(_xlfn.XLOOKUP(E190,Groups!A:A,Groups!BL:BL)=1,1000,100)))</f>
        <v>7.5359110956583139E-2</v>
      </c>
      <c r="BR190" s="8" t="str">
        <f>IF(BJ190="No","No",IF(_xlfn.XLOOKUP(E190,Groups!A:A,Groups!BF:BF)=1,(0.0315*C190+2.1825)*2,(0.7354*C190^0.4078)*2)/IF(_xlfn.XLOOKUP(E190,Groups!A:A,Groups!BM:BM)=1,1000,100))</f>
        <v>No</v>
      </c>
      <c r="BS190" s="8">
        <f t="shared" si="170"/>
        <v>0.10644011350494281</v>
      </c>
      <c r="BT190" s="8">
        <f t="shared" si="171"/>
        <v>7.7874661983881195</v>
      </c>
      <c r="BU190" s="8">
        <f t="shared" si="172"/>
        <v>1911.68038209151</v>
      </c>
      <c r="BV190" s="8" t="str">
        <f t="shared" si="173"/>
        <v>No</v>
      </c>
      <c r="BW190" s="4">
        <v>0</v>
      </c>
      <c r="BX190" s="4">
        <v>1</v>
      </c>
    </row>
    <row r="191" spans="1:76" s="16" customFormat="1" x14ac:dyDescent="0.25">
      <c r="A191" s="26" t="s">
        <v>1367</v>
      </c>
      <c r="B191" s="6" t="s">
        <v>1358</v>
      </c>
      <c r="C191" s="7">
        <v>400</v>
      </c>
      <c r="D191" s="7" t="s">
        <v>538</v>
      </c>
      <c r="E191" s="7" t="str">
        <f>Groups!$A$51</f>
        <v>Ruminant (bovid, two-headed)</v>
      </c>
      <c r="F191" s="7">
        <f>ROUND(7.545*(C191*1000)^0.2689,0)</f>
        <v>242</v>
      </c>
      <c r="G191" s="7">
        <v>2</v>
      </c>
      <c r="H191" s="7">
        <v>25</v>
      </c>
      <c r="I191" s="4">
        <v>0</v>
      </c>
      <c r="J191" s="7">
        <v>1</v>
      </c>
      <c r="K191" s="7" t="s">
        <v>538</v>
      </c>
      <c r="L191" s="7">
        <f>MIN(114.4*C191^-0.13,97.8*C191^-0.094)</f>
        <v>52.499869706925978</v>
      </c>
      <c r="M191" s="7" t="s">
        <v>638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 t="str">
        <f>IF(AT191="No","No",IF(_xlfn.XLOOKUP(E191,Groups!A:A,Groups!AM:AM)=1,MROUND(EXP(0.3582*LN(C191)-0.2221)*T191,0.05),IF(_xlfn.XLOOKUP(E191,Groups!A:A,Groups!AM:AM)=2,MROUND(EXP(0.3582*LN(C191)-0.2221)*T191,0.05),"Need a formula")))</f>
        <v>No</v>
      </c>
      <c r="W191" s="7">
        <v>30</v>
      </c>
      <c r="X191" s="7" t="s">
        <v>945</v>
      </c>
      <c r="Y191" s="4" t="s">
        <v>42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407</v>
      </c>
      <c r="AG191" s="28" t="s">
        <v>1380</v>
      </c>
      <c r="AH191" s="4" t="s">
        <v>45</v>
      </c>
      <c r="AI191" s="4">
        <v>1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si="159"/>
        <v>54533.324359541104</v>
      </c>
      <c r="AP191" s="8">
        <f>IFERROR(C191*_xlfn.XLOOKUP(E191,Groups!A:A,Groups!K:K),0.106*C191^0.94)</f>
        <v>29.596629583111532</v>
      </c>
      <c r="AQ191" s="8">
        <f>AP191*10000/(_xlfn.XLOOKUP(E191,Groups!A:A,Groups!J:J)*AO191)</f>
        <v>4.9791336757954134</v>
      </c>
      <c r="AR191" s="8">
        <f t="shared" si="160"/>
        <v>8578.2919817776201</v>
      </c>
      <c r="AS191" s="8">
        <f>IF(_xlfn.XLOOKUP(E191,Groups!A:A,Groups!M:M)=1,EXP(0.7444*LN('Base stats'!C191)+6.5696),EXP(0.7927*LN('Base stats'!C191)+4.28))</f>
        <v>8345.1344423422543</v>
      </c>
      <c r="AT191" s="8" t="str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No</v>
      </c>
      <c r="AU191" s="8">
        <f>IF(_xlfn.XLOOKUP(E191,Groups!A:A,Groups!U:U)=3,AS191,IF(_xlfn.XLOOKUP(E191,Groups!A:A,Groups!U:U)=2,AR191,AT191))</f>
        <v>8345.1344423422543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MROUND(40*Animals!AO191*_xlfn.XLOOKUP(Animals!BB191,Leathers!$A$2:$A$100,Leathers!$B$2:$B$100,0)+(140*_xlfn.XLOOKUP(B191,Animals!B:B,Animals!AO:AO)*2),5)</f>
        <v>770</v>
      </c>
      <c r="AX191" s="8">
        <f>IFERROR(ROUND(SQRT(V191-1)*IF(_xlfn.XLOOKUP(E191,Groups!A:A,Groups!BF:BF)=0,2,1)*IF(_xlfn.XLOOKUP('Base stats'!E191,Groups!A:A,Groups!O:O)=0,1,0.1),1),0)</f>
        <v>0</v>
      </c>
      <c r="AY191" s="8">
        <f t="shared" si="161"/>
        <v>0</v>
      </c>
      <c r="AZ191" s="8">
        <f t="shared" si="162"/>
        <v>5.5</v>
      </c>
      <c r="BA191" s="8">
        <f t="shared" si="163"/>
        <v>6.8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3.5911975861689553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5.6979265131759371</v>
      </c>
      <c r="BD191" s="8">
        <f t="shared" si="164"/>
        <v>3.5911975861689553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7.6009021546251976</v>
      </c>
      <c r="BF191" s="8">
        <f>(0.048*C191^1.01)/IF(_xlfn.XLOOKUP(E191,Groups!A:A,Groups!M:M)=1,0.25,0.8)*C191^-0.25</f>
        <v>5.6979265131759371</v>
      </c>
      <c r="BG191" s="8">
        <f>EXP(1.076*LN(AR191)-4.5397)*IF(_xlfn.XLOOKUP(E191,Groups!A:A,Groups!BC:BC)=1,1.25,IF(_xlfn.XLOOKUP(E191,Groups!A:A,Groups!BD:BD)=1,3.5,2.5))</f>
        <v>455.73526542190234</v>
      </c>
      <c r="BH191" s="8">
        <f>EXP(1.076*LN(AS191)-4.5397)*IF(_xlfn.XLOOKUP(E191,Groups!A:A,Groups!M:M)=1,0.8,IF(_xlfn.XLOOKUP(E191,Groups!A:A,Groups!BC:BC)=1,1.3,3))</f>
        <v>530.90506242342735</v>
      </c>
      <c r="BI191" s="8">
        <f>IF(W191="No","No",IF(_xlfn.XLOOKUP(E191,Groups!A:A,Groups!U:U)=1,'Base stats'!BJ191,IF(OR(_xlfn.XLOOKUP(E191,Groups!A:A,Groups!BD:BD)=1,_xlfn.XLOOKUP(E191,Groups!A:A,Groups!U:U)=2),BG191,BH191))*1.2)</f>
        <v>637.08607490811278</v>
      </c>
      <c r="BJ191" s="8" t="str">
        <f>IFERROR(EXP(1.076*LN(AT191)-4.5397)*IF(_xlfn.XLOOKUP(E191,Groups!A:A,Groups!N:N)="Insect",1,IF(OR(_xlfn.XLOOKUP(E191,Groups!A:A,Groups!N:N)="Pig",_xlfn.XLOOKUP(E191,Groups!A:A,Groups!N:N)="StrongBitingHerbivore"),3.5,3.75)),"No")</f>
        <v>No</v>
      </c>
      <c r="BK191" s="8">
        <f t="shared" si="165"/>
        <v>15</v>
      </c>
      <c r="BL191" s="8">
        <f t="shared" si="166"/>
        <v>11</v>
      </c>
      <c r="BM191" s="8">
        <f t="shared" si="167"/>
        <v>14</v>
      </c>
      <c r="BN191" s="8" t="str">
        <f t="shared" si="168"/>
        <v>No</v>
      </c>
      <c r="BO191" s="8">
        <f t="shared" si="169"/>
        <v>13</v>
      </c>
      <c r="BP191" s="8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72.331256150292859</v>
      </c>
      <c r="BQ191" s="8">
        <f>IF(W191="No","No",IF(_xlfn.XLOOKUP(E191,Groups!A:A,Groups!BD:BD)=1,(AO191*5%),EXP(0.7354*LN(C191)^0.4078)*2/IF(_xlfn.XLOOKUP(E191,Groups!A:A,Groups!BL:BL)=1,1000,100)))</f>
        <v>9.2010030010980084E-2</v>
      </c>
      <c r="BR191" s="8" t="str">
        <f>IF(BJ191="No","No",IF(_xlfn.XLOOKUP(E191,Groups!A:A,Groups!BF:BF)=1,(0.0315*C191+2.1825)*2,(0.7354*C191^0.4078)*2)/IF(_xlfn.XLOOKUP(E191,Groups!A:A,Groups!BM:BM)=1,1000,100))</f>
        <v>No</v>
      </c>
      <c r="BS191" s="8">
        <f t="shared" si="170"/>
        <v>0.16714010039703997</v>
      </c>
      <c r="BT191" s="8">
        <f t="shared" si="171"/>
        <v>7.3399121027331669</v>
      </c>
      <c r="BU191" s="8">
        <f t="shared" si="172"/>
        <v>6924.093762735276</v>
      </c>
      <c r="BV191" s="8" t="str">
        <f t="shared" si="173"/>
        <v>No</v>
      </c>
      <c r="BW191" s="4">
        <v>0</v>
      </c>
      <c r="BX191" s="4">
        <v>1</v>
      </c>
    </row>
    <row r="192" spans="1:76" s="16" customFormat="1" x14ac:dyDescent="0.25">
      <c r="A192" s="26"/>
      <c r="B192" s="6"/>
      <c r="C192" s="7"/>
      <c r="D192" s="7"/>
      <c r="E192" s="7"/>
      <c r="F192" s="7"/>
      <c r="G192" s="7"/>
      <c r="H192" s="7"/>
      <c r="I192" s="4"/>
      <c r="J192" s="7"/>
      <c r="K192" s="7"/>
      <c r="L192" s="7"/>
      <c r="M192" s="7"/>
      <c r="N192" s="4"/>
      <c r="O192" s="4"/>
      <c r="P192" s="4"/>
      <c r="Q192" s="4"/>
      <c r="R192" s="4"/>
      <c r="S192" s="7"/>
      <c r="T192" s="7"/>
      <c r="U192" s="7"/>
      <c r="V192" s="7"/>
      <c r="W192" s="7"/>
      <c r="X192" s="7"/>
      <c r="Y192" s="4"/>
      <c r="Z192" s="4"/>
      <c r="AA192" s="4"/>
      <c r="AB192" s="4"/>
      <c r="AC192" s="4"/>
      <c r="AD192" s="4"/>
      <c r="AE192" s="4"/>
      <c r="AF192" s="4"/>
      <c r="AG192" s="28"/>
      <c r="AH192" s="4"/>
      <c r="AI192" s="4"/>
      <c r="AJ192" s="4"/>
      <c r="AK192" s="4"/>
      <c r="AL192" s="4"/>
      <c r="AM192" s="4"/>
      <c r="AN192" s="44"/>
      <c r="AO192" s="8"/>
      <c r="AP192" s="8"/>
      <c r="AQ192" s="8"/>
      <c r="AR192" s="8"/>
      <c r="AS192" s="8"/>
      <c r="AT192" s="8"/>
      <c r="AU192" s="8"/>
      <c r="AV192" s="46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4"/>
      <c r="BX192" s="4"/>
    </row>
    <row r="193" spans="1:76" s="16" customFormat="1" x14ac:dyDescent="0.25">
      <c r="A193" s="26"/>
      <c r="B193" s="6"/>
      <c r="C193" s="7"/>
      <c r="D193" s="7"/>
      <c r="E193" s="7"/>
      <c r="F193" s="7"/>
      <c r="G193" s="7"/>
      <c r="H193" s="7"/>
      <c r="I193" s="4"/>
      <c r="J193" s="7"/>
      <c r="K193" s="7"/>
      <c r="L193" s="7"/>
      <c r="M193" s="7"/>
      <c r="N193" s="4"/>
      <c r="O193" s="4"/>
      <c r="P193" s="4"/>
      <c r="Q193" s="4"/>
      <c r="R193" s="4"/>
      <c r="S193" s="7"/>
      <c r="T193" s="7"/>
      <c r="U193" s="7"/>
      <c r="V193" s="7"/>
      <c r="W193" s="7"/>
      <c r="X193" s="7"/>
      <c r="Y193" s="4"/>
      <c r="Z193" s="4"/>
      <c r="AA193" s="4"/>
      <c r="AB193" s="4"/>
      <c r="AC193" s="4"/>
      <c r="AD193" s="4"/>
      <c r="AE193" s="4"/>
      <c r="AF193" s="4"/>
      <c r="AG193" s="28"/>
      <c r="AH193" s="4"/>
      <c r="AI193" s="4"/>
      <c r="AJ193" s="4"/>
      <c r="AK193" s="4"/>
      <c r="AL193" s="4"/>
      <c r="AM193" s="4"/>
      <c r="AN193" s="44"/>
      <c r="AO193" s="8"/>
      <c r="AP193" s="8"/>
      <c r="AQ193" s="8"/>
      <c r="AR193" s="8"/>
      <c r="AS193" s="8"/>
      <c r="AT193" s="8"/>
      <c r="AU193" s="8"/>
      <c r="AV193" s="46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4"/>
      <c r="BX193" s="4"/>
    </row>
    <row r="194" spans="1:76" s="16" customFormat="1" x14ac:dyDescent="0.25">
      <c r="A194" s="26"/>
      <c r="B194" s="6"/>
      <c r="C194" s="7"/>
      <c r="D194" s="7"/>
      <c r="E194" s="7"/>
      <c r="F194" s="7"/>
      <c r="G194" s="7"/>
      <c r="H194" s="7"/>
      <c r="I194" s="4"/>
      <c r="J194" s="7"/>
      <c r="K194" s="7"/>
      <c r="L194" s="7"/>
      <c r="M194" s="7"/>
      <c r="N194" s="4"/>
      <c r="O194" s="4"/>
      <c r="P194" s="4"/>
      <c r="Q194" s="4"/>
      <c r="R194" s="4"/>
      <c r="S194" s="7"/>
      <c r="T194" s="7"/>
      <c r="U194" s="7"/>
      <c r="V194" s="7"/>
      <c r="W194" s="7"/>
      <c r="X194" s="7"/>
      <c r="Y194" s="4"/>
      <c r="Z194" s="4"/>
      <c r="AA194" s="4"/>
      <c r="AB194" s="4"/>
      <c r="AC194" s="4"/>
      <c r="AD194" s="4"/>
      <c r="AE194" s="4"/>
      <c r="AF194" s="4"/>
      <c r="AG194" s="28"/>
      <c r="AH194" s="4"/>
      <c r="AI194" s="4"/>
      <c r="AJ194" s="4"/>
      <c r="AK194" s="4"/>
      <c r="AL194" s="4"/>
      <c r="AM194" s="4"/>
      <c r="AN194" s="44"/>
      <c r="AO194" s="8"/>
      <c r="AP194" s="8"/>
      <c r="AQ194" s="8"/>
      <c r="AR194" s="8"/>
      <c r="AS194" s="8"/>
      <c r="AT194" s="8"/>
      <c r="AU194" s="8"/>
      <c r="AV194" s="46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4"/>
      <c r="BX194" s="4"/>
    </row>
    <row r="195" spans="1:76" s="16" customFormat="1" x14ac:dyDescent="0.25">
      <c r="A195" s="26"/>
      <c r="B195" s="6"/>
      <c r="C195" s="7"/>
      <c r="D195" s="7"/>
      <c r="E195" s="7"/>
      <c r="F195" s="7"/>
      <c r="G195" s="7"/>
      <c r="H195" s="7"/>
      <c r="I195" s="4"/>
      <c r="J195" s="7"/>
      <c r="K195" s="7"/>
      <c r="L195" s="7"/>
      <c r="M195" s="7"/>
      <c r="N195" s="4"/>
      <c r="O195" s="4"/>
      <c r="P195" s="4"/>
      <c r="Q195" s="4"/>
      <c r="R195" s="4"/>
      <c r="S195" s="7"/>
      <c r="T195" s="7"/>
      <c r="U195" s="7"/>
      <c r="V195" s="7"/>
      <c r="W195" s="7"/>
      <c r="X195" s="7"/>
      <c r="Y195" s="4"/>
      <c r="Z195" s="4"/>
      <c r="AA195" s="4"/>
      <c r="AB195" s="4"/>
      <c r="AC195" s="4"/>
      <c r="AD195" s="4"/>
      <c r="AE195" s="4"/>
      <c r="AF195" s="4"/>
      <c r="AG195" s="28"/>
      <c r="AH195" s="4"/>
      <c r="AI195" s="4"/>
      <c r="AJ195" s="4"/>
      <c r="AK195" s="4"/>
      <c r="AL195" s="4"/>
      <c r="AM195" s="4"/>
      <c r="AN195" s="44"/>
      <c r="AO195" s="8"/>
      <c r="AP195" s="8"/>
      <c r="AQ195" s="8"/>
      <c r="AR195" s="8"/>
      <c r="AS195" s="8"/>
      <c r="AT195" s="8"/>
      <c r="AU195" s="8"/>
      <c r="AV195" s="46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4"/>
      <c r="BX195" s="4"/>
    </row>
    <row r="196" spans="1:76" s="16" customFormat="1" x14ac:dyDescent="0.25">
      <c r="A196" s="26"/>
      <c r="B196" s="6"/>
      <c r="C196" s="7"/>
      <c r="D196" s="7"/>
      <c r="E196" s="7"/>
      <c r="F196" s="7"/>
      <c r="G196" s="7"/>
      <c r="H196" s="7"/>
      <c r="I196" s="4"/>
      <c r="J196" s="7"/>
      <c r="K196" s="7"/>
      <c r="L196" s="7"/>
      <c r="M196" s="7"/>
      <c r="N196" s="4"/>
      <c r="O196" s="4"/>
      <c r="P196" s="4"/>
      <c r="Q196" s="4"/>
      <c r="R196" s="4"/>
      <c r="S196" s="7"/>
      <c r="T196" s="7"/>
      <c r="U196" s="7"/>
      <c r="V196" s="7"/>
      <c r="W196" s="7"/>
      <c r="X196" s="7"/>
      <c r="Y196" s="4"/>
      <c r="Z196" s="4"/>
      <c r="AA196" s="4"/>
      <c r="AB196" s="4"/>
      <c r="AC196" s="4"/>
      <c r="AD196" s="4"/>
      <c r="AE196" s="4"/>
      <c r="AF196" s="4"/>
      <c r="AG196" s="28"/>
      <c r="AH196" s="4"/>
      <c r="AI196" s="4"/>
      <c r="AJ196" s="4"/>
      <c r="AK196" s="4"/>
      <c r="AL196" s="4"/>
      <c r="AM196" s="4"/>
      <c r="AN196" s="44"/>
      <c r="AO196" s="8"/>
      <c r="AP196" s="8"/>
      <c r="AQ196" s="8"/>
      <c r="AR196" s="8"/>
      <c r="AS196" s="8"/>
      <c r="AT196" s="8"/>
      <c r="AU196" s="8"/>
      <c r="AV196" s="46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4"/>
      <c r="BX196" s="4"/>
    </row>
    <row r="197" spans="1:76" s="16" customFormat="1" x14ac:dyDescent="0.25">
      <c r="A197" s="26"/>
      <c r="B197" s="6"/>
      <c r="C197" s="7"/>
      <c r="D197" s="7"/>
      <c r="E197" s="7"/>
      <c r="F197" s="7"/>
      <c r="G197" s="7"/>
      <c r="H197" s="7"/>
      <c r="I197" s="4"/>
      <c r="J197" s="7"/>
      <c r="K197" s="7"/>
      <c r="L197" s="7"/>
      <c r="M197" s="7"/>
      <c r="N197" s="4"/>
      <c r="O197" s="4"/>
      <c r="P197" s="4"/>
      <c r="Q197" s="4"/>
      <c r="R197" s="4"/>
      <c r="S197" s="7"/>
      <c r="T197" s="7"/>
      <c r="U197" s="7"/>
      <c r="V197" s="7"/>
      <c r="W197" s="7"/>
      <c r="X197" s="7"/>
      <c r="Y197" s="4"/>
      <c r="Z197" s="4"/>
      <c r="AA197" s="4"/>
      <c r="AB197" s="4"/>
      <c r="AC197" s="4"/>
      <c r="AD197" s="4"/>
      <c r="AE197" s="4"/>
      <c r="AF197" s="4"/>
      <c r="AG197" s="28"/>
      <c r="AH197" s="4"/>
      <c r="AI197" s="4"/>
      <c r="AJ197" s="4"/>
      <c r="AK197" s="4"/>
      <c r="AL197" s="4"/>
      <c r="AM197" s="4"/>
      <c r="AN197" s="44"/>
      <c r="AO197" s="8"/>
      <c r="AP197" s="8"/>
      <c r="AQ197" s="8"/>
      <c r="AR197" s="8"/>
      <c r="AS197" s="8"/>
      <c r="AT197" s="8"/>
      <c r="AU197" s="8"/>
      <c r="AV197" s="46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4"/>
      <c r="BX197" s="4"/>
    </row>
    <row r="198" spans="1:76" s="16" customFormat="1" x14ac:dyDescent="0.25">
      <c r="A198" s="26"/>
      <c r="B198" s="6"/>
      <c r="C198" s="7"/>
      <c r="D198" s="7"/>
      <c r="E198" s="7"/>
      <c r="F198" s="7"/>
      <c r="G198" s="7"/>
      <c r="H198" s="7"/>
      <c r="I198" s="4"/>
      <c r="J198" s="7"/>
      <c r="K198" s="7"/>
      <c r="L198" s="7"/>
      <c r="M198" s="7"/>
      <c r="N198" s="4"/>
      <c r="O198" s="4"/>
      <c r="P198" s="4"/>
      <c r="Q198" s="4"/>
      <c r="R198" s="4"/>
      <c r="S198" s="7"/>
      <c r="T198" s="7"/>
      <c r="U198" s="7"/>
      <c r="V198" s="7"/>
      <c r="W198" s="7"/>
      <c r="X198" s="7"/>
      <c r="Y198" s="4"/>
      <c r="Z198" s="4"/>
      <c r="AA198" s="4"/>
      <c r="AB198" s="4"/>
      <c r="AC198" s="4"/>
      <c r="AD198" s="4"/>
      <c r="AE198" s="4"/>
      <c r="AF198" s="4"/>
      <c r="AG198" s="28"/>
      <c r="AH198" s="4"/>
      <c r="AI198" s="4"/>
      <c r="AJ198" s="4"/>
      <c r="AK198" s="4"/>
      <c r="AL198" s="4"/>
      <c r="AM198" s="4"/>
      <c r="AN198" s="44"/>
      <c r="AO198" s="8"/>
      <c r="AP198" s="8"/>
      <c r="AQ198" s="8"/>
      <c r="AR198" s="8"/>
      <c r="AS198" s="8"/>
      <c r="AT198" s="8"/>
      <c r="AU198" s="8"/>
      <c r="AV198" s="46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4"/>
      <c r="BX198" s="4"/>
    </row>
    <row r="199" spans="1:76" s="16" customFormat="1" x14ac:dyDescent="0.25">
      <c r="A199" s="26"/>
      <c r="B199" s="6"/>
      <c r="C199" s="7"/>
      <c r="D199" s="7"/>
      <c r="E199" s="7"/>
      <c r="F199" s="7"/>
      <c r="G199" s="7"/>
      <c r="H199" s="7"/>
      <c r="I199" s="4"/>
      <c r="J199" s="7"/>
      <c r="K199" s="7"/>
      <c r="L199" s="7"/>
      <c r="M199" s="7"/>
      <c r="N199" s="4"/>
      <c r="O199" s="4"/>
      <c r="P199" s="4"/>
      <c r="Q199" s="4"/>
      <c r="R199" s="4"/>
      <c r="S199" s="7"/>
      <c r="T199" s="7"/>
      <c r="U199" s="7"/>
      <c r="V199" s="7"/>
      <c r="W199" s="7"/>
      <c r="X199" s="7"/>
      <c r="Y199" s="4"/>
      <c r="Z199" s="4"/>
      <c r="AA199" s="4"/>
      <c r="AB199" s="4"/>
      <c r="AC199" s="4"/>
      <c r="AD199" s="4"/>
      <c r="AE199" s="4"/>
      <c r="AF199" s="4"/>
      <c r="AG199" s="28"/>
      <c r="AH199" s="4"/>
      <c r="AI199" s="4"/>
      <c r="AJ199" s="4"/>
      <c r="AK199" s="4"/>
      <c r="AL199" s="4"/>
      <c r="AM199" s="4"/>
      <c r="AN199" s="44"/>
      <c r="AO199" s="8"/>
      <c r="AP199" s="8"/>
      <c r="AQ199" s="8"/>
      <c r="AR199" s="8"/>
      <c r="AS199" s="8"/>
      <c r="AT199" s="8"/>
      <c r="AU199" s="8"/>
      <c r="AV199" s="46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4"/>
      <c r="BX199" s="4"/>
    </row>
    <row r="200" spans="1:76" s="16" customFormat="1" x14ac:dyDescent="0.25">
      <c r="A200" s="26"/>
      <c r="B200" s="6"/>
      <c r="C200" s="7"/>
      <c r="D200" s="7"/>
      <c r="E200" s="7"/>
      <c r="F200" s="7"/>
      <c r="G200" s="7"/>
      <c r="H200" s="7"/>
      <c r="I200" s="4"/>
      <c r="J200" s="7"/>
      <c r="K200" s="7"/>
      <c r="L200" s="7"/>
      <c r="M200" s="7"/>
      <c r="N200" s="4"/>
      <c r="O200" s="4"/>
      <c r="P200" s="4"/>
      <c r="Q200" s="4"/>
      <c r="R200" s="4"/>
      <c r="S200" s="7"/>
      <c r="T200" s="7"/>
      <c r="U200" s="7"/>
      <c r="V200" s="7"/>
      <c r="W200" s="7"/>
      <c r="X200" s="7"/>
      <c r="Y200" s="4"/>
      <c r="Z200" s="4"/>
      <c r="AA200" s="4"/>
      <c r="AB200" s="4"/>
      <c r="AC200" s="4"/>
      <c r="AD200" s="4"/>
      <c r="AE200" s="4"/>
      <c r="AF200" s="4"/>
      <c r="AG200" s="28"/>
      <c r="AH200" s="4"/>
      <c r="AI200" s="4"/>
      <c r="AJ200" s="4"/>
      <c r="AK200" s="4"/>
      <c r="AL200" s="4"/>
      <c r="AM200" s="4"/>
      <c r="AN200" s="44"/>
      <c r="AO200" s="8"/>
      <c r="AP200" s="8"/>
      <c r="AQ200" s="8"/>
      <c r="AR200" s="8"/>
      <c r="AS200" s="8"/>
      <c r="AT200" s="8"/>
      <c r="AU200" s="8"/>
      <c r="AV200" s="46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4"/>
      <c r="BX200" s="4"/>
    </row>
    <row r="201" spans="1:76" s="16" customFormat="1" x14ac:dyDescent="0.25">
      <c r="A201" s="26"/>
      <c r="B201" s="6"/>
      <c r="C201" s="7"/>
      <c r="D201" s="7"/>
      <c r="E201" s="7"/>
      <c r="F201" s="7"/>
      <c r="G201" s="7"/>
      <c r="H201" s="7"/>
      <c r="I201" s="4"/>
      <c r="J201" s="7"/>
      <c r="K201" s="7"/>
      <c r="L201" s="7"/>
      <c r="M201" s="7"/>
      <c r="N201" s="4"/>
      <c r="O201" s="4"/>
      <c r="P201" s="4"/>
      <c r="Q201" s="4"/>
      <c r="R201" s="4"/>
      <c r="S201" s="7"/>
      <c r="T201" s="7"/>
      <c r="U201" s="7"/>
      <c r="V201" s="7"/>
      <c r="W201" s="7"/>
      <c r="X201" s="7"/>
      <c r="Y201" s="4"/>
      <c r="Z201" s="4"/>
      <c r="AA201" s="4"/>
      <c r="AB201" s="4"/>
      <c r="AC201" s="4"/>
      <c r="AD201" s="4"/>
      <c r="AE201" s="4"/>
      <c r="AF201" s="4"/>
      <c r="AG201" s="28"/>
      <c r="AH201" s="4"/>
      <c r="AI201" s="4"/>
      <c r="AJ201" s="4"/>
      <c r="AK201" s="4"/>
      <c r="AL201" s="4"/>
      <c r="AM201" s="4"/>
      <c r="AN201" s="44"/>
      <c r="AO201" s="8"/>
      <c r="AP201" s="8"/>
      <c r="AQ201" s="8"/>
      <c r="AR201" s="8"/>
      <c r="AS201" s="8"/>
      <c r="AT201" s="8"/>
      <c r="AU201" s="8"/>
      <c r="AV201" s="46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4"/>
      <c r="BX201" s="4"/>
    </row>
    <row r="202" spans="1:76" s="16" customFormat="1" x14ac:dyDescent="0.25">
      <c r="A202" s="26"/>
      <c r="B202" s="6"/>
      <c r="C202" s="7"/>
      <c r="D202" s="7"/>
      <c r="E202" s="7"/>
      <c r="F202" s="7"/>
      <c r="G202" s="7"/>
      <c r="H202" s="7"/>
      <c r="I202" s="4"/>
      <c r="J202" s="7"/>
      <c r="K202" s="7"/>
      <c r="L202" s="7"/>
      <c r="M202" s="7"/>
      <c r="N202" s="4"/>
      <c r="O202" s="4"/>
      <c r="P202" s="4"/>
      <c r="Q202" s="4"/>
      <c r="R202" s="4"/>
      <c r="S202" s="7"/>
      <c r="T202" s="7"/>
      <c r="U202" s="7"/>
      <c r="V202" s="7"/>
      <c r="W202" s="7"/>
      <c r="X202" s="7"/>
      <c r="Y202" s="4"/>
      <c r="Z202" s="4"/>
      <c r="AA202" s="4"/>
      <c r="AB202" s="4"/>
      <c r="AC202" s="4"/>
      <c r="AD202" s="4"/>
      <c r="AE202" s="4"/>
      <c r="AF202" s="4"/>
      <c r="AG202" s="28"/>
      <c r="AH202" s="4"/>
      <c r="AI202" s="4"/>
      <c r="AJ202" s="4"/>
      <c r="AK202" s="4"/>
      <c r="AL202" s="4"/>
      <c r="AM202" s="4"/>
      <c r="AN202" s="44"/>
      <c r="AO202" s="8"/>
      <c r="AP202" s="8"/>
      <c r="AQ202" s="8"/>
      <c r="AR202" s="8"/>
      <c r="AS202" s="8"/>
      <c r="AT202" s="8"/>
      <c r="AU202" s="8"/>
      <c r="AV202" s="46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4"/>
      <c r="BX202" s="4"/>
    </row>
    <row r="203" spans="1:76" s="16" customFormat="1" x14ac:dyDescent="0.25">
      <c r="A203" s="26"/>
      <c r="B203" s="6"/>
      <c r="C203" s="7"/>
      <c r="D203" s="7"/>
      <c r="E203" s="7"/>
      <c r="F203" s="7"/>
      <c r="G203" s="7"/>
      <c r="H203" s="7"/>
      <c r="I203" s="4"/>
      <c r="J203" s="7"/>
      <c r="K203" s="7"/>
      <c r="L203" s="7"/>
      <c r="M203" s="7"/>
      <c r="N203" s="4"/>
      <c r="O203" s="4"/>
      <c r="P203" s="4"/>
      <c r="Q203" s="4"/>
      <c r="R203" s="4"/>
      <c r="S203" s="7"/>
      <c r="T203" s="7"/>
      <c r="U203" s="7"/>
      <c r="V203" s="7"/>
      <c r="W203" s="7"/>
      <c r="X203" s="7"/>
      <c r="Y203" s="4"/>
      <c r="Z203" s="4"/>
      <c r="AA203" s="4"/>
      <c r="AB203" s="4"/>
      <c r="AC203" s="4"/>
      <c r="AD203" s="4"/>
      <c r="AE203" s="4"/>
      <c r="AF203" s="4"/>
      <c r="AG203" s="28"/>
      <c r="AH203" s="4"/>
      <c r="AI203" s="4"/>
      <c r="AJ203" s="4"/>
      <c r="AK203" s="4"/>
      <c r="AL203" s="4"/>
      <c r="AM203" s="4"/>
      <c r="AN203" s="44"/>
      <c r="AO203" s="8"/>
      <c r="AP203" s="8"/>
      <c r="AQ203" s="8"/>
      <c r="AR203" s="8"/>
      <c r="AS203" s="8"/>
      <c r="AT203" s="8"/>
      <c r="AU203" s="8"/>
      <c r="AV203" s="46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4"/>
      <c r="BX203" s="4"/>
    </row>
    <row r="204" spans="1:76" s="16" customFormat="1" x14ac:dyDescent="0.25">
      <c r="A204" s="26"/>
      <c r="B204" s="6"/>
      <c r="C204" s="7"/>
      <c r="D204" s="7"/>
      <c r="E204" s="7"/>
      <c r="F204" s="7"/>
      <c r="G204" s="7"/>
      <c r="H204" s="7"/>
      <c r="I204" s="4"/>
      <c r="J204" s="7"/>
      <c r="K204" s="7"/>
      <c r="L204" s="7"/>
      <c r="M204" s="7"/>
      <c r="N204" s="4"/>
      <c r="O204" s="4"/>
      <c r="P204" s="4"/>
      <c r="Q204" s="4"/>
      <c r="R204" s="4"/>
      <c r="S204" s="7"/>
      <c r="T204" s="7"/>
      <c r="U204" s="7"/>
      <c r="V204" s="7"/>
      <c r="W204" s="7"/>
      <c r="X204" s="7"/>
      <c r="Y204" s="4"/>
      <c r="Z204" s="4"/>
      <c r="AA204" s="4"/>
      <c r="AB204" s="4"/>
      <c r="AC204" s="4"/>
      <c r="AD204" s="4"/>
      <c r="AE204" s="4"/>
      <c r="AF204" s="4"/>
      <c r="AG204" s="28"/>
      <c r="AH204" s="4"/>
      <c r="AI204" s="4"/>
      <c r="AJ204" s="4"/>
      <c r="AK204" s="4"/>
      <c r="AL204" s="4"/>
      <c r="AM204" s="4"/>
      <c r="AN204" s="44"/>
      <c r="AO204" s="8"/>
      <c r="AP204" s="8"/>
      <c r="AQ204" s="8"/>
      <c r="AR204" s="8"/>
      <c r="AS204" s="8"/>
      <c r="AT204" s="8"/>
      <c r="AU204" s="8"/>
      <c r="AV204" s="46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4"/>
      <c r="BX204" s="4"/>
    </row>
    <row r="205" spans="1:76" s="16" customFormat="1" x14ac:dyDescent="0.25">
      <c r="A205" s="26"/>
      <c r="B205" s="6"/>
      <c r="C205" s="7"/>
      <c r="D205" s="7"/>
      <c r="E205" s="7"/>
      <c r="F205" s="7"/>
      <c r="G205" s="7"/>
      <c r="H205" s="7"/>
      <c r="I205" s="4"/>
      <c r="J205" s="7"/>
      <c r="K205" s="7"/>
      <c r="L205" s="7"/>
      <c r="M205" s="7"/>
      <c r="N205" s="4"/>
      <c r="O205" s="4"/>
      <c r="P205" s="4"/>
      <c r="Q205" s="4"/>
      <c r="R205" s="4"/>
      <c r="S205" s="7"/>
      <c r="T205" s="7"/>
      <c r="U205" s="7"/>
      <c r="V205" s="7"/>
      <c r="W205" s="7"/>
      <c r="X205" s="7"/>
      <c r="Y205" s="4"/>
      <c r="Z205" s="4"/>
      <c r="AA205" s="4"/>
      <c r="AB205" s="4"/>
      <c r="AC205" s="4"/>
      <c r="AD205" s="4"/>
      <c r="AE205" s="4"/>
      <c r="AF205" s="4"/>
      <c r="AG205" s="28"/>
      <c r="AH205" s="4"/>
      <c r="AI205" s="4"/>
      <c r="AJ205" s="4"/>
      <c r="AK205" s="4"/>
      <c r="AL205" s="4"/>
      <c r="AM205" s="4"/>
      <c r="AN205" s="44"/>
      <c r="AO205" s="8"/>
      <c r="AP205" s="8"/>
      <c r="AQ205" s="8"/>
      <c r="AR205" s="8"/>
      <c r="AS205" s="8"/>
      <c r="AT205" s="8"/>
      <c r="AU205" s="8"/>
      <c r="AV205" s="46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4"/>
      <c r="BX205" s="4"/>
    </row>
    <row r="206" spans="1:76" s="16" customFormat="1" x14ac:dyDescent="0.25">
      <c r="A206" s="26"/>
      <c r="B206" s="6"/>
      <c r="C206" s="7"/>
      <c r="D206" s="7"/>
      <c r="E206" s="7"/>
      <c r="F206" s="7"/>
      <c r="G206" s="7"/>
      <c r="H206" s="7"/>
      <c r="I206" s="4"/>
      <c r="J206" s="7"/>
      <c r="K206" s="7"/>
      <c r="L206" s="7"/>
      <c r="M206" s="7"/>
      <c r="N206" s="4"/>
      <c r="O206" s="4"/>
      <c r="P206" s="4"/>
      <c r="Q206" s="4"/>
      <c r="R206" s="4"/>
      <c r="S206" s="7"/>
      <c r="T206" s="7"/>
      <c r="U206" s="7"/>
      <c r="V206" s="7"/>
      <c r="W206" s="7"/>
      <c r="X206" s="7"/>
      <c r="Y206" s="4"/>
      <c r="Z206" s="4"/>
      <c r="AA206" s="4"/>
      <c r="AB206" s="4"/>
      <c r="AC206" s="4"/>
      <c r="AD206" s="4"/>
      <c r="AE206" s="4"/>
      <c r="AF206" s="4"/>
      <c r="AG206" s="28"/>
      <c r="AH206" s="4"/>
      <c r="AI206" s="4"/>
      <c r="AJ206" s="4"/>
      <c r="AK206" s="4"/>
      <c r="AL206" s="4"/>
      <c r="AM206" s="4"/>
      <c r="AN206" s="44"/>
      <c r="AO206" s="8"/>
      <c r="AP206" s="8"/>
      <c r="AQ206" s="8"/>
      <c r="AR206" s="8"/>
      <c r="AS206" s="8"/>
      <c r="AT206" s="8"/>
      <c r="AU206" s="8"/>
      <c r="AV206" s="46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4"/>
      <c r="BX206" s="4"/>
    </row>
    <row r="207" spans="1:76" s="16" customFormat="1" x14ac:dyDescent="0.25">
      <c r="A207" s="26"/>
      <c r="B207" s="6"/>
      <c r="C207" s="7"/>
      <c r="D207" s="7"/>
      <c r="E207" s="7"/>
      <c r="F207" s="7"/>
      <c r="G207" s="7"/>
      <c r="H207" s="7"/>
      <c r="I207" s="4"/>
      <c r="J207" s="7"/>
      <c r="K207" s="7"/>
      <c r="L207" s="7"/>
      <c r="M207" s="7"/>
      <c r="N207" s="4"/>
      <c r="O207" s="4"/>
      <c r="P207" s="4"/>
      <c r="Q207" s="4"/>
      <c r="R207" s="4"/>
      <c r="S207" s="7"/>
      <c r="T207" s="7"/>
      <c r="U207" s="7"/>
      <c r="V207" s="7"/>
      <c r="W207" s="7"/>
      <c r="X207" s="7"/>
      <c r="Y207" s="4"/>
      <c r="Z207" s="4"/>
      <c r="AA207" s="4"/>
      <c r="AB207" s="4"/>
      <c r="AC207" s="4"/>
      <c r="AD207" s="4"/>
      <c r="AE207" s="4"/>
      <c r="AF207" s="4"/>
      <c r="AG207" s="28"/>
      <c r="AH207" s="4"/>
      <c r="AI207" s="4"/>
      <c r="AJ207" s="4"/>
      <c r="AK207" s="4"/>
      <c r="AL207" s="4"/>
      <c r="AM207" s="4"/>
      <c r="AN207" s="44"/>
      <c r="AO207" s="8"/>
      <c r="AP207" s="8"/>
      <c r="AQ207" s="8"/>
      <c r="AR207" s="8"/>
      <c r="AS207" s="8"/>
      <c r="AT207" s="8"/>
      <c r="AU207" s="8"/>
      <c r="AV207" s="46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4"/>
      <c r="BX207" s="4"/>
    </row>
    <row r="208" spans="1:76" s="16" customFormat="1" x14ac:dyDescent="0.25">
      <c r="A208" s="26"/>
      <c r="B208" s="6"/>
      <c r="C208" s="7"/>
      <c r="D208" s="7"/>
      <c r="E208" s="7"/>
      <c r="F208" s="7"/>
      <c r="G208" s="7"/>
      <c r="H208" s="7"/>
      <c r="I208" s="4"/>
      <c r="J208" s="7"/>
      <c r="K208" s="7"/>
      <c r="L208" s="7"/>
      <c r="M208" s="7"/>
      <c r="N208" s="4"/>
      <c r="O208" s="4"/>
      <c r="P208" s="4"/>
      <c r="Q208" s="4"/>
      <c r="R208" s="4"/>
      <c r="S208" s="7"/>
      <c r="T208" s="7"/>
      <c r="U208" s="7"/>
      <c r="V208" s="7"/>
      <c r="W208" s="7"/>
      <c r="X208" s="7"/>
      <c r="Y208" s="4"/>
      <c r="Z208" s="4"/>
      <c r="AA208" s="4"/>
      <c r="AB208" s="4"/>
      <c r="AC208" s="4"/>
      <c r="AD208" s="4"/>
      <c r="AE208" s="4"/>
      <c r="AF208" s="4"/>
      <c r="AG208" s="28"/>
      <c r="AH208" s="4"/>
      <c r="AI208" s="4"/>
      <c r="AJ208" s="4"/>
      <c r="AK208" s="4"/>
      <c r="AL208" s="4"/>
      <c r="AM208" s="4"/>
      <c r="AN208" s="44"/>
      <c r="AO208" s="8"/>
      <c r="AP208" s="8"/>
      <c r="AQ208" s="8"/>
      <c r="AR208" s="8"/>
      <c r="AS208" s="8"/>
      <c r="AT208" s="8"/>
      <c r="AU208" s="8"/>
      <c r="AV208" s="46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4"/>
      <c r="BX208" s="4"/>
    </row>
    <row r="209" spans="1:76" s="16" customFormat="1" x14ac:dyDescent="0.25">
      <c r="A209" s="26"/>
      <c r="B209" s="6"/>
      <c r="C209" s="7"/>
      <c r="D209" s="7"/>
      <c r="E209" s="7"/>
      <c r="F209" s="7"/>
      <c r="G209" s="7"/>
      <c r="H209" s="7"/>
      <c r="I209" s="4"/>
      <c r="J209" s="7"/>
      <c r="K209" s="7"/>
      <c r="L209" s="7"/>
      <c r="M209" s="7"/>
      <c r="N209" s="4"/>
      <c r="O209" s="4"/>
      <c r="P209" s="4"/>
      <c r="Q209" s="4"/>
      <c r="R209" s="4"/>
      <c r="S209" s="7"/>
      <c r="T209" s="7"/>
      <c r="U209" s="7"/>
      <c r="V209" s="7"/>
      <c r="W209" s="7"/>
      <c r="X209" s="7"/>
      <c r="Y209" s="4"/>
      <c r="Z209" s="4"/>
      <c r="AA209" s="4"/>
      <c r="AB209" s="4"/>
      <c r="AC209" s="4"/>
      <c r="AD209" s="4"/>
      <c r="AE209" s="4"/>
      <c r="AF209" s="4"/>
      <c r="AG209" s="28"/>
      <c r="AH209" s="4"/>
      <c r="AI209" s="4"/>
      <c r="AJ209" s="4"/>
      <c r="AK209" s="4"/>
      <c r="AL209" s="4"/>
      <c r="AM209" s="4"/>
      <c r="AN209" s="44"/>
      <c r="AO209" s="8"/>
      <c r="AP209" s="8"/>
      <c r="AQ209" s="8"/>
      <c r="AR209" s="8"/>
      <c r="AS209" s="8"/>
      <c r="AT209" s="8"/>
      <c r="AU209" s="8"/>
      <c r="AV209" s="46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4"/>
      <c r="BX209" s="4"/>
    </row>
    <row r="210" spans="1:76" s="16" customFormat="1" x14ac:dyDescent="0.25">
      <c r="A210" s="26"/>
      <c r="B210" s="6"/>
      <c r="C210" s="7"/>
      <c r="D210" s="7"/>
      <c r="E210" s="7"/>
      <c r="F210" s="7"/>
      <c r="G210" s="7"/>
      <c r="H210" s="7"/>
      <c r="I210" s="4"/>
      <c r="J210" s="7"/>
      <c r="K210" s="7"/>
      <c r="L210" s="7"/>
      <c r="M210" s="7"/>
      <c r="N210" s="4"/>
      <c r="O210" s="4"/>
      <c r="P210" s="4"/>
      <c r="Q210" s="4"/>
      <c r="R210" s="4"/>
      <c r="S210" s="7"/>
      <c r="T210" s="7"/>
      <c r="U210" s="7"/>
      <c r="V210" s="7"/>
      <c r="W210" s="7"/>
      <c r="X210" s="7"/>
      <c r="Y210" s="4"/>
      <c r="Z210" s="4"/>
      <c r="AA210" s="4"/>
      <c r="AB210" s="4"/>
      <c r="AC210" s="4"/>
      <c r="AD210" s="4"/>
      <c r="AE210" s="4"/>
      <c r="AF210" s="4"/>
      <c r="AG210" s="28"/>
      <c r="AH210" s="4"/>
      <c r="AI210" s="4"/>
      <c r="AJ210" s="4"/>
      <c r="AK210" s="4"/>
      <c r="AL210" s="4"/>
      <c r="AM210" s="4"/>
      <c r="AN210" s="44"/>
      <c r="AO210" s="8"/>
      <c r="AP210" s="8"/>
      <c r="AQ210" s="8"/>
      <c r="AR210" s="8"/>
      <c r="AS210" s="8"/>
      <c r="AT210" s="8"/>
      <c r="AU210" s="8"/>
      <c r="AV210" s="46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4"/>
      <c r="BX210" s="4"/>
    </row>
    <row r="211" spans="1:76" s="16" customFormat="1" x14ac:dyDescent="0.25">
      <c r="A211" s="26"/>
      <c r="B211" s="6"/>
      <c r="C211" s="7"/>
      <c r="D211" s="7"/>
      <c r="E211" s="7"/>
      <c r="F211" s="7"/>
      <c r="G211" s="7"/>
      <c r="H211" s="7"/>
      <c r="I211" s="4"/>
      <c r="J211" s="7"/>
      <c r="K211" s="7"/>
      <c r="L211" s="7"/>
      <c r="M211" s="7"/>
      <c r="N211" s="4"/>
      <c r="O211" s="4"/>
      <c r="P211" s="4"/>
      <c r="Q211" s="4"/>
      <c r="R211" s="4"/>
      <c r="S211" s="7"/>
      <c r="T211" s="7"/>
      <c r="U211" s="7"/>
      <c r="V211" s="7"/>
      <c r="W211" s="7"/>
      <c r="X211" s="7"/>
      <c r="Y211" s="4"/>
      <c r="Z211" s="4"/>
      <c r="AA211" s="4"/>
      <c r="AB211" s="4"/>
      <c r="AC211" s="4"/>
      <c r="AD211" s="4"/>
      <c r="AE211" s="4"/>
      <c r="AF211" s="4"/>
      <c r="AG211" s="28"/>
      <c r="AH211" s="4"/>
      <c r="AI211" s="4"/>
      <c r="AJ211" s="4"/>
      <c r="AK211" s="4"/>
      <c r="AL211" s="4"/>
      <c r="AM211" s="4"/>
      <c r="AN211" s="44"/>
      <c r="AO211" s="8"/>
      <c r="AP211" s="8"/>
      <c r="AQ211" s="8"/>
      <c r="AR211" s="8"/>
      <c r="AS211" s="8"/>
      <c r="AT211" s="8"/>
      <c r="AU211" s="8"/>
      <c r="AV211" s="46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4"/>
      <c r="BX211" s="4"/>
    </row>
    <row r="212" spans="1:76" s="16" customFormat="1" x14ac:dyDescent="0.25">
      <c r="A212" s="26"/>
      <c r="B212" s="6"/>
      <c r="C212" s="7"/>
      <c r="D212" s="7"/>
      <c r="E212" s="7"/>
      <c r="F212" s="7"/>
      <c r="G212" s="7"/>
      <c r="H212" s="7"/>
      <c r="I212" s="4"/>
      <c r="J212" s="7"/>
      <c r="K212" s="7"/>
      <c r="L212" s="7"/>
      <c r="M212" s="7"/>
      <c r="N212" s="4"/>
      <c r="O212" s="4"/>
      <c r="P212" s="4"/>
      <c r="Q212" s="4"/>
      <c r="R212" s="4"/>
      <c r="S212" s="7"/>
      <c r="T212" s="7"/>
      <c r="U212" s="7"/>
      <c r="V212" s="7"/>
      <c r="W212" s="7"/>
      <c r="X212" s="7"/>
      <c r="Y212" s="4"/>
      <c r="Z212" s="4"/>
      <c r="AA212" s="4"/>
      <c r="AB212" s="4"/>
      <c r="AC212" s="4"/>
      <c r="AD212" s="4"/>
      <c r="AE212" s="4"/>
      <c r="AF212" s="4"/>
      <c r="AG212" s="28"/>
      <c r="AH212" s="4"/>
      <c r="AI212" s="4"/>
      <c r="AJ212" s="4"/>
      <c r="AK212" s="4"/>
      <c r="AL212" s="4"/>
      <c r="AM212" s="4"/>
      <c r="AN212" s="44"/>
      <c r="AO212" s="8"/>
      <c r="AP212" s="8"/>
      <c r="AQ212" s="8"/>
      <c r="AR212" s="8"/>
      <c r="AS212" s="8"/>
      <c r="AT212" s="8"/>
      <c r="AU212" s="8"/>
      <c r="AV212" s="46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4"/>
      <c r="BX212" s="4"/>
    </row>
    <row r="213" spans="1:76" s="16" customFormat="1" x14ac:dyDescent="0.25">
      <c r="A213" s="26"/>
      <c r="B213" s="6"/>
      <c r="C213" s="7"/>
      <c r="D213" s="7"/>
      <c r="E213" s="7"/>
      <c r="F213" s="7"/>
      <c r="G213" s="7"/>
      <c r="H213" s="7"/>
      <c r="I213" s="4"/>
      <c r="J213" s="7"/>
      <c r="K213" s="7"/>
      <c r="L213" s="7"/>
      <c r="M213" s="7"/>
      <c r="N213" s="4"/>
      <c r="O213" s="4"/>
      <c r="P213" s="4"/>
      <c r="Q213" s="4"/>
      <c r="R213" s="4"/>
      <c r="S213" s="7"/>
      <c r="T213" s="7"/>
      <c r="U213" s="7"/>
      <c r="V213" s="7"/>
      <c r="W213" s="7"/>
      <c r="X213" s="7"/>
      <c r="Y213" s="4"/>
      <c r="Z213" s="4"/>
      <c r="AA213" s="4"/>
      <c r="AB213" s="4"/>
      <c r="AC213" s="4"/>
      <c r="AD213" s="4"/>
      <c r="AE213" s="4"/>
      <c r="AF213" s="4"/>
      <c r="AG213" s="28"/>
      <c r="AH213" s="4"/>
      <c r="AI213" s="4"/>
      <c r="AJ213" s="4"/>
      <c r="AK213" s="4"/>
      <c r="AL213" s="4"/>
      <c r="AM213" s="4"/>
      <c r="AN213" s="44"/>
      <c r="AO213" s="8"/>
      <c r="AP213" s="8"/>
      <c r="AQ213" s="8"/>
      <c r="AR213" s="8"/>
      <c r="AS213" s="8"/>
      <c r="AT213" s="8"/>
      <c r="AU213" s="8"/>
      <c r="AV213" s="46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4"/>
      <c r="BX213" s="4"/>
    </row>
    <row r="214" spans="1:76" s="16" customFormat="1" x14ac:dyDescent="0.25">
      <c r="A214" s="26"/>
      <c r="B214" s="6"/>
      <c r="C214" s="7"/>
      <c r="D214" s="7"/>
      <c r="E214" s="7"/>
      <c r="F214" s="7"/>
      <c r="G214" s="7"/>
      <c r="H214" s="7"/>
      <c r="I214" s="4"/>
      <c r="J214" s="7"/>
      <c r="K214" s="7"/>
      <c r="L214" s="7"/>
      <c r="M214" s="7"/>
      <c r="N214" s="4"/>
      <c r="O214" s="4"/>
      <c r="P214" s="4"/>
      <c r="Q214" s="4"/>
      <c r="R214" s="4"/>
      <c r="S214" s="7"/>
      <c r="T214" s="7"/>
      <c r="U214" s="7"/>
      <c r="V214" s="7"/>
      <c r="W214" s="7"/>
      <c r="X214" s="7"/>
      <c r="Y214" s="4"/>
      <c r="Z214" s="4"/>
      <c r="AA214" s="4"/>
      <c r="AB214" s="4"/>
      <c r="AC214" s="4"/>
      <c r="AD214" s="4"/>
      <c r="AE214" s="4"/>
      <c r="AF214" s="4"/>
      <c r="AG214" s="28"/>
      <c r="AH214" s="4"/>
      <c r="AI214" s="4"/>
      <c r="AJ214" s="4"/>
      <c r="AK214" s="4"/>
      <c r="AL214" s="4"/>
      <c r="AM214" s="4"/>
      <c r="AN214" s="44"/>
      <c r="AO214" s="8"/>
      <c r="AP214" s="8"/>
      <c r="AQ214" s="8"/>
      <c r="AR214" s="8"/>
      <c r="AS214" s="8"/>
      <c r="AT214" s="8"/>
      <c r="AU214" s="8"/>
      <c r="AV214" s="46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4"/>
      <c r="BX214" s="4"/>
    </row>
    <row r="215" spans="1:76" s="16" customFormat="1" x14ac:dyDescent="0.25">
      <c r="A215" s="26"/>
      <c r="B215" s="6"/>
      <c r="C215" s="7"/>
      <c r="D215" s="7"/>
      <c r="E215" s="7"/>
      <c r="F215" s="7"/>
      <c r="G215" s="7"/>
      <c r="H215" s="7"/>
      <c r="I215" s="4"/>
      <c r="J215" s="7"/>
      <c r="K215" s="7"/>
      <c r="L215" s="7"/>
      <c r="M215" s="7"/>
      <c r="N215" s="4"/>
      <c r="O215" s="4"/>
      <c r="P215" s="4"/>
      <c r="Q215" s="4"/>
      <c r="R215" s="4"/>
      <c r="S215" s="7"/>
      <c r="T215" s="7"/>
      <c r="U215" s="7"/>
      <c r="V215" s="7"/>
      <c r="W215" s="7"/>
      <c r="X215" s="7"/>
      <c r="Y215" s="4"/>
      <c r="Z215" s="4"/>
      <c r="AA215" s="4"/>
      <c r="AB215" s="4"/>
      <c r="AC215" s="4"/>
      <c r="AD215" s="4"/>
      <c r="AE215" s="4"/>
      <c r="AF215" s="4"/>
      <c r="AG215" s="28"/>
      <c r="AH215" s="4"/>
      <c r="AI215" s="4"/>
      <c r="AJ215" s="4"/>
      <c r="AK215" s="4"/>
      <c r="AL215" s="4"/>
      <c r="AM215" s="4"/>
      <c r="AN215" s="44"/>
      <c r="AO215" s="8"/>
      <c r="AP215" s="8"/>
      <c r="AQ215" s="8"/>
      <c r="AR215" s="8"/>
      <c r="AS215" s="8"/>
      <c r="AT215" s="8"/>
      <c r="AU215" s="8"/>
      <c r="AV215" s="46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4"/>
      <c r="BX215" s="4"/>
    </row>
    <row r="216" spans="1:76" s="16" customFormat="1" x14ac:dyDescent="0.25">
      <c r="A216" s="26"/>
      <c r="B216" s="6"/>
      <c r="C216" s="7"/>
      <c r="D216" s="7"/>
      <c r="E216" s="7"/>
      <c r="F216" s="7"/>
      <c r="G216" s="7"/>
      <c r="H216" s="7"/>
      <c r="I216" s="4"/>
      <c r="J216" s="7"/>
      <c r="K216" s="7"/>
      <c r="L216" s="7"/>
      <c r="M216" s="7"/>
      <c r="N216" s="4"/>
      <c r="O216" s="4"/>
      <c r="P216" s="4"/>
      <c r="Q216" s="4"/>
      <c r="R216" s="4"/>
      <c r="S216" s="7"/>
      <c r="T216" s="7"/>
      <c r="U216" s="7"/>
      <c r="V216" s="7"/>
      <c r="W216" s="7"/>
      <c r="X216" s="7"/>
      <c r="Y216" s="4"/>
      <c r="Z216" s="4"/>
      <c r="AA216" s="4"/>
      <c r="AB216" s="4"/>
      <c r="AC216" s="4"/>
      <c r="AD216" s="4"/>
      <c r="AE216" s="4"/>
      <c r="AF216" s="4"/>
      <c r="AG216" s="28"/>
      <c r="AH216" s="4"/>
      <c r="AI216" s="4"/>
      <c r="AJ216" s="4"/>
      <c r="AK216" s="4"/>
      <c r="AL216" s="4"/>
      <c r="AM216" s="4"/>
      <c r="AN216" s="44"/>
      <c r="AO216" s="8"/>
      <c r="AP216" s="8"/>
      <c r="AQ216" s="8"/>
      <c r="AR216" s="8"/>
      <c r="AS216" s="8"/>
      <c r="AT216" s="8"/>
      <c r="AU216" s="8"/>
      <c r="AV216" s="46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4"/>
      <c r="BX216" s="4"/>
    </row>
    <row r="217" spans="1:76" s="16" customFormat="1" x14ac:dyDescent="0.25">
      <c r="A217" s="26"/>
      <c r="B217" s="6"/>
      <c r="C217" s="7"/>
      <c r="D217" s="7"/>
      <c r="E217" s="7"/>
      <c r="F217" s="7"/>
      <c r="G217" s="7"/>
      <c r="H217" s="7"/>
      <c r="I217" s="4"/>
      <c r="J217" s="7"/>
      <c r="K217" s="7"/>
      <c r="L217" s="7"/>
      <c r="M217" s="7"/>
      <c r="N217" s="4"/>
      <c r="O217" s="4"/>
      <c r="P217" s="4"/>
      <c r="Q217" s="4"/>
      <c r="R217" s="4"/>
      <c r="S217" s="7"/>
      <c r="T217" s="7"/>
      <c r="U217" s="7"/>
      <c r="V217" s="7"/>
      <c r="W217" s="7"/>
      <c r="X217" s="7"/>
      <c r="Y217" s="4"/>
      <c r="Z217" s="4"/>
      <c r="AA217" s="4"/>
      <c r="AB217" s="4"/>
      <c r="AC217" s="4"/>
      <c r="AD217" s="4"/>
      <c r="AE217" s="4"/>
      <c r="AF217" s="4"/>
      <c r="AG217" s="28"/>
      <c r="AH217" s="4"/>
      <c r="AI217" s="4"/>
      <c r="AJ217" s="4"/>
      <c r="AK217" s="4"/>
      <c r="AL217" s="4"/>
      <c r="AM217" s="4"/>
      <c r="AN217" s="44"/>
      <c r="AO217" s="8"/>
      <c r="AP217" s="8"/>
      <c r="AQ217" s="8"/>
      <c r="AR217" s="8"/>
      <c r="AS217" s="8"/>
      <c r="AT217" s="8"/>
      <c r="AU217" s="8"/>
      <c r="AV217" s="46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4"/>
      <c r="BX217" s="4"/>
    </row>
    <row r="218" spans="1:76" s="16" customFormat="1" x14ac:dyDescent="0.25">
      <c r="A218" s="26"/>
      <c r="B218" s="6"/>
      <c r="C218" s="7"/>
      <c r="D218" s="7"/>
      <c r="E218" s="7"/>
      <c r="F218" s="7"/>
      <c r="G218" s="7"/>
      <c r="H218" s="7"/>
      <c r="I218" s="4"/>
      <c r="J218" s="7"/>
      <c r="K218" s="7"/>
      <c r="L218" s="7"/>
      <c r="M218" s="7"/>
      <c r="N218" s="4"/>
      <c r="O218" s="4"/>
      <c r="P218" s="4"/>
      <c r="Q218" s="4"/>
      <c r="R218" s="4"/>
      <c r="S218" s="7"/>
      <c r="T218" s="7"/>
      <c r="U218" s="7"/>
      <c r="V218" s="7"/>
      <c r="W218" s="7"/>
      <c r="X218" s="7"/>
      <c r="Y218" s="4"/>
      <c r="Z218" s="4"/>
      <c r="AA218" s="4"/>
      <c r="AB218" s="4"/>
      <c r="AC218" s="4"/>
      <c r="AD218" s="4"/>
      <c r="AE218" s="4"/>
      <c r="AF218" s="4"/>
      <c r="AG218" s="28"/>
      <c r="AH218" s="4"/>
      <c r="AI218" s="4"/>
      <c r="AJ218" s="4"/>
      <c r="AK218" s="4"/>
      <c r="AL218" s="4"/>
      <c r="AM218" s="4"/>
      <c r="AN218" s="44"/>
      <c r="AO218" s="8"/>
      <c r="AP218" s="8"/>
      <c r="AQ218" s="8"/>
      <c r="AR218" s="8"/>
      <c r="AS218" s="8"/>
      <c r="AT218" s="8"/>
      <c r="AU218" s="8"/>
      <c r="AV218" s="46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4"/>
      <c r="BX218" s="4"/>
    </row>
    <row r="219" spans="1:76" s="16" customFormat="1" x14ac:dyDescent="0.25">
      <c r="A219" s="26"/>
      <c r="B219" s="6"/>
      <c r="C219" s="7"/>
      <c r="D219" s="7"/>
      <c r="E219" s="7"/>
      <c r="F219" s="7"/>
      <c r="G219" s="7"/>
      <c r="H219" s="7"/>
      <c r="I219" s="4"/>
      <c r="J219" s="7"/>
      <c r="K219" s="7"/>
      <c r="L219" s="7"/>
      <c r="M219" s="7"/>
      <c r="N219" s="4"/>
      <c r="O219" s="4"/>
      <c r="P219" s="4"/>
      <c r="Q219" s="4"/>
      <c r="R219" s="4"/>
      <c r="S219" s="7"/>
      <c r="T219" s="7"/>
      <c r="U219" s="7"/>
      <c r="V219" s="7"/>
      <c r="W219" s="7"/>
      <c r="X219" s="7"/>
      <c r="Y219" s="4"/>
      <c r="Z219" s="4"/>
      <c r="AA219" s="4"/>
      <c r="AB219" s="4"/>
      <c r="AC219" s="4"/>
      <c r="AD219" s="4"/>
      <c r="AE219" s="4"/>
      <c r="AF219" s="4"/>
      <c r="AG219" s="28"/>
      <c r="AH219" s="4"/>
      <c r="AI219" s="4"/>
      <c r="AJ219" s="4"/>
      <c r="AK219" s="4"/>
      <c r="AL219" s="4"/>
      <c r="AM219" s="4"/>
      <c r="AN219" s="44"/>
      <c r="AO219" s="8"/>
      <c r="AP219" s="8"/>
      <c r="AQ219" s="8"/>
      <c r="AR219" s="8"/>
      <c r="AS219" s="8"/>
      <c r="AT219" s="8"/>
      <c r="AU219" s="8"/>
      <c r="AV219" s="46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4"/>
      <c r="BX219" s="4"/>
    </row>
    <row r="220" spans="1:76" s="16" customFormat="1" x14ac:dyDescent="0.25">
      <c r="A220" s="26"/>
      <c r="B220" s="6"/>
      <c r="C220" s="7"/>
      <c r="D220" s="7"/>
      <c r="E220" s="7"/>
      <c r="F220" s="7"/>
      <c r="G220" s="7"/>
      <c r="H220" s="7"/>
      <c r="I220" s="4"/>
      <c r="J220" s="7"/>
      <c r="K220" s="7"/>
      <c r="L220" s="7"/>
      <c r="M220" s="7"/>
      <c r="N220" s="4"/>
      <c r="O220" s="4"/>
      <c r="P220" s="4"/>
      <c r="Q220" s="4"/>
      <c r="R220" s="4"/>
      <c r="S220" s="7"/>
      <c r="T220" s="7"/>
      <c r="U220" s="7"/>
      <c r="V220" s="7"/>
      <c r="W220" s="7"/>
      <c r="X220" s="7"/>
      <c r="Y220" s="4"/>
      <c r="Z220" s="4"/>
      <c r="AA220" s="4"/>
      <c r="AB220" s="4"/>
      <c r="AC220" s="4"/>
      <c r="AD220" s="4"/>
      <c r="AE220" s="4"/>
      <c r="AF220" s="4"/>
      <c r="AG220" s="28"/>
      <c r="AH220" s="4"/>
      <c r="AI220" s="4"/>
      <c r="AJ220" s="4"/>
      <c r="AK220" s="4"/>
      <c r="AL220" s="4"/>
      <c r="AM220" s="4"/>
      <c r="AN220" s="44"/>
      <c r="AO220" s="8"/>
      <c r="AP220" s="8"/>
      <c r="AQ220" s="8"/>
      <c r="AR220" s="8"/>
      <c r="AS220" s="8"/>
      <c r="AT220" s="8"/>
      <c r="AU220" s="8"/>
      <c r="AV220" s="46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4"/>
      <c r="BX220" s="4"/>
    </row>
    <row r="221" spans="1:76" s="16" customFormat="1" x14ac:dyDescent="0.25">
      <c r="A221" s="26"/>
      <c r="B221" s="6"/>
      <c r="C221" s="7"/>
      <c r="D221" s="7"/>
      <c r="E221" s="7"/>
      <c r="F221" s="7"/>
      <c r="G221" s="7"/>
      <c r="H221" s="7"/>
      <c r="I221" s="4"/>
      <c r="J221" s="7"/>
      <c r="K221" s="7"/>
      <c r="L221" s="7"/>
      <c r="M221" s="7"/>
      <c r="N221" s="4"/>
      <c r="O221" s="4"/>
      <c r="P221" s="4"/>
      <c r="Q221" s="4"/>
      <c r="R221" s="4"/>
      <c r="S221" s="7"/>
      <c r="T221" s="7"/>
      <c r="U221" s="7"/>
      <c r="V221" s="7"/>
      <c r="W221" s="7"/>
      <c r="X221" s="7"/>
      <c r="Y221" s="4"/>
      <c r="Z221" s="4"/>
      <c r="AA221" s="4"/>
      <c r="AB221" s="4"/>
      <c r="AC221" s="4"/>
      <c r="AD221" s="4"/>
      <c r="AE221" s="4"/>
      <c r="AF221" s="4"/>
      <c r="AG221" s="28"/>
      <c r="AH221" s="4"/>
      <c r="AI221" s="4"/>
      <c r="AJ221" s="4"/>
      <c r="AK221" s="4"/>
      <c r="AL221" s="4"/>
      <c r="AM221" s="4"/>
      <c r="AN221" s="44"/>
      <c r="AO221" s="8"/>
      <c r="AP221" s="8"/>
      <c r="AQ221" s="8"/>
      <c r="AR221" s="8"/>
      <c r="AS221" s="8"/>
      <c r="AT221" s="8"/>
      <c r="AU221" s="8"/>
      <c r="AV221" s="46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4"/>
      <c r="BX221" s="4"/>
    </row>
    <row r="222" spans="1:76" s="16" customFormat="1" x14ac:dyDescent="0.25">
      <c r="A222" s="26"/>
      <c r="B222" s="6"/>
      <c r="C222" s="7"/>
      <c r="D222" s="7"/>
      <c r="E222" s="7"/>
      <c r="F222" s="7"/>
      <c r="G222" s="7"/>
      <c r="H222" s="7"/>
      <c r="I222" s="4"/>
      <c r="J222" s="7"/>
      <c r="K222" s="7"/>
      <c r="L222" s="7"/>
      <c r="M222" s="7"/>
      <c r="N222" s="4"/>
      <c r="O222" s="4"/>
      <c r="P222" s="4"/>
      <c r="Q222" s="4"/>
      <c r="R222" s="4"/>
      <c r="S222" s="7"/>
      <c r="T222" s="7"/>
      <c r="U222" s="7"/>
      <c r="V222" s="7"/>
      <c r="W222" s="7"/>
      <c r="X222" s="7"/>
      <c r="Y222" s="4"/>
      <c r="Z222" s="4"/>
      <c r="AA222" s="4"/>
      <c r="AB222" s="4"/>
      <c r="AC222" s="4"/>
      <c r="AD222" s="4"/>
      <c r="AE222" s="4"/>
      <c r="AF222" s="4"/>
      <c r="AG222" s="28"/>
      <c r="AH222" s="4"/>
      <c r="AI222" s="4"/>
      <c r="AJ222" s="4"/>
      <c r="AK222" s="4"/>
      <c r="AL222" s="4"/>
      <c r="AM222" s="4"/>
      <c r="AN222" s="44"/>
      <c r="AO222" s="8"/>
      <c r="AP222" s="8"/>
      <c r="AQ222" s="8"/>
      <c r="AR222" s="8"/>
      <c r="AS222" s="8"/>
      <c r="AT222" s="8"/>
      <c r="AU222" s="8"/>
      <c r="AV222" s="46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4"/>
      <c r="BX222" s="4"/>
    </row>
    <row r="223" spans="1:76" s="16" customFormat="1" x14ac:dyDescent="0.25">
      <c r="A223" s="26"/>
      <c r="B223" s="6"/>
      <c r="C223" s="7"/>
      <c r="D223" s="7"/>
      <c r="E223" s="7"/>
      <c r="F223" s="7"/>
      <c r="G223" s="7"/>
      <c r="H223" s="7"/>
      <c r="I223" s="4"/>
      <c r="J223" s="7"/>
      <c r="K223" s="7"/>
      <c r="L223" s="7"/>
      <c r="M223" s="7"/>
      <c r="N223" s="4"/>
      <c r="O223" s="4"/>
      <c r="P223" s="4"/>
      <c r="Q223" s="4"/>
      <c r="R223" s="4"/>
      <c r="S223" s="7"/>
      <c r="T223" s="7"/>
      <c r="U223" s="7"/>
      <c r="V223" s="7"/>
      <c r="W223" s="7"/>
      <c r="X223" s="7"/>
      <c r="Y223" s="4"/>
      <c r="Z223" s="4"/>
      <c r="AA223" s="4"/>
      <c r="AB223" s="4"/>
      <c r="AC223" s="4"/>
      <c r="AD223" s="4"/>
      <c r="AE223" s="4"/>
      <c r="AF223" s="4"/>
      <c r="AG223" s="28"/>
      <c r="AH223" s="4"/>
      <c r="AI223" s="4"/>
      <c r="AJ223" s="4"/>
      <c r="AK223" s="4"/>
      <c r="AL223" s="4"/>
      <c r="AM223" s="4"/>
      <c r="AN223" s="44"/>
      <c r="AO223" s="8"/>
      <c r="AP223" s="8"/>
      <c r="AQ223" s="8"/>
      <c r="AR223" s="8"/>
      <c r="AS223" s="8"/>
      <c r="AT223" s="8"/>
      <c r="AU223" s="8"/>
      <c r="AV223" s="46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4"/>
      <c r="BX223" s="4"/>
    </row>
    <row r="224" spans="1:76" s="16" customFormat="1" x14ac:dyDescent="0.25">
      <c r="A224" s="26"/>
      <c r="B224" s="6"/>
      <c r="C224" s="7"/>
      <c r="D224" s="7"/>
      <c r="E224" s="7"/>
      <c r="F224" s="7"/>
      <c r="G224" s="7"/>
      <c r="H224" s="7"/>
      <c r="I224" s="4"/>
      <c r="J224" s="7"/>
      <c r="K224" s="7"/>
      <c r="L224" s="7"/>
      <c r="M224" s="7"/>
      <c r="N224" s="4"/>
      <c r="O224" s="4"/>
      <c r="P224" s="4"/>
      <c r="Q224" s="4"/>
      <c r="R224" s="4"/>
      <c r="S224" s="7"/>
      <c r="T224" s="7"/>
      <c r="U224" s="7"/>
      <c r="V224" s="7"/>
      <c r="W224" s="7"/>
      <c r="X224" s="7"/>
      <c r="Y224" s="4"/>
      <c r="Z224" s="4"/>
      <c r="AA224" s="4"/>
      <c r="AB224" s="4"/>
      <c r="AC224" s="4"/>
      <c r="AD224" s="4"/>
      <c r="AE224" s="4"/>
      <c r="AF224" s="4"/>
      <c r="AG224" s="28"/>
      <c r="AH224" s="4"/>
      <c r="AI224" s="4"/>
      <c r="AJ224" s="4"/>
      <c r="AK224" s="4"/>
      <c r="AL224" s="4"/>
      <c r="AM224" s="4"/>
      <c r="AN224" s="44"/>
      <c r="AO224" s="8"/>
      <c r="AP224" s="8"/>
      <c r="AQ224" s="8"/>
      <c r="AR224" s="8"/>
      <c r="AS224" s="8"/>
      <c r="AT224" s="8"/>
      <c r="AU224" s="8"/>
      <c r="AV224" s="46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4"/>
      <c r="BX224" s="4"/>
    </row>
    <row r="225" spans="1:76" s="16" customFormat="1" x14ac:dyDescent="0.25">
      <c r="A225" s="26"/>
      <c r="B225" s="6"/>
      <c r="C225" s="7"/>
      <c r="D225" s="7"/>
      <c r="E225" s="7"/>
      <c r="F225" s="7"/>
      <c r="G225" s="7"/>
      <c r="H225" s="7"/>
      <c r="I225" s="4"/>
      <c r="J225" s="7"/>
      <c r="K225" s="7"/>
      <c r="L225" s="7"/>
      <c r="M225" s="7"/>
      <c r="N225" s="4"/>
      <c r="O225" s="4"/>
      <c r="P225" s="4"/>
      <c r="Q225" s="4"/>
      <c r="R225" s="4"/>
      <c r="S225" s="7"/>
      <c r="T225" s="7"/>
      <c r="U225" s="7"/>
      <c r="V225" s="7"/>
      <c r="W225" s="7"/>
      <c r="X225" s="7"/>
      <c r="Y225" s="4"/>
      <c r="Z225" s="4"/>
      <c r="AA225" s="4"/>
      <c r="AB225" s="4"/>
      <c r="AC225" s="4"/>
      <c r="AD225" s="4"/>
      <c r="AE225" s="4"/>
      <c r="AF225" s="4"/>
      <c r="AG225" s="28"/>
      <c r="AH225" s="4"/>
      <c r="AI225" s="4"/>
      <c r="AJ225" s="4"/>
      <c r="AK225" s="4"/>
      <c r="AL225" s="4"/>
      <c r="AM225" s="4"/>
      <c r="AN225" s="44"/>
      <c r="AO225" s="8"/>
      <c r="AP225" s="8"/>
      <c r="AQ225" s="8"/>
      <c r="AR225" s="8"/>
      <c r="AS225" s="8"/>
      <c r="AT225" s="8"/>
      <c r="AU225" s="8"/>
      <c r="AV225" s="46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4"/>
      <c r="BX225" s="4"/>
    </row>
    <row r="226" spans="1:76" s="16" customFormat="1" x14ac:dyDescent="0.25">
      <c r="A226" s="26"/>
      <c r="B226" s="6"/>
      <c r="C226" s="7"/>
      <c r="D226" s="7"/>
      <c r="E226" s="7"/>
      <c r="F226" s="7"/>
      <c r="G226" s="7"/>
      <c r="H226" s="7"/>
      <c r="I226" s="4"/>
      <c r="J226" s="7"/>
      <c r="K226" s="7"/>
      <c r="L226" s="7"/>
      <c r="M226" s="7"/>
      <c r="N226" s="4"/>
      <c r="O226" s="4"/>
      <c r="P226" s="4"/>
      <c r="Q226" s="4"/>
      <c r="R226" s="4"/>
      <c r="S226" s="7"/>
      <c r="T226" s="7"/>
      <c r="U226" s="7"/>
      <c r="V226" s="7"/>
      <c r="W226" s="7"/>
      <c r="X226" s="7"/>
      <c r="Y226" s="4"/>
      <c r="Z226" s="4"/>
      <c r="AA226" s="4"/>
      <c r="AB226" s="4"/>
      <c r="AC226" s="4"/>
      <c r="AD226" s="4"/>
      <c r="AE226" s="4"/>
      <c r="AF226" s="4"/>
      <c r="AG226" s="28"/>
      <c r="AH226" s="4"/>
      <c r="AI226" s="4"/>
      <c r="AJ226" s="4"/>
      <c r="AK226" s="4"/>
      <c r="AL226" s="4"/>
      <c r="AM226" s="4"/>
      <c r="AN226" s="44"/>
      <c r="AO226" s="8"/>
      <c r="AP226" s="8"/>
      <c r="AQ226" s="8"/>
      <c r="AR226" s="8"/>
      <c r="AS226" s="8"/>
      <c r="AT226" s="8"/>
      <c r="AU226" s="8"/>
      <c r="AV226" s="46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4"/>
      <c r="BX226" s="4"/>
    </row>
    <row r="227" spans="1:76" s="16" customFormat="1" x14ac:dyDescent="0.25">
      <c r="A227" s="26"/>
      <c r="B227" s="6"/>
      <c r="C227" s="7"/>
      <c r="D227" s="7"/>
      <c r="E227" s="7"/>
      <c r="F227" s="7"/>
      <c r="G227" s="7"/>
      <c r="H227" s="7"/>
      <c r="I227" s="4"/>
      <c r="J227" s="7"/>
      <c r="K227" s="7"/>
      <c r="L227" s="7"/>
      <c r="M227" s="7"/>
      <c r="N227" s="4"/>
      <c r="O227" s="4"/>
      <c r="P227" s="4"/>
      <c r="Q227" s="4"/>
      <c r="R227" s="4"/>
      <c r="S227" s="7"/>
      <c r="T227" s="7"/>
      <c r="U227" s="7"/>
      <c r="V227" s="7"/>
      <c r="W227" s="7"/>
      <c r="X227" s="7"/>
      <c r="Y227" s="4"/>
      <c r="Z227" s="4"/>
      <c r="AA227" s="4"/>
      <c r="AB227" s="4"/>
      <c r="AC227" s="4"/>
      <c r="AD227" s="4"/>
      <c r="AE227" s="4"/>
      <c r="AF227" s="4"/>
      <c r="AG227" s="28"/>
      <c r="AH227" s="4"/>
      <c r="AI227" s="4"/>
      <c r="AJ227" s="4"/>
      <c r="AK227" s="4"/>
      <c r="AL227" s="4"/>
      <c r="AM227" s="4"/>
      <c r="AN227" s="44"/>
      <c r="AO227" s="8"/>
      <c r="AP227" s="8"/>
      <c r="AQ227" s="8"/>
      <c r="AR227" s="8"/>
      <c r="AS227" s="8"/>
      <c r="AT227" s="8"/>
      <c r="AU227" s="8"/>
      <c r="AV227" s="46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4"/>
      <c r="BX227" s="4"/>
    </row>
    <row r="228" spans="1:76" s="16" customFormat="1" x14ac:dyDescent="0.25">
      <c r="A228" s="26"/>
      <c r="B228" s="6"/>
      <c r="C228" s="7"/>
      <c r="D228" s="7"/>
      <c r="E228" s="7"/>
      <c r="F228" s="7"/>
      <c r="G228" s="7"/>
      <c r="H228" s="7"/>
      <c r="I228" s="4"/>
      <c r="J228" s="7"/>
      <c r="K228" s="7"/>
      <c r="L228" s="7"/>
      <c r="M228" s="7"/>
      <c r="N228" s="4"/>
      <c r="O228" s="4"/>
      <c r="P228" s="4"/>
      <c r="Q228" s="4"/>
      <c r="R228" s="4"/>
      <c r="S228" s="7"/>
      <c r="T228" s="7"/>
      <c r="U228" s="7"/>
      <c r="V228" s="7"/>
      <c r="W228" s="7"/>
      <c r="X228" s="7"/>
      <c r="Y228" s="4"/>
      <c r="Z228" s="4"/>
      <c r="AA228" s="4"/>
      <c r="AB228" s="4"/>
      <c r="AC228" s="4"/>
      <c r="AD228" s="4"/>
      <c r="AE228" s="4"/>
      <c r="AF228" s="4"/>
      <c r="AG228" s="28"/>
      <c r="AH228" s="4"/>
      <c r="AI228" s="4"/>
      <c r="AJ228" s="4"/>
      <c r="AK228" s="4"/>
      <c r="AL228" s="4"/>
      <c r="AM228" s="4"/>
      <c r="AN228" s="44"/>
      <c r="AO228" s="8"/>
      <c r="AP228" s="8"/>
      <c r="AQ228" s="8"/>
      <c r="AR228" s="8"/>
      <c r="AS228" s="8"/>
      <c r="AT228" s="8"/>
      <c r="AU228" s="8"/>
      <c r="AV228" s="46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4"/>
      <c r="BX228" s="4"/>
    </row>
    <row r="229" spans="1:76" s="16" customFormat="1" x14ac:dyDescent="0.25">
      <c r="A229" s="26"/>
      <c r="B229" s="6"/>
      <c r="C229" s="7"/>
      <c r="D229" s="7"/>
      <c r="E229" s="7"/>
      <c r="F229" s="7"/>
      <c r="G229" s="7"/>
      <c r="H229" s="7"/>
      <c r="I229" s="4"/>
      <c r="J229" s="7"/>
      <c r="K229" s="7"/>
      <c r="L229" s="7"/>
      <c r="M229" s="7"/>
      <c r="N229" s="4"/>
      <c r="O229" s="4"/>
      <c r="P229" s="4"/>
      <c r="Q229" s="4"/>
      <c r="R229" s="4"/>
      <c r="S229" s="7"/>
      <c r="T229" s="7"/>
      <c r="U229" s="7"/>
      <c r="V229" s="7"/>
      <c r="W229" s="7"/>
      <c r="X229" s="7"/>
      <c r="Y229" s="4"/>
      <c r="Z229" s="4"/>
      <c r="AA229" s="4"/>
      <c r="AB229" s="4"/>
      <c r="AC229" s="4"/>
      <c r="AD229" s="4"/>
      <c r="AE229" s="4"/>
      <c r="AF229" s="4"/>
      <c r="AG229" s="28"/>
      <c r="AH229" s="4"/>
      <c r="AI229" s="4"/>
      <c r="AJ229" s="4"/>
      <c r="AK229" s="4"/>
      <c r="AL229" s="4"/>
      <c r="AM229" s="4"/>
      <c r="AN229" s="44"/>
      <c r="AO229" s="8"/>
      <c r="AP229" s="8"/>
      <c r="AQ229" s="8"/>
      <c r="AR229" s="8"/>
      <c r="AS229" s="8"/>
      <c r="AT229" s="8"/>
      <c r="AU229" s="8"/>
      <c r="AV229" s="46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4"/>
      <c r="BX229" s="4"/>
    </row>
    <row r="230" spans="1:76" s="16" customFormat="1" x14ac:dyDescent="0.25">
      <c r="A230" s="26"/>
      <c r="B230" s="6"/>
      <c r="C230" s="7"/>
      <c r="D230" s="7"/>
      <c r="E230" s="7"/>
      <c r="F230" s="7"/>
      <c r="G230" s="7"/>
      <c r="H230" s="7"/>
      <c r="I230" s="4"/>
      <c r="J230" s="7"/>
      <c r="K230" s="7"/>
      <c r="L230" s="7"/>
      <c r="M230" s="7"/>
      <c r="N230" s="4"/>
      <c r="O230" s="4"/>
      <c r="P230" s="4"/>
      <c r="Q230" s="4"/>
      <c r="R230" s="4"/>
      <c r="S230" s="7"/>
      <c r="T230" s="7"/>
      <c r="U230" s="7"/>
      <c r="V230" s="7"/>
      <c r="W230" s="7"/>
      <c r="X230" s="7"/>
      <c r="Y230" s="4"/>
      <c r="Z230" s="4"/>
      <c r="AA230" s="4"/>
      <c r="AB230" s="4"/>
      <c r="AC230" s="4"/>
      <c r="AD230" s="4"/>
      <c r="AE230" s="4"/>
      <c r="AF230" s="4"/>
      <c r="AG230" s="28"/>
      <c r="AH230" s="4"/>
      <c r="AI230" s="4"/>
      <c r="AJ230" s="4"/>
      <c r="AK230" s="4"/>
      <c r="AL230" s="4"/>
      <c r="AM230" s="4"/>
      <c r="AN230" s="44"/>
      <c r="AO230" s="8"/>
      <c r="AP230" s="8"/>
      <c r="AQ230" s="8"/>
      <c r="AR230" s="8"/>
      <c r="AS230" s="8"/>
      <c r="AT230" s="8"/>
      <c r="AU230" s="8"/>
      <c r="AV230" s="46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4"/>
      <c r="BX230" s="4"/>
    </row>
    <row r="231" spans="1:76" s="16" customFormat="1" x14ac:dyDescent="0.25">
      <c r="A231" s="26"/>
      <c r="B231" s="6"/>
      <c r="C231" s="7"/>
      <c r="D231" s="7"/>
      <c r="E231" s="7"/>
      <c r="F231" s="7"/>
      <c r="G231" s="7"/>
      <c r="H231" s="7"/>
      <c r="I231" s="4"/>
      <c r="J231" s="7"/>
      <c r="K231" s="7"/>
      <c r="L231" s="7"/>
      <c r="M231" s="7"/>
      <c r="N231" s="4"/>
      <c r="O231" s="4"/>
      <c r="P231" s="4"/>
      <c r="Q231" s="4"/>
      <c r="R231" s="4"/>
      <c r="S231" s="7"/>
      <c r="T231" s="7"/>
      <c r="U231" s="7"/>
      <c r="V231" s="7"/>
      <c r="W231" s="7"/>
      <c r="X231" s="7"/>
      <c r="Y231" s="4"/>
      <c r="Z231" s="4"/>
      <c r="AA231" s="4"/>
      <c r="AB231" s="4"/>
      <c r="AC231" s="4"/>
      <c r="AD231" s="4"/>
      <c r="AE231" s="4"/>
      <c r="AF231" s="4"/>
      <c r="AG231" s="28"/>
      <c r="AH231" s="4"/>
      <c r="AI231" s="4"/>
      <c r="AJ231" s="4"/>
      <c r="AK231" s="4"/>
      <c r="AL231" s="4"/>
      <c r="AM231" s="4"/>
      <c r="AN231" s="44"/>
      <c r="AO231" s="8"/>
      <c r="AP231" s="8"/>
      <c r="AQ231" s="8"/>
      <c r="AR231" s="8"/>
      <c r="AS231" s="8"/>
      <c r="AT231" s="8"/>
      <c r="AU231" s="8"/>
      <c r="AV231" s="46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4"/>
      <c r="BX231" s="4"/>
    </row>
    <row r="232" spans="1:76" s="16" customFormat="1" x14ac:dyDescent="0.25">
      <c r="A232" s="26"/>
      <c r="B232" s="6"/>
      <c r="C232" s="7"/>
      <c r="D232" s="7"/>
      <c r="E232" s="7"/>
      <c r="F232" s="7"/>
      <c r="G232" s="7"/>
      <c r="H232" s="7"/>
      <c r="I232" s="4"/>
      <c r="J232" s="7"/>
      <c r="K232" s="7"/>
      <c r="L232" s="7"/>
      <c r="M232" s="7"/>
      <c r="N232" s="4"/>
      <c r="O232" s="4"/>
      <c r="P232" s="4"/>
      <c r="Q232" s="4"/>
      <c r="R232" s="4"/>
      <c r="S232" s="7"/>
      <c r="T232" s="7"/>
      <c r="U232" s="7"/>
      <c r="V232" s="7"/>
      <c r="W232" s="7"/>
      <c r="X232" s="7"/>
      <c r="Y232" s="4"/>
      <c r="Z232" s="4"/>
      <c r="AA232" s="4"/>
      <c r="AB232" s="4"/>
      <c r="AC232" s="4"/>
      <c r="AD232" s="4"/>
      <c r="AE232" s="4"/>
      <c r="AF232" s="4"/>
      <c r="AG232" s="28"/>
      <c r="AH232" s="4"/>
      <c r="AI232" s="4"/>
      <c r="AJ232" s="4"/>
      <c r="AK232" s="4"/>
      <c r="AL232" s="4"/>
      <c r="AM232" s="4"/>
      <c r="AN232" s="44"/>
      <c r="AO232" s="8"/>
      <c r="AP232" s="8"/>
      <c r="AQ232" s="8"/>
      <c r="AR232" s="8"/>
      <c r="AS232" s="8"/>
      <c r="AT232" s="8"/>
      <c r="AU232" s="8"/>
      <c r="AV232" s="46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4"/>
      <c r="BX232" s="4"/>
    </row>
    <row r="233" spans="1:76" s="16" customFormat="1" x14ac:dyDescent="0.25">
      <c r="A233" s="26"/>
      <c r="B233" s="6"/>
      <c r="C233" s="7"/>
      <c r="D233" s="7"/>
      <c r="E233" s="7"/>
      <c r="F233" s="7"/>
      <c r="G233" s="7"/>
      <c r="H233" s="7"/>
      <c r="I233" s="4"/>
      <c r="J233" s="7"/>
      <c r="K233" s="7"/>
      <c r="L233" s="7"/>
      <c r="M233" s="7"/>
      <c r="N233" s="4"/>
      <c r="O233" s="4"/>
      <c r="P233" s="4"/>
      <c r="Q233" s="4"/>
      <c r="R233" s="4"/>
      <c r="S233" s="7"/>
      <c r="T233" s="7"/>
      <c r="U233" s="7"/>
      <c r="V233" s="7"/>
      <c r="W233" s="7"/>
      <c r="X233" s="7"/>
      <c r="Y233" s="4"/>
      <c r="Z233" s="4"/>
      <c r="AA233" s="4"/>
      <c r="AB233" s="4"/>
      <c r="AC233" s="4"/>
      <c r="AD233" s="4"/>
      <c r="AE233" s="4"/>
      <c r="AF233" s="4"/>
      <c r="AG233" s="28"/>
      <c r="AH233" s="4"/>
      <c r="AI233" s="4"/>
      <c r="AJ233" s="4"/>
      <c r="AK233" s="4"/>
      <c r="AL233" s="4"/>
      <c r="AM233" s="4"/>
      <c r="AN233" s="44"/>
      <c r="AO233" s="8"/>
      <c r="AP233" s="8"/>
      <c r="AQ233" s="8"/>
      <c r="AR233" s="8"/>
      <c r="AS233" s="8"/>
      <c r="AT233" s="8"/>
      <c r="AU233" s="8"/>
      <c r="AV233" s="46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4"/>
      <c r="BX233" s="4"/>
    </row>
    <row r="234" spans="1:76" s="16" customFormat="1" x14ac:dyDescent="0.25">
      <c r="A234" s="26"/>
      <c r="B234" s="6"/>
      <c r="C234" s="7"/>
      <c r="D234" s="7"/>
      <c r="E234" s="7"/>
      <c r="F234" s="7"/>
      <c r="G234" s="7"/>
      <c r="H234" s="7"/>
      <c r="I234" s="4"/>
      <c r="J234" s="7"/>
      <c r="K234" s="7"/>
      <c r="L234" s="7"/>
      <c r="M234" s="7"/>
      <c r="N234" s="4"/>
      <c r="O234" s="4"/>
      <c r="P234" s="4"/>
      <c r="Q234" s="4"/>
      <c r="R234" s="4"/>
      <c r="S234" s="7"/>
      <c r="T234" s="7"/>
      <c r="U234" s="7"/>
      <c r="V234" s="7"/>
      <c r="W234" s="7"/>
      <c r="X234" s="7"/>
      <c r="Y234" s="4"/>
      <c r="Z234" s="4"/>
      <c r="AA234" s="4"/>
      <c r="AB234" s="4"/>
      <c r="AC234" s="4"/>
      <c r="AD234" s="4"/>
      <c r="AE234" s="4"/>
      <c r="AF234" s="4"/>
      <c r="AG234" s="28"/>
      <c r="AH234" s="4"/>
      <c r="AI234" s="4"/>
      <c r="AJ234" s="4"/>
      <c r="AK234" s="4"/>
      <c r="AL234" s="4"/>
      <c r="AM234" s="4"/>
      <c r="AN234" s="44"/>
      <c r="AO234" s="8"/>
      <c r="AP234" s="8"/>
      <c r="AQ234" s="8"/>
      <c r="AR234" s="8"/>
      <c r="AS234" s="8"/>
      <c r="AT234" s="8"/>
      <c r="AU234" s="8"/>
      <c r="AV234" s="46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4"/>
      <c r="BX234" s="4"/>
    </row>
    <row r="235" spans="1:76" s="16" customFormat="1" x14ac:dyDescent="0.25">
      <c r="A235" s="26"/>
      <c r="B235" s="6"/>
      <c r="C235" s="7"/>
      <c r="D235" s="7"/>
      <c r="E235" s="7"/>
      <c r="F235" s="7"/>
      <c r="G235" s="7"/>
      <c r="H235" s="7"/>
      <c r="I235" s="4"/>
      <c r="J235" s="7"/>
      <c r="K235" s="7"/>
      <c r="L235" s="7"/>
      <c r="M235" s="7"/>
      <c r="N235" s="4"/>
      <c r="O235" s="4"/>
      <c r="P235" s="4"/>
      <c r="Q235" s="4"/>
      <c r="R235" s="4"/>
      <c r="S235" s="7"/>
      <c r="T235" s="7"/>
      <c r="U235" s="7"/>
      <c r="V235" s="7"/>
      <c r="W235" s="7"/>
      <c r="X235" s="7"/>
      <c r="Y235" s="4"/>
      <c r="Z235" s="4"/>
      <c r="AA235" s="4"/>
      <c r="AB235" s="4"/>
      <c r="AC235" s="4"/>
      <c r="AD235" s="4"/>
      <c r="AE235" s="4"/>
      <c r="AF235" s="4"/>
      <c r="AG235" s="28"/>
      <c r="AH235" s="4"/>
      <c r="AI235" s="4"/>
      <c r="AJ235" s="4"/>
      <c r="AK235" s="4"/>
      <c r="AL235" s="4"/>
      <c r="AM235" s="4"/>
      <c r="AN235" s="44"/>
      <c r="AO235" s="8"/>
      <c r="AP235" s="8"/>
      <c r="AQ235" s="8"/>
      <c r="AR235" s="8"/>
      <c r="AS235" s="8"/>
      <c r="AT235" s="8"/>
      <c r="AU235" s="8"/>
      <c r="AV235" s="46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4"/>
      <c r="BX235" s="4"/>
    </row>
    <row r="236" spans="1:76" s="16" customFormat="1" x14ac:dyDescent="0.25">
      <c r="A236" s="26"/>
      <c r="B236" s="6"/>
      <c r="C236" s="7"/>
      <c r="D236" s="7"/>
      <c r="E236" s="7"/>
      <c r="F236" s="7"/>
      <c r="G236" s="7"/>
      <c r="H236" s="7"/>
      <c r="I236" s="4"/>
      <c r="J236" s="7"/>
      <c r="K236" s="7"/>
      <c r="L236" s="7"/>
      <c r="M236" s="7"/>
      <c r="N236" s="4"/>
      <c r="O236" s="4"/>
      <c r="P236" s="4"/>
      <c r="Q236" s="4"/>
      <c r="R236" s="4"/>
      <c r="S236" s="7"/>
      <c r="T236" s="7"/>
      <c r="U236" s="7"/>
      <c r="V236" s="7"/>
      <c r="W236" s="7"/>
      <c r="X236" s="7"/>
      <c r="Y236" s="4"/>
      <c r="Z236" s="4"/>
      <c r="AA236" s="4"/>
      <c r="AB236" s="4"/>
      <c r="AC236" s="4"/>
      <c r="AD236" s="4"/>
      <c r="AE236" s="4"/>
      <c r="AF236" s="4"/>
      <c r="AG236" s="28"/>
      <c r="AH236" s="4"/>
      <c r="AI236" s="4"/>
      <c r="AJ236" s="4"/>
      <c r="AK236" s="4"/>
      <c r="AL236" s="4"/>
      <c r="AM236" s="4"/>
      <c r="AN236" s="44"/>
      <c r="AO236" s="8"/>
      <c r="AP236" s="8"/>
      <c r="AQ236" s="8"/>
      <c r="AR236" s="8"/>
      <c r="AS236" s="8"/>
      <c r="AT236" s="8"/>
      <c r="AU236" s="8"/>
      <c r="AV236" s="46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4"/>
      <c r="BX236" s="4"/>
    </row>
    <row r="237" spans="1:76" s="16" customFormat="1" x14ac:dyDescent="0.25">
      <c r="A237" s="26"/>
      <c r="B237" s="6"/>
      <c r="C237" s="7"/>
      <c r="D237" s="7"/>
      <c r="E237" s="7"/>
      <c r="F237" s="7"/>
      <c r="G237" s="7"/>
      <c r="H237" s="7"/>
      <c r="I237" s="4"/>
      <c r="J237" s="7"/>
      <c r="K237" s="7"/>
      <c r="L237" s="7"/>
      <c r="M237" s="7"/>
      <c r="N237" s="4"/>
      <c r="O237" s="4"/>
      <c r="P237" s="4"/>
      <c r="Q237" s="4"/>
      <c r="R237" s="4"/>
      <c r="S237" s="7"/>
      <c r="T237" s="7"/>
      <c r="U237" s="7"/>
      <c r="V237" s="7"/>
      <c r="W237" s="7"/>
      <c r="X237" s="7"/>
      <c r="Y237" s="4"/>
      <c r="Z237" s="4"/>
      <c r="AA237" s="4"/>
      <c r="AB237" s="4"/>
      <c r="AC237" s="4"/>
      <c r="AD237" s="4"/>
      <c r="AE237" s="4"/>
      <c r="AF237" s="4"/>
      <c r="AG237" s="28"/>
      <c r="AH237" s="4"/>
      <c r="AI237" s="4"/>
      <c r="AJ237" s="4"/>
      <c r="AK237" s="4"/>
      <c r="AL237" s="4"/>
      <c r="AM237" s="4"/>
      <c r="AN237" s="44"/>
      <c r="AO237" s="8"/>
      <c r="AP237" s="8"/>
      <c r="AQ237" s="8"/>
      <c r="AR237" s="8"/>
      <c r="AS237" s="8"/>
      <c r="AT237" s="8"/>
      <c r="AU237" s="8"/>
      <c r="AV237" s="46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4"/>
      <c r="BX237" s="4"/>
    </row>
    <row r="238" spans="1:76" s="16" customFormat="1" x14ac:dyDescent="0.25">
      <c r="A238" s="26"/>
      <c r="B238" s="6"/>
      <c r="C238" s="7"/>
      <c r="D238" s="7"/>
      <c r="E238" s="7"/>
      <c r="F238" s="7"/>
      <c r="G238" s="7"/>
      <c r="H238" s="7"/>
      <c r="I238" s="4"/>
      <c r="J238" s="7"/>
      <c r="K238" s="7"/>
      <c r="L238" s="7"/>
      <c r="M238" s="7"/>
      <c r="N238" s="4"/>
      <c r="O238" s="4"/>
      <c r="P238" s="4"/>
      <c r="Q238" s="4"/>
      <c r="R238" s="4"/>
      <c r="S238" s="7"/>
      <c r="T238" s="7"/>
      <c r="U238" s="7"/>
      <c r="V238" s="7"/>
      <c r="W238" s="7"/>
      <c r="X238" s="7"/>
      <c r="Y238" s="4"/>
      <c r="Z238" s="4"/>
      <c r="AA238" s="4"/>
      <c r="AB238" s="4"/>
      <c r="AC238" s="4"/>
      <c r="AD238" s="4"/>
      <c r="AE238" s="4"/>
      <c r="AF238" s="4"/>
      <c r="AG238" s="28"/>
      <c r="AH238" s="4"/>
      <c r="AI238" s="4"/>
      <c r="AJ238" s="4"/>
      <c r="AK238" s="4"/>
      <c r="AL238" s="4"/>
      <c r="AM238" s="4"/>
      <c r="AN238" s="44"/>
      <c r="AO238" s="8"/>
      <c r="AP238" s="8"/>
      <c r="AQ238" s="8"/>
      <c r="AR238" s="8"/>
      <c r="AS238" s="8"/>
      <c r="AT238" s="8"/>
      <c r="AU238" s="8"/>
      <c r="AV238" s="46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4"/>
      <c r="BX238" s="4"/>
    </row>
    <row r="239" spans="1:76" s="16" customFormat="1" x14ac:dyDescent="0.25">
      <c r="A239" s="26"/>
      <c r="B239" s="6"/>
      <c r="C239" s="7"/>
      <c r="D239" s="7"/>
      <c r="E239" s="7"/>
      <c r="F239" s="7"/>
      <c r="G239" s="7"/>
      <c r="H239" s="7"/>
      <c r="I239" s="4"/>
      <c r="J239" s="7"/>
      <c r="K239" s="7"/>
      <c r="L239" s="7"/>
      <c r="M239" s="7"/>
      <c r="N239" s="4"/>
      <c r="O239" s="4"/>
      <c r="P239" s="4"/>
      <c r="Q239" s="4"/>
      <c r="R239" s="4"/>
      <c r="S239" s="7"/>
      <c r="T239" s="7"/>
      <c r="U239" s="7"/>
      <c r="V239" s="7"/>
      <c r="W239" s="7"/>
      <c r="X239" s="7"/>
      <c r="Y239" s="4"/>
      <c r="Z239" s="4"/>
      <c r="AA239" s="4"/>
      <c r="AB239" s="4"/>
      <c r="AC239" s="4"/>
      <c r="AD239" s="4"/>
      <c r="AE239" s="4"/>
      <c r="AF239" s="4"/>
      <c r="AG239" s="28"/>
      <c r="AH239" s="4"/>
      <c r="AI239" s="4"/>
      <c r="AJ239" s="4"/>
      <c r="AK239" s="4"/>
      <c r="AL239" s="4"/>
      <c r="AM239" s="4"/>
      <c r="AN239" s="44"/>
      <c r="AO239" s="8"/>
      <c r="AP239" s="8"/>
      <c r="AQ239" s="8"/>
      <c r="AR239" s="8"/>
      <c r="AS239" s="8"/>
      <c r="AT239" s="8"/>
      <c r="AU239" s="8"/>
      <c r="AV239" s="46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4"/>
      <c r="BX239" s="4"/>
    </row>
    <row r="240" spans="1:76" s="16" customFormat="1" x14ac:dyDescent="0.25">
      <c r="A240" s="26"/>
      <c r="B240" s="6"/>
      <c r="C240" s="7"/>
      <c r="D240" s="7"/>
      <c r="E240" s="7"/>
      <c r="F240" s="7"/>
      <c r="G240" s="7"/>
      <c r="H240" s="7"/>
      <c r="I240" s="4"/>
      <c r="J240" s="7"/>
      <c r="K240" s="7"/>
      <c r="L240" s="7"/>
      <c r="M240" s="7"/>
      <c r="N240" s="4"/>
      <c r="O240" s="4"/>
      <c r="P240" s="4"/>
      <c r="Q240" s="4"/>
      <c r="R240" s="4"/>
      <c r="S240" s="7"/>
      <c r="T240" s="7"/>
      <c r="U240" s="7"/>
      <c r="V240" s="7"/>
      <c r="W240" s="7"/>
      <c r="X240" s="7"/>
      <c r="Y240" s="4"/>
      <c r="Z240" s="4"/>
      <c r="AA240" s="4"/>
      <c r="AB240" s="4"/>
      <c r="AC240" s="4"/>
      <c r="AD240" s="4"/>
      <c r="AE240" s="4"/>
      <c r="AF240" s="4"/>
      <c r="AG240" s="28"/>
      <c r="AH240" s="4"/>
      <c r="AI240" s="4"/>
      <c r="AJ240" s="4"/>
      <c r="AK240" s="4"/>
      <c r="AL240" s="4"/>
      <c r="AM240" s="4"/>
      <c r="AN240" s="44"/>
      <c r="AO240" s="8"/>
      <c r="AP240" s="8"/>
      <c r="AQ240" s="8"/>
      <c r="AR240" s="8"/>
      <c r="AS240" s="8"/>
      <c r="AT240" s="8"/>
      <c r="AU240" s="8"/>
      <c r="AV240" s="46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4"/>
      <c r="BX240" s="4"/>
    </row>
    <row r="241" spans="1:76" s="16" customFormat="1" x14ac:dyDescent="0.25">
      <c r="A241" s="26"/>
      <c r="B241" s="6"/>
      <c r="C241" s="7"/>
      <c r="D241" s="7"/>
      <c r="E241" s="7"/>
      <c r="F241" s="7"/>
      <c r="G241" s="7"/>
      <c r="H241" s="7"/>
      <c r="I241" s="4"/>
      <c r="J241" s="7"/>
      <c r="K241" s="7"/>
      <c r="L241" s="7"/>
      <c r="M241" s="7"/>
      <c r="N241" s="4"/>
      <c r="O241" s="4"/>
      <c r="P241" s="4"/>
      <c r="Q241" s="4"/>
      <c r="R241" s="4"/>
      <c r="S241" s="7"/>
      <c r="T241" s="7"/>
      <c r="U241" s="7"/>
      <c r="V241" s="7"/>
      <c r="W241" s="7"/>
      <c r="X241" s="7"/>
      <c r="Y241" s="4"/>
      <c r="Z241" s="4"/>
      <c r="AA241" s="4"/>
      <c r="AB241" s="4"/>
      <c r="AC241" s="4"/>
      <c r="AD241" s="4"/>
      <c r="AE241" s="4"/>
      <c r="AF241" s="4"/>
      <c r="AG241" s="28"/>
      <c r="AH241" s="4"/>
      <c r="AI241" s="4"/>
      <c r="AJ241" s="4"/>
      <c r="AK241" s="4"/>
      <c r="AL241" s="4"/>
      <c r="AM241" s="4"/>
      <c r="AN241" s="44"/>
      <c r="AO241" s="8"/>
      <c r="AP241" s="8"/>
      <c r="AQ241" s="8"/>
      <c r="AR241" s="8"/>
      <c r="AS241" s="8"/>
      <c r="AT241" s="8"/>
      <c r="AU241" s="8"/>
      <c r="AV241" s="46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4"/>
      <c r="BX241" s="4"/>
    </row>
    <row r="242" spans="1:76" s="16" customFormat="1" x14ac:dyDescent="0.25">
      <c r="A242" s="26"/>
      <c r="B242" s="6"/>
      <c r="C242" s="7"/>
      <c r="D242" s="7"/>
      <c r="E242" s="7"/>
      <c r="F242" s="7"/>
      <c r="G242" s="7"/>
      <c r="H242" s="7"/>
      <c r="I242" s="4"/>
      <c r="J242" s="7"/>
      <c r="K242" s="7"/>
      <c r="L242" s="7"/>
      <c r="M242" s="7"/>
      <c r="N242" s="4"/>
      <c r="O242" s="4"/>
      <c r="P242" s="4"/>
      <c r="Q242" s="4"/>
      <c r="R242" s="4"/>
      <c r="S242" s="7"/>
      <c r="T242" s="7"/>
      <c r="U242" s="7"/>
      <c r="V242" s="7"/>
      <c r="W242" s="7"/>
      <c r="X242" s="7"/>
      <c r="Y242" s="4"/>
      <c r="Z242" s="4"/>
      <c r="AA242" s="4"/>
      <c r="AB242" s="4"/>
      <c r="AC242" s="4"/>
      <c r="AD242" s="4"/>
      <c r="AE242" s="4"/>
      <c r="AF242" s="4"/>
      <c r="AG242" s="28"/>
      <c r="AH242" s="4"/>
      <c r="AI242" s="4"/>
      <c r="AJ242" s="4"/>
      <c r="AK242" s="4"/>
      <c r="AL242" s="4"/>
      <c r="AM242" s="4"/>
      <c r="AN242" s="44"/>
      <c r="AO242" s="8"/>
      <c r="AP242" s="8"/>
      <c r="AQ242" s="8"/>
      <c r="AR242" s="8"/>
      <c r="AS242" s="8"/>
      <c r="AT242" s="8"/>
      <c r="AU242" s="8"/>
      <c r="AV242" s="46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4"/>
      <c r="BX242" s="4"/>
    </row>
    <row r="243" spans="1:76" s="16" customFormat="1" x14ac:dyDescent="0.25">
      <c r="A243" s="26"/>
      <c r="B243" s="6"/>
      <c r="C243" s="7"/>
      <c r="D243" s="7"/>
      <c r="E243" s="7"/>
      <c r="F243" s="7"/>
      <c r="G243" s="7"/>
      <c r="H243" s="7"/>
      <c r="I243" s="4"/>
      <c r="J243" s="7"/>
      <c r="K243" s="7"/>
      <c r="L243" s="7"/>
      <c r="M243" s="7"/>
      <c r="N243" s="4"/>
      <c r="O243" s="4"/>
      <c r="P243" s="4"/>
      <c r="Q243" s="4"/>
      <c r="R243" s="4"/>
      <c r="S243" s="7"/>
      <c r="T243" s="7"/>
      <c r="U243" s="7"/>
      <c r="V243" s="7"/>
      <c r="W243" s="7"/>
      <c r="X243" s="7"/>
      <c r="Y243" s="4"/>
      <c r="Z243" s="4"/>
      <c r="AA243" s="4"/>
      <c r="AB243" s="4"/>
      <c r="AC243" s="4"/>
      <c r="AD243" s="4"/>
      <c r="AE243" s="4"/>
      <c r="AF243" s="4"/>
      <c r="AG243" s="28"/>
      <c r="AH243" s="4"/>
      <c r="AI243" s="4"/>
      <c r="AJ243" s="4"/>
      <c r="AK243" s="4"/>
      <c r="AL243" s="4"/>
      <c r="AM243" s="4"/>
      <c r="AN243" s="44"/>
      <c r="AO243" s="8"/>
      <c r="AP243" s="8"/>
      <c r="AQ243" s="8"/>
      <c r="AR243" s="8"/>
      <c r="AS243" s="8"/>
      <c r="AT243" s="8"/>
      <c r="AU243" s="8"/>
      <c r="AV243" s="46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4"/>
      <c r="BX243" s="4"/>
    </row>
    <row r="244" spans="1:76" s="16" customFormat="1" x14ac:dyDescent="0.25">
      <c r="A244" s="26"/>
      <c r="B244" s="6"/>
      <c r="C244" s="7"/>
      <c r="D244" s="7"/>
      <c r="E244" s="7"/>
      <c r="F244" s="7"/>
      <c r="G244" s="7"/>
      <c r="H244" s="7"/>
      <c r="I244" s="4"/>
      <c r="J244" s="7"/>
      <c r="K244" s="7"/>
      <c r="L244" s="7"/>
      <c r="M244" s="7"/>
      <c r="N244" s="4"/>
      <c r="O244" s="4"/>
      <c r="P244" s="4"/>
      <c r="Q244" s="4"/>
      <c r="R244" s="4"/>
      <c r="S244" s="7"/>
      <c r="T244" s="7"/>
      <c r="U244" s="7"/>
      <c r="V244" s="7"/>
      <c r="W244" s="7"/>
      <c r="X244" s="7"/>
      <c r="Y244" s="4"/>
      <c r="Z244" s="4"/>
      <c r="AA244" s="4"/>
      <c r="AB244" s="4"/>
      <c r="AC244" s="4"/>
      <c r="AD244" s="4"/>
      <c r="AE244" s="4"/>
      <c r="AF244" s="4"/>
      <c r="AG244" s="28"/>
      <c r="AH244" s="4"/>
      <c r="AI244" s="4"/>
      <c r="AJ244" s="4"/>
      <c r="AK244" s="4"/>
      <c r="AL244" s="4"/>
      <c r="AM244" s="4"/>
      <c r="AN244" s="44"/>
      <c r="AO244" s="8"/>
      <c r="AP244" s="8"/>
      <c r="AQ244" s="8"/>
      <c r="AR244" s="8"/>
      <c r="AS244" s="8"/>
      <c r="AT244" s="8"/>
      <c r="AU244" s="8"/>
      <c r="AV244" s="46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4"/>
      <c r="BX244" s="4"/>
    </row>
    <row r="245" spans="1:76" s="16" customFormat="1" x14ac:dyDescent="0.25">
      <c r="A245" s="26"/>
      <c r="B245" s="6"/>
      <c r="C245" s="7"/>
      <c r="D245" s="7"/>
      <c r="E245" s="7"/>
      <c r="F245" s="7"/>
      <c r="G245" s="7"/>
      <c r="H245" s="7"/>
      <c r="I245" s="4"/>
      <c r="J245" s="7"/>
      <c r="K245" s="7"/>
      <c r="L245" s="7"/>
      <c r="M245" s="7"/>
      <c r="N245" s="4"/>
      <c r="O245" s="4"/>
      <c r="P245" s="4"/>
      <c r="Q245" s="4"/>
      <c r="R245" s="4"/>
      <c r="S245" s="7"/>
      <c r="T245" s="7"/>
      <c r="U245" s="7"/>
      <c r="V245" s="7"/>
      <c r="W245" s="7"/>
      <c r="X245" s="7"/>
      <c r="Y245" s="4"/>
      <c r="Z245" s="4"/>
      <c r="AA245" s="4"/>
      <c r="AB245" s="4"/>
      <c r="AC245" s="4"/>
      <c r="AD245" s="4"/>
      <c r="AE245" s="4"/>
      <c r="AF245" s="4"/>
      <c r="AG245" s="28"/>
      <c r="AH245" s="4"/>
      <c r="AI245" s="4"/>
      <c r="AJ245" s="4"/>
      <c r="AK245" s="4"/>
      <c r="AL245" s="4"/>
      <c r="AM245" s="4"/>
      <c r="AN245" s="44"/>
      <c r="AO245" s="8"/>
      <c r="AP245" s="8"/>
      <c r="AQ245" s="8"/>
      <c r="AR245" s="8"/>
      <c r="AS245" s="8"/>
      <c r="AT245" s="8"/>
      <c r="AU245" s="8"/>
      <c r="AV245" s="46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4"/>
      <c r="BX245" s="4"/>
    </row>
    <row r="246" spans="1:76" s="16" customFormat="1" x14ac:dyDescent="0.25">
      <c r="A246" s="26"/>
      <c r="B246" s="6"/>
      <c r="C246" s="7"/>
      <c r="D246" s="7"/>
      <c r="E246" s="7"/>
      <c r="F246" s="7"/>
      <c r="G246" s="7"/>
      <c r="H246" s="7"/>
      <c r="I246" s="4"/>
      <c r="J246" s="7"/>
      <c r="K246" s="7"/>
      <c r="L246" s="7"/>
      <c r="M246" s="7"/>
      <c r="N246" s="4"/>
      <c r="O246" s="4"/>
      <c r="P246" s="4"/>
      <c r="Q246" s="4"/>
      <c r="R246" s="4"/>
      <c r="S246" s="7"/>
      <c r="T246" s="7"/>
      <c r="U246" s="7"/>
      <c r="V246" s="7"/>
      <c r="W246" s="7"/>
      <c r="X246" s="7"/>
      <c r="Y246" s="4"/>
      <c r="Z246" s="4"/>
      <c r="AA246" s="4"/>
      <c r="AB246" s="4"/>
      <c r="AC246" s="4"/>
      <c r="AD246" s="4"/>
      <c r="AE246" s="4"/>
      <c r="AF246" s="4"/>
      <c r="AG246" s="28"/>
      <c r="AH246" s="4"/>
      <c r="AI246" s="4"/>
      <c r="AJ246" s="4"/>
      <c r="AK246" s="4"/>
      <c r="AL246" s="4"/>
      <c r="AM246" s="4"/>
      <c r="AN246" s="44"/>
      <c r="AO246" s="8"/>
      <c r="AP246" s="8"/>
      <c r="AQ246" s="8"/>
      <c r="AR246" s="8"/>
      <c r="AS246" s="8"/>
      <c r="AT246" s="8"/>
      <c r="AU246" s="8"/>
      <c r="AV246" s="46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4"/>
      <c r="BX246" s="4"/>
    </row>
    <row r="247" spans="1:76" s="16" customFormat="1" x14ac:dyDescent="0.25">
      <c r="A247" s="26"/>
      <c r="B247" s="6"/>
      <c r="C247" s="7"/>
      <c r="D247" s="7"/>
      <c r="E247" s="7"/>
      <c r="F247" s="7"/>
      <c r="G247" s="7"/>
      <c r="H247" s="7"/>
      <c r="I247" s="4"/>
      <c r="J247" s="7"/>
      <c r="K247" s="7"/>
      <c r="L247" s="7"/>
      <c r="M247" s="7"/>
      <c r="N247" s="4"/>
      <c r="O247" s="4"/>
      <c r="P247" s="4"/>
      <c r="Q247" s="4"/>
      <c r="R247" s="4"/>
      <c r="S247" s="7"/>
      <c r="T247" s="7"/>
      <c r="U247" s="7"/>
      <c r="V247" s="7"/>
      <c r="W247" s="7"/>
      <c r="X247" s="7"/>
      <c r="Y247" s="4"/>
      <c r="Z247" s="4"/>
      <c r="AA247" s="4"/>
      <c r="AB247" s="4"/>
      <c r="AC247" s="4"/>
      <c r="AD247" s="4"/>
      <c r="AE247" s="4"/>
      <c r="AF247" s="4"/>
      <c r="AG247" s="28"/>
      <c r="AH247" s="4"/>
      <c r="AI247" s="4"/>
      <c r="AJ247" s="4"/>
      <c r="AK247" s="4"/>
      <c r="AL247" s="4"/>
      <c r="AM247" s="4"/>
      <c r="AN247" s="44"/>
      <c r="AO247" s="8"/>
      <c r="AP247" s="8"/>
      <c r="AQ247" s="8"/>
      <c r="AR247" s="8"/>
      <c r="AS247" s="8"/>
      <c r="AT247" s="8"/>
      <c r="AU247" s="8"/>
      <c r="AV247" s="46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4"/>
      <c r="BX247" s="4"/>
    </row>
    <row r="248" spans="1:76" s="16" customFormat="1" x14ac:dyDescent="0.25">
      <c r="A248" s="26"/>
      <c r="B248" s="6"/>
      <c r="C248" s="7"/>
      <c r="D248" s="7"/>
      <c r="E248" s="7"/>
      <c r="F248" s="7"/>
      <c r="G248" s="7"/>
      <c r="H248" s="7"/>
      <c r="I248" s="4"/>
      <c r="J248" s="7"/>
      <c r="K248" s="7"/>
      <c r="L248" s="7"/>
      <c r="M248" s="7"/>
      <c r="N248" s="4"/>
      <c r="O248" s="4"/>
      <c r="P248" s="4"/>
      <c r="Q248" s="4"/>
      <c r="R248" s="4"/>
      <c r="S248" s="7"/>
      <c r="T248" s="7"/>
      <c r="U248" s="7"/>
      <c r="V248" s="7"/>
      <c r="W248" s="7"/>
      <c r="X248" s="7"/>
      <c r="Y248" s="4"/>
      <c r="Z248" s="4"/>
      <c r="AA248" s="4"/>
      <c r="AB248" s="4"/>
      <c r="AC248" s="4"/>
      <c r="AD248" s="4"/>
      <c r="AE248" s="4"/>
      <c r="AF248" s="4"/>
      <c r="AG248" s="28"/>
      <c r="AH248" s="4"/>
      <c r="AI248" s="4"/>
      <c r="AJ248" s="4"/>
      <c r="AK248" s="4"/>
      <c r="AL248" s="4"/>
      <c r="AM248" s="4"/>
      <c r="AN248" s="44"/>
      <c r="AO248" s="8"/>
      <c r="AP248" s="8"/>
      <c r="AQ248" s="8"/>
      <c r="AR248" s="8"/>
      <c r="AS248" s="8"/>
      <c r="AT248" s="8"/>
      <c r="AU248" s="8"/>
      <c r="AV248" s="46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4"/>
      <c r="BX248" s="4"/>
    </row>
    <row r="249" spans="1:76" s="16" customFormat="1" x14ac:dyDescent="0.25">
      <c r="A249" s="26"/>
      <c r="B249" s="6"/>
      <c r="C249" s="7"/>
      <c r="D249" s="7"/>
      <c r="E249" s="7"/>
      <c r="F249" s="7"/>
      <c r="G249" s="7"/>
      <c r="H249" s="7"/>
      <c r="I249" s="4"/>
      <c r="J249" s="7"/>
      <c r="K249" s="7"/>
      <c r="L249" s="7"/>
      <c r="M249" s="7"/>
      <c r="N249" s="4"/>
      <c r="O249" s="4"/>
      <c r="P249" s="4"/>
      <c r="Q249" s="4"/>
      <c r="R249" s="4"/>
      <c r="S249" s="7"/>
      <c r="T249" s="7"/>
      <c r="U249" s="7"/>
      <c r="V249" s="7"/>
      <c r="W249" s="7"/>
      <c r="X249" s="7"/>
      <c r="Y249" s="4"/>
      <c r="Z249" s="4"/>
      <c r="AA249" s="4"/>
      <c r="AB249" s="4"/>
      <c r="AC249" s="4"/>
      <c r="AD249" s="4"/>
      <c r="AE249" s="4"/>
      <c r="AF249" s="4"/>
      <c r="AG249" s="28"/>
      <c r="AH249" s="4"/>
      <c r="AI249" s="4"/>
      <c r="AJ249" s="4"/>
      <c r="AK249" s="4"/>
      <c r="AL249" s="4"/>
      <c r="AM249" s="4"/>
      <c r="AN249" s="44"/>
      <c r="AO249" s="8"/>
      <c r="AP249" s="8"/>
      <c r="AQ249" s="8"/>
      <c r="AR249" s="8"/>
      <c r="AS249" s="8"/>
      <c r="AT249" s="8"/>
      <c r="AU249" s="8"/>
      <c r="AV249" s="46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4"/>
      <c r="BX249" s="4"/>
    </row>
    <row r="250" spans="1:76" s="16" customFormat="1" x14ac:dyDescent="0.25">
      <c r="A250" s="26"/>
      <c r="B250" s="6"/>
      <c r="C250" s="7"/>
      <c r="D250" s="7"/>
      <c r="E250" s="7"/>
      <c r="F250" s="7"/>
      <c r="G250" s="7"/>
      <c r="H250" s="7"/>
      <c r="I250" s="4"/>
      <c r="J250" s="7"/>
      <c r="K250" s="7"/>
      <c r="L250" s="7"/>
      <c r="M250" s="7"/>
      <c r="N250" s="4"/>
      <c r="O250" s="4"/>
      <c r="P250" s="4"/>
      <c r="Q250" s="4"/>
      <c r="R250" s="4"/>
      <c r="S250" s="7"/>
      <c r="T250" s="7"/>
      <c r="U250" s="7"/>
      <c r="V250" s="7"/>
      <c r="W250" s="7"/>
      <c r="X250" s="7"/>
      <c r="Y250" s="4"/>
      <c r="Z250" s="4"/>
      <c r="AA250" s="4"/>
      <c r="AB250" s="4"/>
      <c r="AC250" s="4"/>
      <c r="AD250" s="4"/>
      <c r="AE250" s="4"/>
      <c r="AF250" s="4"/>
      <c r="AG250" s="28"/>
      <c r="AH250" s="4"/>
      <c r="AI250" s="4"/>
      <c r="AJ250" s="4"/>
      <c r="AK250" s="4"/>
      <c r="AL250" s="4"/>
      <c r="AM250" s="4"/>
      <c r="AN250" s="44"/>
      <c r="AO250" s="8"/>
      <c r="AP250" s="8"/>
      <c r="AQ250" s="8"/>
      <c r="AR250" s="8"/>
      <c r="AS250" s="8"/>
      <c r="AT250" s="8"/>
      <c r="AU250" s="8"/>
      <c r="AV250" s="46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4"/>
      <c r="BX250" s="4"/>
    </row>
    <row r="251" spans="1:76" s="16" customFormat="1" x14ac:dyDescent="0.25">
      <c r="A251" s="26"/>
      <c r="B251" s="6"/>
      <c r="C251" s="7"/>
      <c r="D251" s="7"/>
      <c r="E251" s="7"/>
      <c r="F251" s="7"/>
      <c r="G251" s="7"/>
      <c r="H251" s="7"/>
      <c r="I251" s="4"/>
      <c r="J251" s="7"/>
      <c r="K251" s="7"/>
      <c r="L251" s="7"/>
      <c r="M251" s="7"/>
      <c r="N251" s="4"/>
      <c r="O251" s="4"/>
      <c r="P251" s="4"/>
      <c r="Q251" s="4"/>
      <c r="R251" s="4"/>
      <c r="S251" s="7"/>
      <c r="T251" s="7"/>
      <c r="U251" s="7"/>
      <c r="V251" s="7"/>
      <c r="W251" s="7"/>
      <c r="X251" s="7"/>
      <c r="Y251" s="4"/>
      <c r="Z251" s="4"/>
      <c r="AA251" s="4"/>
      <c r="AB251" s="4"/>
      <c r="AC251" s="4"/>
      <c r="AD251" s="4"/>
      <c r="AE251" s="4"/>
      <c r="AF251" s="4"/>
      <c r="AG251" s="28"/>
      <c r="AH251" s="4"/>
      <c r="AI251" s="4"/>
      <c r="AJ251" s="4"/>
      <c r="AK251" s="4"/>
      <c r="AL251" s="4"/>
      <c r="AM251" s="4"/>
      <c r="AN251" s="44"/>
      <c r="AO251" s="8"/>
      <c r="AP251" s="8"/>
      <c r="AQ251" s="8"/>
      <c r="AR251" s="8"/>
      <c r="AS251" s="8"/>
      <c r="AT251" s="8"/>
      <c r="AU251" s="8"/>
      <c r="AV251" s="46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4"/>
      <c r="BX251" s="4"/>
    </row>
    <row r="252" spans="1:76" s="16" customFormat="1" x14ac:dyDescent="0.25">
      <c r="A252" s="26"/>
      <c r="B252" s="6"/>
      <c r="C252" s="7"/>
      <c r="D252" s="7"/>
      <c r="E252" s="7"/>
      <c r="F252" s="7"/>
      <c r="G252" s="7"/>
      <c r="H252" s="7"/>
      <c r="I252" s="4"/>
      <c r="J252" s="7"/>
      <c r="K252" s="7"/>
      <c r="L252" s="7"/>
      <c r="M252" s="7"/>
      <c r="N252" s="4"/>
      <c r="O252" s="4"/>
      <c r="P252" s="4"/>
      <c r="Q252" s="4"/>
      <c r="R252" s="4"/>
      <c r="S252" s="7"/>
      <c r="T252" s="7"/>
      <c r="U252" s="7"/>
      <c r="V252" s="7"/>
      <c r="W252" s="7"/>
      <c r="X252" s="7"/>
      <c r="Y252" s="4"/>
      <c r="Z252" s="4"/>
      <c r="AA252" s="4"/>
      <c r="AB252" s="4"/>
      <c r="AC252" s="4"/>
      <c r="AD252" s="4"/>
      <c r="AE252" s="4"/>
      <c r="AF252" s="4"/>
      <c r="AG252" s="28"/>
      <c r="AH252" s="4"/>
      <c r="AI252" s="4"/>
      <c r="AJ252" s="4"/>
      <c r="AK252" s="4"/>
      <c r="AL252" s="4"/>
      <c r="AM252" s="4"/>
      <c r="AN252" s="44"/>
      <c r="AO252" s="8"/>
      <c r="AP252" s="8"/>
      <c r="AQ252" s="8"/>
      <c r="AR252" s="8"/>
      <c r="AS252" s="8"/>
      <c r="AT252" s="8"/>
      <c r="AU252" s="8"/>
      <c r="AV252" s="46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4"/>
      <c r="BX252" s="4"/>
    </row>
    <row r="253" spans="1:76" s="16" customFormat="1" x14ac:dyDescent="0.25">
      <c r="A253" s="26"/>
      <c r="B253" s="6"/>
      <c r="C253" s="7"/>
      <c r="D253" s="7"/>
      <c r="E253" s="7"/>
      <c r="F253" s="7"/>
      <c r="G253" s="7"/>
      <c r="H253" s="7"/>
      <c r="I253" s="4"/>
      <c r="J253" s="7"/>
      <c r="K253" s="7"/>
      <c r="L253" s="7"/>
      <c r="M253" s="7"/>
      <c r="N253" s="4"/>
      <c r="O253" s="4"/>
      <c r="P253" s="4"/>
      <c r="Q253" s="4"/>
      <c r="R253" s="4"/>
      <c r="S253" s="7"/>
      <c r="T253" s="7"/>
      <c r="U253" s="7"/>
      <c r="V253" s="7"/>
      <c r="W253" s="7"/>
      <c r="X253" s="7"/>
      <c r="Y253" s="4"/>
      <c r="Z253" s="4"/>
      <c r="AA253" s="4"/>
      <c r="AB253" s="4"/>
      <c r="AC253" s="4"/>
      <c r="AD253" s="4"/>
      <c r="AE253" s="4"/>
      <c r="AF253" s="4"/>
      <c r="AG253" s="28"/>
      <c r="AH253" s="4"/>
      <c r="AI253" s="4"/>
      <c r="AJ253" s="4"/>
      <c r="AK253" s="4"/>
      <c r="AL253" s="4"/>
      <c r="AM253" s="4"/>
      <c r="AN253" s="44"/>
      <c r="AO253" s="8"/>
      <c r="AP253" s="8"/>
      <c r="AQ253" s="8"/>
      <c r="AR253" s="8"/>
      <c r="AS253" s="8"/>
      <c r="AT253" s="8"/>
      <c r="AU253" s="8"/>
      <c r="AV253" s="46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4"/>
      <c r="BX253" s="4"/>
    </row>
    <row r="254" spans="1:76" s="16" customFormat="1" x14ac:dyDescent="0.25">
      <c r="A254" s="26"/>
      <c r="B254" s="6"/>
      <c r="C254" s="7"/>
      <c r="D254" s="7"/>
      <c r="E254" s="7"/>
      <c r="F254" s="7"/>
      <c r="G254" s="7"/>
      <c r="H254" s="7"/>
      <c r="I254" s="4"/>
      <c r="J254" s="7"/>
      <c r="K254" s="7"/>
      <c r="L254" s="7"/>
      <c r="M254" s="7"/>
      <c r="N254" s="4"/>
      <c r="O254" s="4"/>
      <c r="P254" s="4"/>
      <c r="Q254" s="4"/>
      <c r="R254" s="4"/>
      <c r="S254" s="7"/>
      <c r="T254" s="7"/>
      <c r="U254" s="7"/>
      <c r="V254" s="7"/>
      <c r="W254" s="7"/>
      <c r="X254" s="7"/>
      <c r="Y254" s="4"/>
      <c r="Z254" s="4"/>
      <c r="AA254" s="4"/>
      <c r="AB254" s="4"/>
      <c r="AC254" s="4"/>
      <c r="AD254" s="4"/>
      <c r="AE254" s="4"/>
      <c r="AF254" s="4"/>
      <c r="AG254" s="28"/>
      <c r="AH254" s="4"/>
      <c r="AI254" s="4"/>
      <c r="AJ254" s="4"/>
      <c r="AK254" s="4"/>
      <c r="AL254" s="4"/>
      <c r="AM254" s="4"/>
      <c r="AN254" s="44"/>
      <c r="AO254" s="8"/>
      <c r="AP254" s="8"/>
      <c r="AQ254" s="8"/>
      <c r="AR254" s="8"/>
      <c r="AS254" s="8"/>
      <c r="AT254" s="8"/>
      <c r="AU254" s="8"/>
      <c r="AV254" s="46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4"/>
      <c r="BX254" s="4"/>
    </row>
    <row r="255" spans="1:76" s="16" customFormat="1" x14ac:dyDescent="0.25">
      <c r="A255" s="26"/>
      <c r="B255" s="6"/>
      <c r="C255" s="7"/>
      <c r="D255" s="7"/>
      <c r="E255" s="7"/>
      <c r="F255" s="7"/>
      <c r="G255" s="7"/>
      <c r="H255" s="7"/>
      <c r="I255" s="4"/>
      <c r="J255" s="7"/>
      <c r="K255" s="7"/>
      <c r="L255" s="7"/>
      <c r="M255" s="7"/>
      <c r="N255" s="4"/>
      <c r="O255" s="4"/>
      <c r="P255" s="4"/>
      <c r="Q255" s="4"/>
      <c r="R255" s="4"/>
      <c r="S255" s="7"/>
      <c r="T255" s="7"/>
      <c r="U255" s="7"/>
      <c r="V255" s="7"/>
      <c r="W255" s="7"/>
      <c r="X255" s="7"/>
      <c r="Y255" s="4"/>
      <c r="Z255" s="4"/>
      <c r="AA255" s="4"/>
      <c r="AB255" s="4"/>
      <c r="AC255" s="4"/>
      <c r="AD255" s="4"/>
      <c r="AE255" s="4"/>
      <c r="AF255" s="4"/>
      <c r="AG255" s="28"/>
      <c r="AH255" s="4"/>
      <c r="AI255" s="4"/>
      <c r="AJ255" s="4"/>
      <c r="AK255" s="4"/>
      <c r="AL255" s="4"/>
      <c r="AM255" s="4"/>
      <c r="AN255" s="44"/>
      <c r="AO255" s="8"/>
      <c r="AP255" s="8"/>
      <c r="AQ255" s="8"/>
      <c r="AR255" s="8"/>
      <c r="AS255" s="8"/>
      <c r="AT255" s="8"/>
      <c r="AU255" s="8"/>
      <c r="AV255" s="46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4"/>
      <c r="BX255" s="4"/>
    </row>
    <row r="256" spans="1:76" s="16" customFormat="1" x14ac:dyDescent="0.25">
      <c r="A256" s="26"/>
      <c r="B256" s="6"/>
      <c r="C256" s="7"/>
      <c r="D256" s="7"/>
      <c r="E256" s="7"/>
      <c r="F256" s="7"/>
      <c r="G256" s="7"/>
      <c r="H256" s="7"/>
      <c r="I256" s="4"/>
      <c r="J256" s="7"/>
      <c r="K256" s="7"/>
      <c r="L256" s="7"/>
      <c r="M256" s="7"/>
      <c r="N256" s="4"/>
      <c r="O256" s="4"/>
      <c r="P256" s="4"/>
      <c r="Q256" s="4"/>
      <c r="R256" s="4"/>
      <c r="S256" s="7"/>
      <c r="T256" s="7"/>
      <c r="U256" s="7"/>
      <c r="V256" s="7"/>
      <c r="W256" s="7"/>
      <c r="X256" s="7"/>
      <c r="Y256" s="4"/>
      <c r="Z256" s="4"/>
      <c r="AA256" s="4"/>
      <c r="AB256" s="4"/>
      <c r="AC256" s="4"/>
      <c r="AD256" s="4"/>
      <c r="AE256" s="4"/>
      <c r="AF256" s="4"/>
      <c r="AG256" s="28"/>
      <c r="AH256" s="4"/>
      <c r="AI256" s="4"/>
      <c r="AJ256" s="4"/>
      <c r="AK256" s="4"/>
      <c r="AL256" s="4"/>
      <c r="AM256" s="4"/>
      <c r="AN256" s="44"/>
      <c r="AO256" s="8"/>
      <c r="AP256" s="8"/>
      <c r="AQ256" s="8"/>
      <c r="AR256" s="8"/>
      <c r="AS256" s="8"/>
      <c r="AT256" s="8"/>
      <c r="AU256" s="8"/>
      <c r="AV256" s="46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4"/>
      <c r="BX256" s="4"/>
    </row>
    <row r="257" spans="1:76" s="16" customFormat="1" x14ac:dyDescent="0.25">
      <c r="A257" s="26"/>
      <c r="B257" s="6"/>
      <c r="C257" s="7"/>
      <c r="D257" s="7"/>
      <c r="E257" s="7"/>
      <c r="F257" s="7"/>
      <c r="G257" s="7"/>
      <c r="H257" s="7"/>
      <c r="I257" s="4"/>
      <c r="J257" s="7"/>
      <c r="K257" s="7"/>
      <c r="L257" s="7"/>
      <c r="M257" s="7"/>
      <c r="N257" s="4"/>
      <c r="O257" s="4"/>
      <c r="P257" s="4"/>
      <c r="Q257" s="4"/>
      <c r="R257" s="4"/>
      <c r="S257" s="7"/>
      <c r="T257" s="7"/>
      <c r="U257" s="7"/>
      <c r="V257" s="7"/>
      <c r="W257" s="7"/>
      <c r="X257" s="7"/>
      <c r="Y257" s="4"/>
      <c r="Z257" s="4"/>
      <c r="AA257" s="4"/>
      <c r="AB257" s="4"/>
      <c r="AC257" s="4"/>
      <c r="AD257" s="4"/>
      <c r="AE257" s="4"/>
      <c r="AF257" s="4"/>
      <c r="AG257" s="28"/>
      <c r="AH257" s="4"/>
      <c r="AI257" s="4"/>
      <c r="AJ257" s="4"/>
      <c r="AK257" s="4"/>
      <c r="AL257" s="4"/>
      <c r="AM257" s="4"/>
      <c r="AN257" s="44"/>
      <c r="AO257" s="8"/>
      <c r="AP257" s="8"/>
      <c r="AQ257" s="8"/>
      <c r="AR257" s="8"/>
      <c r="AS257" s="8"/>
      <c r="AT257" s="8"/>
      <c r="AU257" s="8"/>
      <c r="AV257" s="46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4"/>
      <c r="BX257" s="4"/>
    </row>
    <row r="258" spans="1:76" s="16" customFormat="1" x14ac:dyDescent="0.25">
      <c r="A258" s="26"/>
      <c r="B258" s="6"/>
      <c r="C258" s="7"/>
      <c r="D258" s="7"/>
      <c r="E258" s="7"/>
      <c r="F258" s="7"/>
      <c r="G258" s="7"/>
      <c r="H258" s="7"/>
      <c r="I258" s="4"/>
      <c r="J258" s="7"/>
      <c r="K258" s="7"/>
      <c r="L258" s="7"/>
      <c r="M258" s="7"/>
      <c r="N258" s="4"/>
      <c r="O258" s="4"/>
      <c r="P258" s="4"/>
      <c r="Q258" s="4"/>
      <c r="R258" s="4"/>
      <c r="S258" s="7"/>
      <c r="T258" s="7"/>
      <c r="U258" s="7"/>
      <c r="V258" s="7"/>
      <c r="W258" s="7"/>
      <c r="X258" s="7"/>
      <c r="Y258" s="4"/>
      <c r="Z258" s="4"/>
      <c r="AA258" s="4"/>
      <c r="AB258" s="4"/>
      <c r="AC258" s="4"/>
      <c r="AD258" s="4"/>
      <c r="AE258" s="4"/>
      <c r="AF258" s="4"/>
      <c r="AG258" s="28"/>
      <c r="AH258" s="4"/>
      <c r="AI258" s="4"/>
      <c r="AJ258" s="4"/>
      <c r="AK258" s="4"/>
      <c r="AL258" s="4"/>
      <c r="AM258" s="4"/>
      <c r="AN258" s="44"/>
      <c r="AO258" s="8"/>
      <c r="AP258" s="8"/>
      <c r="AQ258" s="8"/>
      <c r="AR258" s="8"/>
      <c r="AS258" s="8"/>
      <c r="AT258" s="8"/>
      <c r="AU258" s="8"/>
      <c r="AV258" s="46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4"/>
      <c r="BX258" s="4"/>
    </row>
    <row r="259" spans="1:76" s="16" customFormat="1" x14ac:dyDescent="0.25">
      <c r="A259" s="26"/>
      <c r="B259" s="6"/>
      <c r="C259" s="7"/>
      <c r="D259" s="7"/>
      <c r="E259" s="7"/>
      <c r="F259" s="7"/>
      <c r="G259" s="7"/>
      <c r="H259" s="7"/>
      <c r="I259" s="4"/>
      <c r="J259" s="7"/>
      <c r="K259" s="7"/>
      <c r="L259" s="7"/>
      <c r="M259" s="7"/>
      <c r="N259" s="4"/>
      <c r="O259" s="4"/>
      <c r="P259" s="4"/>
      <c r="Q259" s="4"/>
      <c r="R259" s="4"/>
      <c r="S259" s="7"/>
      <c r="T259" s="7"/>
      <c r="U259" s="7"/>
      <c r="V259" s="7"/>
      <c r="W259" s="7"/>
      <c r="X259" s="7"/>
      <c r="Y259" s="4"/>
      <c r="Z259" s="4"/>
      <c r="AA259" s="4"/>
      <c r="AB259" s="4"/>
      <c r="AC259" s="4"/>
      <c r="AD259" s="4"/>
      <c r="AE259" s="4"/>
      <c r="AF259" s="4"/>
      <c r="AG259" s="28"/>
      <c r="AH259" s="4"/>
      <c r="AI259" s="4"/>
      <c r="AJ259" s="4"/>
      <c r="AK259" s="4"/>
      <c r="AL259" s="4"/>
      <c r="AM259" s="4"/>
      <c r="AN259" s="44"/>
      <c r="AO259" s="8"/>
      <c r="AP259" s="8"/>
      <c r="AQ259" s="8"/>
      <c r="AR259" s="8"/>
      <c r="AS259" s="8"/>
      <c r="AT259" s="8"/>
      <c r="AU259" s="8"/>
      <c r="AV259" s="46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4"/>
      <c r="BX259" s="4"/>
    </row>
    <row r="260" spans="1:76" s="16" customFormat="1" x14ac:dyDescent="0.25">
      <c r="A260" s="26"/>
      <c r="B260" s="6"/>
      <c r="C260" s="7"/>
      <c r="D260" s="7"/>
      <c r="E260" s="7"/>
      <c r="F260" s="7"/>
      <c r="G260" s="7"/>
      <c r="H260" s="7"/>
      <c r="I260" s="4"/>
      <c r="J260" s="7"/>
      <c r="K260" s="7"/>
      <c r="L260" s="7"/>
      <c r="M260" s="7"/>
      <c r="N260" s="4"/>
      <c r="O260" s="4"/>
      <c r="P260" s="4"/>
      <c r="Q260" s="4"/>
      <c r="R260" s="4"/>
      <c r="S260" s="7"/>
      <c r="T260" s="7"/>
      <c r="U260" s="7"/>
      <c r="V260" s="7"/>
      <c r="W260" s="7"/>
      <c r="X260" s="7"/>
      <c r="Y260" s="4"/>
      <c r="Z260" s="4"/>
      <c r="AA260" s="4"/>
      <c r="AB260" s="4"/>
      <c r="AC260" s="4"/>
      <c r="AD260" s="4"/>
      <c r="AE260" s="4"/>
      <c r="AF260" s="4"/>
      <c r="AG260" s="28"/>
      <c r="AH260" s="4"/>
      <c r="AI260" s="4"/>
      <c r="AJ260" s="4"/>
      <c r="AK260" s="4"/>
      <c r="AL260" s="4"/>
      <c r="AM260" s="4"/>
      <c r="AN260" s="44"/>
      <c r="AO260" s="8"/>
      <c r="AP260" s="8"/>
      <c r="AQ260" s="8"/>
      <c r="AR260" s="8"/>
      <c r="AS260" s="8"/>
      <c r="AT260" s="8"/>
      <c r="AU260" s="8"/>
      <c r="AV260" s="46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4"/>
      <c r="BX260" s="4"/>
    </row>
    <row r="261" spans="1:76" s="16" customFormat="1" x14ac:dyDescent="0.25">
      <c r="A261" s="26"/>
      <c r="B261" s="6"/>
      <c r="C261" s="7"/>
      <c r="D261" s="7"/>
      <c r="E261" s="7"/>
      <c r="F261" s="7"/>
      <c r="G261" s="7"/>
      <c r="H261" s="7"/>
      <c r="I261" s="4"/>
      <c r="J261" s="7"/>
      <c r="K261" s="7"/>
      <c r="L261" s="7"/>
      <c r="M261" s="7"/>
      <c r="N261" s="4"/>
      <c r="O261" s="4"/>
      <c r="P261" s="4"/>
      <c r="Q261" s="4"/>
      <c r="R261" s="4"/>
      <c r="S261" s="7"/>
      <c r="T261" s="7"/>
      <c r="U261" s="7"/>
      <c r="V261" s="7"/>
      <c r="W261" s="7"/>
      <c r="X261" s="7"/>
      <c r="Y261" s="4"/>
      <c r="Z261" s="4"/>
      <c r="AA261" s="4"/>
      <c r="AB261" s="4"/>
      <c r="AC261" s="4"/>
      <c r="AD261" s="4"/>
      <c r="AE261" s="4"/>
      <c r="AF261" s="4"/>
      <c r="AG261" s="28"/>
      <c r="AH261" s="4"/>
      <c r="AI261" s="4"/>
      <c r="AJ261" s="4"/>
      <c r="AK261" s="4"/>
      <c r="AL261" s="4"/>
      <c r="AM261" s="4"/>
      <c r="AN261" s="44"/>
      <c r="AO261" s="8"/>
      <c r="AP261" s="8"/>
      <c r="AQ261" s="8"/>
      <c r="AR261" s="8"/>
      <c r="AS261" s="8"/>
      <c r="AT261" s="8"/>
      <c r="AU261" s="8"/>
      <c r="AV261" s="46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4"/>
      <c r="BX261" s="4"/>
    </row>
    <row r="262" spans="1:76" s="16" customFormat="1" x14ac:dyDescent="0.25">
      <c r="A262" s="26"/>
      <c r="B262" s="6"/>
      <c r="C262" s="7"/>
      <c r="D262" s="7"/>
      <c r="E262" s="7"/>
      <c r="F262" s="7"/>
      <c r="G262" s="7"/>
      <c r="H262" s="7"/>
      <c r="I262" s="4"/>
      <c r="J262" s="7"/>
      <c r="K262" s="7"/>
      <c r="L262" s="7"/>
      <c r="M262" s="7"/>
      <c r="N262" s="4"/>
      <c r="O262" s="4"/>
      <c r="P262" s="4"/>
      <c r="Q262" s="4"/>
      <c r="R262" s="4"/>
      <c r="S262" s="7"/>
      <c r="T262" s="7"/>
      <c r="U262" s="7"/>
      <c r="V262" s="7"/>
      <c r="W262" s="7"/>
      <c r="X262" s="7"/>
      <c r="Y262" s="4"/>
      <c r="Z262" s="4"/>
      <c r="AA262" s="4"/>
      <c r="AB262" s="4"/>
      <c r="AC262" s="4"/>
      <c r="AD262" s="4"/>
      <c r="AE262" s="4"/>
      <c r="AF262" s="4"/>
      <c r="AG262" s="28"/>
      <c r="AH262" s="4"/>
      <c r="AI262" s="4"/>
      <c r="AJ262" s="4"/>
      <c r="AK262" s="4"/>
      <c r="AL262" s="4"/>
      <c r="AM262" s="4"/>
      <c r="AN262" s="44"/>
      <c r="AO262" s="8"/>
      <c r="AP262" s="8"/>
      <c r="AQ262" s="8"/>
      <c r="AR262" s="8"/>
      <c r="AS262" s="8"/>
      <c r="AT262" s="8"/>
      <c r="AU262" s="8"/>
      <c r="AV262" s="46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4"/>
      <c r="BX262" s="4"/>
    </row>
    <row r="263" spans="1:76" s="16" customFormat="1" x14ac:dyDescent="0.25">
      <c r="A263" s="26"/>
      <c r="B263" s="6"/>
      <c r="C263" s="7"/>
      <c r="D263" s="7"/>
      <c r="E263" s="7"/>
      <c r="F263" s="7"/>
      <c r="G263" s="7"/>
      <c r="H263" s="7"/>
      <c r="I263" s="4"/>
      <c r="J263" s="7"/>
      <c r="K263" s="7"/>
      <c r="L263" s="7"/>
      <c r="M263" s="7"/>
      <c r="N263" s="4"/>
      <c r="O263" s="4"/>
      <c r="P263" s="4"/>
      <c r="Q263" s="4"/>
      <c r="R263" s="4"/>
      <c r="S263" s="7"/>
      <c r="T263" s="7"/>
      <c r="U263" s="7"/>
      <c r="V263" s="7"/>
      <c r="W263" s="7"/>
      <c r="X263" s="7"/>
      <c r="Y263" s="4"/>
      <c r="Z263" s="4"/>
      <c r="AA263" s="4"/>
      <c r="AB263" s="4"/>
      <c r="AC263" s="4"/>
      <c r="AD263" s="4"/>
      <c r="AE263" s="4"/>
      <c r="AF263" s="4"/>
      <c r="AG263" s="28"/>
      <c r="AH263" s="4"/>
      <c r="AI263" s="4"/>
      <c r="AJ263" s="4"/>
      <c r="AK263" s="4"/>
      <c r="AL263" s="4"/>
      <c r="AM263" s="4"/>
      <c r="AN263" s="44"/>
      <c r="AO263" s="8"/>
      <c r="AP263" s="8"/>
      <c r="AQ263" s="8"/>
      <c r="AR263" s="8"/>
      <c r="AS263" s="8"/>
      <c r="AT263" s="8"/>
      <c r="AU263" s="8"/>
      <c r="AV263" s="46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4"/>
      <c r="BX263" s="4"/>
    </row>
    <row r="264" spans="1:76" s="16" customFormat="1" x14ac:dyDescent="0.25">
      <c r="A264" s="26"/>
      <c r="B264" s="6"/>
      <c r="C264" s="7"/>
      <c r="D264" s="7"/>
      <c r="E264" s="7"/>
      <c r="F264" s="7"/>
      <c r="G264" s="7"/>
      <c r="H264" s="7"/>
      <c r="I264" s="4"/>
      <c r="J264" s="7"/>
      <c r="K264" s="7"/>
      <c r="L264" s="7"/>
      <c r="M264" s="7"/>
      <c r="N264" s="4"/>
      <c r="O264" s="4"/>
      <c r="P264" s="4"/>
      <c r="Q264" s="4"/>
      <c r="R264" s="4"/>
      <c r="S264" s="7"/>
      <c r="T264" s="7"/>
      <c r="U264" s="7"/>
      <c r="V264" s="7"/>
      <c r="W264" s="7"/>
      <c r="X264" s="7"/>
      <c r="Y264" s="4"/>
      <c r="Z264" s="4"/>
      <c r="AA264" s="4"/>
      <c r="AB264" s="4"/>
      <c r="AC264" s="4"/>
      <c r="AD264" s="4"/>
      <c r="AE264" s="4"/>
      <c r="AF264" s="4"/>
      <c r="AG264" s="28"/>
      <c r="AH264" s="4"/>
      <c r="AI264" s="4"/>
      <c r="AJ264" s="4"/>
      <c r="AK264" s="4"/>
      <c r="AL264" s="4"/>
      <c r="AM264" s="4"/>
      <c r="AN264" s="44"/>
      <c r="AO264" s="8"/>
      <c r="AP264" s="8"/>
      <c r="AQ264" s="8"/>
      <c r="AR264" s="8"/>
      <c r="AS264" s="8"/>
      <c r="AT264" s="8"/>
      <c r="AU264" s="8"/>
      <c r="AV264" s="46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4"/>
      <c r="BX264" s="4"/>
    </row>
    <row r="265" spans="1:76" s="16" customFormat="1" x14ac:dyDescent="0.25">
      <c r="A265" s="26"/>
      <c r="B265" s="6"/>
      <c r="C265" s="7"/>
      <c r="D265" s="7"/>
      <c r="E265" s="7"/>
      <c r="F265" s="7"/>
      <c r="G265" s="7"/>
      <c r="H265" s="7"/>
      <c r="I265" s="4"/>
      <c r="J265" s="7"/>
      <c r="K265" s="7"/>
      <c r="L265" s="7"/>
      <c r="M265" s="7"/>
      <c r="N265" s="4"/>
      <c r="O265" s="4"/>
      <c r="P265" s="4"/>
      <c r="Q265" s="4"/>
      <c r="R265" s="4"/>
      <c r="S265" s="7"/>
      <c r="T265" s="7"/>
      <c r="U265" s="7"/>
      <c r="V265" s="7"/>
      <c r="W265" s="7"/>
      <c r="X265" s="7"/>
      <c r="Y265" s="4"/>
      <c r="Z265" s="4"/>
      <c r="AA265" s="4"/>
      <c r="AB265" s="4"/>
      <c r="AC265" s="4"/>
      <c r="AD265" s="4"/>
      <c r="AE265" s="4"/>
      <c r="AF265" s="4"/>
      <c r="AG265" s="28"/>
      <c r="AH265" s="4"/>
      <c r="AI265" s="4"/>
      <c r="AJ265" s="4"/>
      <c r="AK265" s="4"/>
      <c r="AL265" s="4"/>
      <c r="AM265" s="4"/>
      <c r="AN265" s="44"/>
      <c r="AO265" s="8"/>
      <c r="AP265" s="8"/>
      <c r="AQ265" s="8"/>
      <c r="AR265" s="8"/>
      <c r="AS265" s="8"/>
      <c r="AT265" s="8"/>
      <c r="AU265" s="8"/>
      <c r="AV265" s="46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4"/>
      <c r="BX265" s="4"/>
    </row>
    <row r="266" spans="1:76" s="16" customFormat="1" x14ac:dyDescent="0.25">
      <c r="A266" s="26"/>
      <c r="B266" s="6"/>
      <c r="C266" s="7"/>
      <c r="D266" s="7"/>
      <c r="E266" s="7"/>
      <c r="F266" s="7"/>
      <c r="G266" s="7"/>
      <c r="H266" s="7"/>
      <c r="I266" s="4"/>
      <c r="J266" s="7"/>
      <c r="K266" s="7"/>
      <c r="L266" s="7"/>
      <c r="M266" s="7"/>
      <c r="N266" s="4"/>
      <c r="O266" s="4"/>
      <c r="P266" s="4"/>
      <c r="Q266" s="4"/>
      <c r="R266" s="4"/>
      <c r="S266" s="7"/>
      <c r="T266" s="7"/>
      <c r="U266" s="7"/>
      <c r="V266" s="7"/>
      <c r="W266" s="7"/>
      <c r="X266" s="7"/>
      <c r="Y266" s="4"/>
      <c r="Z266" s="4"/>
      <c r="AA266" s="4"/>
      <c r="AB266" s="4"/>
      <c r="AC266" s="4"/>
      <c r="AD266" s="4"/>
      <c r="AE266" s="4"/>
      <c r="AF266" s="4"/>
      <c r="AG266" s="28"/>
      <c r="AH266" s="4"/>
      <c r="AI266" s="4"/>
      <c r="AJ266" s="4"/>
      <c r="AK266" s="4"/>
      <c r="AL266" s="4"/>
      <c r="AM266" s="4"/>
      <c r="AN266" s="44"/>
      <c r="AO266" s="8"/>
      <c r="AP266" s="8"/>
      <c r="AQ266" s="8"/>
      <c r="AR266" s="8"/>
      <c r="AS266" s="8"/>
      <c r="AT266" s="8"/>
      <c r="AU266" s="8"/>
      <c r="AV266" s="46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4"/>
      <c r="BX266" s="4"/>
    </row>
    <row r="267" spans="1:76" s="16" customFormat="1" x14ac:dyDescent="0.25">
      <c r="A267" s="26"/>
      <c r="B267" s="6"/>
      <c r="C267" s="7"/>
      <c r="D267" s="7"/>
      <c r="E267" s="7"/>
      <c r="F267" s="7"/>
      <c r="G267" s="7"/>
      <c r="H267" s="7"/>
      <c r="I267" s="4"/>
      <c r="J267" s="7"/>
      <c r="K267" s="7"/>
      <c r="L267" s="7"/>
      <c r="M267" s="7"/>
      <c r="N267" s="4"/>
      <c r="O267" s="4"/>
      <c r="P267" s="4"/>
      <c r="Q267" s="4"/>
      <c r="R267" s="4"/>
      <c r="S267" s="7"/>
      <c r="T267" s="7"/>
      <c r="U267" s="7"/>
      <c r="V267" s="7"/>
      <c r="W267" s="7"/>
      <c r="X267" s="7"/>
      <c r="Y267" s="4"/>
      <c r="Z267" s="4"/>
      <c r="AA267" s="4"/>
      <c r="AB267" s="4"/>
      <c r="AC267" s="4"/>
      <c r="AD267" s="4"/>
      <c r="AE267" s="4"/>
      <c r="AF267" s="4"/>
      <c r="AG267" s="28"/>
      <c r="AH267" s="4"/>
      <c r="AI267" s="4"/>
      <c r="AJ267" s="4"/>
      <c r="AK267" s="4"/>
      <c r="AL267" s="4"/>
      <c r="AM267" s="4"/>
      <c r="AN267" s="44"/>
      <c r="AO267" s="8"/>
      <c r="AP267" s="8"/>
      <c r="AQ267" s="8"/>
      <c r="AR267" s="8"/>
      <c r="AS267" s="8"/>
      <c r="AT267" s="8"/>
      <c r="AU267" s="8"/>
      <c r="AV267" s="46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4"/>
      <c r="BX267" s="4"/>
    </row>
    <row r="268" spans="1:76" s="16" customFormat="1" x14ac:dyDescent="0.25">
      <c r="A268" s="26"/>
      <c r="B268" s="6"/>
      <c r="C268" s="7"/>
      <c r="D268" s="7"/>
      <c r="E268" s="7"/>
      <c r="F268" s="7"/>
      <c r="G268" s="7"/>
      <c r="H268" s="7"/>
      <c r="I268" s="4"/>
      <c r="J268" s="7"/>
      <c r="K268" s="7"/>
      <c r="L268" s="7"/>
      <c r="M268" s="7"/>
      <c r="N268" s="4"/>
      <c r="O268" s="4"/>
      <c r="P268" s="4"/>
      <c r="Q268" s="4"/>
      <c r="R268" s="4"/>
      <c r="S268" s="7"/>
      <c r="T268" s="7"/>
      <c r="U268" s="7"/>
      <c r="V268" s="7"/>
      <c r="W268" s="7"/>
      <c r="X268" s="7"/>
      <c r="Y268" s="4"/>
      <c r="Z268" s="4"/>
      <c r="AA268" s="4"/>
      <c r="AB268" s="4"/>
      <c r="AC268" s="4"/>
      <c r="AD268" s="4"/>
      <c r="AE268" s="4"/>
      <c r="AF268" s="4"/>
      <c r="AG268" s="28"/>
      <c r="AH268" s="4"/>
      <c r="AI268" s="4"/>
      <c r="AJ268" s="4"/>
      <c r="AK268" s="4"/>
      <c r="AL268" s="4"/>
      <c r="AM268" s="4"/>
      <c r="AN268" s="44"/>
      <c r="AO268" s="8"/>
      <c r="AP268" s="8"/>
      <c r="AQ268" s="8"/>
      <c r="AR268" s="8"/>
      <c r="AS268" s="8"/>
      <c r="AT268" s="8"/>
      <c r="AU268" s="8"/>
      <c r="AV268" s="46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4"/>
      <c r="BX268" s="4"/>
    </row>
    <row r="269" spans="1:76" s="16" customFormat="1" x14ac:dyDescent="0.25">
      <c r="A269" s="26"/>
      <c r="B269" s="6"/>
      <c r="C269" s="7"/>
      <c r="D269" s="7"/>
      <c r="E269" s="7"/>
      <c r="F269" s="7"/>
      <c r="G269" s="7"/>
      <c r="H269" s="7"/>
      <c r="I269" s="4"/>
      <c r="J269" s="7"/>
      <c r="K269" s="7"/>
      <c r="L269" s="7"/>
      <c r="M269" s="7"/>
      <c r="N269" s="4"/>
      <c r="O269" s="4"/>
      <c r="P269" s="4"/>
      <c r="Q269" s="4"/>
      <c r="R269" s="4"/>
      <c r="S269" s="7"/>
      <c r="T269" s="7"/>
      <c r="U269" s="7"/>
      <c r="V269" s="7"/>
      <c r="W269" s="7"/>
      <c r="X269" s="7"/>
      <c r="Y269" s="4"/>
      <c r="Z269" s="4"/>
      <c r="AA269" s="4"/>
      <c r="AB269" s="4"/>
      <c r="AC269" s="4"/>
      <c r="AD269" s="4"/>
      <c r="AE269" s="4"/>
      <c r="AF269" s="4"/>
      <c r="AG269" s="28"/>
      <c r="AH269" s="4"/>
      <c r="AI269" s="4"/>
      <c r="AJ269" s="4"/>
      <c r="AK269" s="4"/>
      <c r="AL269" s="4"/>
      <c r="AM269" s="4"/>
      <c r="AN269" s="44"/>
      <c r="AO269" s="8"/>
      <c r="AP269" s="8"/>
      <c r="AQ269" s="8"/>
      <c r="AR269" s="8"/>
      <c r="AS269" s="8"/>
      <c r="AT269" s="8"/>
      <c r="AU269" s="8"/>
      <c r="AV269" s="46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4"/>
      <c r="BX269" s="4"/>
    </row>
    <row r="270" spans="1:76" s="16" customFormat="1" x14ac:dyDescent="0.25">
      <c r="A270" s="26"/>
      <c r="B270" s="6"/>
      <c r="C270" s="7"/>
      <c r="D270" s="7"/>
      <c r="E270" s="7"/>
      <c r="F270" s="7"/>
      <c r="G270" s="7"/>
      <c r="H270" s="7"/>
      <c r="I270" s="4"/>
      <c r="J270" s="7"/>
      <c r="K270" s="7"/>
      <c r="L270" s="7"/>
      <c r="M270" s="7"/>
      <c r="N270" s="4"/>
      <c r="O270" s="4"/>
      <c r="P270" s="4"/>
      <c r="Q270" s="4"/>
      <c r="R270" s="4"/>
      <c r="S270" s="7"/>
      <c r="T270" s="7"/>
      <c r="U270" s="7"/>
      <c r="V270" s="7"/>
      <c r="W270" s="7"/>
      <c r="X270" s="7"/>
      <c r="Y270" s="4"/>
      <c r="Z270" s="4"/>
      <c r="AA270" s="4"/>
      <c r="AB270" s="4"/>
      <c r="AC270" s="4"/>
      <c r="AD270" s="4"/>
      <c r="AE270" s="4"/>
      <c r="AF270" s="4"/>
      <c r="AG270" s="28"/>
      <c r="AH270" s="4"/>
      <c r="AI270" s="4"/>
      <c r="AJ270" s="4"/>
      <c r="AK270" s="4"/>
      <c r="AL270" s="4"/>
      <c r="AM270" s="4"/>
      <c r="AN270" s="44"/>
      <c r="AO270" s="8"/>
      <c r="AP270" s="8"/>
      <c r="AQ270" s="8"/>
      <c r="AR270" s="8"/>
      <c r="AS270" s="8"/>
      <c r="AT270" s="8"/>
      <c r="AU270" s="8"/>
      <c r="AV270" s="46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4"/>
      <c r="BX270" s="4"/>
    </row>
    <row r="271" spans="1:76" s="16" customFormat="1" x14ac:dyDescent="0.25">
      <c r="A271" s="26"/>
      <c r="B271" s="6"/>
      <c r="C271" s="7"/>
      <c r="D271" s="7"/>
      <c r="E271" s="7"/>
      <c r="F271" s="7"/>
      <c r="G271" s="7"/>
      <c r="H271" s="7"/>
      <c r="I271" s="4"/>
      <c r="J271" s="7"/>
      <c r="K271" s="7"/>
      <c r="L271" s="7"/>
      <c r="M271" s="7"/>
      <c r="N271" s="4"/>
      <c r="O271" s="4"/>
      <c r="P271" s="4"/>
      <c r="Q271" s="4"/>
      <c r="R271" s="4"/>
      <c r="S271" s="7"/>
      <c r="T271" s="7"/>
      <c r="U271" s="7"/>
      <c r="V271" s="7"/>
      <c r="W271" s="7"/>
      <c r="X271" s="7"/>
      <c r="Y271" s="4"/>
      <c r="Z271" s="4"/>
      <c r="AA271" s="4"/>
      <c r="AB271" s="4"/>
      <c r="AC271" s="4"/>
      <c r="AD271" s="4"/>
      <c r="AE271" s="4"/>
      <c r="AF271" s="4"/>
      <c r="AG271" s="28"/>
      <c r="AH271" s="4"/>
      <c r="AI271" s="4"/>
      <c r="AJ271" s="4"/>
      <c r="AK271" s="4"/>
      <c r="AL271" s="4"/>
      <c r="AM271" s="4"/>
      <c r="AN271" s="44"/>
      <c r="AO271" s="8"/>
      <c r="AP271" s="8"/>
      <c r="AQ271" s="8"/>
      <c r="AR271" s="8"/>
      <c r="AS271" s="8"/>
      <c r="AT271" s="8"/>
      <c r="AU271" s="8"/>
      <c r="AV271" s="46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4"/>
      <c r="BX271" s="4"/>
    </row>
    <row r="272" spans="1:76" s="16" customFormat="1" x14ac:dyDescent="0.25">
      <c r="A272" s="26"/>
      <c r="B272" s="6"/>
      <c r="C272" s="7"/>
      <c r="D272" s="7"/>
      <c r="E272" s="7"/>
      <c r="F272" s="7"/>
      <c r="G272" s="7"/>
      <c r="H272" s="7"/>
      <c r="I272" s="4"/>
      <c r="J272" s="7"/>
      <c r="K272" s="7"/>
      <c r="L272" s="7"/>
      <c r="M272" s="7"/>
      <c r="N272" s="4"/>
      <c r="O272" s="4"/>
      <c r="P272" s="4"/>
      <c r="Q272" s="4"/>
      <c r="R272" s="4"/>
      <c r="S272" s="7"/>
      <c r="T272" s="7"/>
      <c r="U272" s="7"/>
      <c r="V272" s="7"/>
      <c r="W272" s="7"/>
      <c r="X272" s="7"/>
      <c r="Y272" s="4"/>
      <c r="Z272" s="4"/>
      <c r="AA272" s="4"/>
      <c r="AB272" s="4"/>
      <c r="AC272" s="4"/>
      <c r="AD272" s="4"/>
      <c r="AE272" s="4"/>
      <c r="AF272" s="4"/>
      <c r="AG272" s="28"/>
      <c r="AH272" s="4"/>
      <c r="AI272" s="4"/>
      <c r="AJ272" s="4"/>
      <c r="AK272" s="4"/>
      <c r="AL272" s="4"/>
      <c r="AM272" s="4"/>
      <c r="AN272" s="44"/>
      <c r="AO272" s="8"/>
      <c r="AP272" s="8"/>
      <c r="AQ272" s="8"/>
      <c r="AR272" s="8"/>
      <c r="AS272" s="8"/>
      <c r="AT272" s="8"/>
      <c r="AU272" s="8"/>
      <c r="AV272" s="46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4"/>
      <c r="BX272" s="4"/>
    </row>
    <row r="273" spans="1:76" s="16" customFormat="1" x14ac:dyDescent="0.25">
      <c r="A273" s="26"/>
      <c r="B273" s="6"/>
      <c r="C273" s="7"/>
      <c r="D273" s="7"/>
      <c r="E273" s="7"/>
      <c r="F273" s="7"/>
      <c r="G273" s="7"/>
      <c r="H273" s="7"/>
      <c r="I273" s="4"/>
      <c r="J273" s="7"/>
      <c r="K273" s="7"/>
      <c r="L273" s="7"/>
      <c r="M273" s="7"/>
      <c r="N273" s="4"/>
      <c r="O273" s="4"/>
      <c r="P273" s="4"/>
      <c r="Q273" s="4"/>
      <c r="R273" s="4"/>
      <c r="S273" s="7"/>
      <c r="T273" s="7"/>
      <c r="U273" s="7"/>
      <c r="V273" s="7"/>
      <c r="W273" s="7"/>
      <c r="X273" s="7"/>
      <c r="Y273" s="4"/>
      <c r="Z273" s="4"/>
      <c r="AA273" s="4"/>
      <c r="AB273" s="4"/>
      <c r="AC273" s="4"/>
      <c r="AD273" s="4"/>
      <c r="AE273" s="4"/>
      <c r="AF273" s="4"/>
      <c r="AG273" s="28"/>
      <c r="AH273" s="4"/>
      <c r="AI273" s="4"/>
      <c r="AJ273" s="4"/>
      <c r="AK273" s="4"/>
      <c r="AL273" s="4"/>
      <c r="AM273" s="4"/>
      <c r="AN273" s="44"/>
      <c r="AO273" s="8"/>
      <c r="AP273" s="8"/>
      <c r="AQ273" s="8"/>
      <c r="AR273" s="8"/>
      <c r="AS273" s="8"/>
      <c r="AT273" s="8"/>
      <c r="AU273" s="8"/>
      <c r="AV273" s="46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4"/>
      <c r="BX273" s="4"/>
    </row>
    <row r="274" spans="1:76" s="16" customFormat="1" x14ac:dyDescent="0.25">
      <c r="A274" s="26"/>
      <c r="B274" s="6"/>
      <c r="C274" s="7"/>
      <c r="D274" s="7"/>
      <c r="E274" s="7"/>
      <c r="F274" s="7"/>
      <c r="G274" s="7"/>
      <c r="H274" s="7"/>
      <c r="I274" s="4"/>
      <c r="J274" s="7"/>
      <c r="K274" s="7"/>
      <c r="L274" s="7"/>
      <c r="M274" s="7"/>
      <c r="N274" s="4"/>
      <c r="O274" s="4"/>
      <c r="P274" s="4"/>
      <c r="Q274" s="4"/>
      <c r="R274" s="4"/>
      <c r="S274" s="7"/>
      <c r="T274" s="7"/>
      <c r="U274" s="7"/>
      <c r="V274" s="7"/>
      <c r="W274" s="7"/>
      <c r="X274" s="7"/>
      <c r="Y274" s="4"/>
      <c r="Z274" s="4"/>
      <c r="AA274" s="4"/>
      <c r="AB274" s="4"/>
      <c r="AC274" s="4"/>
      <c r="AD274" s="4"/>
      <c r="AE274" s="4"/>
      <c r="AF274" s="4"/>
      <c r="AG274" s="28"/>
      <c r="AH274" s="4"/>
      <c r="AI274" s="4"/>
      <c r="AJ274" s="4"/>
      <c r="AK274" s="4"/>
      <c r="AL274" s="4"/>
      <c r="AM274" s="4"/>
      <c r="AN274" s="44"/>
      <c r="AO274" s="8"/>
      <c r="AP274" s="8"/>
      <c r="AQ274" s="8"/>
      <c r="AR274" s="8"/>
      <c r="AS274" s="8"/>
      <c r="AT274" s="8"/>
      <c r="AU274" s="8"/>
      <c r="AV274" s="46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4"/>
      <c r="BX274" s="4"/>
    </row>
    <row r="275" spans="1:76" s="16" customFormat="1" x14ac:dyDescent="0.25">
      <c r="A275" s="26"/>
      <c r="B275" s="6"/>
      <c r="C275" s="7"/>
      <c r="D275" s="7"/>
      <c r="E275" s="7"/>
      <c r="F275" s="7"/>
      <c r="G275" s="7"/>
      <c r="H275" s="7"/>
      <c r="I275" s="4"/>
      <c r="J275" s="7"/>
      <c r="K275" s="7"/>
      <c r="L275" s="7"/>
      <c r="M275" s="7"/>
      <c r="N275" s="4"/>
      <c r="O275" s="4"/>
      <c r="P275" s="4"/>
      <c r="Q275" s="4"/>
      <c r="R275" s="4"/>
      <c r="S275" s="7"/>
      <c r="T275" s="7"/>
      <c r="U275" s="7"/>
      <c r="V275" s="7"/>
      <c r="W275" s="7"/>
      <c r="X275" s="7"/>
      <c r="Y275" s="4"/>
      <c r="Z275" s="4"/>
      <c r="AA275" s="4"/>
      <c r="AB275" s="4"/>
      <c r="AC275" s="4"/>
      <c r="AD275" s="4"/>
      <c r="AE275" s="4"/>
      <c r="AF275" s="4"/>
      <c r="AG275" s="28"/>
      <c r="AH275" s="4"/>
      <c r="AI275" s="4"/>
      <c r="AJ275" s="4"/>
      <c r="AK275" s="4"/>
      <c r="AL275" s="4"/>
      <c r="AM275" s="4"/>
      <c r="AN275" s="44"/>
      <c r="AO275" s="8"/>
      <c r="AP275" s="8"/>
      <c r="AQ275" s="8"/>
      <c r="AR275" s="8"/>
      <c r="AS275" s="8"/>
      <c r="AT275" s="8"/>
      <c r="AU275" s="8"/>
      <c r="AV275" s="46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4"/>
      <c r="BX275" s="4"/>
    </row>
    <row r="276" spans="1:76" s="16" customFormat="1" x14ac:dyDescent="0.25">
      <c r="A276" s="26"/>
      <c r="B276" s="6"/>
      <c r="C276" s="7"/>
      <c r="D276" s="7"/>
      <c r="E276" s="7"/>
      <c r="F276" s="7"/>
      <c r="G276" s="7"/>
      <c r="H276" s="7"/>
      <c r="I276" s="4"/>
      <c r="J276" s="7"/>
      <c r="K276" s="7"/>
      <c r="L276" s="7"/>
      <c r="M276" s="7"/>
      <c r="N276" s="4"/>
      <c r="O276" s="4"/>
      <c r="P276" s="4"/>
      <c r="Q276" s="4"/>
      <c r="R276" s="4"/>
      <c r="S276" s="7"/>
      <c r="T276" s="7"/>
      <c r="U276" s="7"/>
      <c r="V276" s="7"/>
      <c r="W276" s="7"/>
      <c r="X276" s="7"/>
      <c r="Y276" s="4"/>
      <c r="Z276" s="4"/>
      <c r="AA276" s="4"/>
      <c r="AB276" s="4"/>
      <c r="AC276" s="4"/>
      <c r="AD276" s="4"/>
      <c r="AE276" s="4"/>
      <c r="AF276" s="4"/>
      <c r="AG276" s="28"/>
      <c r="AH276" s="4"/>
      <c r="AI276" s="4"/>
      <c r="AJ276" s="4"/>
      <c r="AK276" s="4"/>
      <c r="AL276" s="4"/>
      <c r="AM276" s="4"/>
      <c r="AN276" s="44"/>
      <c r="AO276" s="8"/>
      <c r="AP276" s="8"/>
      <c r="AQ276" s="8"/>
      <c r="AR276" s="8"/>
      <c r="AS276" s="8"/>
      <c r="AT276" s="8"/>
      <c r="AU276" s="8"/>
      <c r="AV276" s="46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4"/>
      <c r="BX276" s="4"/>
    </row>
    <row r="277" spans="1:76" s="16" customFormat="1" x14ac:dyDescent="0.25">
      <c r="A277" s="26"/>
      <c r="B277" s="6"/>
      <c r="C277" s="7"/>
      <c r="D277" s="7"/>
      <c r="E277" s="7"/>
      <c r="F277" s="7"/>
      <c r="G277" s="7"/>
      <c r="H277" s="7"/>
      <c r="I277" s="4"/>
      <c r="J277" s="7"/>
      <c r="K277" s="7"/>
      <c r="L277" s="7"/>
      <c r="M277" s="7"/>
      <c r="N277" s="4"/>
      <c r="O277" s="4"/>
      <c r="P277" s="4"/>
      <c r="Q277" s="4"/>
      <c r="R277" s="4"/>
      <c r="S277" s="7"/>
      <c r="T277" s="7"/>
      <c r="U277" s="7"/>
      <c r="V277" s="7"/>
      <c r="W277" s="7"/>
      <c r="X277" s="7"/>
      <c r="Y277" s="4"/>
      <c r="Z277" s="4"/>
      <c r="AA277" s="4"/>
      <c r="AB277" s="4"/>
      <c r="AC277" s="4"/>
      <c r="AD277" s="4"/>
      <c r="AE277" s="4"/>
      <c r="AF277" s="4"/>
      <c r="AG277" s="28"/>
      <c r="AH277" s="4"/>
      <c r="AI277" s="4"/>
      <c r="AJ277" s="4"/>
      <c r="AK277" s="4"/>
      <c r="AL277" s="4"/>
      <c r="AM277" s="4"/>
      <c r="AN277" s="44"/>
      <c r="AO277" s="8"/>
      <c r="AP277" s="8"/>
      <c r="AQ277" s="8"/>
      <c r="AR277" s="8"/>
      <c r="AS277" s="8"/>
      <c r="AT277" s="8"/>
      <c r="AU277" s="8"/>
      <c r="AV277" s="46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4"/>
      <c r="BX277" s="4"/>
    </row>
    <row r="278" spans="1:76" s="16" customFormat="1" x14ac:dyDescent="0.25">
      <c r="A278" s="26"/>
      <c r="B278" s="6"/>
      <c r="C278" s="7"/>
      <c r="D278" s="7"/>
      <c r="E278" s="7"/>
      <c r="F278" s="7"/>
      <c r="G278" s="7"/>
      <c r="H278" s="7"/>
      <c r="I278" s="4"/>
      <c r="J278" s="7"/>
      <c r="K278" s="7"/>
      <c r="L278" s="7"/>
      <c r="M278" s="7"/>
      <c r="N278" s="4"/>
      <c r="O278" s="4"/>
      <c r="P278" s="4"/>
      <c r="Q278" s="4"/>
      <c r="R278" s="4"/>
      <c r="S278" s="7"/>
      <c r="T278" s="7"/>
      <c r="U278" s="7"/>
      <c r="V278" s="7"/>
      <c r="W278" s="7"/>
      <c r="X278" s="7"/>
      <c r="Y278" s="4"/>
      <c r="Z278" s="4"/>
      <c r="AA278" s="4"/>
      <c r="AB278" s="4"/>
      <c r="AC278" s="4"/>
      <c r="AD278" s="4"/>
      <c r="AE278" s="4"/>
      <c r="AF278" s="4"/>
      <c r="AG278" s="28"/>
      <c r="AH278" s="4"/>
      <c r="AI278" s="4"/>
      <c r="AJ278" s="4"/>
      <c r="AK278" s="4"/>
      <c r="AL278" s="4"/>
      <c r="AM278" s="4"/>
      <c r="AN278" s="44"/>
      <c r="AO278" s="8"/>
      <c r="AP278" s="8"/>
      <c r="AQ278" s="8"/>
      <c r="AR278" s="8"/>
      <c r="AS278" s="8"/>
      <c r="AT278" s="8"/>
      <c r="AU278" s="8"/>
      <c r="AV278" s="46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4"/>
      <c r="BX278" s="4"/>
    </row>
    <row r="279" spans="1:76" s="16" customFormat="1" x14ac:dyDescent="0.25">
      <c r="A279" s="26"/>
      <c r="B279" s="6"/>
      <c r="C279" s="7"/>
      <c r="D279" s="7"/>
      <c r="E279" s="7"/>
      <c r="F279" s="7"/>
      <c r="G279" s="7"/>
      <c r="H279" s="7"/>
      <c r="I279" s="4"/>
      <c r="J279" s="7"/>
      <c r="K279" s="7"/>
      <c r="L279" s="7"/>
      <c r="M279" s="7"/>
      <c r="N279" s="4"/>
      <c r="O279" s="4"/>
      <c r="P279" s="4"/>
      <c r="Q279" s="4"/>
      <c r="R279" s="4"/>
      <c r="S279" s="7"/>
      <c r="T279" s="7"/>
      <c r="U279" s="7"/>
      <c r="V279" s="7"/>
      <c r="W279" s="7"/>
      <c r="X279" s="7"/>
      <c r="Y279" s="4"/>
      <c r="Z279" s="4"/>
      <c r="AA279" s="4"/>
      <c r="AB279" s="4"/>
      <c r="AC279" s="4"/>
      <c r="AD279" s="4"/>
      <c r="AE279" s="4"/>
      <c r="AF279" s="4"/>
      <c r="AG279" s="28"/>
      <c r="AH279" s="4"/>
      <c r="AI279" s="4"/>
      <c r="AJ279" s="4"/>
      <c r="AK279" s="4"/>
      <c r="AL279" s="4"/>
      <c r="AM279" s="4"/>
      <c r="AN279" s="44"/>
      <c r="AO279" s="8"/>
      <c r="AP279" s="8"/>
      <c r="AQ279" s="8"/>
      <c r="AR279" s="8"/>
      <c r="AS279" s="8"/>
      <c r="AT279" s="8"/>
      <c r="AU279" s="8"/>
      <c r="AV279" s="46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4"/>
      <c r="BX279" s="4"/>
    </row>
    <row r="280" spans="1:76" s="16" customFormat="1" x14ac:dyDescent="0.25">
      <c r="A280" s="26"/>
      <c r="B280" s="6"/>
      <c r="C280" s="7"/>
      <c r="D280" s="7"/>
      <c r="E280" s="7"/>
      <c r="F280" s="7"/>
      <c r="G280" s="7"/>
      <c r="H280" s="7"/>
      <c r="I280" s="4"/>
      <c r="J280" s="7"/>
      <c r="K280" s="7"/>
      <c r="L280" s="7"/>
      <c r="M280" s="7"/>
      <c r="N280" s="4"/>
      <c r="O280" s="4"/>
      <c r="P280" s="4"/>
      <c r="Q280" s="4"/>
      <c r="R280" s="4"/>
      <c r="S280" s="7"/>
      <c r="T280" s="7"/>
      <c r="U280" s="7"/>
      <c r="V280" s="7"/>
      <c r="W280" s="7"/>
      <c r="X280" s="7"/>
      <c r="Y280" s="4"/>
      <c r="Z280" s="4"/>
      <c r="AA280" s="4"/>
      <c r="AB280" s="4"/>
      <c r="AC280" s="4"/>
      <c r="AD280" s="4"/>
      <c r="AE280" s="4"/>
      <c r="AF280" s="4"/>
      <c r="AG280" s="28"/>
      <c r="AH280" s="4"/>
      <c r="AI280" s="4"/>
      <c r="AJ280" s="4"/>
      <c r="AK280" s="4"/>
      <c r="AL280" s="4"/>
      <c r="AM280" s="4"/>
      <c r="AN280" s="44"/>
      <c r="AO280" s="8"/>
      <c r="AP280" s="8"/>
      <c r="AQ280" s="8"/>
      <c r="AR280" s="8"/>
      <c r="AS280" s="8"/>
      <c r="AT280" s="8"/>
      <c r="AU280" s="8"/>
      <c r="AV280" s="46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4"/>
      <c r="BX280" s="4"/>
    </row>
    <row r="281" spans="1:76" s="16" customFormat="1" x14ac:dyDescent="0.25">
      <c r="A281" s="26"/>
      <c r="B281" s="6"/>
      <c r="C281" s="7"/>
      <c r="D281" s="7"/>
      <c r="E281" s="7"/>
      <c r="F281" s="7"/>
      <c r="G281" s="7"/>
      <c r="H281" s="7"/>
      <c r="I281" s="4"/>
      <c r="J281" s="7"/>
      <c r="K281" s="7"/>
      <c r="L281" s="7"/>
      <c r="M281" s="7"/>
      <c r="N281" s="4"/>
      <c r="O281" s="4"/>
      <c r="P281" s="4"/>
      <c r="Q281" s="4"/>
      <c r="R281" s="4"/>
      <c r="S281" s="7"/>
      <c r="T281" s="7"/>
      <c r="U281" s="7"/>
      <c r="V281" s="7"/>
      <c r="W281" s="7"/>
      <c r="X281" s="7"/>
      <c r="Y281" s="4"/>
      <c r="Z281" s="4"/>
      <c r="AA281" s="4"/>
      <c r="AB281" s="4"/>
      <c r="AC281" s="4"/>
      <c r="AD281" s="4"/>
      <c r="AE281" s="4"/>
      <c r="AF281" s="4"/>
      <c r="AG281" s="28"/>
      <c r="AH281" s="4"/>
      <c r="AI281" s="4"/>
      <c r="AJ281" s="4"/>
      <c r="AK281" s="4"/>
      <c r="AL281" s="4"/>
      <c r="AM281" s="4"/>
      <c r="AN281" s="44"/>
      <c r="AO281" s="8"/>
      <c r="AP281" s="8"/>
      <c r="AQ281" s="8"/>
      <c r="AR281" s="8"/>
      <c r="AS281" s="8"/>
      <c r="AT281" s="8"/>
      <c r="AU281" s="8"/>
      <c r="AV281" s="46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4"/>
      <c r="BX281" s="4"/>
    </row>
    <row r="282" spans="1:76" s="16" customFormat="1" x14ac:dyDescent="0.25">
      <c r="A282" s="26"/>
      <c r="B282" s="6"/>
      <c r="C282" s="7"/>
      <c r="D282" s="7"/>
      <c r="E282" s="7"/>
      <c r="F282" s="7"/>
      <c r="G282" s="7"/>
      <c r="H282" s="7"/>
      <c r="I282" s="4"/>
      <c r="J282" s="7"/>
      <c r="K282" s="7"/>
      <c r="L282" s="7"/>
      <c r="M282" s="7"/>
      <c r="N282" s="4"/>
      <c r="O282" s="4"/>
      <c r="P282" s="4"/>
      <c r="Q282" s="4"/>
      <c r="R282" s="4"/>
      <c r="S282" s="7"/>
      <c r="T282" s="7"/>
      <c r="U282" s="7"/>
      <c r="V282" s="7"/>
      <c r="W282" s="7"/>
      <c r="X282" s="7"/>
      <c r="Y282" s="4"/>
      <c r="Z282" s="4"/>
      <c r="AA282" s="4"/>
      <c r="AB282" s="4"/>
      <c r="AC282" s="4"/>
      <c r="AD282" s="4"/>
      <c r="AE282" s="4"/>
      <c r="AF282" s="4"/>
      <c r="AG282" s="28"/>
      <c r="AH282" s="4"/>
      <c r="AI282" s="4"/>
      <c r="AJ282" s="4"/>
      <c r="AK282" s="4"/>
      <c r="AL282" s="4"/>
      <c r="AM282" s="4"/>
      <c r="AN282" s="44"/>
      <c r="AO282" s="8"/>
      <c r="AP282" s="8"/>
      <c r="AQ282" s="8"/>
      <c r="AR282" s="8"/>
      <c r="AS282" s="8"/>
      <c r="AT282" s="8"/>
      <c r="AU282" s="8"/>
      <c r="AV282" s="46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4"/>
      <c r="BX282" s="4"/>
    </row>
    <row r="283" spans="1:76" s="16" customFormat="1" x14ac:dyDescent="0.25">
      <c r="A283" s="26"/>
      <c r="B283" s="6"/>
      <c r="C283" s="7"/>
      <c r="D283" s="7"/>
      <c r="E283" s="7"/>
      <c r="F283" s="7"/>
      <c r="G283" s="7"/>
      <c r="H283" s="7"/>
      <c r="I283" s="4"/>
      <c r="J283" s="7"/>
      <c r="K283" s="7"/>
      <c r="L283" s="7"/>
      <c r="M283" s="7"/>
      <c r="N283" s="4"/>
      <c r="O283" s="4"/>
      <c r="P283" s="4"/>
      <c r="Q283" s="4"/>
      <c r="R283" s="4"/>
      <c r="S283" s="7"/>
      <c r="T283" s="7"/>
      <c r="U283" s="7"/>
      <c r="V283" s="7"/>
      <c r="W283" s="7"/>
      <c r="X283" s="7"/>
      <c r="Y283" s="4"/>
      <c r="Z283" s="4"/>
      <c r="AA283" s="4"/>
      <c r="AB283" s="4"/>
      <c r="AC283" s="4"/>
      <c r="AD283" s="4"/>
      <c r="AE283" s="4"/>
      <c r="AF283" s="4"/>
      <c r="AG283" s="28"/>
      <c r="AH283" s="4"/>
      <c r="AI283" s="4"/>
      <c r="AJ283" s="4"/>
      <c r="AK283" s="4"/>
      <c r="AL283" s="4"/>
      <c r="AM283" s="4"/>
      <c r="AN283" s="44"/>
      <c r="AO283" s="8"/>
      <c r="AP283" s="8"/>
      <c r="AQ283" s="8"/>
      <c r="AR283" s="8"/>
      <c r="AS283" s="8"/>
      <c r="AT283" s="8"/>
      <c r="AU283" s="8"/>
      <c r="AV283" s="46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4"/>
      <c r="BX283" s="4"/>
    </row>
    <row r="284" spans="1:76" s="16" customFormat="1" x14ac:dyDescent="0.25">
      <c r="A284" s="26"/>
      <c r="B284" s="6"/>
      <c r="C284" s="7"/>
      <c r="D284" s="7"/>
      <c r="E284" s="7"/>
      <c r="F284" s="7"/>
      <c r="G284" s="7"/>
      <c r="H284" s="7"/>
      <c r="I284" s="4"/>
      <c r="J284" s="7"/>
      <c r="K284" s="7"/>
      <c r="L284" s="7"/>
      <c r="M284" s="7"/>
      <c r="N284" s="4"/>
      <c r="O284" s="4"/>
      <c r="P284" s="4"/>
      <c r="Q284" s="4"/>
      <c r="R284" s="4"/>
      <c r="S284" s="7"/>
      <c r="T284" s="7"/>
      <c r="U284" s="7"/>
      <c r="V284" s="7"/>
      <c r="W284" s="7"/>
      <c r="X284" s="7"/>
      <c r="Y284" s="4"/>
      <c r="Z284" s="4"/>
      <c r="AA284" s="4"/>
      <c r="AB284" s="4"/>
      <c r="AC284" s="4"/>
      <c r="AD284" s="4"/>
      <c r="AE284" s="4"/>
      <c r="AF284" s="4"/>
      <c r="AG284" s="28"/>
      <c r="AH284" s="4"/>
      <c r="AI284" s="4"/>
      <c r="AJ284" s="4"/>
      <c r="AK284" s="4"/>
      <c r="AL284" s="4"/>
      <c r="AM284" s="4"/>
      <c r="AN284" s="44"/>
      <c r="AO284" s="8"/>
      <c r="AP284" s="8"/>
      <c r="AQ284" s="8"/>
      <c r="AR284" s="8"/>
      <c r="AS284" s="8"/>
      <c r="AT284" s="8"/>
      <c r="AU284" s="8"/>
      <c r="AV284" s="46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4"/>
      <c r="BX284" s="4"/>
    </row>
    <row r="285" spans="1:76" s="16" customFormat="1" x14ac:dyDescent="0.25">
      <c r="A285" s="26"/>
      <c r="B285" s="6"/>
      <c r="C285" s="7"/>
      <c r="D285" s="7"/>
      <c r="E285" s="7"/>
      <c r="F285" s="7"/>
      <c r="G285" s="7"/>
      <c r="H285" s="7"/>
      <c r="I285" s="4"/>
      <c r="J285" s="7"/>
      <c r="K285" s="7"/>
      <c r="L285" s="7"/>
      <c r="M285" s="7"/>
      <c r="N285" s="4"/>
      <c r="O285" s="4"/>
      <c r="P285" s="4"/>
      <c r="Q285" s="4"/>
      <c r="R285" s="4"/>
      <c r="S285" s="7"/>
      <c r="T285" s="7"/>
      <c r="U285" s="7"/>
      <c r="V285" s="7"/>
      <c r="W285" s="7"/>
      <c r="X285" s="7"/>
      <c r="Y285" s="4"/>
      <c r="Z285" s="4"/>
      <c r="AA285" s="4"/>
      <c r="AB285" s="4"/>
      <c r="AC285" s="4"/>
      <c r="AD285" s="4"/>
      <c r="AE285" s="4"/>
      <c r="AF285" s="4"/>
      <c r="AG285" s="28"/>
      <c r="AH285" s="4"/>
      <c r="AI285" s="4"/>
      <c r="AJ285" s="4"/>
      <c r="AK285" s="4"/>
      <c r="AL285" s="4"/>
      <c r="AM285" s="4"/>
      <c r="AN285" s="44"/>
      <c r="AO285" s="8"/>
      <c r="AP285" s="8"/>
      <c r="AQ285" s="8"/>
      <c r="AR285" s="8"/>
      <c r="AS285" s="8"/>
      <c r="AT285" s="8"/>
      <c r="AU285" s="8"/>
      <c r="AV285" s="46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4"/>
      <c r="BX285" s="4"/>
    </row>
    <row r="286" spans="1:76" s="16" customFormat="1" x14ac:dyDescent="0.25">
      <c r="A286" s="26"/>
      <c r="B286" s="6"/>
      <c r="C286" s="7"/>
      <c r="D286" s="7"/>
      <c r="E286" s="7"/>
      <c r="F286" s="7"/>
      <c r="G286" s="7"/>
      <c r="H286" s="7"/>
      <c r="I286" s="4"/>
      <c r="J286" s="7"/>
      <c r="K286" s="7"/>
      <c r="L286" s="7"/>
      <c r="M286" s="7"/>
      <c r="N286" s="4"/>
      <c r="O286" s="4"/>
      <c r="P286" s="4"/>
      <c r="Q286" s="4"/>
      <c r="R286" s="4"/>
      <c r="S286" s="7"/>
      <c r="T286" s="7"/>
      <c r="U286" s="7"/>
      <c r="V286" s="7"/>
      <c r="W286" s="7"/>
      <c r="X286" s="7"/>
      <c r="Y286" s="4"/>
      <c r="Z286" s="4"/>
      <c r="AA286" s="4"/>
      <c r="AB286" s="4"/>
      <c r="AC286" s="4"/>
      <c r="AD286" s="4"/>
      <c r="AE286" s="4"/>
      <c r="AF286" s="4"/>
      <c r="AG286" s="28"/>
      <c r="AH286" s="4"/>
      <c r="AI286" s="4"/>
      <c r="AJ286" s="4"/>
      <c r="AK286" s="4"/>
      <c r="AL286" s="4"/>
      <c r="AM286" s="4"/>
      <c r="AN286" s="44"/>
      <c r="AO286" s="8"/>
      <c r="AP286" s="8"/>
      <c r="AQ286" s="8"/>
      <c r="AR286" s="8"/>
      <c r="AS286" s="8"/>
      <c r="AT286" s="8"/>
      <c r="AU286" s="8"/>
      <c r="AV286" s="46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4"/>
      <c r="BX286" s="4"/>
    </row>
    <row r="287" spans="1:76" s="16" customFormat="1" x14ac:dyDescent="0.25">
      <c r="A287" s="26"/>
      <c r="B287" s="6"/>
      <c r="C287" s="7"/>
      <c r="D287" s="7"/>
      <c r="E287" s="7"/>
      <c r="F287" s="7"/>
      <c r="G287" s="7"/>
      <c r="H287" s="7"/>
      <c r="I287" s="4"/>
      <c r="J287" s="7"/>
      <c r="K287" s="7"/>
      <c r="L287" s="7"/>
      <c r="M287" s="7"/>
      <c r="N287" s="4"/>
      <c r="O287" s="4"/>
      <c r="P287" s="4"/>
      <c r="Q287" s="4"/>
      <c r="R287" s="4"/>
      <c r="S287" s="7"/>
      <c r="T287" s="7"/>
      <c r="U287" s="7"/>
      <c r="V287" s="7"/>
      <c r="W287" s="7"/>
      <c r="X287" s="7"/>
      <c r="Y287" s="4"/>
      <c r="Z287" s="4"/>
      <c r="AA287" s="4"/>
      <c r="AB287" s="4"/>
      <c r="AC287" s="4"/>
      <c r="AD287" s="4"/>
      <c r="AE287" s="4"/>
      <c r="AF287" s="4"/>
      <c r="AG287" s="28"/>
      <c r="AH287" s="4"/>
      <c r="AI287" s="4"/>
      <c r="AJ287" s="4"/>
      <c r="AK287" s="4"/>
      <c r="AL287" s="4"/>
      <c r="AM287" s="4"/>
      <c r="AN287" s="44"/>
      <c r="AO287" s="8"/>
      <c r="AP287" s="8"/>
      <c r="AQ287" s="8"/>
      <c r="AR287" s="8"/>
      <c r="AS287" s="8"/>
      <c r="AT287" s="8"/>
      <c r="AU287" s="8"/>
      <c r="AV287" s="46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4"/>
      <c r="BX287" s="4"/>
    </row>
    <row r="288" spans="1:76" s="16" customFormat="1" x14ac:dyDescent="0.25">
      <c r="A288" s="26"/>
      <c r="B288" s="6"/>
      <c r="C288" s="7"/>
      <c r="D288" s="7"/>
      <c r="E288" s="7"/>
      <c r="F288" s="7"/>
      <c r="G288" s="7"/>
      <c r="H288" s="7"/>
      <c r="I288" s="4"/>
      <c r="J288" s="7"/>
      <c r="K288" s="7"/>
      <c r="L288" s="7"/>
      <c r="M288" s="7"/>
      <c r="N288" s="4"/>
      <c r="O288" s="4"/>
      <c r="P288" s="4"/>
      <c r="Q288" s="4"/>
      <c r="R288" s="4"/>
      <c r="S288" s="7"/>
      <c r="T288" s="7"/>
      <c r="U288" s="7"/>
      <c r="V288" s="7"/>
      <c r="W288" s="7"/>
      <c r="X288" s="7"/>
      <c r="Y288" s="4"/>
      <c r="Z288" s="4"/>
      <c r="AA288" s="4"/>
      <c r="AB288" s="4"/>
      <c r="AC288" s="4"/>
      <c r="AD288" s="4"/>
      <c r="AE288" s="4"/>
      <c r="AF288" s="4"/>
      <c r="AG288" s="28"/>
      <c r="AH288" s="4"/>
      <c r="AI288" s="4"/>
      <c r="AJ288" s="4"/>
      <c r="AK288" s="4"/>
      <c r="AL288" s="4"/>
      <c r="AM288" s="4"/>
      <c r="AN288" s="44"/>
      <c r="AO288" s="8"/>
      <c r="AP288" s="8"/>
      <c r="AQ288" s="8"/>
      <c r="AR288" s="8"/>
      <c r="AS288" s="8"/>
      <c r="AT288" s="8"/>
      <c r="AU288" s="8"/>
      <c r="AV288" s="46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4"/>
      <c r="BX288" s="4"/>
    </row>
    <row r="289" spans="1:76" s="16" customFormat="1" x14ac:dyDescent="0.25">
      <c r="A289" s="26"/>
      <c r="B289" s="6"/>
      <c r="C289" s="7"/>
      <c r="D289" s="7"/>
      <c r="E289" s="7"/>
      <c r="F289" s="7"/>
      <c r="G289" s="7"/>
      <c r="H289" s="7"/>
      <c r="I289" s="4"/>
      <c r="J289" s="7"/>
      <c r="K289" s="7"/>
      <c r="L289" s="7"/>
      <c r="M289" s="7"/>
      <c r="N289" s="4"/>
      <c r="O289" s="4"/>
      <c r="P289" s="4"/>
      <c r="Q289" s="4"/>
      <c r="R289" s="4"/>
      <c r="S289" s="7"/>
      <c r="T289" s="7"/>
      <c r="U289" s="7"/>
      <c r="V289" s="7"/>
      <c r="W289" s="7"/>
      <c r="X289" s="7"/>
      <c r="Y289" s="4"/>
      <c r="Z289" s="4"/>
      <c r="AA289" s="4"/>
      <c r="AB289" s="4"/>
      <c r="AC289" s="4"/>
      <c r="AD289" s="4"/>
      <c r="AE289" s="4"/>
      <c r="AF289" s="4"/>
      <c r="AG289" s="28"/>
      <c r="AH289" s="4"/>
      <c r="AI289" s="4"/>
      <c r="AJ289" s="4"/>
      <c r="AK289" s="4"/>
      <c r="AL289" s="4"/>
      <c r="AM289" s="4"/>
      <c r="AN289" s="44"/>
      <c r="AO289" s="8"/>
      <c r="AP289" s="8"/>
      <c r="AQ289" s="8"/>
      <c r="AR289" s="8"/>
      <c r="AS289" s="8"/>
      <c r="AT289" s="8"/>
      <c r="AU289" s="8"/>
      <c r="AV289" s="46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4"/>
      <c r="BX289" s="4"/>
    </row>
    <row r="290" spans="1:76" s="16" customFormat="1" x14ac:dyDescent="0.25">
      <c r="A290" s="26"/>
      <c r="B290" s="6"/>
      <c r="C290" s="7"/>
      <c r="D290" s="7"/>
      <c r="E290" s="7"/>
      <c r="F290" s="7"/>
      <c r="G290" s="7"/>
      <c r="H290" s="7"/>
      <c r="I290" s="4"/>
      <c r="J290" s="7"/>
      <c r="K290" s="7"/>
      <c r="L290" s="7"/>
      <c r="M290" s="7"/>
      <c r="N290" s="4"/>
      <c r="O290" s="4"/>
      <c r="P290" s="4"/>
      <c r="Q290" s="4"/>
      <c r="R290" s="4"/>
      <c r="S290" s="7"/>
      <c r="T290" s="7"/>
      <c r="U290" s="7"/>
      <c r="V290" s="7"/>
      <c r="W290" s="7"/>
      <c r="X290" s="7"/>
      <c r="Y290" s="4"/>
      <c r="Z290" s="4"/>
      <c r="AA290" s="4"/>
      <c r="AB290" s="4"/>
      <c r="AC290" s="4"/>
      <c r="AD290" s="4"/>
      <c r="AE290" s="4"/>
      <c r="AF290" s="4"/>
      <c r="AG290" s="28"/>
      <c r="AH290" s="4"/>
      <c r="AI290" s="4"/>
      <c r="AJ290" s="4"/>
      <c r="AK290" s="4"/>
      <c r="AL290" s="4"/>
      <c r="AM290" s="4"/>
      <c r="AN290" s="44"/>
      <c r="AO290" s="8"/>
      <c r="AP290" s="8"/>
      <c r="AQ290" s="8"/>
      <c r="AR290" s="8"/>
      <c r="AS290" s="8"/>
      <c r="AT290" s="8"/>
      <c r="AU290" s="8"/>
      <c r="AV290" s="46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4"/>
      <c r="BX290" s="4"/>
    </row>
    <row r="291" spans="1:76" s="16" customFormat="1" x14ac:dyDescent="0.25">
      <c r="A291" s="26"/>
      <c r="B291" s="6"/>
      <c r="C291" s="7"/>
      <c r="D291" s="7"/>
      <c r="E291" s="7"/>
      <c r="F291" s="7"/>
      <c r="G291" s="7"/>
      <c r="H291" s="7"/>
      <c r="I291" s="4"/>
      <c r="J291" s="7"/>
      <c r="K291" s="7"/>
      <c r="L291" s="7"/>
      <c r="M291" s="7"/>
      <c r="N291" s="4"/>
      <c r="O291" s="4"/>
      <c r="P291" s="4"/>
      <c r="Q291" s="4"/>
      <c r="R291" s="4"/>
      <c r="S291" s="7"/>
      <c r="T291" s="7"/>
      <c r="U291" s="7"/>
      <c r="V291" s="7"/>
      <c r="W291" s="7"/>
      <c r="X291" s="7"/>
      <c r="Y291" s="4"/>
      <c r="Z291" s="4"/>
      <c r="AA291" s="4"/>
      <c r="AB291" s="4"/>
      <c r="AC291" s="4"/>
      <c r="AD291" s="4"/>
      <c r="AE291" s="4"/>
      <c r="AF291" s="4"/>
      <c r="AG291" s="28"/>
      <c r="AH291" s="4"/>
      <c r="AI291" s="4"/>
      <c r="AJ291" s="4"/>
      <c r="AK291" s="4"/>
      <c r="AL291" s="4"/>
      <c r="AM291" s="4"/>
      <c r="AN291" s="44"/>
      <c r="AO291" s="8"/>
      <c r="AP291" s="8"/>
      <c r="AQ291" s="8"/>
      <c r="AR291" s="8"/>
      <c r="AS291" s="8"/>
      <c r="AT291" s="8"/>
      <c r="AU291" s="8"/>
      <c r="AV291" s="46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4"/>
      <c r="BX291" s="4"/>
    </row>
    <row r="292" spans="1:76" s="16" customFormat="1" x14ac:dyDescent="0.25">
      <c r="A292" s="26"/>
      <c r="B292" s="6"/>
      <c r="C292" s="7"/>
      <c r="D292" s="7"/>
      <c r="E292" s="7"/>
      <c r="F292" s="7"/>
      <c r="G292" s="7"/>
      <c r="H292" s="7"/>
      <c r="I292" s="4"/>
      <c r="J292" s="7"/>
      <c r="K292" s="7"/>
      <c r="L292" s="7"/>
      <c r="M292" s="7"/>
      <c r="N292" s="4"/>
      <c r="O292" s="4"/>
      <c r="P292" s="4"/>
      <c r="Q292" s="4"/>
      <c r="R292" s="4"/>
      <c r="S292" s="7"/>
      <c r="T292" s="7"/>
      <c r="U292" s="7"/>
      <c r="V292" s="7"/>
      <c r="W292" s="7"/>
      <c r="X292" s="7"/>
      <c r="Y292" s="4"/>
      <c r="Z292" s="4"/>
      <c r="AA292" s="4"/>
      <c r="AB292" s="4"/>
      <c r="AC292" s="4"/>
      <c r="AD292" s="4"/>
      <c r="AE292" s="4"/>
      <c r="AF292" s="4"/>
      <c r="AG292" s="28"/>
      <c r="AH292" s="4"/>
      <c r="AI292" s="4"/>
      <c r="AJ292" s="4"/>
      <c r="AK292" s="4"/>
      <c r="AL292" s="4"/>
      <c r="AM292" s="4"/>
      <c r="AN292" s="44"/>
      <c r="AO292" s="8"/>
      <c r="AP292" s="8"/>
      <c r="AQ292" s="8"/>
      <c r="AR292" s="8"/>
      <c r="AS292" s="8"/>
      <c r="AT292" s="8"/>
      <c r="AU292" s="8"/>
      <c r="AV292" s="46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4"/>
      <c r="BX292" s="4"/>
    </row>
    <row r="293" spans="1:76" s="16" customFormat="1" x14ac:dyDescent="0.25">
      <c r="A293" s="26"/>
      <c r="B293" s="6"/>
      <c r="C293" s="7"/>
      <c r="D293" s="7"/>
      <c r="E293" s="7"/>
      <c r="F293" s="7"/>
      <c r="G293" s="7"/>
      <c r="H293" s="7"/>
      <c r="I293" s="4"/>
      <c r="J293" s="7"/>
      <c r="K293" s="7"/>
      <c r="L293" s="7"/>
      <c r="M293" s="7"/>
      <c r="N293" s="4"/>
      <c r="O293" s="4"/>
      <c r="P293" s="4"/>
      <c r="Q293" s="4"/>
      <c r="R293" s="4"/>
      <c r="S293" s="7"/>
      <c r="T293" s="7"/>
      <c r="U293" s="7"/>
      <c r="V293" s="7"/>
      <c r="W293" s="7"/>
      <c r="X293" s="7"/>
      <c r="Y293" s="4"/>
      <c r="Z293" s="4"/>
      <c r="AA293" s="4"/>
      <c r="AB293" s="4"/>
      <c r="AC293" s="4"/>
      <c r="AD293" s="4"/>
      <c r="AE293" s="4"/>
      <c r="AF293" s="4"/>
      <c r="AG293" s="28"/>
      <c r="AH293" s="4"/>
      <c r="AI293" s="4"/>
      <c r="AJ293" s="4"/>
      <c r="AK293" s="4"/>
      <c r="AL293" s="4"/>
      <c r="AM293" s="4"/>
      <c r="AN293" s="44"/>
      <c r="AO293" s="8"/>
      <c r="AP293" s="8"/>
      <c r="AQ293" s="8"/>
      <c r="AR293" s="8"/>
      <c r="AS293" s="8"/>
      <c r="AT293" s="8"/>
      <c r="AU293" s="8"/>
      <c r="AV293" s="46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4"/>
      <c r="BX293" s="4"/>
    </row>
    <row r="294" spans="1:76" s="16" customFormat="1" x14ac:dyDescent="0.25">
      <c r="A294" s="26"/>
      <c r="B294" s="6"/>
      <c r="C294" s="7"/>
      <c r="D294" s="7"/>
      <c r="E294" s="7"/>
      <c r="F294" s="7"/>
      <c r="G294" s="7"/>
      <c r="H294" s="7"/>
      <c r="I294" s="4"/>
      <c r="J294" s="7"/>
      <c r="K294" s="7"/>
      <c r="L294" s="7"/>
      <c r="M294" s="7"/>
      <c r="N294" s="4"/>
      <c r="O294" s="4"/>
      <c r="P294" s="4"/>
      <c r="Q294" s="4"/>
      <c r="R294" s="4"/>
      <c r="S294" s="7"/>
      <c r="T294" s="7"/>
      <c r="U294" s="7"/>
      <c r="V294" s="7"/>
      <c r="W294" s="7"/>
      <c r="X294" s="7"/>
      <c r="Y294" s="4"/>
      <c r="Z294" s="4"/>
      <c r="AA294" s="4"/>
      <c r="AB294" s="4"/>
      <c r="AC294" s="4"/>
      <c r="AD294" s="4"/>
      <c r="AE294" s="4"/>
      <c r="AF294" s="4"/>
      <c r="AG294" s="28"/>
      <c r="AH294" s="4"/>
      <c r="AI294" s="4"/>
      <c r="AJ294" s="4"/>
      <c r="AK294" s="4"/>
      <c r="AL294" s="4"/>
      <c r="AM294" s="4"/>
      <c r="AN294" s="44"/>
      <c r="AO294" s="8"/>
      <c r="AP294" s="8"/>
      <c r="AQ294" s="8"/>
      <c r="AR294" s="8"/>
      <c r="AS294" s="8"/>
      <c r="AT294" s="8"/>
      <c r="AU294" s="8"/>
      <c r="AV294" s="46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4"/>
      <c r="BX294" s="4"/>
    </row>
    <row r="295" spans="1:76" s="16" customFormat="1" x14ac:dyDescent="0.25">
      <c r="A295" s="26"/>
      <c r="B295" s="6"/>
      <c r="C295" s="7"/>
      <c r="D295" s="7"/>
      <c r="E295" s="7"/>
      <c r="F295" s="7"/>
      <c r="G295" s="7"/>
      <c r="H295" s="7"/>
      <c r="I295" s="4"/>
      <c r="J295" s="7"/>
      <c r="K295" s="7"/>
      <c r="L295" s="7"/>
      <c r="M295" s="7"/>
      <c r="N295" s="4"/>
      <c r="O295" s="4"/>
      <c r="P295" s="4"/>
      <c r="Q295" s="4"/>
      <c r="R295" s="4"/>
      <c r="S295" s="7"/>
      <c r="T295" s="7"/>
      <c r="U295" s="7"/>
      <c r="V295" s="7"/>
      <c r="W295" s="7"/>
      <c r="X295" s="7"/>
      <c r="Y295" s="4"/>
      <c r="Z295" s="4"/>
      <c r="AA295" s="4"/>
      <c r="AB295" s="4"/>
      <c r="AC295" s="4"/>
      <c r="AD295" s="4"/>
      <c r="AE295" s="4"/>
      <c r="AF295" s="4"/>
      <c r="AG295" s="28"/>
      <c r="AH295" s="4"/>
      <c r="AI295" s="4"/>
      <c r="AJ295" s="4"/>
      <c r="AK295" s="4"/>
      <c r="AL295" s="4"/>
      <c r="AM295" s="4"/>
      <c r="AN295" s="44"/>
      <c r="AO295" s="8"/>
      <c r="AP295" s="8"/>
      <c r="AQ295" s="8"/>
      <c r="AR295" s="8"/>
      <c r="AS295" s="8"/>
      <c r="AT295" s="8"/>
      <c r="AU295" s="8"/>
      <c r="AV295" s="46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4"/>
      <c r="BX295" s="4"/>
    </row>
    <row r="296" spans="1:76" s="16" customFormat="1" x14ac:dyDescent="0.25">
      <c r="A296" s="26"/>
      <c r="B296" s="6"/>
      <c r="C296" s="7"/>
      <c r="D296" s="7"/>
      <c r="E296" s="7"/>
      <c r="F296" s="7"/>
      <c r="G296" s="7"/>
      <c r="H296" s="7"/>
      <c r="I296" s="4"/>
      <c r="J296" s="7"/>
      <c r="K296" s="7"/>
      <c r="L296" s="7"/>
      <c r="M296" s="7"/>
      <c r="N296" s="4"/>
      <c r="O296" s="4"/>
      <c r="P296" s="4"/>
      <c r="Q296" s="4"/>
      <c r="R296" s="4"/>
      <c r="S296" s="7"/>
      <c r="T296" s="7"/>
      <c r="U296" s="7"/>
      <c r="V296" s="7"/>
      <c r="W296" s="7"/>
      <c r="X296" s="7"/>
      <c r="Y296" s="4"/>
      <c r="Z296" s="4"/>
      <c r="AA296" s="4"/>
      <c r="AB296" s="4"/>
      <c r="AC296" s="4"/>
      <c r="AD296" s="4"/>
      <c r="AE296" s="4"/>
      <c r="AF296" s="4"/>
      <c r="AG296" s="28"/>
      <c r="AH296" s="4"/>
      <c r="AI296" s="4"/>
      <c r="AJ296" s="4"/>
      <c r="AK296" s="4"/>
      <c r="AL296" s="4"/>
      <c r="AM296" s="4"/>
      <c r="AN296" s="44"/>
      <c r="AO296" s="8"/>
      <c r="AP296" s="8"/>
      <c r="AQ296" s="8"/>
      <c r="AR296" s="8"/>
      <c r="AS296" s="8"/>
      <c r="AT296" s="8"/>
      <c r="AU296" s="8"/>
      <c r="AV296" s="46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4"/>
      <c r="BX296" s="4"/>
    </row>
    <row r="297" spans="1:76" s="16" customFormat="1" x14ac:dyDescent="0.25">
      <c r="A297" s="26"/>
      <c r="B297" s="6"/>
      <c r="C297" s="7"/>
      <c r="D297" s="7"/>
      <c r="E297" s="7"/>
      <c r="F297" s="7"/>
      <c r="G297" s="7"/>
      <c r="H297" s="7"/>
      <c r="I297" s="4"/>
      <c r="J297" s="7"/>
      <c r="K297" s="7"/>
      <c r="L297" s="7"/>
      <c r="M297" s="7"/>
      <c r="N297" s="4"/>
      <c r="O297" s="4"/>
      <c r="P297" s="4"/>
      <c r="Q297" s="4"/>
      <c r="R297" s="4"/>
      <c r="S297" s="7"/>
      <c r="T297" s="7"/>
      <c r="U297" s="7"/>
      <c r="V297" s="7"/>
      <c r="W297" s="7"/>
      <c r="X297" s="7"/>
      <c r="Y297" s="4"/>
      <c r="Z297" s="4"/>
      <c r="AA297" s="4"/>
      <c r="AB297" s="4"/>
      <c r="AC297" s="4"/>
      <c r="AD297" s="4"/>
      <c r="AE297" s="4"/>
      <c r="AF297" s="4"/>
      <c r="AG297" s="28"/>
      <c r="AH297" s="4"/>
      <c r="AI297" s="4"/>
      <c r="AJ297" s="4"/>
      <c r="AK297" s="4"/>
      <c r="AL297" s="4"/>
      <c r="AM297" s="4"/>
      <c r="AN297" s="44"/>
      <c r="AO297" s="8"/>
      <c r="AP297" s="8"/>
      <c r="AQ297" s="8"/>
      <c r="AR297" s="8"/>
      <c r="AS297" s="8"/>
      <c r="AT297" s="8"/>
      <c r="AU297" s="8"/>
      <c r="AV297" s="46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4"/>
      <c r="BX297" s="4"/>
    </row>
    <row r="298" spans="1:76" s="16" customFormat="1" x14ac:dyDescent="0.25">
      <c r="A298" s="26"/>
      <c r="B298" s="6"/>
      <c r="C298" s="7"/>
      <c r="D298" s="7"/>
      <c r="E298" s="7"/>
      <c r="F298" s="7"/>
      <c r="G298" s="7"/>
      <c r="H298" s="7"/>
      <c r="I298" s="4"/>
      <c r="J298" s="7"/>
      <c r="K298" s="7"/>
      <c r="L298" s="7"/>
      <c r="M298" s="7"/>
      <c r="N298" s="4"/>
      <c r="O298" s="4"/>
      <c r="P298" s="4"/>
      <c r="Q298" s="4"/>
      <c r="R298" s="4"/>
      <c r="S298" s="7"/>
      <c r="T298" s="7"/>
      <c r="U298" s="7"/>
      <c r="V298" s="7"/>
      <c r="W298" s="7"/>
      <c r="X298" s="7"/>
      <c r="Y298" s="4"/>
      <c r="Z298" s="4"/>
      <c r="AA298" s="4"/>
      <c r="AB298" s="4"/>
      <c r="AC298" s="4"/>
      <c r="AD298" s="4"/>
      <c r="AE298" s="4"/>
      <c r="AF298" s="4"/>
      <c r="AG298" s="28"/>
      <c r="AH298" s="4"/>
      <c r="AI298" s="4"/>
      <c r="AJ298" s="4"/>
      <c r="AK298" s="4"/>
      <c r="AL298" s="4"/>
      <c r="AM298" s="4"/>
      <c r="AN298" s="44"/>
      <c r="AO298" s="8"/>
      <c r="AP298" s="8"/>
      <c r="AQ298" s="8"/>
      <c r="AR298" s="8"/>
      <c r="AS298" s="8"/>
      <c r="AT298" s="8"/>
      <c r="AU298" s="8"/>
      <c r="AV298" s="46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4"/>
      <c r="BX298" s="4"/>
    </row>
    <row r="299" spans="1:76" s="16" customFormat="1" x14ac:dyDescent="0.25">
      <c r="A299" s="26"/>
      <c r="B299" s="6"/>
      <c r="C299" s="7"/>
      <c r="D299" s="7"/>
      <c r="E299" s="7"/>
      <c r="F299" s="7"/>
      <c r="G299" s="7"/>
      <c r="H299" s="7"/>
      <c r="I299" s="4"/>
      <c r="J299" s="7"/>
      <c r="K299" s="7"/>
      <c r="L299" s="7"/>
      <c r="M299" s="7"/>
      <c r="N299" s="4"/>
      <c r="O299" s="4"/>
      <c r="P299" s="4"/>
      <c r="Q299" s="4"/>
      <c r="R299" s="4"/>
      <c r="S299" s="7"/>
      <c r="T299" s="7"/>
      <c r="U299" s="7"/>
      <c r="V299" s="7"/>
      <c r="W299" s="7"/>
      <c r="X299" s="7"/>
      <c r="Y299" s="4"/>
      <c r="Z299" s="4"/>
      <c r="AA299" s="4"/>
      <c r="AB299" s="4"/>
      <c r="AC299" s="4"/>
      <c r="AD299" s="4"/>
      <c r="AE299" s="4"/>
      <c r="AF299" s="4"/>
      <c r="AG299" s="28"/>
      <c r="AH299" s="4"/>
      <c r="AI299" s="4"/>
      <c r="AJ299" s="4"/>
      <c r="AK299" s="4"/>
      <c r="AL299" s="4"/>
      <c r="AM299" s="4"/>
      <c r="AN299" s="44"/>
      <c r="AO299" s="8"/>
      <c r="AP299" s="8"/>
      <c r="AQ299" s="8"/>
      <c r="AR299" s="8"/>
      <c r="AS299" s="8"/>
      <c r="AT299" s="8"/>
      <c r="AU299" s="8"/>
      <c r="AV299" s="46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4"/>
      <c r="BX299" s="4"/>
    </row>
    <row r="300" spans="1:76" s="16" customFormat="1" x14ac:dyDescent="0.25">
      <c r="A300" s="26"/>
      <c r="B300" s="6"/>
      <c r="C300" s="7"/>
      <c r="D300" s="7"/>
      <c r="E300" s="7"/>
      <c r="F300" s="7"/>
      <c r="G300" s="7"/>
      <c r="H300" s="7"/>
      <c r="I300" s="4"/>
      <c r="J300" s="7"/>
      <c r="K300" s="7"/>
      <c r="L300" s="7"/>
      <c r="M300" s="7"/>
      <c r="N300" s="4"/>
      <c r="O300" s="4"/>
      <c r="P300" s="4"/>
      <c r="Q300" s="4"/>
      <c r="R300" s="4"/>
      <c r="S300" s="7"/>
      <c r="T300" s="7"/>
      <c r="U300" s="7"/>
      <c r="V300" s="7"/>
      <c r="W300" s="7"/>
      <c r="X300" s="7"/>
      <c r="Y300" s="4"/>
      <c r="Z300" s="4"/>
      <c r="AA300" s="4"/>
      <c r="AB300" s="4"/>
      <c r="AC300" s="4"/>
      <c r="AD300" s="4"/>
      <c r="AE300" s="4"/>
      <c r="AF300" s="4"/>
      <c r="AG300" s="28"/>
      <c r="AH300" s="4"/>
      <c r="AI300" s="4"/>
      <c r="AJ300" s="4"/>
      <c r="AK300" s="4"/>
      <c r="AL300" s="4"/>
      <c r="AM300" s="4"/>
      <c r="AN300" s="44"/>
      <c r="AO300" s="8"/>
      <c r="AP300" s="8"/>
      <c r="AQ300" s="8"/>
      <c r="AR300" s="8"/>
      <c r="AS300" s="8"/>
      <c r="AT300" s="8"/>
      <c r="AU300" s="8"/>
      <c r="AV300" s="46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4"/>
      <c r="BX300" s="4"/>
    </row>
    <row r="301" spans="1:76" s="16" customFormat="1" x14ac:dyDescent="0.25">
      <c r="A301" s="26"/>
      <c r="B301" s="6"/>
      <c r="C301" s="7"/>
      <c r="D301" s="7"/>
      <c r="E301" s="7"/>
      <c r="F301" s="7"/>
      <c r="G301" s="7"/>
      <c r="H301" s="7"/>
      <c r="I301" s="4"/>
      <c r="J301" s="7"/>
      <c r="K301" s="7"/>
      <c r="L301" s="7"/>
      <c r="M301" s="7"/>
      <c r="N301" s="4"/>
      <c r="O301" s="4"/>
      <c r="P301" s="4"/>
      <c r="Q301" s="4"/>
      <c r="R301" s="4"/>
      <c r="S301" s="7"/>
      <c r="T301" s="7"/>
      <c r="U301" s="7"/>
      <c r="V301" s="7"/>
      <c r="W301" s="7"/>
      <c r="X301" s="7"/>
      <c r="Y301" s="4"/>
      <c r="Z301" s="4"/>
      <c r="AA301" s="4"/>
      <c r="AB301" s="4"/>
      <c r="AC301" s="4"/>
      <c r="AD301" s="4"/>
      <c r="AE301" s="4"/>
      <c r="AF301" s="4"/>
      <c r="AG301" s="28"/>
      <c r="AH301" s="4"/>
      <c r="AI301" s="4"/>
      <c r="AJ301" s="4"/>
      <c r="AK301" s="4"/>
      <c r="AL301" s="4"/>
      <c r="AM301" s="4"/>
      <c r="AN301" s="44"/>
      <c r="AO301" s="8"/>
      <c r="AP301" s="8"/>
      <c r="AQ301" s="8"/>
      <c r="AR301" s="8"/>
      <c r="AS301" s="8"/>
      <c r="AT301" s="8"/>
      <c r="AU301" s="8"/>
      <c r="AV301" s="46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4"/>
      <c r="BX301" s="4"/>
    </row>
    <row r="302" spans="1:76" s="16" customFormat="1" x14ac:dyDescent="0.25">
      <c r="A302" s="26"/>
      <c r="B302" s="6"/>
      <c r="C302" s="7"/>
      <c r="D302" s="7"/>
      <c r="E302" s="7"/>
      <c r="F302" s="7"/>
      <c r="G302" s="7"/>
      <c r="H302" s="7"/>
      <c r="I302" s="4"/>
      <c r="J302" s="7"/>
      <c r="K302" s="7"/>
      <c r="L302" s="7"/>
      <c r="M302" s="7"/>
      <c r="N302" s="4"/>
      <c r="O302" s="4"/>
      <c r="P302" s="4"/>
      <c r="Q302" s="4"/>
      <c r="R302" s="4"/>
      <c r="S302" s="7"/>
      <c r="T302" s="7"/>
      <c r="U302" s="7"/>
      <c r="V302" s="7"/>
      <c r="W302" s="7"/>
      <c r="X302" s="7"/>
      <c r="Y302" s="4"/>
      <c r="Z302" s="4"/>
      <c r="AA302" s="4"/>
      <c r="AB302" s="4"/>
      <c r="AC302" s="4"/>
      <c r="AD302" s="4"/>
      <c r="AE302" s="4"/>
      <c r="AF302" s="4"/>
      <c r="AG302" s="28"/>
      <c r="AH302" s="4"/>
      <c r="AI302" s="4"/>
      <c r="AJ302" s="4"/>
      <c r="AK302" s="4"/>
      <c r="AL302" s="4"/>
      <c r="AM302" s="4"/>
      <c r="AN302" s="44"/>
      <c r="AO302" s="8"/>
      <c r="AP302" s="8"/>
      <c r="AQ302" s="8"/>
      <c r="AR302" s="8"/>
      <c r="AS302" s="8"/>
      <c r="AT302" s="8"/>
      <c r="AU302" s="8"/>
      <c r="AV302" s="46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4"/>
      <c r="BX302" s="4"/>
    </row>
    <row r="303" spans="1:76" s="16" customFormat="1" x14ac:dyDescent="0.25">
      <c r="A303" s="26"/>
      <c r="B303" s="6"/>
      <c r="C303" s="7"/>
      <c r="D303" s="7"/>
      <c r="E303" s="7"/>
      <c r="F303" s="7"/>
      <c r="G303" s="7"/>
      <c r="H303" s="7"/>
      <c r="I303" s="4"/>
      <c r="J303" s="7"/>
      <c r="K303" s="7"/>
      <c r="L303" s="7"/>
      <c r="M303" s="7"/>
      <c r="N303" s="4"/>
      <c r="O303" s="4"/>
      <c r="P303" s="4"/>
      <c r="Q303" s="4"/>
      <c r="R303" s="4"/>
      <c r="S303" s="7"/>
      <c r="T303" s="7"/>
      <c r="U303" s="7"/>
      <c r="V303" s="7"/>
      <c r="W303" s="7"/>
      <c r="X303" s="7"/>
      <c r="Y303" s="4"/>
      <c r="Z303" s="4"/>
      <c r="AA303" s="4"/>
      <c r="AB303" s="4"/>
      <c r="AC303" s="4"/>
      <c r="AD303" s="4"/>
      <c r="AE303" s="4"/>
      <c r="AF303" s="4"/>
      <c r="AG303" s="28"/>
      <c r="AH303" s="4"/>
      <c r="AI303" s="4"/>
      <c r="AJ303" s="4"/>
      <c r="AK303" s="4"/>
      <c r="AL303" s="4"/>
      <c r="AM303" s="4"/>
      <c r="AN303" s="44"/>
      <c r="AO303" s="8"/>
      <c r="AP303" s="8"/>
      <c r="AQ303" s="8"/>
      <c r="AR303" s="8"/>
      <c r="AS303" s="8"/>
      <c r="AT303" s="8"/>
      <c r="AU303" s="8"/>
      <c r="AV303" s="46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4"/>
      <c r="BX303" s="4"/>
    </row>
    <row r="304" spans="1:76" s="16" customFormat="1" x14ac:dyDescent="0.25">
      <c r="A304" s="26"/>
      <c r="B304" s="6"/>
      <c r="C304" s="7"/>
      <c r="D304" s="7"/>
      <c r="E304" s="7"/>
      <c r="F304" s="7"/>
      <c r="G304" s="7"/>
      <c r="H304" s="7"/>
      <c r="I304" s="4"/>
      <c r="J304" s="7"/>
      <c r="K304" s="7"/>
      <c r="L304" s="7"/>
      <c r="M304" s="7"/>
      <c r="N304" s="4"/>
      <c r="O304" s="4"/>
      <c r="P304" s="4"/>
      <c r="Q304" s="4"/>
      <c r="R304" s="4"/>
      <c r="S304" s="7"/>
      <c r="T304" s="7"/>
      <c r="U304" s="7"/>
      <c r="V304" s="7"/>
      <c r="W304" s="7"/>
      <c r="X304" s="7"/>
      <c r="Y304" s="4"/>
      <c r="Z304" s="4"/>
      <c r="AA304" s="4"/>
      <c r="AB304" s="4"/>
      <c r="AC304" s="4"/>
      <c r="AD304" s="4"/>
      <c r="AE304" s="4"/>
      <c r="AF304" s="4"/>
      <c r="AG304" s="28"/>
      <c r="AH304" s="4"/>
      <c r="AI304" s="4"/>
      <c r="AJ304" s="4"/>
      <c r="AK304" s="4"/>
      <c r="AL304" s="4"/>
      <c r="AM304" s="4"/>
      <c r="AN304" s="44"/>
      <c r="AO304" s="8"/>
      <c r="AP304" s="8"/>
      <c r="AQ304" s="8"/>
      <c r="AR304" s="8"/>
      <c r="AS304" s="8"/>
      <c r="AT304" s="8"/>
      <c r="AU304" s="8"/>
      <c r="AV304" s="46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4"/>
      <c r="BX304" s="4"/>
    </row>
    <row r="305" spans="1:76" s="16" customFormat="1" x14ac:dyDescent="0.25">
      <c r="A305" s="26"/>
      <c r="B305" s="6"/>
      <c r="C305" s="7"/>
      <c r="D305" s="7"/>
      <c r="E305" s="7"/>
      <c r="F305" s="7"/>
      <c r="G305" s="7"/>
      <c r="H305" s="7"/>
      <c r="I305" s="4"/>
      <c r="J305" s="7"/>
      <c r="K305" s="7"/>
      <c r="L305" s="7"/>
      <c r="M305" s="7"/>
      <c r="N305" s="4"/>
      <c r="O305" s="4"/>
      <c r="P305" s="4"/>
      <c r="Q305" s="4"/>
      <c r="R305" s="4"/>
      <c r="S305" s="7"/>
      <c r="T305" s="7"/>
      <c r="U305" s="7"/>
      <c r="V305" s="7"/>
      <c r="W305" s="7"/>
      <c r="X305" s="7"/>
      <c r="Y305" s="4"/>
      <c r="Z305" s="4"/>
      <c r="AA305" s="4"/>
      <c r="AB305" s="4"/>
      <c r="AC305" s="4"/>
      <c r="AD305" s="4"/>
      <c r="AE305" s="4"/>
      <c r="AF305" s="4"/>
      <c r="AG305" s="28"/>
      <c r="AH305" s="4"/>
      <c r="AI305" s="4"/>
      <c r="AJ305" s="4"/>
      <c r="AK305" s="4"/>
      <c r="AL305" s="4"/>
      <c r="AM305" s="4"/>
      <c r="AN305" s="44"/>
      <c r="AO305" s="8"/>
      <c r="AP305" s="8"/>
      <c r="AQ305" s="8"/>
      <c r="AR305" s="8"/>
      <c r="AS305" s="8"/>
      <c r="AT305" s="8"/>
      <c r="AU305" s="8"/>
      <c r="AV305" s="46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4"/>
      <c r="BX305" s="4"/>
    </row>
    <row r="306" spans="1:76" s="16" customFormat="1" x14ac:dyDescent="0.25">
      <c r="A306" s="26"/>
      <c r="B306" s="6"/>
      <c r="C306" s="7"/>
      <c r="D306" s="7"/>
      <c r="E306" s="7"/>
      <c r="F306" s="7"/>
      <c r="G306" s="7"/>
      <c r="H306" s="7"/>
      <c r="I306" s="4"/>
      <c r="J306" s="7"/>
      <c r="K306" s="7"/>
      <c r="L306" s="7"/>
      <c r="M306" s="7"/>
      <c r="N306" s="4"/>
      <c r="O306" s="4"/>
      <c r="P306" s="4"/>
      <c r="Q306" s="4"/>
      <c r="R306" s="4"/>
      <c r="S306" s="7"/>
      <c r="T306" s="7"/>
      <c r="U306" s="7"/>
      <c r="V306" s="7"/>
      <c r="W306" s="7"/>
      <c r="X306" s="7"/>
      <c r="Y306" s="4"/>
      <c r="Z306" s="4"/>
      <c r="AA306" s="4"/>
      <c r="AB306" s="4"/>
      <c r="AC306" s="4"/>
      <c r="AD306" s="4"/>
      <c r="AE306" s="4"/>
      <c r="AF306" s="4"/>
      <c r="AG306" s="28"/>
      <c r="AH306" s="4"/>
      <c r="AI306" s="4"/>
      <c r="AJ306" s="4"/>
      <c r="AK306" s="4"/>
      <c r="AL306" s="4"/>
      <c r="AM306" s="4"/>
      <c r="AN306" s="44"/>
      <c r="AO306" s="8"/>
      <c r="AP306" s="8"/>
      <c r="AQ306" s="8"/>
      <c r="AR306" s="8"/>
      <c r="AS306" s="8"/>
      <c r="AT306" s="8"/>
      <c r="AU306" s="8"/>
      <c r="AV306" s="46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4"/>
      <c r="BX306" s="4"/>
    </row>
    <row r="307" spans="1:76" s="16" customFormat="1" x14ac:dyDescent="0.25">
      <c r="A307" s="26"/>
      <c r="B307" s="6"/>
      <c r="C307" s="7"/>
      <c r="D307" s="7"/>
      <c r="E307" s="7"/>
      <c r="F307" s="7"/>
      <c r="G307" s="7"/>
      <c r="H307" s="7"/>
      <c r="I307" s="4"/>
      <c r="J307" s="7"/>
      <c r="K307" s="7"/>
      <c r="L307" s="7"/>
      <c r="M307" s="7"/>
      <c r="N307" s="4"/>
      <c r="O307" s="4"/>
      <c r="P307" s="4"/>
      <c r="Q307" s="4"/>
      <c r="R307" s="4"/>
      <c r="S307" s="7"/>
      <c r="T307" s="7"/>
      <c r="U307" s="7"/>
      <c r="V307" s="7"/>
      <c r="W307" s="7"/>
      <c r="X307" s="7"/>
      <c r="Y307" s="4"/>
      <c r="Z307" s="4"/>
      <c r="AA307" s="4"/>
      <c r="AB307" s="4"/>
      <c r="AC307" s="4"/>
      <c r="AD307" s="4"/>
      <c r="AE307" s="4"/>
      <c r="AF307" s="4"/>
      <c r="AG307" s="28"/>
      <c r="AH307" s="4"/>
      <c r="AI307" s="4"/>
      <c r="AJ307" s="4"/>
      <c r="AK307" s="4"/>
      <c r="AL307" s="4"/>
      <c r="AM307" s="4"/>
      <c r="AN307" s="44"/>
      <c r="AO307" s="8"/>
      <c r="AP307" s="8"/>
      <c r="AQ307" s="8"/>
      <c r="AR307" s="8"/>
      <c r="AS307" s="8"/>
      <c r="AT307" s="8"/>
      <c r="AU307" s="8"/>
      <c r="AV307" s="46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4"/>
      <c r="BX307" s="4"/>
    </row>
    <row r="308" spans="1:76" s="16" customFormat="1" x14ac:dyDescent="0.25">
      <c r="A308" s="26"/>
      <c r="B308" s="6"/>
      <c r="C308" s="7"/>
      <c r="D308" s="7"/>
      <c r="E308" s="7"/>
      <c r="F308" s="7"/>
      <c r="G308" s="7"/>
      <c r="H308" s="7"/>
      <c r="I308" s="4"/>
      <c r="J308" s="7"/>
      <c r="K308" s="7"/>
      <c r="L308" s="7"/>
      <c r="M308" s="7"/>
      <c r="N308" s="4"/>
      <c r="O308" s="4"/>
      <c r="P308" s="4"/>
      <c r="Q308" s="4"/>
      <c r="R308" s="4"/>
      <c r="S308" s="7"/>
      <c r="T308" s="7"/>
      <c r="U308" s="7"/>
      <c r="V308" s="7"/>
      <c r="W308" s="7"/>
      <c r="X308" s="7"/>
      <c r="Y308" s="4"/>
      <c r="Z308" s="4"/>
      <c r="AA308" s="4"/>
      <c r="AB308" s="4"/>
      <c r="AC308" s="4"/>
      <c r="AD308" s="4"/>
      <c r="AE308" s="4"/>
      <c r="AF308" s="4"/>
      <c r="AG308" s="28"/>
      <c r="AH308" s="4"/>
      <c r="AI308" s="4"/>
      <c r="AJ308" s="4"/>
      <c r="AK308" s="4"/>
      <c r="AL308" s="4"/>
      <c r="AM308" s="4"/>
      <c r="AN308" s="44"/>
      <c r="AO308" s="8"/>
      <c r="AP308" s="8"/>
      <c r="AQ308" s="8"/>
      <c r="AR308" s="8"/>
      <c r="AS308" s="8"/>
      <c r="AT308" s="8"/>
      <c r="AU308" s="8"/>
      <c r="AV308" s="46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4"/>
      <c r="BX308" s="4"/>
    </row>
    <row r="309" spans="1:76" s="16" customFormat="1" x14ac:dyDescent="0.25">
      <c r="A309" s="26"/>
      <c r="B309" s="6"/>
      <c r="C309" s="7"/>
      <c r="D309" s="7"/>
      <c r="E309" s="7"/>
      <c r="F309" s="7"/>
      <c r="G309" s="7"/>
      <c r="H309" s="7"/>
      <c r="I309" s="4"/>
      <c r="J309" s="7"/>
      <c r="K309" s="7"/>
      <c r="L309" s="7"/>
      <c r="M309" s="7"/>
      <c r="N309" s="4"/>
      <c r="O309" s="4"/>
      <c r="P309" s="4"/>
      <c r="Q309" s="4"/>
      <c r="R309" s="4"/>
      <c r="S309" s="7"/>
      <c r="T309" s="7"/>
      <c r="U309" s="7"/>
      <c r="V309" s="7"/>
      <c r="W309" s="7"/>
      <c r="X309" s="7"/>
      <c r="Y309" s="4"/>
      <c r="Z309" s="4"/>
      <c r="AA309" s="4"/>
      <c r="AB309" s="4"/>
      <c r="AC309" s="4"/>
      <c r="AD309" s="4"/>
      <c r="AE309" s="4"/>
      <c r="AF309" s="4"/>
      <c r="AG309" s="28"/>
      <c r="AH309" s="4"/>
      <c r="AI309" s="4"/>
      <c r="AJ309" s="4"/>
      <c r="AK309" s="4"/>
      <c r="AL309" s="4"/>
      <c r="AM309" s="4"/>
      <c r="AN309" s="44"/>
      <c r="AO309" s="8"/>
      <c r="AP309" s="8"/>
      <c r="AQ309" s="8"/>
      <c r="AR309" s="8"/>
      <c r="AS309" s="8"/>
      <c r="AT309" s="8"/>
      <c r="AU309" s="8"/>
      <c r="AV309" s="46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4"/>
      <c r="BX309" s="4"/>
    </row>
    <row r="310" spans="1:76" s="16" customFormat="1" x14ac:dyDescent="0.25">
      <c r="A310" s="26"/>
      <c r="B310" s="6"/>
      <c r="C310" s="7"/>
      <c r="D310" s="7"/>
      <c r="E310" s="7"/>
      <c r="F310" s="7"/>
      <c r="G310" s="7"/>
      <c r="H310" s="7"/>
      <c r="I310" s="4"/>
      <c r="J310" s="7"/>
      <c r="K310" s="7"/>
      <c r="L310" s="7"/>
      <c r="M310" s="7"/>
      <c r="N310" s="4"/>
      <c r="O310" s="4"/>
      <c r="P310" s="4"/>
      <c r="Q310" s="4"/>
      <c r="R310" s="4"/>
      <c r="S310" s="7"/>
      <c r="T310" s="7"/>
      <c r="U310" s="7"/>
      <c r="V310" s="7"/>
      <c r="W310" s="7"/>
      <c r="X310" s="7"/>
      <c r="Y310" s="4"/>
      <c r="Z310" s="4"/>
      <c r="AA310" s="4"/>
      <c r="AB310" s="4"/>
      <c r="AC310" s="4"/>
      <c r="AD310" s="4"/>
      <c r="AE310" s="4"/>
      <c r="AF310" s="4"/>
      <c r="AG310" s="28"/>
      <c r="AH310" s="4"/>
      <c r="AI310" s="4"/>
      <c r="AJ310" s="4"/>
      <c r="AK310" s="4"/>
      <c r="AL310" s="4"/>
      <c r="AM310" s="4"/>
      <c r="AN310" s="44"/>
      <c r="AO310" s="8"/>
      <c r="AP310" s="8"/>
      <c r="AQ310" s="8"/>
      <c r="AR310" s="8"/>
      <c r="AS310" s="8"/>
      <c r="AT310" s="8"/>
      <c r="AU310" s="8"/>
      <c r="AV310" s="46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4"/>
      <c r="BX310" s="4"/>
    </row>
    <row r="311" spans="1:76" s="16" customFormat="1" x14ac:dyDescent="0.25">
      <c r="A311" s="26"/>
      <c r="B311" s="6"/>
      <c r="C311" s="7"/>
      <c r="D311" s="7"/>
      <c r="E311" s="7"/>
      <c r="F311" s="7"/>
      <c r="G311" s="7"/>
      <c r="H311" s="7"/>
      <c r="I311" s="4"/>
      <c r="J311" s="7"/>
      <c r="K311" s="7"/>
      <c r="L311" s="7"/>
      <c r="M311" s="7"/>
      <c r="N311" s="4"/>
      <c r="O311" s="4"/>
      <c r="P311" s="4"/>
      <c r="Q311" s="4"/>
      <c r="R311" s="4"/>
      <c r="S311" s="7"/>
      <c r="T311" s="7"/>
      <c r="U311" s="7"/>
      <c r="V311" s="7"/>
      <c r="W311" s="7"/>
      <c r="X311" s="7"/>
      <c r="Y311" s="4"/>
      <c r="Z311" s="4"/>
      <c r="AA311" s="4"/>
      <c r="AB311" s="4"/>
      <c r="AC311" s="4"/>
      <c r="AD311" s="4"/>
      <c r="AE311" s="4"/>
      <c r="AF311" s="4"/>
      <c r="AG311" s="28"/>
      <c r="AH311" s="4"/>
      <c r="AI311" s="4"/>
      <c r="AJ311" s="4"/>
      <c r="AK311" s="4"/>
      <c r="AL311" s="4"/>
      <c r="AM311" s="4"/>
      <c r="AN311" s="44"/>
      <c r="AO311" s="8"/>
      <c r="AP311" s="8"/>
      <c r="AQ311" s="8"/>
      <c r="AR311" s="8"/>
      <c r="AS311" s="8"/>
      <c r="AT311" s="8"/>
      <c r="AU311" s="8"/>
      <c r="AV311" s="46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4"/>
      <c r="BX311" s="4"/>
    </row>
    <row r="312" spans="1:76" s="16" customFormat="1" x14ac:dyDescent="0.25">
      <c r="A312" s="26"/>
      <c r="B312" s="6"/>
      <c r="C312" s="7"/>
      <c r="D312" s="7"/>
      <c r="E312" s="7"/>
      <c r="F312" s="7"/>
      <c r="G312" s="7"/>
      <c r="H312" s="7"/>
      <c r="I312" s="4"/>
      <c r="J312" s="7"/>
      <c r="K312" s="7"/>
      <c r="L312" s="7"/>
      <c r="M312" s="7"/>
      <c r="N312" s="4"/>
      <c r="O312" s="4"/>
      <c r="P312" s="4"/>
      <c r="Q312" s="4"/>
      <c r="R312" s="4"/>
      <c r="S312" s="7"/>
      <c r="T312" s="7"/>
      <c r="U312" s="7"/>
      <c r="V312" s="7"/>
      <c r="W312" s="7"/>
      <c r="X312" s="7"/>
      <c r="Y312" s="4"/>
      <c r="Z312" s="4"/>
      <c r="AA312" s="4"/>
      <c r="AB312" s="4"/>
      <c r="AC312" s="4"/>
      <c r="AD312" s="4"/>
      <c r="AE312" s="4"/>
      <c r="AF312" s="4"/>
      <c r="AG312" s="28"/>
      <c r="AH312" s="4"/>
      <c r="AI312" s="4"/>
      <c r="AJ312" s="4"/>
      <c r="AK312" s="4"/>
      <c r="AL312" s="4"/>
      <c r="AM312" s="4"/>
      <c r="AN312" s="44"/>
      <c r="AO312" s="8"/>
      <c r="AP312" s="8"/>
      <c r="AQ312" s="8"/>
      <c r="AR312" s="8"/>
      <c r="AS312" s="8"/>
      <c r="AT312" s="8"/>
      <c r="AU312" s="8"/>
      <c r="AV312" s="46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4"/>
      <c r="BX312" s="4"/>
    </row>
    <row r="313" spans="1:76" s="16" customFormat="1" x14ac:dyDescent="0.25">
      <c r="A313" s="26"/>
      <c r="B313" s="6"/>
      <c r="C313" s="7"/>
      <c r="D313" s="7"/>
      <c r="E313" s="7"/>
      <c r="F313" s="7"/>
      <c r="G313" s="7"/>
      <c r="H313" s="7"/>
      <c r="I313" s="4"/>
      <c r="J313" s="7"/>
      <c r="K313" s="7"/>
      <c r="L313" s="7"/>
      <c r="M313" s="7"/>
      <c r="N313" s="4"/>
      <c r="O313" s="4"/>
      <c r="P313" s="4"/>
      <c r="Q313" s="4"/>
      <c r="R313" s="4"/>
      <c r="S313" s="7"/>
      <c r="T313" s="7"/>
      <c r="U313" s="7"/>
      <c r="V313" s="7"/>
      <c r="W313" s="7"/>
      <c r="X313" s="7"/>
      <c r="Y313" s="4"/>
      <c r="Z313" s="4"/>
      <c r="AA313" s="4"/>
      <c r="AB313" s="4"/>
      <c r="AC313" s="4"/>
      <c r="AD313" s="4"/>
      <c r="AE313" s="4"/>
      <c r="AF313" s="4"/>
      <c r="AG313" s="28"/>
      <c r="AH313" s="4"/>
      <c r="AI313" s="4"/>
      <c r="AJ313" s="4"/>
      <c r="AK313" s="4"/>
      <c r="AL313" s="4"/>
      <c r="AM313" s="4"/>
      <c r="AN313" s="44"/>
      <c r="AO313" s="8"/>
      <c r="AP313" s="8"/>
      <c r="AQ313" s="8"/>
      <c r="AR313" s="8"/>
      <c r="AS313" s="8"/>
      <c r="AT313" s="8"/>
      <c r="AU313" s="8"/>
      <c r="AV313" s="46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4"/>
      <c r="BX313" s="4"/>
    </row>
    <row r="314" spans="1:76" s="16" customFormat="1" x14ac:dyDescent="0.25">
      <c r="A314" s="26"/>
      <c r="B314" s="6"/>
      <c r="C314" s="7"/>
      <c r="D314" s="7"/>
      <c r="E314" s="7"/>
      <c r="F314" s="7"/>
      <c r="G314" s="7"/>
      <c r="H314" s="7"/>
      <c r="I314" s="4"/>
      <c r="J314" s="7"/>
      <c r="K314" s="7"/>
      <c r="L314" s="7"/>
      <c r="M314" s="7"/>
      <c r="N314" s="4"/>
      <c r="O314" s="4"/>
      <c r="P314" s="4"/>
      <c r="Q314" s="4"/>
      <c r="R314" s="4"/>
      <c r="S314" s="7"/>
      <c r="T314" s="7"/>
      <c r="U314" s="7"/>
      <c r="V314" s="7"/>
      <c r="W314" s="7"/>
      <c r="X314" s="7"/>
      <c r="Y314" s="4"/>
      <c r="Z314" s="4"/>
      <c r="AA314" s="4"/>
      <c r="AB314" s="4"/>
      <c r="AC314" s="4"/>
      <c r="AD314" s="4"/>
      <c r="AE314" s="4"/>
      <c r="AF314" s="4"/>
      <c r="AG314" s="28"/>
      <c r="AH314" s="4"/>
      <c r="AI314" s="4"/>
      <c r="AJ314" s="4"/>
      <c r="AK314" s="4"/>
      <c r="AL314" s="4"/>
      <c r="AM314" s="4"/>
      <c r="AN314" s="44"/>
      <c r="AO314" s="8"/>
      <c r="AP314" s="8"/>
      <c r="AQ314" s="8"/>
      <c r="AR314" s="8"/>
      <c r="AS314" s="8"/>
      <c r="AT314" s="8"/>
      <c r="AU314" s="8"/>
      <c r="AV314" s="46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4"/>
      <c r="BX314" s="4"/>
    </row>
    <row r="315" spans="1:76" s="16" customFormat="1" x14ac:dyDescent="0.25">
      <c r="A315" s="26"/>
      <c r="B315" s="6"/>
      <c r="C315" s="7"/>
      <c r="D315" s="7"/>
      <c r="E315" s="7"/>
      <c r="F315" s="7"/>
      <c r="G315" s="7"/>
      <c r="H315" s="7"/>
      <c r="I315" s="4"/>
      <c r="J315" s="7"/>
      <c r="K315" s="7"/>
      <c r="L315" s="7"/>
      <c r="M315" s="7"/>
      <c r="N315" s="4"/>
      <c r="O315" s="4"/>
      <c r="P315" s="4"/>
      <c r="Q315" s="4"/>
      <c r="R315" s="4"/>
      <c r="S315" s="7"/>
      <c r="T315" s="7"/>
      <c r="U315" s="7"/>
      <c r="V315" s="7"/>
      <c r="W315" s="7"/>
      <c r="X315" s="7"/>
      <c r="Y315" s="4"/>
      <c r="Z315" s="4"/>
      <c r="AA315" s="4"/>
      <c r="AB315" s="4"/>
      <c r="AC315" s="4"/>
      <c r="AD315" s="4"/>
      <c r="AE315" s="4"/>
      <c r="AF315" s="4"/>
      <c r="AG315" s="28"/>
      <c r="AH315" s="4"/>
      <c r="AI315" s="4"/>
      <c r="AJ315" s="4"/>
      <c r="AK315" s="4"/>
      <c r="AL315" s="4"/>
      <c r="AM315" s="4"/>
      <c r="AN315" s="44"/>
      <c r="AO315" s="8"/>
      <c r="AP315" s="8"/>
      <c r="AQ315" s="8"/>
      <c r="AR315" s="8"/>
      <c r="AS315" s="8"/>
      <c r="AT315" s="8"/>
      <c r="AU315" s="8"/>
      <c r="AV315" s="46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4"/>
      <c r="BX315" s="4"/>
    </row>
    <row r="316" spans="1:76" s="16" customFormat="1" x14ac:dyDescent="0.25">
      <c r="A316" s="26"/>
      <c r="B316" s="6"/>
      <c r="C316" s="7"/>
      <c r="D316" s="7"/>
      <c r="E316" s="7"/>
      <c r="F316" s="7"/>
      <c r="G316" s="7"/>
      <c r="H316" s="7"/>
      <c r="I316" s="4"/>
      <c r="J316" s="7"/>
      <c r="K316" s="7"/>
      <c r="L316" s="7"/>
      <c r="M316" s="7"/>
      <c r="N316" s="4"/>
      <c r="O316" s="4"/>
      <c r="P316" s="4"/>
      <c r="Q316" s="4"/>
      <c r="R316" s="4"/>
      <c r="S316" s="7"/>
      <c r="T316" s="7"/>
      <c r="U316" s="7"/>
      <c r="V316" s="7"/>
      <c r="W316" s="7"/>
      <c r="X316" s="7"/>
      <c r="Y316" s="4"/>
      <c r="Z316" s="4"/>
      <c r="AA316" s="4"/>
      <c r="AB316" s="4"/>
      <c r="AC316" s="4"/>
      <c r="AD316" s="4"/>
      <c r="AE316" s="4"/>
      <c r="AF316" s="4"/>
      <c r="AG316" s="28"/>
      <c r="AH316" s="4"/>
      <c r="AI316" s="4"/>
      <c r="AJ316" s="4"/>
      <c r="AK316" s="4"/>
      <c r="AL316" s="4"/>
      <c r="AM316" s="4"/>
      <c r="AN316" s="44"/>
      <c r="AO316" s="8"/>
      <c r="AP316" s="8"/>
      <c r="AQ316" s="8"/>
      <c r="AR316" s="8"/>
      <c r="AS316" s="8"/>
      <c r="AT316" s="8"/>
      <c r="AU316" s="8"/>
      <c r="AV316" s="46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4"/>
      <c r="BX316" s="4"/>
    </row>
    <row r="317" spans="1:76" s="16" customFormat="1" x14ac:dyDescent="0.25">
      <c r="A317" s="26"/>
      <c r="B317" s="6"/>
      <c r="C317" s="7"/>
      <c r="D317" s="7"/>
      <c r="E317" s="7"/>
      <c r="F317" s="7"/>
      <c r="G317" s="7"/>
      <c r="H317" s="7"/>
      <c r="I317" s="4"/>
      <c r="J317" s="7"/>
      <c r="K317" s="7"/>
      <c r="L317" s="7"/>
      <c r="M317" s="7"/>
      <c r="N317" s="4"/>
      <c r="O317" s="4"/>
      <c r="P317" s="4"/>
      <c r="Q317" s="4"/>
      <c r="R317" s="4"/>
      <c r="S317" s="7"/>
      <c r="T317" s="7"/>
      <c r="U317" s="7"/>
      <c r="V317" s="7"/>
      <c r="W317" s="7"/>
      <c r="X317" s="7"/>
      <c r="Y317" s="4"/>
      <c r="Z317" s="4"/>
      <c r="AA317" s="4"/>
      <c r="AB317" s="4"/>
      <c r="AC317" s="4"/>
      <c r="AD317" s="4"/>
      <c r="AE317" s="4"/>
      <c r="AF317" s="4"/>
      <c r="AG317" s="28"/>
      <c r="AH317" s="4"/>
      <c r="AI317" s="4"/>
      <c r="AJ317" s="4"/>
      <c r="AK317" s="4"/>
      <c r="AL317" s="4"/>
      <c r="AM317" s="4"/>
      <c r="AN317" s="44"/>
      <c r="AO317" s="8"/>
      <c r="AP317" s="8"/>
      <c r="AQ317" s="8"/>
      <c r="AR317" s="8"/>
      <c r="AS317" s="8"/>
      <c r="AT317" s="8"/>
      <c r="AU317" s="8"/>
      <c r="AV317" s="46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4"/>
      <c r="BX317" s="4"/>
    </row>
    <row r="318" spans="1:76" s="16" customFormat="1" x14ac:dyDescent="0.25">
      <c r="A318" s="26"/>
      <c r="B318" s="6"/>
      <c r="C318" s="7"/>
      <c r="D318" s="7"/>
      <c r="E318" s="7"/>
      <c r="F318" s="7"/>
      <c r="G318" s="7"/>
      <c r="H318" s="7"/>
      <c r="I318" s="4"/>
      <c r="J318" s="7"/>
      <c r="K318" s="7"/>
      <c r="L318" s="7"/>
      <c r="M318" s="7"/>
      <c r="N318" s="4"/>
      <c r="O318" s="4"/>
      <c r="P318" s="4"/>
      <c r="Q318" s="4"/>
      <c r="R318" s="4"/>
      <c r="S318" s="7"/>
      <c r="T318" s="7"/>
      <c r="U318" s="7"/>
      <c r="V318" s="7"/>
      <c r="W318" s="7"/>
      <c r="X318" s="7"/>
      <c r="Y318" s="4"/>
      <c r="Z318" s="4"/>
      <c r="AA318" s="4"/>
      <c r="AB318" s="4"/>
      <c r="AC318" s="4"/>
      <c r="AD318" s="4"/>
      <c r="AE318" s="4"/>
      <c r="AF318" s="4"/>
      <c r="AG318" s="28"/>
      <c r="AH318" s="4"/>
      <c r="AI318" s="4"/>
      <c r="AJ318" s="4"/>
      <c r="AK318" s="4"/>
      <c r="AL318" s="4"/>
      <c r="AM318" s="4"/>
      <c r="AN318" s="44"/>
      <c r="AO318" s="8"/>
      <c r="AP318" s="8"/>
      <c r="AQ318" s="8"/>
      <c r="AR318" s="8"/>
      <c r="AS318" s="8"/>
      <c r="AT318" s="8"/>
      <c r="AU318" s="8"/>
      <c r="AV318" s="46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4"/>
      <c r="BX318" s="4"/>
    </row>
    <row r="319" spans="1:76" s="16" customFormat="1" x14ac:dyDescent="0.25">
      <c r="A319" s="26"/>
      <c r="B319" s="6"/>
      <c r="C319" s="7"/>
      <c r="D319" s="7"/>
      <c r="E319" s="7"/>
      <c r="F319" s="7"/>
      <c r="G319" s="7"/>
      <c r="H319" s="7"/>
      <c r="I319" s="4"/>
      <c r="J319" s="7"/>
      <c r="K319" s="7"/>
      <c r="L319" s="7"/>
      <c r="M319" s="7"/>
      <c r="N319" s="4"/>
      <c r="O319" s="4"/>
      <c r="P319" s="4"/>
      <c r="Q319" s="4"/>
      <c r="R319" s="4"/>
      <c r="S319" s="7"/>
      <c r="T319" s="7"/>
      <c r="U319" s="7"/>
      <c r="V319" s="7"/>
      <c r="W319" s="7"/>
      <c r="X319" s="7"/>
      <c r="Y319" s="4"/>
      <c r="Z319" s="4"/>
      <c r="AA319" s="4"/>
      <c r="AB319" s="4"/>
      <c r="AC319" s="4"/>
      <c r="AD319" s="4"/>
      <c r="AE319" s="4"/>
      <c r="AF319" s="4"/>
      <c r="AG319" s="28"/>
      <c r="AH319" s="4"/>
      <c r="AI319" s="4"/>
      <c r="AJ319" s="4"/>
      <c r="AK319" s="4"/>
      <c r="AL319" s="4"/>
      <c r="AM319" s="4"/>
      <c r="AN319" s="44"/>
      <c r="AO319" s="8"/>
      <c r="AP319" s="8"/>
      <c r="AQ319" s="8"/>
      <c r="AR319" s="8"/>
      <c r="AS319" s="8"/>
      <c r="AT319" s="8"/>
      <c r="AU319" s="8"/>
      <c r="AV319" s="46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4"/>
      <c r="BX319" s="4"/>
    </row>
    <row r="320" spans="1:76" s="16" customFormat="1" x14ac:dyDescent="0.25">
      <c r="A320" s="26"/>
      <c r="B320" s="6"/>
      <c r="C320" s="7"/>
      <c r="D320" s="7"/>
      <c r="E320" s="7"/>
      <c r="F320" s="7"/>
      <c r="G320" s="7"/>
      <c r="H320" s="7"/>
      <c r="I320" s="4"/>
      <c r="J320" s="7"/>
      <c r="K320" s="7"/>
      <c r="L320" s="7"/>
      <c r="M320" s="7"/>
      <c r="N320" s="4"/>
      <c r="O320" s="4"/>
      <c r="P320" s="4"/>
      <c r="Q320" s="4"/>
      <c r="R320" s="4"/>
      <c r="S320" s="7"/>
      <c r="T320" s="7"/>
      <c r="U320" s="7"/>
      <c r="V320" s="7"/>
      <c r="W320" s="7"/>
      <c r="X320" s="7"/>
      <c r="Y320" s="4"/>
      <c r="Z320" s="4"/>
      <c r="AA320" s="4"/>
      <c r="AB320" s="4"/>
      <c r="AC320" s="4"/>
      <c r="AD320" s="4"/>
      <c r="AE320" s="4"/>
      <c r="AF320" s="4"/>
      <c r="AG320" s="28"/>
      <c r="AH320" s="4"/>
      <c r="AI320" s="4"/>
      <c r="AJ320" s="4"/>
      <c r="AK320" s="4"/>
      <c r="AL320" s="4"/>
      <c r="AM320" s="4"/>
      <c r="AN320" s="44"/>
      <c r="AO320" s="8"/>
      <c r="AP320" s="8"/>
      <c r="AQ320" s="8"/>
      <c r="AR320" s="8"/>
      <c r="AS320" s="8"/>
      <c r="AT320" s="8"/>
      <c r="AU320" s="8"/>
      <c r="AV320" s="46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4"/>
      <c r="BX320" s="4"/>
    </row>
    <row r="321" spans="1:76" s="16" customFormat="1" x14ac:dyDescent="0.25">
      <c r="A321" s="26"/>
      <c r="B321" s="6"/>
      <c r="C321" s="7"/>
      <c r="D321" s="7"/>
      <c r="E321" s="7"/>
      <c r="F321" s="7"/>
      <c r="G321" s="7"/>
      <c r="H321" s="7"/>
      <c r="I321" s="4"/>
      <c r="J321" s="7"/>
      <c r="K321" s="7"/>
      <c r="L321" s="7"/>
      <c r="M321" s="7"/>
      <c r="N321" s="4"/>
      <c r="O321" s="4"/>
      <c r="P321" s="4"/>
      <c r="Q321" s="4"/>
      <c r="R321" s="4"/>
      <c r="S321" s="7"/>
      <c r="T321" s="7"/>
      <c r="U321" s="7"/>
      <c r="V321" s="7"/>
      <c r="W321" s="7"/>
      <c r="X321" s="7"/>
      <c r="Y321" s="4"/>
      <c r="Z321" s="4"/>
      <c r="AA321" s="4"/>
      <c r="AB321" s="4"/>
      <c r="AC321" s="4"/>
      <c r="AD321" s="4"/>
      <c r="AE321" s="4"/>
      <c r="AF321" s="4"/>
      <c r="AG321" s="28"/>
      <c r="AH321" s="4"/>
      <c r="AI321" s="4"/>
      <c r="AJ321" s="4"/>
      <c r="AK321" s="4"/>
      <c r="AL321" s="4"/>
      <c r="AM321" s="4"/>
      <c r="AN321" s="44"/>
      <c r="AO321" s="8"/>
      <c r="AP321" s="8"/>
      <c r="AQ321" s="8"/>
      <c r="AR321" s="8"/>
      <c r="AS321" s="8"/>
      <c r="AT321" s="8"/>
      <c r="AU321" s="8"/>
      <c r="AV321" s="46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4"/>
      <c r="BX321" s="4"/>
    </row>
    <row r="322" spans="1:76" s="16" customFormat="1" x14ac:dyDescent="0.25">
      <c r="A322" s="26"/>
      <c r="B322" s="6"/>
      <c r="C322" s="7"/>
      <c r="D322" s="7"/>
      <c r="E322" s="7"/>
      <c r="F322" s="7"/>
      <c r="G322" s="7"/>
      <c r="H322" s="7"/>
      <c r="I322" s="4"/>
      <c r="J322" s="7"/>
      <c r="K322" s="7"/>
      <c r="L322" s="7"/>
      <c r="M322" s="7"/>
      <c r="N322" s="4"/>
      <c r="O322" s="4"/>
      <c r="P322" s="4"/>
      <c r="Q322" s="4"/>
      <c r="R322" s="4"/>
      <c r="S322" s="7"/>
      <c r="T322" s="7"/>
      <c r="U322" s="7"/>
      <c r="V322" s="7"/>
      <c r="W322" s="7"/>
      <c r="X322" s="7"/>
      <c r="Y322" s="4"/>
      <c r="Z322" s="4"/>
      <c r="AA322" s="4"/>
      <c r="AB322" s="4"/>
      <c r="AC322" s="4"/>
      <c r="AD322" s="4"/>
      <c r="AE322" s="4"/>
      <c r="AF322" s="4"/>
      <c r="AG322" s="28"/>
      <c r="AH322" s="4"/>
      <c r="AI322" s="4"/>
      <c r="AJ322" s="4"/>
      <c r="AK322" s="4"/>
      <c r="AL322" s="4"/>
      <c r="AM322" s="4"/>
      <c r="AN322" s="44"/>
      <c r="AO322" s="8"/>
      <c r="AP322" s="8"/>
      <c r="AQ322" s="8"/>
      <c r="AR322" s="8"/>
      <c r="AS322" s="8"/>
      <c r="AT322" s="8"/>
      <c r="AU322" s="8"/>
      <c r="AV322" s="46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4"/>
      <c r="BX322" s="4"/>
    </row>
    <row r="323" spans="1:76" s="16" customFormat="1" x14ac:dyDescent="0.25">
      <c r="A323" s="26"/>
      <c r="B323" s="6"/>
      <c r="C323" s="7"/>
      <c r="D323" s="7"/>
      <c r="E323" s="7"/>
      <c r="F323" s="7"/>
      <c r="G323" s="7"/>
      <c r="H323" s="7"/>
      <c r="I323" s="4"/>
      <c r="J323" s="7"/>
      <c r="K323" s="7"/>
      <c r="L323" s="7"/>
      <c r="M323" s="7"/>
      <c r="N323" s="4"/>
      <c r="O323" s="4"/>
      <c r="P323" s="4"/>
      <c r="Q323" s="4"/>
      <c r="R323" s="4"/>
      <c r="S323" s="7"/>
      <c r="T323" s="7"/>
      <c r="U323" s="7"/>
      <c r="V323" s="7"/>
      <c r="W323" s="7"/>
      <c r="X323" s="7"/>
      <c r="Y323" s="4"/>
      <c r="Z323" s="4"/>
      <c r="AA323" s="4"/>
      <c r="AB323" s="4"/>
      <c r="AC323" s="4"/>
      <c r="AD323" s="4"/>
      <c r="AE323" s="4"/>
      <c r="AF323" s="4"/>
      <c r="AG323" s="28"/>
      <c r="AH323" s="4"/>
      <c r="AI323" s="4"/>
      <c r="AJ323" s="4"/>
      <c r="AK323" s="4"/>
      <c r="AL323" s="4"/>
      <c r="AM323" s="4"/>
      <c r="AN323" s="44"/>
      <c r="AO323" s="8"/>
      <c r="AP323" s="8"/>
      <c r="AQ323" s="8"/>
      <c r="AR323" s="8"/>
      <c r="AS323" s="8"/>
      <c r="AT323" s="8"/>
      <c r="AU323" s="8"/>
      <c r="AV323" s="46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4"/>
      <c r="BX323" s="4"/>
    </row>
    <row r="324" spans="1:76" s="16" customFormat="1" x14ac:dyDescent="0.25">
      <c r="A324" s="26"/>
      <c r="B324" s="6"/>
      <c r="C324" s="7"/>
      <c r="D324" s="7"/>
      <c r="E324" s="7"/>
      <c r="F324" s="7"/>
      <c r="G324" s="7"/>
      <c r="H324" s="7"/>
      <c r="I324" s="4"/>
      <c r="J324" s="7"/>
      <c r="K324" s="7"/>
      <c r="L324" s="7"/>
      <c r="M324" s="7"/>
      <c r="N324" s="4"/>
      <c r="O324" s="4"/>
      <c r="P324" s="4"/>
      <c r="Q324" s="4"/>
      <c r="R324" s="4"/>
      <c r="S324" s="7"/>
      <c r="T324" s="7"/>
      <c r="U324" s="7"/>
      <c r="V324" s="7"/>
      <c r="W324" s="7"/>
      <c r="X324" s="7"/>
      <c r="Y324" s="4"/>
      <c r="Z324" s="4"/>
      <c r="AA324" s="4"/>
      <c r="AB324" s="4"/>
      <c r="AC324" s="4"/>
      <c r="AD324" s="4"/>
      <c r="AE324" s="4"/>
      <c r="AF324" s="4"/>
      <c r="AG324" s="28"/>
      <c r="AH324" s="4"/>
      <c r="AI324" s="4"/>
      <c r="AJ324" s="4"/>
      <c r="AK324" s="4"/>
      <c r="AL324" s="4"/>
      <c r="AM324" s="4"/>
      <c r="AN324" s="44"/>
      <c r="AO324" s="8"/>
      <c r="AP324" s="8"/>
      <c r="AQ324" s="8"/>
      <c r="AR324" s="8"/>
      <c r="AS324" s="8"/>
      <c r="AT324" s="8"/>
      <c r="AU324" s="8"/>
      <c r="AV324" s="46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4"/>
      <c r="BX324" s="4"/>
    </row>
    <row r="325" spans="1:76" s="16" customFormat="1" x14ac:dyDescent="0.25">
      <c r="A325" s="26"/>
      <c r="B325" s="6"/>
      <c r="C325" s="7"/>
      <c r="D325" s="7"/>
      <c r="E325" s="7"/>
      <c r="F325" s="7"/>
      <c r="G325" s="7"/>
      <c r="H325" s="7"/>
      <c r="I325" s="4"/>
      <c r="J325" s="7"/>
      <c r="K325" s="7"/>
      <c r="L325" s="7"/>
      <c r="M325" s="7"/>
      <c r="N325" s="4"/>
      <c r="O325" s="4"/>
      <c r="P325" s="4"/>
      <c r="Q325" s="4"/>
      <c r="R325" s="4"/>
      <c r="S325" s="7"/>
      <c r="T325" s="7"/>
      <c r="U325" s="7"/>
      <c r="V325" s="7"/>
      <c r="W325" s="7"/>
      <c r="X325" s="7"/>
      <c r="Y325" s="4"/>
      <c r="Z325" s="4"/>
      <c r="AA325" s="4"/>
      <c r="AB325" s="4"/>
      <c r="AC325" s="4"/>
      <c r="AD325" s="4"/>
      <c r="AE325" s="4"/>
      <c r="AF325" s="4"/>
      <c r="AG325" s="28"/>
      <c r="AH325" s="4"/>
      <c r="AI325" s="4"/>
      <c r="AJ325" s="4"/>
      <c r="AK325" s="4"/>
      <c r="AL325" s="4"/>
      <c r="AM325" s="4"/>
      <c r="AN325" s="44"/>
      <c r="AO325" s="8"/>
      <c r="AP325" s="8"/>
      <c r="AQ325" s="8"/>
      <c r="AR325" s="8"/>
      <c r="AS325" s="8"/>
      <c r="AT325" s="8"/>
      <c r="AU325" s="8"/>
      <c r="AV325" s="46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4"/>
      <c r="BX325" s="4"/>
    </row>
    <row r="326" spans="1:76" s="16" customFormat="1" x14ac:dyDescent="0.25">
      <c r="A326" s="26"/>
      <c r="B326" s="6"/>
      <c r="C326" s="7"/>
      <c r="D326" s="7"/>
      <c r="E326" s="7"/>
      <c r="F326" s="7"/>
      <c r="G326" s="7"/>
      <c r="H326" s="7"/>
      <c r="I326" s="4"/>
      <c r="J326" s="7"/>
      <c r="K326" s="7"/>
      <c r="L326" s="7"/>
      <c r="M326" s="7"/>
      <c r="N326" s="4"/>
      <c r="O326" s="4"/>
      <c r="P326" s="4"/>
      <c r="Q326" s="4"/>
      <c r="R326" s="4"/>
      <c r="S326" s="7"/>
      <c r="T326" s="7"/>
      <c r="U326" s="7"/>
      <c r="V326" s="7"/>
      <c r="W326" s="7"/>
      <c r="X326" s="7"/>
      <c r="Y326" s="4"/>
      <c r="Z326" s="4"/>
      <c r="AA326" s="4"/>
      <c r="AB326" s="4"/>
      <c r="AC326" s="4"/>
      <c r="AD326" s="4"/>
      <c r="AE326" s="4"/>
      <c r="AF326" s="4"/>
      <c r="AG326" s="28"/>
      <c r="AH326" s="4"/>
      <c r="AI326" s="4"/>
      <c r="AJ326" s="4"/>
      <c r="AK326" s="4"/>
      <c r="AL326" s="4"/>
      <c r="AM326" s="4"/>
      <c r="AN326" s="44"/>
      <c r="AO326" s="8"/>
      <c r="AP326" s="8"/>
      <c r="AQ326" s="8"/>
      <c r="AR326" s="8"/>
      <c r="AS326" s="8"/>
      <c r="AT326" s="8"/>
      <c r="AU326" s="8"/>
      <c r="AV326" s="46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4"/>
      <c r="BX326" s="4"/>
    </row>
    <row r="327" spans="1:76" s="16" customFormat="1" x14ac:dyDescent="0.25">
      <c r="A327" s="26"/>
      <c r="B327" s="6"/>
      <c r="C327" s="7"/>
      <c r="D327" s="7"/>
      <c r="E327" s="7"/>
      <c r="F327" s="7"/>
      <c r="G327" s="7"/>
      <c r="H327" s="7"/>
      <c r="I327" s="4"/>
      <c r="J327" s="7"/>
      <c r="K327" s="7"/>
      <c r="L327" s="7"/>
      <c r="M327" s="7"/>
      <c r="N327" s="4"/>
      <c r="O327" s="4"/>
      <c r="P327" s="4"/>
      <c r="Q327" s="4"/>
      <c r="R327" s="4"/>
      <c r="S327" s="7"/>
      <c r="T327" s="7"/>
      <c r="U327" s="7"/>
      <c r="V327" s="7"/>
      <c r="W327" s="7"/>
      <c r="X327" s="7"/>
      <c r="Y327" s="4"/>
      <c r="Z327" s="4"/>
      <c r="AA327" s="4"/>
      <c r="AB327" s="4"/>
      <c r="AC327" s="4"/>
      <c r="AD327" s="4"/>
      <c r="AE327" s="4"/>
      <c r="AF327" s="4"/>
      <c r="AG327" s="28"/>
      <c r="AH327" s="4"/>
      <c r="AI327" s="4"/>
      <c r="AJ327" s="4"/>
      <c r="AK327" s="4"/>
      <c r="AL327" s="4"/>
      <c r="AM327" s="4"/>
      <c r="AN327" s="44"/>
      <c r="AO327" s="8"/>
      <c r="AP327" s="8"/>
      <c r="AQ327" s="8"/>
      <c r="AR327" s="8"/>
      <c r="AS327" s="8"/>
      <c r="AT327" s="8"/>
      <c r="AU327" s="8"/>
      <c r="AV327" s="46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4"/>
      <c r="BX327" s="4"/>
    </row>
    <row r="328" spans="1:76" s="16" customFormat="1" x14ac:dyDescent="0.25">
      <c r="A328" s="26"/>
      <c r="B328" s="6"/>
      <c r="C328" s="7"/>
      <c r="D328" s="7"/>
      <c r="E328" s="7"/>
      <c r="F328" s="7"/>
      <c r="G328" s="7"/>
      <c r="H328" s="7"/>
      <c r="I328" s="4"/>
      <c r="J328" s="7"/>
      <c r="K328" s="7"/>
      <c r="L328" s="7"/>
      <c r="M328" s="7"/>
      <c r="N328" s="4"/>
      <c r="O328" s="4"/>
      <c r="P328" s="4"/>
      <c r="Q328" s="4"/>
      <c r="R328" s="4"/>
      <c r="S328" s="7"/>
      <c r="T328" s="7"/>
      <c r="U328" s="7"/>
      <c r="V328" s="7"/>
      <c r="W328" s="7"/>
      <c r="X328" s="7"/>
      <c r="Y328" s="4"/>
      <c r="Z328" s="4"/>
      <c r="AA328" s="4"/>
      <c r="AB328" s="4"/>
      <c r="AC328" s="4"/>
      <c r="AD328" s="4"/>
      <c r="AE328" s="4"/>
      <c r="AF328" s="4"/>
      <c r="AG328" s="28"/>
      <c r="AH328" s="4"/>
      <c r="AI328" s="4"/>
      <c r="AJ328" s="4"/>
      <c r="AK328" s="4"/>
      <c r="AL328" s="4"/>
      <c r="AM328" s="4"/>
      <c r="AN328" s="44"/>
      <c r="AO328" s="8"/>
      <c r="AP328" s="8"/>
      <c r="AQ328" s="8"/>
      <c r="AR328" s="8"/>
      <c r="AS328" s="8"/>
      <c r="AT328" s="8"/>
      <c r="AU328" s="8"/>
      <c r="AV328" s="46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4"/>
      <c r="BX328" s="4"/>
    </row>
    <row r="329" spans="1:76" s="16" customFormat="1" x14ac:dyDescent="0.25">
      <c r="A329" s="26"/>
      <c r="B329" s="6"/>
      <c r="C329" s="7"/>
      <c r="D329" s="7"/>
      <c r="E329" s="7"/>
      <c r="F329" s="7"/>
      <c r="G329" s="7"/>
      <c r="H329" s="7"/>
      <c r="I329" s="4"/>
      <c r="J329" s="7"/>
      <c r="K329" s="7"/>
      <c r="L329" s="7"/>
      <c r="M329" s="7"/>
      <c r="N329" s="4"/>
      <c r="O329" s="4"/>
      <c r="P329" s="4"/>
      <c r="Q329" s="4"/>
      <c r="R329" s="4"/>
      <c r="S329" s="7"/>
      <c r="T329" s="7"/>
      <c r="U329" s="7"/>
      <c r="V329" s="7"/>
      <c r="W329" s="7"/>
      <c r="X329" s="7"/>
      <c r="Y329" s="4"/>
      <c r="Z329" s="4"/>
      <c r="AA329" s="4"/>
      <c r="AB329" s="4"/>
      <c r="AC329" s="4"/>
      <c r="AD329" s="4"/>
      <c r="AE329" s="4"/>
      <c r="AF329" s="4"/>
      <c r="AG329" s="28"/>
      <c r="AH329" s="4"/>
      <c r="AI329" s="4"/>
      <c r="AJ329" s="4"/>
      <c r="AK329" s="4"/>
      <c r="AL329" s="4"/>
      <c r="AM329" s="4"/>
      <c r="AN329" s="44"/>
      <c r="AO329" s="8"/>
      <c r="AP329" s="8"/>
      <c r="AQ329" s="8"/>
      <c r="AR329" s="8"/>
      <c r="AS329" s="8"/>
      <c r="AT329" s="8"/>
      <c r="AU329" s="8"/>
      <c r="AV329" s="46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4"/>
      <c r="BX329" s="4"/>
    </row>
    <row r="330" spans="1:76" s="16" customFormat="1" x14ac:dyDescent="0.25">
      <c r="A330" s="26"/>
      <c r="B330" s="6"/>
      <c r="C330" s="7"/>
      <c r="D330" s="7"/>
      <c r="E330" s="7"/>
      <c r="F330" s="7"/>
      <c r="G330" s="7"/>
      <c r="H330" s="7"/>
      <c r="I330" s="4"/>
      <c r="J330" s="7"/>
      <c r="K330" s="7"/>
      <c r="L330" s="7"/>
      <c r="M330" s="7"/>
      <c r="N330" s="4"/>
      <c r="O330" s="4"/>
      <c r="P330" s="4"/>
      <c r="Q330" s="4"/>
      <c r="R330" s="4"/>
      <c r="S330" s="7"/>
      <c r="T330" s="7"/>
      <c r="U330" s="7"/>
      <c r="V330" s="7"/>
      <c r="W330" s="7"/>
      <c r="X330" s="7"/>
      <c r="Y330" s="4"/>
      <c r="Z330" s="4"/>
      <c r="AA330" s="4"/>
      <c r="AB330" s="4"/>
      <c r="AC330" s="4"/>
      <c r="AD330" s="4"/>
      <c r="AE330" s="4"/>
      <c r="AF330" s="4"/>
      <c r="AG330" s="28"/>
      <c r="AH330" s="4"/>
      <c r="AI330" s="4"/>
      <c r="AJ330" s="4"/>
      <c r="AK330" s="4"/>
      <c r="AL330" s="4"/>
      <c r="AM330" s="4"/>
      <c r="AN330" s="44"/>
      <c r="AO330" s="8"/>
      <c r="AP330" s="8"/>
      <c r="AQ330" s="8"/>
      <c r="AR330" s="8"/>
      <c r="AS330" s="8"/>
      <c r="AT330" s="8"/>
      <c r="AU330" s="8"/>
      <c r="AV330" s="46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4"/>
      <c r="BX330" s="4"/>
    </row>
    <row r="331" spans="1:76" s="16" customFormat="1" x14ac:dyDescent="0.25">
      <c r="A331" s="26"/>
      <c r="B331" s="6"/>
      <c r="C331" s="7"/>
      <c r="D331" s="7"/>
      <c r="E331" s="7"/>
      <c r="F331" s="7"/>
      <c r="G331" s="7"/>
      <c r="H331" s="7"/>
      <c r="I331" s="4"/>
      <c r="J331" s="7"/>
      <c r="K331" s="7"/>
      <c r="L331" s="7"/>
      <c r="M331" s="7"/>
      <c r="N331" s="4"/>
      <c r="O331" s="4"/>
      <c r="P331" s="4"/>
      <c r="Q331" s="4"/>
      <c r="R331" s="4"/>
      <c r="S331" s="7"/>
      <c r="T331" s="7"/>
      <c r="U331" s="7"/>
      <c r="V331" s="7"/>
      <c r="W331" s="7"/>
      <c r="X331" s="7"/>
      <c r="Y331" s="4"/>
      <c r="Z331" s="4"/>
      <c r="AA331" s="4"/>
      <c r="AB331" s="4"/>
      <c r="AC331" s="4"/>
      <c r="AD331" s="4"/>
      <c r="AE331" s="4"/>
      <c r="AF331" s="4"/>
      <c r="AG331" s="28"/>
      <c r="AH331" s="4"/>
      <c r="AI331" s="4"/>
      <c r="AJ331" s="4"/>
      <c r="AK331" s="4"/>
      <c r="AL331" s="4"/>
      <c r="AM331" s="4"/>
      <c r="AN331" s="44"/>
      <c r="AO331" s="8"/>
      <c r="AP331" s="8"/>
      <c r="AQ331" s="8"/>
      <c r="AR331" s="8"/>
      <c r="AS331" s="8"/>
      <c r="AT331" s="8"/>
      <c r="AU331" s="8"/>
      <c r="AV331" s="46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4"/>
      <c r="BX331" s="4"/>
    </row>
    <row r="332" spans="1:76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4"/>
      <c r="AF332" s="4"/>
      <c r="AG332" s="28"/>
      <c r="AH332" s="4"/>
      <c r="AI332" s="4"/>
      <c r="AJ332" s="4"/>
      <c r="AK332" s="4"/>
      <c r="AL332" s="4"/>
      <c r="AM332" s="4"/>
      <c r="AN332" s="44"/>
      <c r="AO332" s="8"/>
      <c r="AP332" s="8"/>
      <c r="AQ332" s="8"/>
      <c r="AR332" s="8"/>
      <c r="AS332" s="8"/>
      <c r="AT332" s="8"/>
      <c r="AU332" s="8"/>
      <c r="AV332" s="46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4"/>
      <c r="BX332" s="4"/>
    </row>
    <row r="333" spans="1:76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4"/>
      <c r="AF333" s="4"/>
      <c r="AG333" s="28"/>
      <c r="AH333" s="4"/>
      <c r="AI333" s="4"/>
      <c r="AJ333" s="4"/>
      <c r="AK333" s="4"/>
      <c r="AL333" s="4"/>
      <c r="AM333" s="4"/>
      <c r="AN333" s="44"/>
      <c r="AO333" s="8"/>
      <c r="AP333" s="8"/>
      <c r="AQ333" s="8"/>
      <c r="AR333" s="8"/>
      <c r="AS333" s="8"/>
      <c r="AT333" s="8"/>
      <c r="AU333" s="8"/>
      <c r="AV333" s="46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4"/>
      <c r="BX333" s="4"/>
    </row>
    <row r="334" spans="1:76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4"/>
      <c r="AF334" s="4"/>
      <c r="AG334" s="28"/>
      <c r="AH334" s="4"/>
      <c r="AI334" s="4"/>
      <c r="AJ334" s="4"/>
      <c r="AK334" s="4"/>
      <c r="AL334" s="4"/>
      <c r="AM334" s="4"/>
      <c r="AN334" s="44"/>
      <c r="AO334" s="8"/>
      <c r="AP334" s="8"/>
      <c r="AQ334" s="8"/>
      <c r="AR334" s="8"/>
      <c r="AS334" s="8"/>
      <c r="AT334" s="8"/>
      <c r="AU334" s="8"/>
      <c r="AV334" s="46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4"/>
      <c r="BX334" s="4"/>
    </row>
    <row r="335" spans="1:76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4"/>
      <c r="AF335" s="4"/>
      <c r="AG335" s="28"/>
      <c r="AH335" s="4"/>
      <c r="AI335" s="4"/>
      <c r="AJ335" s="4"/>
      <c r="AK335" s="4"/>
      <c r="AL335" s="4"/>
      <c r="AM335" s="4"/>
      <c r="AN335" s="44"/>
      <c r="AO335" s="8"/>
      <c r="AP335" s="8"/>
      <c r="AQ335" s="8"/>
      <c r="AR335" s="8"/>
      <c r="AS335" s="8"/>
      <c r="AT335" s="8"/>
      <c r="AU335" s="8"/>
      <c r="AV335" s="46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4"/>
      <c r="BX335" s="4"/>
    </row>
    <row r="336" spans="1:76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4"/>
      <c r="AF336" s="4"/>
      <c r="AG336" s="28"/>
      <c r="AH336" s="4"/>
      <c r="AI336" s="4"/>
      <c r="AJ336" s="4"/>
      <c r="AK336" s="4"/>
      <c r="AL336" s="4"/>
      <c r="AM336" s="4"/>
      <c r="AN336" s="44"/>
      <c r="AO336" s="8"/>
      <c r="AP336" s="8"/>
      <c r="AQ336" s="8"/>
      <c r="AR336" s="8"/>
      <c r="AS336" s="8"/>
      <c r="AT336" s="8"/>
      <c r="AU336" s="8"/>
      <c r="AV336" s="46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4"/>
      <c r="BX336" s="4"/>
    </row>
    <row r="337" spans="1:76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4"/>
      <c r="AF337" s="4"/>
      <c r="AG337" s="28"/>
      <c r="AH337" s="4"/>
      <c r="AI337" s="4"/>
      <c r="AJ337" s="4"/>
      <c r="AK337" s="4"/>
      <c r="AL337" s="4"/>
      <c r="AM337" s="4"/>
      <c r="AN337" s="44"/>
      <c r="AO337" s="8"/>
      <c r="AP337" s="8"/>
      <c r="AQ337" s="8"/>
      <c r="AR337" s="8"/>
      <c r="AS337" s="8"/>
      <c r="AT337" s="8"/>
      <c r="AU337" s="8"/>
      <c r="AV337" s="46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4"/>
      <c r="BX337" s="4"/>
    </row>
    <row r="338" spans="1:76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4"/>
      <c r="AF338" s="4"/>
      <c r="AG338" s="28"/>
      <c r="AH338" s="4"/>
      <c r="AI338" s="4"/>
      <c r="AJ338" s="4"/>
      <c r="AK338" s="4"/>
      <c r="AL338" s="4"/>
      <c r="AM338" s="4"/>
      <c r="AN338" s="44"/>
      <c r="AO338" s="8"/>
      <c r="AP338" s="8"/>
      <c r="AQ338" s="8"/>
      <c r="AR338" s="8"/>
      <c r="AS338" s="8"/>
      <c r="AT338" s="8"/>
      <c r="AU338" s="8"/>
      <c r="AV338" s="46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4"/>
      <c r="BX338" s="4"/>
    </row>
    <row r="339" spans="1:76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4"/>
      <c r="AF339" s="4"/>
      <c r="AG339" s="28"/>
      <c r="AH339" s="4"/>
      <c r="AI339" s="4"/>
      <c r="AJ339" s="4"/>
      <c r="AK339" s="4"/>
      <c r="AL339" s="4"/>
      <c r="AM339" s="4"/>
      <c r="AN339" s="44"/>
      <c r="AO339" s="8"/>
      <c r="AP339" s="8"/>
      <c r="AQ339" s="8"/>
      <c r="AR339" s="8"/>
      <c r="AS339" s="8"/>
      <c r="AT339" s="8"/>
      <c r="AU339" s="8"/>
      <c r="AV339" s="46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4"/>
      <c r="BX339" s="4"/>
    </row>
    <row r="340" spans="1:76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4"/>
      <c r="AF340" s="4"/>
      <c r="AG340" s="28"/>
      <c r="AH340" s="4"/>
      <c r="AI340" s="4"/>
      <c r="AJ340" s="4"/>
      <c r="AK340" s="4"/>
      <c r="AL340" s="4"/>
      <c r="AM340" s="4"/>
      <c r="AN340" s="44"/>
      <c r="AO340" s="8"/>
      <c r="AP340" s="8"/>
      <c r="AQ340" s="8"/>
      <c r="AR340" s="8"/>
      <c r="AS340" s="8"/>
      <c r="AT340" s="8"/>
      <c r="AU340" s="8"/>
      <c r="AV340" s="46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4"/>
      <c r="BX340" s="4"/>
    </row>
    <row r="341" spans="1:76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4"/>
      <c r="AF341" s="4"/>
      <c r="AG341" s="28"/>
      <c r="AH341" s="4"/>
      <c r="AI341" s="4"/>
      <c r="AJ341" s="4"/>
      <c r="AK341" s="4"/>
      <c r="AL341" s="4"/>
      <c r="AM341" s="4"/>
      <c r="AN341" s="44"/>
      <c r="AO341" s="8"/>
      <c r="AP341" s="8"/>
      <c r="AQ341" s="8"/>
      <c r="AR341" s="8"/>
      <c r="AS341" s="8"/>
      <c r="AT341" s="8"/>
      <c r="AU341" s="8"/>
      <c r="AV341" s="46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4"/>
      <c r="BX341" s="4"/>
    </row>
    <row r="342" spans="1:76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4"/>
      <c r="AF342" s="4"/>
      <c r="AG342" s="28"/>
      <c r="AH342" s="4"/>
      <c r="AI342" s="4"/>
      <c r="AJ342" s="4"/>
      <c r="AK342" s="4"/>
      <c r="AL342" s="4"/>
      <c r="AM342" s="4"/>
      <c r="AN342" s="44"/>
      <c r="AO342" s="8"/>
      <c r="AP342" s="8"/>
      <c r="AQ342" s="8"/>
      <c r="AR342" s="8"/>
      <c r="AS342" s="8"/>
      <c r="AT342" s="8"/>
      <c r="AU342" s="8"/>
      <c r="AV342" s="46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4"/>
      <c r="BX342" s="4"/>
    </row>
    <row r="343" spans="1:76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4"/>
      <c r="AF343" s="4"/>
      <c r="AG343" s="28"/>
      <c r="AH343" s="4"/>
      <c r="AI343" s="4"/>
      <c r="AJ343" s="4"/>
      <c r="AK343" s="4"/>
      <c r="AL343" s="4"/>
      <c r="AM343" s="4"/>
      <c r="AN343" s="44"/>
      <c r="AO343" s="8"/>
      <c r="AP343" s="8"/>
      <c r="AQ343" s="8"/>
      <c r="AR343" s="8"/>
      <c r="AS343" s="8"/>
      <c r="AT343" s="8"/>
      <c r="AU343" s="8"/>
      <c r="AV343" s="46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4"/>
      <c r="BX343" s="4"/>
    </row>
    <row r="344" spans="1:76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4"/>
      <c r="AF344" s="4"/>
      <c r="AG344" s="28"/>
      <c r="AH344" s="4"/>
      <c r="AI344" s="4"/>
      <c r="AJ344" s="4"/>
      <c r="AK344" s="4"/>
      <c r="AL344" s="4"/>
      <c r="AM344" s="4"/>
      <c r="AN344" s="44"/>
      <c r="AO344" s="8"/>
      <c r="AP344" s="8"/>
      <c r="AQ344" s="8"/>
      <c r="AR344" s="8"/>
      <c r="AS344" s="8"/>
      <c r="AT344" s="8"/>
      <c r="AU344" s="8"/>
      <c r="AV344" s="46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4"/>
      <c r="BX344" s="4"/>
    </row>
    <row r="345" spans="1:76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4"/>
      <c r="AF345" s="4"/>
      <c r="AG345" s="28"/>
      <c r="AH345" s="4"/>
      <c r="AI345" s="4"/>
      <c r="AJ345" s="4"/>
      <c r="AK345" s="4"/>
      <c r="AL345" s="4"/>
      <c r="AM345" s="4"/>
      <c r="AN345" s="44"/>
      <c r="AO345" s="8"/>
      <c r="AP345" s="8"/>
      <c r="AQ345" s="8"/>
      <c r="AR345" s="8"/>
      <c r="AS345" s="8"/>
      <c r="AT345" s="8"/>
      <c r="AU345" s="8"/>
      <c r="AV345" s="46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4"/>
      <c r="BX345" s="4"/>
    </row>
    <row r="346" spans="1:76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4"/>
      <c r="AF346" s="4"/>
      <c r="AG346" s="28"/>
      <c r="AH346" s="4"/>
      <c r="AI346" s="4"/>
      <c r="AJ346" s="4"/>
      <c r="AK346" s="4"/>
      <c r="AL346" s="4"/>
      <c r="AM346" s="4"/>
      <c r="AN346" s="44"/>
      <c r="AO346" s="8"/>
      <c r="AP346" s="8"/>
      <c r="AQ346" s="8"/>
      <c r="AR346" s="8"/>
      <c r="AS346" s="8"/>
      <c r="AT346" s="8"/>
      <c r="AU346" s="8"/>
      <c r="AV346" s="46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4"/>
      <c r="BX346" s="4"/>
    </row>
    <row r="347" spans="1:76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4"/>
      <c r="AF347" s="4"/>
      <c r="AG347" s="28"/>
      <c r="AH347" s="4"/>
      <c r="AI347" s="4"/>
      <c r="AJ347" s="4"/>
      <c r="AK347" s="4"/>
      <c r="AL347" s="4"/>
      <c r="AM347" s="4"/>
      <c r="AN347" s="44"/>
      <c r="AO347" s="8"/>
      <c r="AP347" s="8"/>
      <c r="AQ347" s="8"/>
      <c r="AR347" s="8"/>
      <c r="AS347" s="8"/>
      <c r="AT347" s="8"/>
      <c r="AU347" s="8"/>
      <c r="AV347" s="46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4"/>
      <c r="BX347" s="4"/>
    </row>
    <row r="348" spans="1:76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4"/>
      <c r="AF348" s="4"/>
      <c r="AG348" s="28"/>
      <c r="AH348" s="4"/>
      <c r="AI348" s="4"/>
      <c r="AJ348" s="4"/>
      <c r="AK348" s="4"/>
      <c r="AL348" s="4"/>
      <c r="AM348" s="4"/>
      <c r="AN348" s="44"/>
      <c r="AO348" s="8"/>
      <c r="AP348" s="8"/>
      <c r="AQ348" s="8"/>
      <c r="AR348" s="8"/>
      <c r="AS348" s="8"/>
      <c r="AT348" s="8"/>
      <c r="AU348" s="8"/>
      <c r="AV348" s="46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4"/>
      <c r="BX348" s="4"/>
    </row>
    <row r="349" spans="1:76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4"/>
      <c r="AF349" s="4"/>
      <c r="AG349" s="28"/>
      <c r="AH349" s="4"/>
      <c r="AI349" s="4"/>
      <c r="AJ349" s="4"/>
      <c r="AK349" s="4"/>
      <c r="AL349" s="4"/>
      <c r="AM349" s="4"/>
      <c r="AN349" s="44"/>
      <c r="AO349" s="8"/>
      <c r="AP349" s="8"/>
      <c r="AQ349" s="8"/>
      <c r="AR349" s="8"/>
      <c r="AS349" s="8"/>
      <c r="AT349" s="8"/>
      <c r="AU349" s="8"/>
      <c r="AV349" s="46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4"/>
      <c r="BX349" s="4"/>
    </row>
    <row r="350" spans="1:76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4"/>
      <c r="AF350" s="4"/>
      <c r="AG350" s="28"/>
      <c r="AH350" s="4"/>
      <c r="AI350" s="4"/>
      <c r="AJ350" s="4"/>
      <c r="AK350" s="4"/>
      <c r="AL350" s="4"/>
      <c r="AM350" s="4"/>
      <c r="AN350" s="44"/>
      <c r="AO350" s="8"/>
      <c r="AP350" s="8"/>
      <c r="AQ350" s="8"/>
      <c r="AR350" s="8"/>
      <c r="AS350" s="8"/>
      <c r="AT350" s="8"/>
      <c r="AU350" s="8"/>
      <c r="AV350" s="46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4"/>
      <c r="BX350" s="4"/>
    </row>
    <row r="351" spans="1:76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4"/>
      <c r="AF351" s="4"/>
      <c r="AG351" s="28"/>
      <c r="AH351" s="4"/>
      <c r="AI351" s="4"/>
      <c r="AJ351" s="4"/>
      <c r="AK351" s="4"/>
      <c r="AL351" s="4"/>
      <c r="AM351" s="4"/>
      <c r="AN351" s="44"/>
      <c r="AO351" s="8"/>
      <c r="AP351" s="8"/>
      <c r="AQ351" s="8"/>
      <c r="AR351" s="8"/>
      <c r="AS351" s="8"/>
      <c r="AT351" s="8"/>
      <c r="AU351" s="8"/>
      <c r="AV351" s="46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4"/>
      <c r="BX351" s="4"/>
    </row>
    <row r="352" spans="1:76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4"/>
      <c r="AF352" s="4"/>
      <c r="AG352" s="28"/>
      <c r="AH352" s="4"/>
      <c r="AI352" s="4"/>
      <c r="AJ352" s="4"/>
      <c r="AK352" s="4"/>
      <c r="AL352" s="4"/>
      <c r="AM352" s="4"/>
      <c r="AN352" s="44"/>
      <c r="AO352" s="8"/>
      <c r="AP352" s="8"/>
      <c r="AQ352" s="8"/>
      <c r="AR352" s="8"/>
      <c r="AS352" s="8"/>
      <c r="AT352" s="8"/>
      <c r="AU352" s="8"/>
      <c r="AV352" s="46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4"/>
      <c r="BX352" s="4"/>
    </row>
    <row r="353" spans="1:76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4"/>
      <c r="AF353" s="4"/>
      <c r="AG353" s="28"/>
      <c r="AH353" s="4"/>
      <c r="AI353" s="4"/>
      <c r="AJ353" s="4"/>
      <c r="AK353" s="4"/>
      <c r="AL353" s="4"/>
      <c r="AM353" s="4"/>
      <c r="AN353" s="44"/>
      <c r="AO353" s="8"/>
      <c r="AP353" s="8"/>
      <c r="AQ353" s="8"/>
      <c r="AR353" s="8"/>
      <c r="AS353" s="8"/>
      <c r="AT353" s="8"/>
      <c r="AU353" s="8"/>
      <c r="AV353" s="46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4"/>
      <c r="BX353" s="4"/>
    </row>
    <row r="354" spans="1:76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4"/>
      <c r="AF354" s="4"/>
      <c r="AG354" s="28"/>
      <c r="AH354" s="4"/>
      <c r="AI354" s="4"/>
      <c r="AJ354" s="4"/>
      <c r="AK354" s="4"/>
      <c r="AL354" s="4"/>
      <c r="AM354" s="4"/>
      <c r="AN354" s="44"/>
      <c r="AO354" s="8"/>
      <c r="AP354" s="8"/>
      <c r="AQ354" s="8"/>
      <c r="AR354" s="8"/>
      <c r="AS354" s="8"/>
      <c r="AT354" s="8"/>
      <c r="AU354" s="8"/>
      <c r="AV354" s="46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4"/>
      <c r="BX354" s="4"/>
    </row>
    <row r="355" spans="1:76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4"/>
      <c r="AF355" s="4"/>
      <c r="AG355" s="28"/>
      <c r="AH355" s="4"/>
      <c r="AI355" s="4"/>
      <c r="AJ355" s="4"/>
      <c r="AK355" s="4"/>
      <c r="AL355" s="4"/>
      <c r="AM355" s="4"/>
      <c r="AN355" s="44"/>
      <c r="AO355" s="8"/>
      <c r="AP355" s="8"/>
      <c r="AQ355" s="8"/>
      <c r="AR355" s="8"/>
      <c r="AS355" s="8"/>
      <c r="AT355" s="8"/>
      <c r="AU355" s="8"/>
      <c r="AV355" s="46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4"/>
      <c r="BX355" s="4"/>
    </row>
    <row r="356" spans="1:76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4"/>
      <c r="AF356" s="4"/>
      <c r="AG356" s="28"/>
      <c r="AH356" s="4"/>
      <c r="AI356" s="4"/>
      <c r="AJ356" s="4"/>
      <c r="AK356" s="4"/>
      <c r="AL356" s="4"/>
      <c r="AM356" s="4"/>
      <c r="AN356" s="44"/>
      <c r="AO356" s="8"/>
      <c r="AP356" s="8"/>
      <c r="AQ356" s="8"/>
      <c r="AR356" s="8"/>
      <c r="AS356" s="8"/>
      <c r="AT356" s="8"/>
      <c r="AU356" s="8"/>
      <c r="AV356" s="46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4"/>
      <c r="BX356" s="4"/>
    </row>
    <row r="357" spans="1:76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4"/>
      <c r="AF357" s="4"/>
      <c r="AG357" s="28"/>
      <c r="AH357" s="4"/>
      <c r="AI357" s="4"/>
      <c r="AJ357" s="4"/>
      <c r="AK357" s="4"/>
      <c r="AL357" s="4"/>
      <c r="AM357" s="4"/>
      <c r="AN357" s="44"/>
      <c r="AO357" s="8"/>
      <c r="AP357" s="8"/>
      <c r="AQ357" s="8"/>
      <c r="AR357" s="8"/>
      <c r="AS357" s="8"/>
      <c r="AT357" s="8"/>
      <c r="AU357" s="8"/>
      <c r="AV357" s="46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4"/>
      <c r="BX357" s="4"/>
    </row>
    <row r="358" spans="1:76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4"/>
      <c r="AF358" s="4"/>
      <c r="AG358" s="28"/>
      <c r="AH358" s="4"/>
      <c r="AI358" s="4"/>
      <c r="AJ358" s="4"/>
      <c r="AK358" s="4"/>
      <c r="AL358" s="4"/>
      <c r="AM358" s="4"/>
      <c r="AN358" s="44"/>
      <c r="AO358" s="8"/>
      <c r="AP358" s="8"/>
      <c r="AQ358" s="8"/>
      <c r="AR358" s="8"/>
      <c r="AS358" s="8"/>
      <c r="AT358" s="8"/>
      <c r="AU358" s="8"/>
      <c r="AV358" s="46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4"/>
      <c r="BX358" s="4"/>
    </row>
    <row r="359" spans="1:76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4"/>
      <c r="AF359" s="4"/>
      <c r="AG359" s="28"/>
      <c r="AH359" s="4"/>
      <c r="AI359" s="4"/>
      <c r="AJ359" s="4"/>
      <c r="AK359" s="4"/>
      <c r="AL359" s="4"/>
      <c r="AM359" s="4"/>
      <c r="AN359" s="44"/>
      <c r="AO359" s="8"/>
      <c r="AP359" s="8"/>
      <c r="AQ359" s="8"/>
      <c r="AR359" s="8"/>
      <c r="AS359" s="8"/>
      <c r="AT359" s="8"/>
      <c r="AU359" s="8"/>
      <c r="AV359" s="46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4"/>
      <c r="BX359" s="4"/>
    </row>
    <row r="360" spans="1:76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4"/>
      <c r="AF360" s="4"/>
      <c r="AG360" s="28"/>
      <c r="AH360" s="4"/>
      <c r="AI360" s="4"/>
      <c r="AJ360" s="4"/>
      <c r="AK360" s="4"/>
      <c r="AL360" s="4"/>
      <c r="AM360" s="4"/>
      <c r="AN360" s="44"/>
      <c r="AO360" s="8"/>
      <c r="AP360" s="8"/>
      <c r="AQ360" s="8"/>
      <c r="AR360" s="8"/>
      <c r="AS360" s="8"/>
      <c r="AT360" s="8"/>
      <c r="AU360" s="8"/>
      <c r="AV360" s="46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4"/>
      <c r="BX360" s="4"/>
    </row>
    <row r="361" spans="1:76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4"/>
      <c r="AF361" s="4"/>
      <c r="AG361" s="28"/>
      <c r="AH361" s="4"/>
      <c r="AI361" s="4"/>
      <c r="AJ361" s="4"/>
      <c r="AK361" s="4"/>
      <c r="AL361" s="4"/>
      <c r="AM361" s="4"/>
      <c r="AN361" s="44"/>
      <c r="AO361" s="8"/>
      <c r="AP361" s="8"/>
      <c r="AQ361" s="8"/>
      <c r="AR361" s="8"/>
      <c r="AS361" s="8"/>
      <c r="AT361" s="8"/>
      <c r="AU361" s="8"/>
      <c r="AV361" s="46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4"/>
      <c r="BX361" s="4"/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  <row r="952" spans="1:76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4"/>
      <c r="AF952" s="4"/>
      <c r="AG952" s="28"/>
      <c r="AH952" s="4"/>
      <c r="AI952" s="4"/>
      <c r="AJ952" s="4"/>
      <c r="AK952" s="4"/>
      <c r="AL952" s="4"/>
      <c r="AM952" s="4"/>
      <c r="AN952" s="44"/>
      <c r="AO952" s="8"/>
      <c r="AP952" s="8"/>
      <c r="AQ952" s="8"/>
      <c r="AR952" s="8"/>
      <c r="AS952" s="8"/>
      <c r="AT952" s="8"/>
      <c r="AU952" s="8"/>
      <c r="AV952" s="46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4"/>
      <c r="BX952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AW192:AW1048576 AW187 AG2:AG191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E174 E183:E191 E181 E177 E2:E166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tabSelected="1" zoomScale="87" zoomScaleNormal="87" workbookViewId="0">
      <pane xSplit="1" ySplit="1" topLeftCell="AF163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P167" sqref="AP167"/>
    </sheetView>
  </sheetViews>
  <sheetFormatPr defaultRowHeight="15" x14ac:dyDescent="0.25"/>
  <cols>
    <col min="1" max="1" width="20.5703125" style="5" bestFit="1" customWidth="1"/>
    <col min="2" max="2" width="33.42578125" style="5" bestFit="1" customWidth="1"/>
    <col min="3" max="3" width="32.85546875" style="4" bestFit="1" customWidth="1"/>
    <col min="4" max="4" width="39.42578125" style="4" bestFit="1" customWidth="1"/>
    <col min="5" max="5" width="21" style="4" bestFit="1" customWidth="1"/>
    <col min="6" max="6" width="25.85546875" style="4" bestFit="1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29" t="s">
        <v>1280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448</v>
      </c>
      <c r="O1" s="30" t="s">
        <v>449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660</v>
      </c>
      <c r="V1" s="29" t="s">
        <v>661</v>
      </c>
      <c r="W1" s="29" t="s">
        <v>669</v>
      </c>
      <c r="X1" s="31" t="s">
        <v>273</v>
      </c>
      <c r="Y1" s="29" t="s">
        <v>274</v>
      </c>
      <c r="Z1" s="29" t="s">
        <v>662</v>
      </c>
      <c r="AA1" s="29" t="s">
        <v>663</v>
      </c>
      <c r="AB1" s="29" t="s">
        <v>670</v>
      </c>
      <c r="AC1" s="29" t="s">
        <v>664</v>
      </c>
      <c r="AD1" s="31" t="s">
        <v>10</v>
      </c>
      <c r="AE1" s="29" t="s">
        <v>11</v>
      </c>
      <c r="AF1" s="29" t="s">
        <v>665</v>
      </c>
      <c r="AG1" s="29" t="s">
        <v>666</v>
      </c>
      <c r="AH1" s="29" t="s">
        <v>671</v>
      </c>
      <c r="AI1" s="31" t="s">
        <v>12</v>
      </c>
      <c r="AJ1" s="29" t="s">
        <v>13</v>
      </c>
      <c r="AK1" s="29" t="s">
        <v>667</v>
      </c>
      <c r="AL1" s="29" t="s">
        <v>668</v>
      </c>
      <c r="AM1" s="29" t="s">
        <v>673</v>
      </c>
      <c r="AN1" s="30" t="s">
        <v>303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312</v>
      </c>
      <c r="AX1" s="30" t="s">
        <v>313</v>
      </c>
      <c r="AY1" s="30" t="s">
        <v>406</v>
      </c>
      <c r="AZ1" s="30" t="s">
        <v>24</v>
      </c>
      <c r="BA1" s="30" t="s">
        <v>1379</v>
      </c>
      <c r="BB1" s="30" t="s">
        <v>674</v>
      </c>
      <c r="BC1" s="30" t="s">
        <v>676</v>
      </c>
      <c r="BD1" s="30" t="s">
        <v>25</v>
      </c>
      <c r="BE1" s="30" t="s">
        <v>26</v>
      </c>
      <c r="BF1" s="30" t="s">
        <v>314</v>
      </c>
      <c r="BG1" s="30" t="s">
        <v>315</v>
      </c>
      <c r="BH1" s="30" t="s">
        <v>854</v>
      </c>
      <c r="BI1" s="30" t="s">
        <v>316</v>
      </c>
      <c r="BJ1" s="30" t="s">
        <v>317</v>
      </c>
      <c r="BK1" s="30" t="s">
        <v>27</v>
      </c>
      <c r="BL1" s="30" t="s">
        <v>318</v>
      </c>
      <c r="BM1" s="30" t="s">
        <v>632</v>
      </c>
      <c r="BN1" s="30" t="s">
        <v>633</v>
      </c>
      <c r="BO1" s="30" t="s">
        <v>675</v>
      </c>
      <c r="BP1" s="30" t="s">
        <v>679</v>
      </c>
      <c r="BQ1" s="30" t="s">
        <v>631</v>
      </c>
      <c r="BR1" s="30" t="s">
        <v>29</v>
      </c>
      <c r="BS1" s="30" t="s">
        <v>28</v>
      </c>
      <c r="BT1" s="30" t="s">
        <v>319</v>
      </c>
      <c r="BU1" s="30" t="s">
        <v>428</v>
      </c>
      <c r="BV1" s="30" t="s">
        <v>885</v>
      </c>
      <c r="BW1" s="30" t="s">
        <v>411</v>
      </c>
      <c r="BX1" s="30" t="s">
        <v>879</v>
      </c>
      <c r="BY1" s="30" t="s">
        <v>681</v>
      </c>
      <c r="BZ1" s="30" t="s">
        <v>31</v>
      </c>
      <c r="CA1" s="30" t="s">
        <v>32</v>
      </c>
      <c r="CB1" s="30" t="s">
        <v>856</v>
      </c>
      <c r="CC1" s="30" t="s">
        <v>860</v>
      </c>
      <c r="CD1" s="30" t="s">
        <v>857</v>
      </c>
      <c r="CE1" s="30" t="s">
        <v>858</v>
      </c>
      <c r="CF1" s="30" t="s">
        <v>859</v>
      </c>
      <c r="CG1" s="30" t="s">
        <v>861</v>
      </c>
      <c r="CH1" s="30" t="s">
        <v>862</v>
      </c>
      <c r="CI1" s="30" t="s">
        <v>1143</v>
      </c>
      <c r="CJ1" s="30" t="s">
        <v>1144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8" t="s">
        <v>685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stats'!O:O)=2,0,1)),0.05),0.985)))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*0.025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*0.025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FrontRightPaw,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IFERROR(IF(_xlfn.XLOOKUP(B2,'Base stats'!B:B,'Base stats'!F:F)="Lay eggs","Lay eggs",MIN(20,MAX(5.5,ROUND(((_xlfn.XLOOKUP(B2,'Base stats'!B:B,'Base stats'!F:F)-25)*(14.5/615) + 5.5)*2,0)/2))),"Cannot breed")</f>
        <v>6.5</v>
      </c>
      <c r="AT2" s="8">
        <f>IF(OR(A2="Queen",A2="Larva",A2="Megachicken",A2="Megatardi",A2="Toxscorpion"),"No",IFERROR(MAX(IF(_xlfn.XLOOKUP(B2,'Base stats'!B:B,'Base stats'!G:G)&lt;0.5,0.2,0.3),MROUND(_xlfn.XLOOKUP(B2,'Base stats'!B:B,'Base stats'!G:G)/(365/60),0.2)),"Unknown"))</f>
        <v>0.8</v>
      </c>
      <c r="AU2" s="8">
        <f t="shared" ref="AU2:AU65" si="0"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stats'!N:N)=1,"No",MAX(0.01,MIN(MROUND(IF(OR(_xlfn.XLOOKUP(B2,'Base stats'!B:B,'Base stats'!AM:AM)=1,AND(BJ2="True",CC2="False")),POWER(10,3.47*LOG10(_xlfn.XLOOKUP(B2,'Base stats'!B:B,'Base stats'!C:C)*1000)^-0.96),POWER(10,4.15*LOG10(_xlfn.XLOOKUP(B2,'Base stats'!B:B,'Base stats'!C:C)*1000)^-0.73))*IF(OR(_xlfn.XLOOKUP(B2,'Base stats'!B:B,'Base stats'!AM:AM)=1,_xlfn.XLOOKUP(B2,'Base stats'!B:B,'Base stats'!AK:AK)=1),0.5,1)/100,0.025),0.5)))</f>
        <v>0.05</v>
      </c>
      <c r="CA2" s="25" t="str">
        <f>IF(P2="Standard","No",MAX(0.01,IF(_xlfn.XLOOKUP(B2,'Base stats'!B:B,'Base stats'!N:N)=0,MROUND(BZ2*P2,0.05),MIN(1,MAX(0.025,MROUND(IF(OR(CC2="true",AND(BJ2="false",BO2="false")),POWER(10,4.15*LOG10(_xlfn.XLOOKUP(B2,'Base stats'!B:B,'Base stats'!C:C)*1000)^-0.73),POWER(10,3.47*LOG10(_xlfn.XLOOKUP(B2,'Base stats'!B:B,'Base stats'!C:C)*1000)^-0.96))*IF(_xlfn.XLOOKUP(B2,'Base stats'!B:B,'Base stats'!AK:AK)=1,0.5,1)/100,0.025))))))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8" t="s">
        <v>685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stats'!O:O)=2,0,1)),0.05),0.985)))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*0.025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*0.025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FrontRightPaw,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1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IFERROR(IF(_xlfn.XLOOKUP(B3,'Base stats'!B:B,'Base stats'!F:F)="Lay eggs","Lay eggs",MIN(20,MAX(5.5,ROUND(((_xlfn.XLOOKUP(B3,'Base stats'!B:B,'Base stats'!F:F)-25)*(14.5/615) + 5.5)*2,0)/2))),"Cannot breed")</f>
        <v>7.5</v>
      </c>
      <c r="AT3" s="8">
        <f>IF(OR(A3="Queen",A3="Larva",A3="Megachicken",A3="Megatardi",A3="Toxscorpion"),"No",IFERROR(MAX(IF(_xlfn.XLOOKUP(B3,'Base stats'!B:B,'Base stats'!G:G)&lt;0.5,0.2,0.3),MROUND(_xlfn.XLOOKUP(B3,'Base stats'!B:B,'Base stats'!G:G)/(365/60),0.2)),"Unknown"))</f>
        <v>0.60000000000000009</v>
      </c>
      <c r="AU3" s="8">
        <f t="shared" si="0"/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stats'!N:N)=1,"No",MAX(0.01,MIN(MROUND(IF(OR(_xlfn.XLOOKUP(B3,'Base stats'!B:B,'Base stats'!AM:AM)=1,AND(BJ3="True",CC3="False")),POWER(10,3.47*LOG10(_xlfn.XLOOKUP(B3,'Base stats'!B:B,'Base stats'!C:C)*1000)^-0.96),POWER(10,4.15*LOG10(_xlfn.XLOOKUP(B3,'Base stats'!B:B,'Base stats'!C:C)*1000)^-0.73))*IF(OR(_xlfn.XLOOKUP(B3,'Base stats'!B:B,'Base stats'!AM:AM)=1,_xlfn.XLOOKUP(B3,'Base stats'!B:B,'Base stats'!AK:AK)=1),0.5,1)/100,0.025),0.5)))</f>
        <v>0.05</v>
      </c>
      <c r="CA3" s="25" t="str">
        <f>IF(P3="Standard","No",MAX(0.01,IF(_xlfn.XLOOKUP(B3,'Base stats'!B:B,'Base stats'!N:N)=0,MROUND(BZ3*P3,0.05),MIN(1,MAX(0.025,MROUND(IF(OR(CC3="true",AND(BJ3="false",BO3="false")),POWER(10,4.15*LOG10(_xlfn.XLOOKUP(B3,'Base stats'!B:B,'Base stats'!C:C)*1000)^-0.73),POWER(10,3.47*LOG10(_xlfn.XLOOKUP(B3,'Base stats'!B:B,'Base stats'!C:C)*1000)^-0.96))*IF(_xlfn.XLOOKUP(B3,'Base stats'!B:B,'Base stats'!AK:AK)=1,0.5,1)/100,0.025))))))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8" t="s">
        <v>685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stats'!O:O)=2,0,1)),0.05),0.985)))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*0.025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*0.025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FrontRightPaw,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1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IFERROR(IF(_xlfn.XLOOKUP(B4,'Base stats'!B:B,'Base stats'!F:F)="Lay eggs","Lay eggs",MIN(20,MAX(5.5,ROUND(((_xlfn.XLOOKUP(B4,'Base stats'!B:B,'Base stats'!F:F)-25)*(14.5/615) + 5.5)*2,0)/2))),"Cannot breed")</f>
        <v>6.5</v>
      </c>
      <c r="AT4" s="8">
        <f>IF(OR(A4="Queen",A4="Larva",A4="Megachicken",A4="Megatardi",A4="Toxscorpion"),"No",IFERROR(MAX(IF(_xlfn.XLOOKUP(B4,'Base stats'!B:B,'Base stats'!G:G)&lt;0.5,0.2,0.3),MROUND(_xlfn.XLOOKUP(B4,'Base stats'!B:B,'Base stats'!G:G)/(365/60),0.2)),"Unknown"))</f>
        <v>0.3</v>
      </c>
      <c r="AU4" s="8">
        <f t="shared" si="0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stats'!N:N)=1,"No",MAX(0.01,MIN(MROUND(IF(OR(_xlfn.XLOOKUP(B4,'Base stats'!B:B,'Base stats'!AM:AM)=1,AND(BJ4="True",CC4="False")),POWER(10,3.47*LOG10(_xlfn.XLOOKUP(B4,'Base stats'!B:B,'Base stats'!C:C)*1000)^-0.96),POWER(10,4.15*LOG10(_xlfn.XLOOKUP(B4,'Base stats'!B:B,'Base stats'!C:C)*1000)^-0.73))*IF(OR(_xlfn.XLOOKUP(B4,'Base stats'!B:B,'Base stats'!AM:AM)=1,_xlfn.XLOOKUP(B4,'Base stats'!B:B,'Base stats'!AK:AK)=1),0.5,1)/100,0.025),0.5)))</f>
        <v>0.375</v>
      </c>
      <c r="CA4" s="25">
        <f>IF(P4="Standard","No",MAX(0.01,IF(_xlfn.XLOOKUP(B4,'Base stats'!B:B,'Base stats'!N:N)=0,MROUND(BZ4*P4,0.05),MIN(1,MAX(0.025,MROUND(IF(OR(CC4="true",AND(BJ4="false",BO4="false")),POWER(10,4.15*LOG10(_xlfn.XLOOKUP(B4,'Base stats'!B:B,'Base stats'!C:C)*1000)^-0.73),POWER(10,3.47*LOG10(_xlfn.XLOOKUP(B4,'Base stats'!B:B,'Base stats'!C:C)*1000)^-0.96))*IF(_xlfn.XLOOKUP(B4,'Base stats'!B:B,'Base stats'!AK:AK)=1,0.5,1)/100,0.025))))))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8" t="s">
        <v>685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stats'!O:O)=2,0,1)),0.05),0.985)))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*0.025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*0.025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1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T5" s="8">
        <f>IF(OR(A5="Queen",A5="Larva",A5="Megachicken",A5="Megatardi",A5="Toxscorpion"),"No",IFERROR(MAX(IF(_xlfn.XLOOKUP(B5,'Base stats'!B:B,'Base stats'!G:G)&lt;0.5,0.2,0.3),MROUND(_xlfn.XLOOKUP(B5,'Base stats'!B:B,'Base stats'!G:G)/(365/60),0.2)),"Unknown"))</f>
        <v>0.4</v>
      </c>
      <c r="AU5" s="8">
        <f t="shared" si="0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stats'!N:N)=1,"No",MAX(0.01,MIN(MROUND(IF(OR(_xlfn.XLOOKUP(B5,'Base stats'!B:B,'Base stats'!AM:AM)=1,AND(BJ5="True",CC5="False")),POWER(10,3.47*LOG10(_xlfn.XLOOKUP(B5,'Base stats'!B:B,'Base stats'!C:C)*1000)^-0.96),POWER(10,4.15*LOG10(_xlfn.XLOOKUP(B5,'Base stats'!B:B,'Base stats'!C:C)*1000)^-0.73))*IF(OR(_xlfn.XLOOKUP(B5,'Base stats'!B:B,'Base stats'!AM:AM)=1,_xlfn.XLOOKUP(B5,'Base stats'!B:B,'Base stats'!AK:AK)=1),0.5,1)/100,0.025),0.5)))</f>
        <v>0.2</v>
      </c>
      <c r="CA5" s="25" t="str">
        <f>IF(P5="Standard","No",MAX(0.01,IF(_xlfn.XLOOKUP(B5,'Base stats'!B:B,'Base stats'!N:N)=0,MROUND(BZ5*P5,0.05),MIN(1,MAX(0.025,MROUND(IF(OR(CC5="true",AND(BJ5="false",BO5="false")),POWER(10,4.15*LOG10(_xlfn.XLOOKUP(B5,'Base stats'!B:B,'Base stats'!C:C)*1000)^-0.73),POWER(10,3.47*LOG10(_xlfn.XLOOKUP(B5,'Base stats'!B:B,'Base stats'!C:C)*1000)^-0.96))*IF(_xlfn.XLOOKUP(B5,'Base stats'!B:B,'Base stats'!AK:AK)=1,0.5,1)/100,0.025))))))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8" t="s">
        <v>685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stats'!O:O)=2,0,1)),0.05),0.985)))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*0.025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*0.025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1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T6" s="8">
        <f>IF(OR(A6="Queen",A6="Larva",A6="Megachicken",A6="Megatardi",A6="Toxscorpion"),"No",IFERROR(MAX(IF(_xlfn.XLOOKUP(B6,'Base stats'!B:B,'Base stats'!G:G)&lt;0.5,0.2,0.3),MROUND(_xlfn.XLOOKUP(B6,'Base stats'!B:B,'Base stats'!G:G)/(365/60),0.2)),"Unknown"))</f>
        <v>0.60000000000000009</v>
      </c>
      <c r="AU6" s="8">
        <f t="shared" si="0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stats'!N:N)=1,"No",MAX(0.01,MIN(MROUND(IF(OR(_xlfn.XLOOKUP(B6,'Base stats'!B:B,'Base stats'!AM:AM)=1,AND(BJ6="True",CC6="False")),POWER(10,3.47*LOG10(_xlfn.XLOOKUP(B6,'Base stats'!B:B,'Base stats'!C:C)*1000)^-0.96),POWER(10,4.15*LOG10(_xlfn.XLOOKUP(B6,'Base stats'!B:B,'Base stats'!C:C)*1000)^-0.73))*IF(OR(_xlfn.XLOOKUP(B6,'Base stats'!B:B,'Base stats'!AM:AM)=1,_xlfn.XLOOKUP(B6,'Base stats'!B:B,'Base stats'!AK:AK)=1),0.5,1)/100,0.025),0.5)))</f>
        <v>0.22500000000000001</v>
      </c>
      <c r="CA6" s="25" t="str">
        <f>IF(P6="Standard","No",MAX(0.01,IF(_xlfn.XLOOKUP(B6,'Base stats'!B:B,'Base stats'!N:N)=0,MROUND(BZ6*P6,0.05),MIN(1,MAX(0.025,MROUND(IF(OR(CC6="true",AND(BJ6="false",BO6="false")),POWER(10,4.15*LOG10(_xlfn.XLOOKUP(B6,'Base stats'!B:B,'Base stats'!C:C)*1000)^-0.73),POWER(10,3.47*LOG10(_xlfn.XLOOKUP(B6,'Base stats'!B:B,'Base stats'!C:C)*1000)^-0.96))*IF(_xlfn.XLOOKUP(B6,'Base stats'!B:B,'Base stats'!AK:AK)=1,0.5,1)/100,0.025))))))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8" t="s">
        <v>685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stats'!O:O)=2,0,1)),0.05),0.985)))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*0.025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*0.025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1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T7" s="8">
        <f>IF(OR(A7="Queen",A7="Larva",A7="Megachicken",A7="Megatardi",A7="Toxscorpion"),"No",IFERROR(MAX(IF(_xlfn.XLOOKUP(B7,'Base stats'!B:B,'Base stats'!G:G)&lt;0.5,0.2,0.3),MROUND(_xlfn.XLOOKUP(B7,'Base stats'!B:B,'Base stats'!G:G)/(365/60),0.2)),"Unknown"))</f>
        <v>0.4</v>
      </c>
      <c r="AU7" s="8">
        <f t="shared" si="0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stats'!N:N)=1,"No",MAX(0.01,MIN(MROUND(IF(OR(_xlfn.XLOOKUP(B7,'Base stats'!B:B,'Base stats'!AM:AM)=1,AND(BJ7="True",CC7="False")),POWER(10,3.47*LOG10(_xlfn.XLOOKUP(B7,'Base stats'!B:B,'Base stats'!C:C)*1000)^-0.96),POWER(10,4.15*LOG10(_xlfn.XLOOKUP(B7,'Base stats'!B:B,'Base stats'!C:C)*1000)^-0.73))*IF(OR(_xlfn.XLOOKUP(B7,'Base stats'!B:B,'Base stats'!AM:AM)=1,_xlfn.XLOOKUP(B7,'Base stats'!B:B,'Base stats'!AK:AK)=1),0.5,1)/100,0.025),0.5)))</f>
        <v>0.22500000000000001</v>
      </c>
      <c r="CA7" s="25" t="str">
        <f>IF(P7="Standard","No",MAX(0.01,IF(_xlfn.XLOOKUP(B7,'Base stats'!B:B,'Base stats'!N:N)=0,MROUND(BZ7*P7,0.05),MIN(1,MAX(0.025,MROUND(IF(OR(CC7="true",AND(BJ7="false",BO7="false")),POWER(10,4.15*LOG10(_xlfn.XLOOKUP(B7,'Base stats'!B:B,'Base stats'!C:C)*1000)^-0.73),POWER(10,3.47*LOG10(_xlfn.XLOOKUP(B7,'Base stats'!B:B,'Base stats'!C:C)*1000)^-0.96))*IF(_xlfn.XLOOKUP(B7,'Base stats'!B:B,'Base stats'!AK:AK)=1,0.5,1)/100,0.025))))))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8" t="s">
        <v>685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stats'!O:O)=2,0,1)),0.05),0.985)))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*0.025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*0.025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1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T8" s="8">
        <f>IF(OR(A8="Queen",A8="Larva",A8="Megachicken",A8="Megatardi",A8="Toxscorpion"),"No",IFERROR(MAX(IF(_xlfn.XLOOKUP(B8,'Base stats'!B:B,'Base stats'!G:G)&lt;0.5,0.2,0.3),MROUND(_xlfn.XLOOKUP(B8,'Base stats'!B:B,'Base stats'!G:G)/(365/60),0.2)),"Unknown"))</f>
        <v>0.3</v>
      </c>
      <c r="AU8" s="8">
        <f t="shared" si="0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8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stats'!N:N)=1,"No",MAX(0.01,MIN(MROUND(IF(OR(_xlfn.XLOOKUP(B8,'Base stats'!B:B,'Base stats'!AM:AM)=1,AND(BJ8="True",CC8="False")),POWER(10,3.47*LOG10(_xlfn.XLOOKUP(B8,'Base stats'!B:B,'Base stats'!C:C)*1000)^-0.96),POWER(10,4.15*LOG10(_xlfn.XLOOKUP(B8,'Base stats'!B:B,'Base stats'!C:C)*1000)^-0.73))*IF(OR(_xlfn.XLOOKUP(B8,'Base stats'!B:B,'Base stats'!AM:AM)=1,_xlfn.XLOOKUP(B8,'Base stats'!B:B,'Base stats'!AK:AK)=1),0.5,1)/100,0.025),0.5)))</f>
        <v>0.375</v>
      </c>
      <c r="CA8" s="25" t="str">
        <f>IF(P8="Standard","No",MAX(0.01,IF(_xlfn.XLOOKUP(B8,'Base stats'!B:B,'Base stats'!N:N)=0,MROUND(BZ8*P8,0.05),MIN(1,MAX(0.025,MROUND(IF(OR(CC8="true",AND(BJ8="false",BO8="false")),POWER(10,4.15*LOG10(_xlfn.XLOOKUP(B8,'Base stats'!B:B,'Base stats'!C:C)*1000)^-0.73),POWER(10,3.47*LOG10(_xlfn.XLOOKUP(B8,'Base stats'!B:B,'Base stats'!C:C)*1000)^-0.96))*IF(_xlfn.XLOOKUP(B8,'Base stats'!B:B,'Base stats'!AK:AK)=1,0.5,1)/100,0.025))))))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8" t="s">
        <v>685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stats'!O:O)=2,0,1)),0.05),0.985)))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*0.025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*0.025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1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T9" s="8">
        <f>IF(OR(A9="Queen",A9="Larva",A9="Megachicken",A9="Megatardi",A9="Toxscorpion"),"No",IFERROR(MAX(IF(_xlfn.XLOOKUP(B9,'Base stats'!B:B,'Base stats'!G:G)&lt;0.5,0.2,0.3),MROUND(_xlfn.XLOOKUP(B9,'Base stats'!B:B,'Base stats'!G:G)/(365/60),0.2)),"Unknown"))</f>
        <v>0.3</v>
      </c>
      <c r="AU9" s="8">
        <f t="shared" si="0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8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stats'!N:N)=1,"No",MAX(0.01,MIN(MROUND(IF(OR(_xlfn.XLOOKUP(B9,'Base stats'!B:B,'Base stats'!AM:AM)=1,AND(BJ9="True",CC9="False")),POWER(10,3.47*LOG10(_xlfn.XLOOKUP(B9,'Base stats'!B:B,'Base stats'!C:C)*1000)^-0.96),POWER(10,4.15*LOG10(_xlfn.XLOOKUP(B9,'Base stats'!B:B,'Base stats'!C:C)*1000)^-0.73))*IF(OR(_xlfn.XLOOKUP(B9,'Base stats'!B:B,'Base stats'!AM:AM)=1,_xlfn.XLOOKUP(B9,'Base stats'!B:B,'Base stats'!AK:AK)=1),0.5,1)/100,0.025),0.5)))</f>
        <v>0.35000000000000003</v>
      </c>
      <c r="CA9" s="25" t="str">
        <f>IF(P9="Standard","No",MAX(0.01,IF(_xlfn.XLOOKUP(B9,'Base stats'!B:B,'Base stats'!N:N)=0,MROUND(BZ9*P9,0.05),MIN(1,MAX(0.025,MROUND(IF(OR(CC9="true",AND(BJ9="false",BO9="false")),POWER(10,4.15*LOG10(_xlfn.XLOOKUP(B9,'Base stats'!B:B,'Base stats'!C:C)*1000)^-0.73),POWER(10,3.47*LOG10(_xlfn.XLOOKUP(B9,'Base stats'!B:B,'Base stats'!C:C)*1000)^-0.96))*IF(_xlfn.XLOOKUP(B9,'Base stats'!B:B,'Base stats'!AK:AK)=1,0.5,1)/100,0.025))))))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8" t="s">
        <v>685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stats'!O:O)=2,0,1)),0.05),0.985)))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*0.025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*0.025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1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T10" s="8">
        <f>IF(OR(A10="Queen",A10="Larva",A10="Megachicken",A10="Megatardi",A10="Toxscorpion"),"No",IFERROR(MAX(IF(_xlfn.XLOOKUP(B10,'Base stats'!B:B,'Base stats'!G:G)&lt;0.5,0.2,0.3),MROUND(_xlfn.XLOOKUP(B10,'Base stats'!B:B,'Base stats'!G:G)/(365/60),0.2)),"Unknown"))</f>
        <v>0.3</v>
      </c>
      <c r="AU10" s="8">
        <f t="shared" si="0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8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stats'!N:N)=1,"No",MAX(0.01,MIN(MROUND(IF(OR(_xlfn.XLOOKUP(B10,'Base stats'!B:B,'Base stats'!AM:AM)=1,AND(BJ10="True",CC10="False")),POWER(10,3.47*LOG10(_xlfn.XLOOKUP(B10,'Base stats'!B:B,'Base stats'!C:C)*1000)^-0.96),POWER(10,4.15*LOG10(_xlfn.XLOOKUP(B10,'Base stats'!B:B,'Base stats'!C:C)*1000)^-0.73))*IF(OR(_xlfn.XLOOKUP(B10,'Base stats'!B:B,'Base stats'!AM:AM)=1,_xlfn.XLOOKUP(B10,'Base stats'!B:B,'Base stats'!AK:AK)=1),0.5,1)/100,0.025),0.5)))</f>
        <v>0.5</v>
      </c>
      <c r="CA10" s="25" t="str">
        <f>IF(P10="Standard","No",MAX(0.01,IF(_xlfn.XLOOKUP(B10,'Base stats'!B:B,'Base stats'!N:N)=0,MROUND(BZ10*P10,0.05),MIN(1,MAX(0.025,MROUND(IF(OR(CC10="true",AND(BJ10="false",BO10="false")),POWER(10,4.15*LOG10(_xlfn.XLOOKUP(B10,'Base stats'!B:B,'Base stats'!C:C)*1000)^-0.73),POWER(10,3.47*LOG10(_xlfn.XLOOKUP(B10,'Base stats'!B:B,'Base stats'!C:C)*1000)^-0.96))*IF(_xlfn.XLOOKUP(B10,'Base stats'!B:B,'Base stats'!AK:AK)=1,0.5,1)/100,0.025))))))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8" t="s">
        <v>685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stats'!O:O)=2,0,1)),0.05),0.985)))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*0.025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*0.025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1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T11" s="8">
        <f>IF(OR(A11="Queen",A11="Larva",A11="Megachicken",A11="Megatardi",A11="Toxscorpion"),"No",IFERROR(MAX(IF(_xlfn.XLOOKUP(B11,'Base stats'!B:B,'Base stats'!G:G)&lt;0.5,0.2,0.3),MROUND(_xlfn.XLOOKUP(B11,'Base stats'!B:B,'Base stats'!G:G)/(365/60),0.2)),"Unknown"))</f>
        <v>0.2</v>
      </c>
      <c r="AU11" s="8">
        <f t="shared" si="0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8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stats'!N:N)=1,"No",MAX(0.01,MIN(MROUND(IF(OR(_xlfn.XLOOKUP(B11,'Base stats'!B:B,'Base stats'!AM:AM)=1,AND(BJ11="True",CC11="False")),POWER(10,3.47*LOG10(_xlfn.XLOOKUP(B11,'Base stats'!B:B,'Base stats'!C:C)*1000)^-0.96),POWER(10,4.15*LOG10(_xlfn.XLOOKUP(B11,'Base stats'!B:B,'Base stats'!C:C)*1000)^-0.73))*IF(OR(_xlfn.XLOOKUP(B11,'Base stats'!B:B,'Base stats'!AM:AM)=1,_xlfn.XLOOKUP(B11,'Base stats'!B:B,'Base stats'!AK:AK)=1),0.5,1)/100,0.025),0.5)))</f>
        <v>0.5</v>
      </c>
      <c r="CA11" s="25" t="str">
        <f>IF(P11="Standard","No",MAX(0.01,IF(_xlfn.XLOOKUP(B11,'Base stats'!B:B,'Base stats'!N:N)=0,MROUND(BZ11*P11,0.05),MIN(1,MAX(0.025,MROUND(IF(OR(CC11="true",AND(BJ11="false",BO11="false")),POWER(10,4.15*LOG10(_xlfn.XLOOKUP(B11,'Base stats'!B:B,'Base stats'!C:C)*1000)^-0.73),POWER(10,3.47*LOG10(_xlfn.XLOOKUP(B11,'Base stats'!B:B,'Base stats'!C:C)*1000)^-0.96))*IF(_xlfn.XLOOKUP(B11,'Base stats'!B:B,'Base stats'!AK:AK)=1,0.5,1)/100,0.025))))))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8" t="s">
        <v>685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stats'!O:O)=2,0,1)),0.05),0.985)))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*0.025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*0.025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1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IFERROR(IF(_xlfn.XLOOKUP(B12,'Base stats'!B:B,'Base stats'!F:F)="Lay eggs","Lay eggs",MIN(20,MAX(5.5,ROUND(((_xlfn.XLOOKUP(B12,'Base stats'!B:B,'Base stats'!F:F)-25)*(14.5/615) + 5.5)*2,0)/2))),"Cannot breed")</f>
        <v>14</v>
      </c>
      <c r="AT12" s="8">
        <f>IF(OR(A12="Queen",A12="Larva",A12="Megachicken",A12="Megatardi",A12="Toxscorpion"),"No",IFERROR(MAX(IF(_xlfn.XLOOKUP(B12,'Base stats'!B:B,'Base stats'!G:G)&lt;0.5,0.2,0.3),MROUND(_xlfn.XLOOKUP(B12,'Base stats'!B:B,'Base stats'!G:G)/(365/60),0.2)),"Unknown"))</f>
        <v>0.4</v>
      </c>
      <c r="AU12" s="8">
        <f t="shared" si="0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stats'!N:N)=1,"No",MAX(0.01,MIN(MROUND(IF(OR(_xlfn.XLOOKUP(B12,'Base stats'!B:B,'Base stats'!AM:AM)=1,AND(BJ12="True",CC12="False")),POWER(10,3.47*LOG10(_xlfn.XLOOKUP(B12,'Base stats'!B:B,'Base stats'!C:C)*1000)^-0.96),POWER(10,4.15*LOG10(_xlfn.XLOOKUP(B12,'Base stats'!B:B,'Base stats'!C:C)*1000)^-0.73))*IF(OR(_xlfn.XLOOKUP(B12,'Base stats'!B:B,'Base stats'!AM:AM)=1,_xlfn.XLOOKUP(B12,'Base stats'!B:B,'Base stats'!AK:AK)=1),0.5,1)/100,0.025),0.5)))</f>
        <v>0.15000000000000002</v>
      </c>
      <c r="CA12" s="25" t="str">
        <f>IF(P12="Standard","No",MAX(0.01,IF(_xlfn.XLOOKUP(B12,'Base stats'!B:B,'Base stats'!N:N)=0,MROUND(BZ12*P12,0.05),MIN(1,MAX(0.025,MROUND(IF(OR(CC12="true",AND(BJ12="false",BO12="false")),POWER(10,4.15*LOG10(_xlfn.XLOOKUP(B12,'Base stats'!B:B,'Base stats'!C:C)*1000)^-0.73),POWER(10,3.47*LOG10(_xlfn.XLOOKUP(B12,'Base stats'!B:B,'Base stats'!C:C)*1000)^-0.96))*IF(_xlfn.XLOOKUP(B12,'Base stats'!B:B,'Base stats'!AK:AK)=1,0.5,1)/100,0.025))))))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8" t="s">
        <v>685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stats'!O:O)=2,0,1)),0.05),0.985)))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*0.025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*0.025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1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IFERROR(IF(_xlfn.XLOOKUP(B13,'Base stats'!B:B,'Base stats'!F:F)="Lay eggs","Lay eggs",MIN(20,MAX(5.5,ROUND(((_xlfn.XLOOKUP(B13,'Base stats'!B:B,'Base stats'!F:F)-25)*(14.5/615) + 5.5)*2,0)/2))),"Cannot breed")</f>
        <v>13</v>
      </c>
      <c r="AT13" s="8">
        <f>IF(OR(A13="Queen",A13="Larva",A13="Megachicken",A13="Megatardi",A13="Toxscorpion"),"No",IFERROR(MAX(IF(_xlfn.XLOOKUP(B13,'Base stats'!B:B,'Base stats'!G:G)&lt;0.5,0.2,0.3),MROUND(_xlfn.XLOOKUP(B13,'Base stats'!B:B,'Base stats'!G:G)/(365/60),0.2)),"Unknown"))</f>
        <v>0.3</v>
      </c>
      <c r="AU13" s="8">
        <f t="shared" si="0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stats'!N:N)=1,"No",MAX(0.01,MIN(MROUND(IF(OR(_xlfn.XLOOKUP(B13,'Base stats'!B:B,'Base stats'!AM:AM)=1,AND(BJ13="True",CC13="False")),POWER(10,3.47*LOG10(_xlfn.XLOOKUP(B13,'Base stats'!B:B,'Base stats'!C:C)*1000)^-0.96),POWER(10,4.15*LOG10(_xlfn.XLOOKUP(B13,'Base stats'!B:B,'Base stats'!C:C)*1000)^-0.73))*IF(OR(_xlfn.XLOOKUP(B13,'Base stats'!B:B,'Base stats'!AM:AM)=1,_xlfn.XLOOKUP(B13,'Base stats'!B:B,'Base stats'!AK:AK)=1),0.5,1)/100,0.025),0.5)))</f>
        <v>0.2</v>
      </c>
      <c r="CA13" s="25" t="str">
        <f>IF(P13="Standard","No",MAX(0.01,IF(_xlfn.XLOOKUP(B13,'Base stats'!B:B,'Base stats'!N:N)=0,MROUND(BZ13*P13,0.05),MIN(1,MAX(0.025,MROUND(IF(OR(CC13="true",AND(BJ13="false",BO13="false")),POWER(10,4.15*LOG10(_xlfn.XLOOKUP(B13,'Base stats'!B:B,'Base stats'!C:C)*1000)^-0.73),POWER(10,3.47*LOG10(_xlfn.XLOOKUP(B13,'Base stats'!B:B,'Base stats'!C:C)*1000)^-0.96))*IF(_xlfn.XLOOKUP(B13,'Base stats'!B:B,'Base stats'!AK:AK)=1,0.5,1)/100,0.025))))))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8" t="s">
        <v>685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stats'!O:O)=2,0,1)),0.05),0.985)))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*0.025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*0.025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1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T14" s="8">
        <f>IF(OR(A14="Queen",A14="Larva",A14="Megachicken",A14="Megatardi",A14="Toxscorpion"),"No",IFERROR(MAX(IF(_xlfn.XLOOKUP(B14,'Base stats'!B:B,'Base stats'!G:G)&lt;0.5,0.2,0.3),MROUND(_xlfn.XLOOKUP(B14,'Base stats'!B:B,'Base stats'!G:G)/(365/60),0.2)),"Unknown"))</f>
        <v>0.3</v>
      </c>
      <c r="AU14" s="8">
        <f t="shared" si="0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stats'!N:N)=1,"No",MAX(0.01,MIN(MROUND(IF(OR(_xlfn.XLOOKUP(B14,'Base stats'!B:B,'Base stats'!AM:AM)=1,AND(BJ14="True",CC14="False")),POWER(10,3.47*LOG10(_xlfn.XLOOKUP(B14,'Base stats'!B:B,'Base stats'!C:C)*1000)^-0.96),POWER(10,4.15*LOG10(_xlfn.XLOOKUP(B14,'Base stats'!B:B,'Base stats'!C:C)*1000)^-0.73))*IF(OR(_xlfn.XLOOKUP(B14,'Base stats'!B:B,'Base stats'!AM:AM)=1,_xlfn.XLOOKUP(B14,'Base stats'!B:B,'Base stats'!AK:AK)=1),0.5,1)/100,0.025),0.5)))</f>
        <v>0.125</v>
      </c>
      <c r="CA14" s="25" t="str">
        <f>IF(P14="Standard","No",MAX(0.01,IF(_xlfn.XLOOKUP(B14,'Base stats'!B:B,'Base stats'!N:N)=0,MROUND(BZ14*P14,0.05),MIN(1,MAX(0.025,MROUND(IF(OR(CC14="true",AND(BJ14="false",BO14="false")),POWER(10,4.15*LOG10(_xlfn.XLOOKUP(B14,'Base stats'!B:B,'Base stats'!C:C)*1000)^-0.73),POWER(10,3.47*LOG10(_xlfn.XLOOKUP(B14,'Base stats'!B:B,'Base stats'!C:C)*1000)^-0.96))*IF(_xlfn.XLOOKUP(B14,'Base stats'!B:B,'Base stats'!AK:AK)=1,0.5,1)/100,0.025))))))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8" t="s">
        <v>685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stats'!O:O)=2,0,1)),0.05),0.985)))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*0.025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*0.025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1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T15" s="8">
        <f>IF(OR(A15="Queen",A15="Larva",A15="Megachicken",A15="Megatardi",A15="Toxscorpion"),"No",IFERROR(MAX(IF(_xlfn.XLOOKUP(B15,'Base stats'!B:B,'Base stats'!G:G)&lt;0.5,0.2,0.3),MROUND(_xlfn.XLOOKUP(B15,'Base stats'!B:B,'Base stats'!G:G)/(365/60),0.2)),"Unknown"))</f>
        <v>0.3</v>
      </c>
      <c r="AU15" s="8">
        <f t="shared" si="0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stats'!N:N)=1,"No",MAX(0.01,MIN(MROUND(IF(OR(_xlfn.XLOOKUP(B15,'Base stats'!B:B,'Base stats'!AM:AM)=1,AND(BJ15="True",CC15="False")),POWER(10,3.47*LOG10(_xlfn.XLOOKUP(B15,'Base stats'!B:B,'Base stats'!C:C)*1000)^-0.96),POWER(10,4.15*LOG10(_xlfn.XLOOKUP(B15,'Base stats'!B:B,'Base stats'!C:C)*1000)^-0.73))*IF(OR(_xlfn.XLOOKUP(B15,'Base stats'!B:B,'Base stats'!AM:AM)=1,_xlfn.XLOOKUP(B15,'Base stats'!B:B,'Base stats'!AK:AK)=1),0.5,1)/100,0.025),0.5)))</f>
        <v>7.5000000000000011E-2</v>
      </c>
      <c r="CA15" s="25" t="str">
        <f>IF(P15="Standard","No",MAX(0.01,IF(_xlfn.XLOOKUP(B15,'Base stats'!B:B,'Base stats'!N:N)=0,MROUND(BZ15*P15,0.05),MIN(1,MAX(0.025,MROUND(IF(OR(CC15="true",AND(BJ15="false",BO15="false")),POWER(10,4.15*LOG10(_xlfn.XLOOKUP(B15,'Base stats'!B:B,'Base stats'!C:C)*1000)^-0.73),POWER(10,3.47*LOG10(_xlfn.XLOOKUP(B15,'Base stats'!B:B,'Base stats'!C:C)*1000)^-0.96))*IF(_xlfn.XLOOKUP(B15,'Base stats'!B:B,'Base stats'!AK:AK)=1,0.5,1)/100,0.025))))))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8" t="s">
        <v>685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stats'!O:O)=2,0,1)),0.05),0.985)))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*0.025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*0.025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1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T16" s="8">
        <f>IF(OR(A16="Queen",A16="Larva",A16="Megachicken",A16="Megatardi",A16="Toxscorpion"),"No",IFERROR(MAX(IF(_xlfn.XLOOKUP(B16,'Base stats'!B:B,'Base stats'!G:G)&lt;0.5,0.2,0.3),MROUND(_xlfn.XLOOKUP(B16,'Base stats'!B:B,'Base stats'!G:G)/(365/60),0.2)),"Unknown"))</f>
        <v>0.3</v>
      </c>
      <c r="AU16" s="8">
        <f t="shared" si="0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stats'!N:N)=1,"No",MAX(0.01,MIN(MROUND(IF(OR(_xlfn.XLOOKUP(B16,'Base stats'!B:B,'Base stats'!AM:AM)=1,AND(BJ16="True",CC16="False")),POWER(10,3.47*LOG10(_xlfn.XLOOKUP(B16,'Base stats'!B:B,'Base stats'!C:C)*1000)^-0.96),POWER(10,4.15*LOG10(_xlfn.XLOOKUP(B16,'Base stats'!B:B,'Base stats'!C:C)*1000)^-0.73))*IF(OR(_xlfn.XLOOKUP(B16,'Base stats'!B:B,'Base stats'!AM:AM)=1,_xlfn.XLOOKUP(B16,'Base stats'!B:B,'Base stats'!AK:AK)=1),0.5,1)/100,0.025),0.5)))</f>
        <v>7.5000000000000011E-2</v>
      </c>
      <c r="CA16" s="25" t="str">
        <f>IF(P16="Standard","No",MAX(0.01,IF(_xlfn.XLOOKUP(B16,'Base stats'!B:B,'Base stats'!N:N)=0,MROUND(BZ16*P16,0.05),MIN(1,MAX(0.025,MROUND(IF(OR(CC16="true",AND(BJ16="false",BO16="false")),POWER(10,4.15*LOG10(_xlfn.XLOOKUP(B16,'Base stats'!B:B,'Base stats'!C:C)*1000)^-0.73),POWER(10,3.47*LOG10(_xlfn.XLOOKUP(B16,'Base stats'!B:B,'Base stats'!C:C)*1000)^-0.96))*IF(_xlfn.XLOOKUP(B16,'Base stats'!B:B,'Base stats'!AK:AK)=1,0.5,1)/100,0.025))))))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8" t="s">
        <v>685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stats'!O:O)=2,0,1)),0.05),0.985)))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*0.025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*0.025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FrontRightPaw,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1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IFERROR(IF(_xlfn.XLOOKUP(B17,'Base stats'!B:B,'Base stats'!F:F)="Lay eggs","Lay eggs",MIN(20,MAX(5.5,ROUND(((_xlfn.XLOOKUP(B17,'Base stats'!B:B,'Base stats'!F:F)-25)*(14.5/615) + 5.5)*2,0)/2))),"Cannot breed")</f>
        <v>7</v>
      </c>
      <c r="AT17" s="8">
        <f>IF(OR(A17="Queen",A17="Larva",A17="Megachicken",A17="Megatardi",A17="Toxscorpion"),"No",IFERROR(MAX(IF(_xlfn.XLOOKUP(B17,'Base stats'!B:B,'Base stats'!G:G)&lt;0.5,0.2,0.3),MROUND(_xlfn.XLOOKUP(B17,'Base stats'!B:B,'Base stats'!G:G)/(365/60),0.2)),"Unknown"))</f>
        <v>0.4</v>
      </c>
      <c r="AU17" s="8">
        <f t="shared" si="0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stats'!N:N)=1,"No",MAX(0.01,MIN(MROUND(IF(OR(_xlfn.XLOOKUP(B17,'Base stats'!B:B,'Base stats'!AM:AM)=1,AND(BJ17="True",CC17="False")),POWER(10,3.47*LOG10(_xlfn.XLOOKUP(B17,'Base stats'!B:B,'Base stats'!C:C)*1000)^-0.96),POWER(10,4.15*LOG10(_xlfn.XLOOKUP(B17,'Base stats'!B:B,'Base stats'!C:C)*1000)^-0.73))*IF(OR(_xlfn.XLOOKUP(B17,'Base stats'!B:B,'Base stats'!AM:AM)=1,_xlfn.XLOOKUP(B17,'Base stats'!B:B,'Base stats'!AK:AK)=1),0.5,1)/100,0.025),0.5)))</f>
        <v>0.05</v>
      </c>
      <c r="CA17" s="25" t="str">
        <f>IF(P17="Standard","No",MAX(0.01,IF(_xlfn.XLOOKUP(B17,'Base stats'!B:B,'Base stats'!N:N)=0,MROUND(BZ17*P17,0.05),MIN(1,MAX(0.025,MROUND(IF(OR(CC17="true",AND(BJ17="false",BO17="false")),POWER(10,4.15*LOG10(_xlfn.XLOOKUP(B17,'Base stats'!B:B,'Base stats'!C:C)*1000)^-0.73),POWER(10,3.47*LOG10(_xlfn.XLOOKUP(B17,'Base stats'!B:B,'Base stats'!C:C)*1000)^-0.96))*IF(_xlfn.XLOOKUP(B17,'Base stats'!B:B,'Base stats'!AK:AK)=1,0.5,1)/100,0.025))))))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8" t="s">
        <v>685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stats'!O:O)=2,0,1)),0.05),0.985)))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*0.025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*0.025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FrontRightPaw,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1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IFERROR(IF(_xlfn.XLOOKUP(B18,'Base stats'!B:B,'Base stats'!F:F)="Lay eggs","Lay eggs",MIN(20,MAX(5.5,ROUND(((_xlfn.XLOOKUP(B18,'Base stats'!B:B,'Base stats'!F:F)-25)*(14.5/615) + 5.5)*2,0)/2))),"Cannot breed")</f>
        <v>7</v>
      </c>
      <c r="AT18" s="8">
        <f>IF(OR(A18="Queen",A18="Larva",A18="Megachicken",A18="Megatardi",A18="Toxscorpion"),"No",IFERROR(MAX(IF(_xlfn.XLOOKUP(B18,'Base stats'!B:B,'Base stats'!G:G)&lt;0.5,0.2,0.3),MROUND(_xlfn.XLOOKUP(B18,'Base stats'!B:B,'Base stats'!G:G)/(365/60),0.2)),"Unknown"))</f>
        <v>0.4</v>
      </c>
      <c r="AU18" s="8">
        <f t="shared" si="0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stats'!N:N)=1,"No",MAX(0.01,MIN(MROUND(IF(OR(_xlfn.XLOOKUP(B18,'Base stats'!B:B,'Base stats'!AM:AM)=1,AND(BJ18="True",CC18="False")),POWER(10,3.47*LOG10(_xlfn.XLOOKUP(B18,'Base stats'!B:B,'Base stats'!C:C)*1000)^-0.96),POWER(10,4.15*LOG10(_xlfn.XLOOKUP(B18,'Base stats'!B:B,'Base stats'!C:C)*1000)^-0.73))*IF(OR(_xlfn.XLOOKUP(B18,'Base stats'!B:B,'Base stats'!AM:AM)=1,_xlfn.XLOOKUP(B18,'Base stats'!B:B,'Base stats'!AK:AK)=1),0.5,1)/100,0.025),0.5)))</f>
        <v>0.05</v>
      </c>
      <c r="CA18" s="25" t="str">
        <f>IF(P18="Standard","No",MAX(0.01,IF(_xlfn.XLOOKUP(B18,'Base stats'!B:B,'Base stats'!N:N)=0,MROUND(BZ18*P18,0.05),MIN(1,MAX(0.025,MROUND(IF(OR(CC18="true",AND(BJ18="false",BO18="false")),POWER(10,4.15*LOG10(_xlfn.XLOOKUP(B18,'Base stats'!B:B,'Base stats'!C:C)*1000)^-0.73),POWER(10,3.47*LOG10(_xlfn.XLOOKUP(B18,'Base stats'!B:B,'Base stats'!C:C)*1000)^-0.96))*IF(_xlfn.XLOOKUP(B18,'Base stats'!B:B,'Base stats'!AK:AK)=1,0.5,1)/100,0.025))))))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8" t="s">
        <v>685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stats'!O:O)=2,0,1)),0.05),0.985)))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*0.025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*0.025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FrontRightPaw,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1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T19" s="8">
        <f>IF(OR(A19="Queen",A19="Larva",A19="Megachicken",A19="Megatardi",A19="Toxscorpion"),"No",IFERROR(MAX(IF(_xlfn.XLOOKUP(B19,'Base stats'!B:B,'Base stats'!G:G)&lt;0.5,0.2,0.3),MROUND(_xlfn.XLOOKUP(B19,'Base stats'!B:B,'Base stats'!G:G)/(365/60),0.2)),"Unknown"))</f>
        <v>0.3</v>
      </c>
      <c r="AU19" s="8">
        <f t="shared" si="0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stats'!N:N)=1,"No",MAX(0.01,MIN(MROUND(IF(OR(_xlfn.XLOOKUP(B19,'Base stats'!B:B,'Base stats'!AM:AM)=1,AND(BJ19="True",CC19="False")),POWER(10,3.47*LOG10(_xlfn.XLOOKUP(B19,'Base stats'!B:B,'Base stats'!C:C)*1000)^-0.96),POWER(10,4.15*LOG10(_xlfn.XLOOKUP(B19,'Base stats'!B:B,'Base stats'!C:C)*1000)^-0.73))*IF(OR(_xlfn.XLOOKUP(B19,'Base stats'!B:B,'Base stats'!AM:AM)=1,_xlfn.XLOOKUP(B19,'Base stats'!B:B,'Base stats'!AK:AK)=1),0.5,1)/100,0.025),0.5)))</f>
        <v>7.5000000000000011E-2</v>
      </c>
      <c r="CA19" s="25" t="str">
        <f>IF(P19="Standard","No",MAX(0.01,IF(_xlfn.XLOOKUP(B19,'Base stats'!B:B,'Base stats'!N:N)=0,MROUND(BZ19*P19,0.05),MIN(1,MAX(0.025,MROUND(IF(OR(CC19="true",AND(BJ19="false",BO19="false")),POWER(10,4.15*LOG10(_xlfn.XLOOKUP(B19,'Base stats'!B:B,'Base stats'!C:C)*1000)^-0.73),POWER(10,3.47*LOG10(_xlfn.XLOOKUP(B19,'Base stats'!B:B,'Base stats'!C:C)*1000)^-0.96))*IF(_xlfn.XLOOKUP(B19,'Base stats'!B:B,'Base stats'!AK:AK)=1,0.5,1)/100,0.025))))))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8" t="s">
        <v>685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stats'!O:O)=2,0,1)),0.05),0.985)))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*0.025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*0.025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FrontRightPaw,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1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T20" s="8">
        <f>IF(OR(A20="Queen",A20="Larva",A20="Megachicken",A20="Megatardi",A20="Toxscorpion"),"No",IFERROR(MAX(IF(_xlfn.XLOOKUP(B20,'Base stats'!B:B,'Base stats'!G:G)&lt;0.5,0.2,0.3),MROUND(_xlfn.XLOOKUP(B20,'Base stats'!B:B,'Base stats'!G:G)/(365/60),0.2)),"Unknown"))</f>
        <v>0.3</v>
      </c>
      <c r="AU20" s="8">
        <f t="shared" si="0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stats'!N:N)=1,"No",MAX(0.01,MIN(MROUND(IF(OR(_xlfn.XLOOKUP(B20,'Base stats'!B:B,'Base stats'!AM:AM)=1,AND(BJ20="True",CC20="False")),POWER(10,3.47*LOG10(_xlfn.XLOOKUP(B20,'Base stats'!B:B,'Base stats'!C:C)*1000)^-0.96),POWER(10,4.15*LOG10(_xlfn.XLOOKUP(B20,'Base stats'!B:B,'Base stats'!C:C)*1000)^-0.73))*IF(OR(_xlfn.XLOOKUP(B20,'Base stats'!B:B,'Base stats'!AM:AM)=1,_xlfn.XLOOKUP(B20,'Base stats'!B:B,'Base stats'!AK:AK)=1),0.5,1)/100,0.025),0.5)))</f>
        <v>0.1</v>
      </c>
      <c r="CA20" s="25" t="str">
        <f>IF(P20="Standard","No",MAX(0.01,IF(_xlfn.XLOOKUP(B20,'Base stats'!B:B,'Base stats'!N:N)=0,MROUND(BZ20*P20,0.05),MIN(1,MAX(0.025,MROUND(IF(OR(CC20="true",AND(BJ20="false",BO20="false")),POWER(10,4.15*LOG10(_xlfn.XLOOKUP(B20,'Base stats'!B:B,'Base stats'!C:C)*1000)^-0.73),POWER(10,3.47*LOG10(_xlfn.XLOOKUP(B20,'Base stats'!B:B,'Base stats'!C:C)*1000)^-0.96))*IF(_xlfn.XLOOKUP(B20,'Base stats'!B:B,'Base stats'!AK:AK)=1,0.5,1)/100,0.025))))))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8" t="s">
        <v>685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stats'!O:O)=2,0,1)),0.05),0.985)))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*0.025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*0.025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1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IFERROR(IF(_xlfn.XLOOKUP(B21,'Base stats'!B:B,'Base stats'!F:F)="Lay eggs","Lay eggs",MIN(20,MAX(5.5,ROUND(((_xlfn.XLOOKUP(B21,'Base stats'!B:B,'Base stats'!F:F)-25)*(14.5/615) + 5.5)*2,0)/2))),"Cannot breed")</f>
        <v>13</v>
      </c>
      <c r="AT21" s="8">
        <f>IF(OR(A21="Queen",A21="Larva",A21="Megachicken",A21="Megatardi",A21="Toxscorpion"),"No",IFERROR(MAX(IF(_xlfn.XLOOKUP(B21,'Base stats'!B:B,'Base stats'!G:G)&lt;0.5,0.2,0.3),MROUND(_xlfn.XLOOKUP(B21,'Base stats'!B:B,'Base stats'!G:G)/(365/60),0.2)),"Unknown"))</f>
        <v>0.4</v>
      </c>
      <c r="AU21" s="8">
        <f t="shared" si="0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stats'!N:N)=1,"No",MAX(0.01,MIN(MROUND(IF(OR(_xlfn.XLOOKUP(B21,'Base stats'!B:B,'Base stats'!AM:AM)=1,AND(BJ21="True",CC21="False")),POWER(10,3.47*LOG10(_xlfn.XLOOKUP(B21,'Base stats'!B:B,'Base stats'!C:C)*1000)^-0.96),POWER(10,4.15*LOG10(_xlfn.XLOOKUP(B21,'Base stats'!B:B,'Base stats'!C:C)*1000)^-0.73))*IF(OR(_xlfn.XLOOKUP(B21,'Base stats'!B:B,'Base stats'!AM:AM)=1,_xlfn.XLOOKUP(B21,'Base stats'!B:B,'Base stats'!AK:AK)=1),0.5,1)/100,0.025),0.5)))</f>
        <v>0.15000000000000002</v>
      </c>
      <c r="CA21" s="25" t="str">
        <f>IF(P21="Standard","No",MAX(0.01,IF(_xlfn.XLOOKUP(B21,'Base stats'!B:B,'Base stats'!N:N)=0,MROUND(BZ21*P21,0.05),MIN(1,MAX(0.025,MROUND(IF(OR(CC21="true",AND(BJ21="false",BO21="false")),POWER(10,4.15*LOG10(_xlfn.XLOOKUP(B21,'Base stats'!B:B,'Base stats'!C:C)*1000)^-0.73),POWER(10,3.47*LOG10(_xlfn.XLOOKUP(B21,'Base stats'!B:B,'Base stats'!C:C)*1000)^-0.96))*IF(_xlfn.XLOOKUP(B21,'Base stats'!B:B,'Base stats'!AK:AK)=1,0.5,1)/100,0.025))))))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8" t="s">
        <v>685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stats'!O:O)=2,0,1)),0.05),0.985)))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*0.025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*0.025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1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T22" s="8">
        <f>IF(OR(A22="Queen",A22="Larva",A22="Megachicken",A22="Megatardi",A22="Toxscorpion"),"No",IFERROR(MAX(IF(_xlfn.XLOOKUP(B22,'Base stats'!B:B,'Base stats'!G:G)&lt;0.5,0.2,0.3),MROUND(_xlfn.XLOOKUP(B22,'Base stats'!B:B,'Base stats'!G:G)/(365/60),0.2)),"Unknown"))</f>
        <v>0.4</v>
      </c>
      <c r="AU22" s="8">
        <f t="shared" si="0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stats'!N:N)=1,"No",MAX(0.01,MIN(MROUND(IF(OR(_xlfn.XLOOKUP(B22,'Base stats'!B:B,'Base stats'!AM:AM)=1,AND(BJ22="True",CC22="False")),POWER(10,3.47*LOG10(_xlfn.XLOOKUP(B22,'Base stats'!B:B,'Base stats'!C:C)*1000)^-0.96),POWER(10,4.15*LOG10(_xlfn.XLOOKUP(B22,'Base stats'!B:B,'Base stats'!C:C)*1000)^-0.73))*IF(OR(_xlfn.XLOOKUP(B22,'Base stats'!B:B,'Base stats'!AM:AM)=1,_xlfn.XLOOKUP(B22,'Base stats'!B:B,'Base stats'!AK:AK)=1),0.5,1)/100,0.025),0.5)))</f>
        <v>0.17500000000000002</v>
      </c>
      <c r="CA22" s="25" t="str">
        <f>IF(P22="Standard","No",MAX(0.01,IF(_xlfn.XLOOKUP(B22,'Base stats'!B:B,'Base stats'!N:N)=0,MROUND(BZ22*P22,0.05),MIN(1,MAX(0.025,MROUND(IF(OR(CC22="true",AND(BJ22="false",BO22="false")),POWER(10,4.15*LOG10(_xlfn.XLOOKUP(B22,'Base stats'!B:B,'Base stats'!C:C)*1000)^-0.73),POWER(10,3.47*LOG10(_xlfn.XLOOKUP(B22,'Base stats'!B:B,'Base stats'!C:C)*1000)^-0.96))*IF(_xlfn.XLOOKUP(B22,'Base stats'!B:B,'Base stats'!AK:AK)=1,0.5,1)/100,0.025))))))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8" t="s">
        <v>685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stats'!O:O)=2,0,1)),0.05),0.985)))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50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*0.025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*0.025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1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IFERROR(IF(_xlfn.XLOOKUP(B23,'Base stats'!B:B,'Base stats'!F:F)="Lay eggs","Lay eggs",MIN(20,MAX(5.5,ROUND(((_xlfn.XLOOKUP(B23,'Base stats'!B:B,'Base stats'!F:F)-25)*(14.5/615) + 5.5)*2,0)/2))),"Cannot breed")</f>
        <v>6</v>
      </c>
      <c r="AT23" s="8">
        <f>IF(OR(A23="Queen",A23="Larva",A23="Megachicken",A23="Megatardi",A23="Toxscorpion"),"No",IFERROR(MAX(IF(_xlfn.XLOOKUP(B23,'Base stats'!B:B,'Base stats'!G:G)&lt;0.5,0.2,0.3),MROUND(_xlfn.XLOOKUP(B23,'Base stats'!B:B,'Base stats'!G:G)/(365/60),0.2)),"Unknown"))</f>
        <v>0.3</v>
      </c>
      <c r="AU23" s="8">
        <f t="shared" si="0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AridShrubland Desert Grasslands LavaField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stats'!N:N)=1,"No",MAX(0.01,MIN(MROUND(IF(OR(_xlfn.XLOOKUP(B23,'Base stats'!B:B,'Base stats'!AM:AM)=1,AND(BJ23="True",CC23="False")),POWER(10,3.47*LOG10(_xlfn.XLOOKUP(B23,'Base stats'!B:B,'Base stats'!C:C)*1000)^-0.96),POWER(10,4.15*LOG10(_xlfn.XLOOKUP(B23,'Base stats'!B:B,'Base stats'!C:C)*1000)^-0.73))*IF(OR(_xlfn.XLOOKUP(B23,'Base stats'!B:B,'Base stats'!AM:AM)=1,_xlfn.XLOOKUP(B23,'Base stats'!B:B,'Base stats'!AK:AK)=1),0.5,1)/100,0.025),0.5)))</f>
        <v>0.42500000000000004</v>
      </c>
      <c r="CA23" s="25" t="str">
        <f>IF(P23="Standard","No",MAX(0.01,IF(_xlfn.XLOOKUP(B23,'Base stats'!B:B,'Base stats'!N:N)=0,MROUND(BZ23*P23,0.05),MIN(1,MAX(0.025,MROUND(IF(OR(CC23="true",AND(BJ23="false",BO23="false")),POWER(10,4.15*LOG10(_xlfn.XLOOKUP(B23,'Base stats'!B:B,'Base stats'!C:C)*1000)^-0.73),POWER(10,3.47*LOG10(_xlfn.XLOOKUP(B23,'Base stats'!B:B,'Base stats'!C:C)*1000)^-0.96))*IF(_xlfn.XLOOKUP(B23,'Base stats'!B:B,'Base stats'!AK:AK)=1,0.5,1)/100,0.025))))))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8" t="s">
        <v>685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stats'!O:O)=2,0,1)),0.05),0.985)))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*0.025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*0.025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1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IFERROR(IF(_xlfn.XLOOKUP(B24,'Base stats'!B:B,'Base stats'!F:F)="Lay eggs","Lay eggs",MIN(20,MAX(5.5,ROUND(((_xlfn.XLOOKUP(B24,'Base stats'!B:B,'Base stats'!F:F)-25)*(14.5/615) + 5.5)*2,0)/2))),"Cannot breed")</f>
        <v>6</v>
      </c>
      <c r="AT24" s="8">
        <f>IF(OR(A24="Queen",A24="Larva",A24="Megachicken",A24="Megatardi",A24="Toxscorpion"),"No",IFERROR(MAX(IF(_xlfn.XLOOKUP(B24,'Base stats'!B:B,'Base stats'!G:G)&lt;0.5,0.2,0.3),MROUND(_xlfn.XLOOKUP(B24,'Base stats'!B:B,'Base stats'!G:G)/(365/60),0.2)),"Unknown"))</f>
        <v>0.3</v>
      </c>
      <c r="AU24" s="8">
        <f t="shared" si="0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stats'!N:N)=1,"No",MAX(0.01,MIN(MROUND(IF(OR(_xlfn.XLOOKUP(B24,'Base stats'!B:B,'Base stats'!AM:AM)=1,AND(BJ24="True",CC24="False")),POWER(10,3.47*LOG10(_xlfn.XLOOKUP(B24,'Base stats'!B:B,'Base stats'!C:C)*1000)^-0.96),POWER(10,4.15*LOG10(_xlfn.XLOOKUP(B24,'Base stats'!B:B,'Base stats'!C:C)*1000)^-0.73))*IF(OR(_xlfn.XLOOKUP(B24,'Base stats'!B:B,'Base stats'!AM:AM)=1,_xlfn.XLOOKUP(B24,'Base stats'!B:B,'Base stats'!AK:AK)=1),0.5,1)/100,0.025),0.5)))</f>
        <v>0.42500000000000004</v>
      </c>
      <c r="CA24" s="25" t="str">
        <f>IF(P24="Standard","No",MAX(0.01,IF(_xlfn.XLOOKUP(B24,'Base stats'!B:B,'Base stats'!N:N)=0,MROUND(BZ24*P24,0.05),MIN(1,MAX(0.025,MROUND(IF(OR(CC24="true",AND(BJ24="false",BO24="false")),POWER(10,4.15*LOG10(_xlfn.XLOOKUP(B24,'Base stats'!B:B,'Base stats'!C:C)*1000)^-0.73),POWER(10,3.47*LOG10(_xlfn.XLOOKUP(B24,'Base stats'!B:B,'Base stats'!C:C)*1000)^-0.96))*IF(_xlfn.XLOOKUP(B24,'Base stats'!B:B,'Base stats'!AK:AK)=1,0.5,1)/100,0.025))))))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1182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8" t="s">
        <v>685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1500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stats'!O:O)=2,0,1)),0.05),0.985)))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 t="str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*0.025
),
0.05
),
200%
),
"No"
)</f>
        <v>No</v>
      </c>
      <c r="O25" s="8" t="str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*0.025
),
0.05
),
200%
),
"No"
)</f>
        <v>No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1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IFERROR(IF(_xlfn.XLOOKUP(B25,'Base stats'!B:B,'Base stats'!F:F)="Lay eggs","Lay eggs",MIN(20,MAX(5.5,ROUND(((_xlfn.XLOOKUP(B25,'Base stats'!B:B,'Base stats'!F:F)-25)*(14.5/615) + 5.5)*2,0)/2))),"Cannot breed")</f>
        <v>17</v>
      </c>
      <c r="AT25" s="8">
        <f>IF(OR(A25="Queen",A25="Larva",A25="Megachicken",A25="Megatardi",A25="Toxscorpion"),"No",IFERROR(MAX(IF(_xlfn.XLOOKUP(B25,'Base stats'!B:B,'Base stats'!G:G)&lt;0.5,0.2,0.3),MROUND(_xlfn.XLOOKUP(B25,'Base stats'!B:B,'Base stats'!G:G)/(365/60),0.2)),"Unknown"))</f>
        <v>0.8</v>
      </c>
      <c r="AU25" s="8">
        <f t="shared" si="0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430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stats'!N:N)=1,"No",MAX(0.01,MIN(MROUND(IF(OR(_xlfn.XLOOKUP(B25,'Base stats'!B:B,'Base stats'!AM:AM)=1,AND(BJ25="True",CC25="False")),POWER(10,3.47*LOG10(_xlfn.XLOOKUP(B25,'Base stats'!B:B,'Base stats'!C:C)*1000)^-0.96),POWER(10,4.15*LOG10(_xlfn.XLOOKUP(B25,'Base stats'!B:B,'Base stats'!C:C)*1000)^-0.73))*IF(OR(_xlfn.XLOOKUP(B25,'Base stats'!B:B,'Base stats'!AM:AM)=1,_xlfn.XLOOKUP(B25,'Base stats'!B:B,'Base stats'!AK:AK)=1),0.5,1)/100,0.025),0.5)))</f>
        <v>0.125</v>
      </c>
      <c r="CA25" s="25" t="str">
        <f>IF(P25="Standard","No",MAX(0.01,IF(_xlfn.XLOOKUP(B25,'Base stats'!B:B,'Base stats'!N:N)=0,MROUND(BZ25*P25,0.05),MIN(1,MAX(0.025,MROUND(IF(OR(CC25="true",AND(BJ25="false",BO25="false")),POWER(10,4.15*LOG10(_xlfn.XLOOKUP(B25,'Base stats'!B:B,'Base stats'!C:C)*1000)^-0.73),POWER(10,3.47*LOG10(_xlfn.XLOOKUP(B25,'Base stats'!B:B,'Base stats'!C:C)*1000)^-0.96))*IF(_xlfn.XLOOKUP(B25,'Base stats'!B:B,'Base stats'!AK:AK)=1,0.5,1)/100,0.025))))))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8" t="s">
        <v>685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stats'!O:O)=2,0,1)),0.05),0.985)))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*0.025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*0.025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1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IFERROR(IF(_xlfn.XLOOKUP(B26,'Base stats'!B:B,'Base stats'!F:F)="Lay eggs","Lay eggs",MIN(20,MAX(5.5,ROUND(((_xlfn.XLOOKUP(B26,'Base stats'!B:B,'Base stats'!F:F)-25)*(14.5/615) + 5.5)*2,0)/2))),"Cannot breed")</f>
        <v>20</v>
      </c>
      <c r="AT26" s="8">
        <f>IF(OR(A26="Queen",A26="Larva",A26="Megachicken",A26="Megatardi",A26="Toxscorpion"),"No",IFERROR(MAX(IF(_xlfn.XLOOKUP(B26,'Base stats'!B:B,'Base stats'!G:G)&lt;0.5,0.2,0.3),MROUND(_xlfn.XLOOKUP(B26,'Base stats'!B:B,'Base stats'!G:G)/(365/60),0.2)),"Unknown"))</f>
        <v>1.8</v>
      </c>
      <c r="AU26" s="8">
        <f t="shared" si="0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stats'!N:N)=1,"No",MAX(0.01,MIN(MROUND(IF(OR(_xlfn.XLOOKUP(B26,'Base stats'!B:B,'Base stats'!AM:AM)=1,AND(BJ26="True",CC26="False")),POWER(10,3.47*LOG10(_xlfn.XLOOKUP(B26,'Base stats'!B:B,'Base stats'!C:C)*1000)^-0.96),POWER(10,4.15*LOG10(_xlfn.XLOOKUP(B26,'Base stats'!B:B,'Base stats'!C:C)*1000)^-0.73))*IF(OR(_xlfn.XLOOKUP(B26,'Base stats'!B:B,'Base stats'!AM:AM)=1,_xlfn.XLOOKUP(B26,'Base stats'!B:B,'Base stats'!AK:AK)=1),0.5,1)/100,0.025),0.5)))</f>
        <v>0.1</v>
      </c>
      <c r="CA26" s="25" t="str">
        <f>IF(P26="Standard","No",MAX(0.01,IF(_xlfn.XLOOKUP(B26,'Base stats'!B:B,'Base stats'!N:N)=0,MROUND(BZ26*P26,0.05),MIN(1,MAX(0.025,MROUND(IF(OR(CC26="true",AND(BJ26="false",BO26="false")),POWER(10,4.15*LOG10(_xlfn.XLOOKUP(B26,'Base stats'!B:B,'Base stats'!C:C)*1000)^-0.73),POWER(10,3.47*LOG10(_xlfn.XLOOKUP(B26,'Base stats'!B:B,'Base stats'!C:C)*1000)^-0.96))*IF(_xlfn.XLOOKUP(B26,'Base stats'!B:B,'Base stats'!AK:AK)=1,0.5,1)/100,0.025))))))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8" t="s">
        <v>685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3200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stats'!O:O)=2,0,1)),0.05),0.985)))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*0.025
),
0.05
),
200%
),
"No"
)</f>
        <v>0.8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*0.025
),
0.05
),
200%
),
"No"
)</f>
        <v>0.8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1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IFERROR(IF(_xlfn.XLOOKUP(B27,'Base stats'!B:B,'Base stats'!F:F)="Lay eggs","Lay eggs",MIN(20,MAX(5.5,ROUND(((_xlfn.XLOOKUP(B27,'Base stats'!B:B,'Base stats'!F:F)-25)*(14.5/615) + 5.5)*2,0)/2))),"Cannot breed")</f>
        <v>20</v>
      </c>
      <c r="AT27" s="8">
        <f>IF(OR(A27="Queen",A27="Larva",A27="Megachicken",A27="Megatardi",A27="Toxscorpion"),"No",IFERROR(MAX(IF(_xlfn.XLOOKUP(B27,'Base stats'!B:B,'Base stats'!G:G)&lt;0.5,0.2,0.3),MROUND(_xlfn.XLOOKUP(B27,'Base stats'!B:B,'Base stats'!G:G)/(365/60),0.2)),"Unknown"))</f>
        <v>2</v>
      </c>
      <c r="AU27" s="8">
        <f t="shared" si="0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1060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stats'!N:N)=1,"No",MAX(0.01,MIN(MROUND(IF(OR(_xlfn.XLOOKUP(B27,'Base stats'!B:B,'Base stats'!AM:AM)=1,AND(BJ27="True",CC27="False")),POWER(10,3.47*LOG10(_xlfn.XLOOKUP(B27,'Base stats'!B:B,'Base stats'!C:C)*1000)^-0.96),POWER(10,4.15*LOG10(_xlfn.XLOOKUP(B27,'Base stats'!B:B,'Base stats'!C:C)*1000)^-0.73))*IF(OR(_xlfn.XLOOKUP(B27,'Base stats'!B:B,'Base stats'!AM:AM)=1,_xlfn.XLOOKUP(B27,'Base stats'!B:B,'Base stats'!AK:AK)=1),0.5,1)/100,0.025),0.5)))</f>
        <v>2.5000000000000001E-2</v>
      </c>
      <c r="CA27" s="25">
        <f>IF(P27="Standard","No",MAX(0.01,IF(_xlfn.XLOOKUP(B27,'Base stats'!B:B,'Base stats'!N:N)=0,MROUND(BZ27*P27,0.05),MIN(1,MAX(0.025,MROUND(IF(OR(CC27="true",AND(BJ27="false",BO27="false")),POWER(10,4.15*LOG10(_xlfn.XLOOKUP(B27,'Base stats'!B:B,'Base stats'!C:C)*1000)^-0.73),POWER(10,3.47*LOG10(_xlfn.XLOOKUP(B27,'Base stats'!B:B,'Base stats'!C:C)*1000)^-0.96))*IF(_xlfn.XLOOKUP(B27,'Base stats'!B:B,'Base stats'!AK:AK)=1,0.5,1)/100,0.025))))))</f>
        <v>0.05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8" t="s">
        <v>685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stats'!O:O)=2,0,1)),0.05),0.985)))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*0.025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*0.025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FrontRightPaw,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1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T28" s="8">
        <f>IF(OR(A28="Queen",A28="Larva",A28="Megachicken",A28="Megatardi",A28="Toxscorpion"),"No",IFERROR(MAX(IF(_xlfn.XLOOKUP(B28,'Base stats'!B:B,'Base stats'!G:G)&lt;0.5,0.2,0.3),MROUND(_xlfn.XLOOKUP(B28,'Base stats'!B:B,'Base stats'!G:G)/(365/60),0.2)),"Unknown"))</f>
        <v>1.6</v>
      </c>
      <c r="AU28" s="8">
        <f t="shared" si="0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stats'!N:N)=1,"No",MAX(0.01,MIN(MROUND(IF(OR(_xlfn.XLOOKUP(B28,'Base stats'!B:B,'Base stats'!AM:AM)=1,AND(BJ28="True",CC28="False")),POWER(10,3.47*LOG10(_xlfn.XLOOKUP(B28,'Base stats'!B:B,'Base stats'!C:C)*1000)^-0.96),POWER(10,4.15*LOG10(_xlfn.XLOOKUP(B28,'Base stats'!B:B,'Base stats'!C:C)*1000)^-0.73))*IF(OR(_xlfn.XLOOKUP(B28,'Base stats'!B:B,'Base stats'!AM:AM)=1,_xlfn.XLOOKUP(B28,'Base stats'!B:B,'Base stats'!AK:AK)=1),0.5,1)/100,0.025),0.5)))</f>
        <v>0.1</v>
      </c>
      <c r="CA28" s="25" t="str">
        <f>IF(P28="Standard","No",MAX(0.01,IF(_xlfn.XLOOKUP(B28,'Base stats'!B:B,'Base stats'!N:N)=0,MROUND(BZ28*P28,0.05),MIN(1,MAX(0.025,MROUND(IF(OR(CC28="true",AND(BJ28="false",BO28="false")),POWER(10,4.15*LOG10(_xlfn.XLOOKUP(B28,'Base stats'!B:B,'Base stats'!C:C)*1000)^-0.73),POWER(10,3.47*LOG10(_xlfn.XLOOKUP(B28,'Base stats'!B:B,'Base stats'!C:C)*1000)^-0.96))*IF(_xlfn.XLOOKUP(B28,'Base stats'!B:B,'Base stats'!AK:AK)=1,0.5,1)/100,0.025))))))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8" t="s">
        <v>685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stats'!O:O)=2,0,1)),0.05),0.985)))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*0.025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*0.025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1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T29" s="8">
        <f>IF(OR(A29="Queen",A29="Larva",A29="Megachicken",A29="Megatardi",A29="Toxscorpion"),"No",IFERROR(MAX(IF(_xlfn.XLOOKUP(B29,'Base stats'!B:B,'Base stats'!G:G)&lt;0.5,0.2,0.3),MROUND(_xlfn.XLOOKUP(B29,'Base stats'!B:B,'Base stats'!G:G)/(365/60),0.2)),"Unknown"))</f>
        <v>0.3</v>
      </c>
      <c r="AU29" s="8">
        <f t="shared" si="0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stats'!N:N)=1,"No",MAX(0.01,MIN(MROUND(IF(OR(_xlfn.XLOOKUP(B29,'Base stats'!B:B,'Base stats'!AM:AM)=1,AND(BJ29="True",CC29="False")),POWER(10,3.47*LOG10(_xlfn.XLOOKUP(B29,'Base stats'!B:B,'Base stats'!C:C)*1000)^-0.96),POWER(10,4.15*LOG10(_xlfn.XLOOKUP(B29,'Base stats'!B:B,'Base stats'!C:C)*1000)^-0.73))*IF(OR(_xlfn.XLOOKUP(B29,'Base stats'!B:B,'Base stats'!AM:AM)=1,_xlfn.XLOOKUP(B29,'Base stats'!B:B,'Base stats'!AK:AK)=1),0.5,1)/100,0.025),0.5)))</f>
        <v>0.17500000000000002</v>
      </c>
      <c r="CA29" s="25">
        <f>IF(P29="Standard","No",MAX(0.01,IF(_xlfn.XLOOKUP(B29,'Base stats'!B:B,'Base stats'!N:N)=0,MROUND(BZ29*P29,0.05),MIN(1,MAX(0.025,MROUND(IF(OR(CC29="true",AND(BJ29="false",BO29="false")),POWER(10,4.15*LOG10(_xlfn.XLOOKUP(B29,'Base stats'!B:B,'Base stats'!C:C)*1000)^-0.73),POWER(10,3.47*LOG10(_xlfn.XLOOKUP(B29,'Base stats'!B:B,'Base stats'!C:C)*1000)^-0.96))*IF(_xlfn.XLOOKUP(B29,'Base stats'!B:B,'Base stats'!AK:AK)=1,0.5,1)/100,0.025))))))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8" t="s">
        <v>685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stats'!O:O)=2,0,1)),0.05),0.985)))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*0.025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*0.025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1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T30" s="8">
        <f>IF(OR(A30="Queen",A30="Larva",A30="Megachicken",A30="Megatardi",A30="Toxscorpion"),"No",IFERROR(MAX(IF(_xlfn.XLOOKUP(B30,'Base stats'!B:B,'Base stats'!G:G)&lt;0.5,0.2,0.3),MROUND(_xlfn.XLOOKUP(B30,'Base stats'!B:B,'Base stats'!G:G)/(365/60),0.2)),"Unknown"))</f>
        <v>0.3</v>
      </c>
      <c r="AU30" s="8">
        <f t="shared" si="0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stats'!N:N)=1,"No",MAX(0.01,MIN(MROUND(IF(OR(_xlfn.XLOOKUP(B30,'Base stats'!B:B,'Base stats'!AM:AM)=1,AND(BJ30="True",CC30="False")),POWER(10,3.47*LOG10(_xlfn.XLOOKUP(B30,'Base stats'!B:B,'Base stats'!C:C)*1000)^-0.96),POWER(10,4.15*LOG10(_xlfn.XLOOKUP(B30,'Base stats'!B:B,'Base stats'!C:C)*1000)^-0.73))*IF(OR(_xlfn.XLOOKUP(B30,'Base stats'!B:B,'Base stats'!AM:AM)=1,_xlfn.XLOOKUP(B30,'Base stats'!B:B,'Base stats'!AK:AK)=1),0.5,1)/100,0.025),0.5)))</f>
        <v>0.15000000000000002</v>
      </c>
      <c r="CA30" s="25" t="str">
        <f>IF(P30="Standard","No",MAX(0.01,IF(_xlfn.XLOOKUP(B30,'Base stats'!B:B,'Base stats'!N:N)=0,MROUND(BZ30*P30,0.05),MIN(1,MAX(0.025,MROUND(IF(OR(CC30="true",AND(BJ30="false",BO30="false")),POWER(10,4.15*LOG10(_xlfn.XLOOKUP(B30,'Base stats'!B:B,'Base stats'!C:C)*1000)^-0.73),POWER(10,3.47*LOG10(_xlfn.XLOOKUP(B30,'Base stats'!B:B,'Base stats'!C:C)*1000)^-0.96))*IF(_xlfn.XLOOKUP(B30,'Base stats'!B:B,'Base stats'!AK:AK)=1,0.5,1)/100,0.025))))))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8" t="s">
        <v>685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stats'!O:O)=2,0,1)),0.05),0.985)))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*0.025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*0.025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1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IFERROR(IF(_xlfn.XLOOKUP(B31,'Base stats'!B:B,'Base stats'!F:F)="Lay eggs","Lay eggs",MIN(20,MAX(5.5,ROUND(((_xlfn.XLOOKUP(B31,'Base stats'!B:B,'Base stats'!F:F)-25)*(14.5/615) + 5.5)*2,0)/2))),"Cannot breed")</f>
        <v>9</v>
      </c>
      <c r="AT31" s="8">
        <f>IF(OR(A31="Queen",A31="Larva",A31="Megachicken",A31="Megatardi",A31="Toxscorpion"),"No",IFERROR(MAX(IF(_xlfn.XLOOKUP(B31,'Base stats'!B:B,'Base stats'!G:G)&lt;0.5,0.2,0.3),MROUND(_xlfn.XLOOKUP(B31,'Base stats'!B:B,'Base stats'!G:G)/(365/60),0.2)),"Unknown"))</f>
        <v>0.60000000000000009</v>
      </c>
      <c r="AU31" s="8">
        <f t="shared" si="0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stats'!N:N)=1,"No",MAX(0.01,MIN(MROUND(IF(OR(_xlfn.XLOOKUP(B31,'Base stats'!B:B,'Base stats'!AM:AM)=1,AND(BJ31="True",CC31="False")),POWER(10,3.47*LOG10(_xlfn.XLOOKUP(B31,'Base stats'!B:B,'Base stats'!C:C)*1000)^-0.96),POWER(10,4.15*LOG10(_xlfn.XLOOKUP(B31,'Base stats'!B:B,'Base stats'!C:C)*1000)^-0.73))*IF(OR(_xlfn.XLOOKUP(B31,'Base stats'!B:B,'Base stats'!AM:AM)=1,_xlfn.XLOOKUP(B31,'Base stats'!B:B,'Base stats'!AK:AK)=1),0.5,1)/100,0.025),0.5)))</f>
        <v>0.375</v>
      </c>
      <c r="CA31" s="25" t="str">
        <f>IF(P31="Standard","No",MAX(0.01,IF(_xlfn.XLOOKUP(B31,'Base stats'!B:B,'Base stats'!N:N)=0,MROUND(BZ31*P31,0.05),MIN(1,MAX(0.025,MROUND(IF(OR(CC31="true",AND(BJ31="false",BO31="false")),POWER(10,4.15*LOG10(_xlfn.XLOOKUP(B31,'Base stats'!B:B,'Base stats'!C:C)*1000)^-0.73),POWER(10,3.47*LOG10(_xlfn.XLOOKUP(B31,'Base stats'!B:B,'Base stats'!C:C)*1000)^-0.96))*IF(_xlfn.XLOOKUP(B31,'Base stats'!B:B,'Base stats'!AK:AK)=1,0.5,1)/100,0.025))))))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8" t="s">
        <v>685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stats'!O:O)=2,0,1)),0.05),0.985)))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*0.025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*0.025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1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T32" s="8">
        <f>IF(OR(A32="Queen",A32="Larva",A32="Megachicken",A32="Megatardi",A32="Toxscorpion"),"No",IFERROR(MAX(IF(_xlfn.XLOOKUP(B32,'Base stats'!B:B,'Base stats'!G:G)&lt;0.5,0.2,0.3),MROUND(_xlfn.XLOOKUP(B32,'Base stats'!B:B,'Base stats'!G:G)/(365/60),0.2)),"Unknown"))</f>
        <v>0.8</v>
      </c>
      <c r="AU32" s="8">
        <f t="shared" si="0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stats'!N:N)=1,"No",MAX(0.01,MIN(MROUND(IF(OR(_xlfn.XLOOKUP(B32,'Base stats'!B:B,'Base stats'!AM:AM)=1,AND(BJ32="True",CC32="False")),POWER(10,3.47*LOG10(_xlfn.XLOOKUP(B32,'Base stats'!B:B,'Base stats'!C:C)*1000)^-0.96),POWER(10,4.15*LOG10(_xlfn.XLOOKUP(B32,'Base stats'!B:B,'Base stats'!C:C)*1000)^-0.73))*IF(OR(_xlfn.XLOOKUP(B32,'Base stats'!B:B,'Base stats'!AM:AM)=1,_xlfn.XLOOKUP(B32,'Base stats'!B:B,'Base stats'!AK:AK)=1),0.5,1)/100,0.025),0.5)))</f>
        <v>0.5</v>
      </c>
      <c r="CA32" s="25">
        <f>IF(P32="Standard","No",MAX(0.01,IF(_xlfn.XLOOKUP(B32,'Base stats'!B:B,'Base stats'!N:N)=0,MROUND(BZ32*P32,0.05),MIN(1,MAX(0.025,MROUND(IF(OR(CC32="true",AND(BJ32="false",BO32="false")),POWER(10,4.15*LOG10(_xlfn.XLOOKUP(B32,'Base stats'!B:B,'Base stats'!C:C)*1000)^-0.73),POWER(10,3.47*LOG10(_xlfn.XLOOKUP(B32,'Base stats'!B:B,'Base stats'!C:C)*1000)^-0.96))*IF(_xlfn.XLOOKUP(B32,'Base stats'!B:B,'Base stats'!AK:AK)=1,0.5,1)/100,0.025))))))</f>
        <v>0.4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8" t="s">
        <v>685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stats'!O:O)=2,0,1)),0.05),0.985)))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*0.025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*0.025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1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T33" s="8">
        <f>IF(OR(A33="Queen",A33="Larva",A33="Megachicken",A33="Megatardi",A33="Toxscorpion"),"No",IFERROR(MAX(IF(_xlfn.XLOOKUP(B33,'Base stats'!B:B,'Base stats'!G:G)&lt;0.5,0.2,0.3),MROUND(_xlfn.XLOOKUP(B33,'Base stats'!B:B,'Base stats'!G:G)/(365/60),0.2)),"Unknown"))</f>
        <v>0.8</v>
      </c>
      <c r="AU33" s="8">
        <f t="shared" si="0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stats'!N:N)=1,"No",MAX(0.01,MIN(MROUND(IF(OR(_xlfn.XLOOKUP(B33,'Base stats'!B:B,'Base stats'!AM:AM)=1,AND(BJ33="True",CC33="False")),POWER(10,3.47*LOG10(_xlfn.XLOOKUP(B33,'Base stats'!B:B,'Base stats'!C:C)*1000)^-0.96),POWER(10,4.15*LOG10(_xlfn.XLOOKUP(B33,'Base stats'!B:B,'Base stats'!C:C)*1000)^-0.73))*IF(OR(_xlfn.XLOOKUP(B33,'Base stats'!B:B,'Base stats'!AM:AM)=1,_xlfn.XLOOKUP(B33,'Base stats'!B:B,'Base stats'!AK:AK)=1),0.5,1)/100,0.025),0.5)))</f>
        <v>0.35000000000000003</v>
      </c>
      <c r="CA33" s="25" t="str">
        <f>IF(P33="Standard","No",MAX(0.01,IF(_xlfn.XLOOKUP(B33,'Base stats'!B:B,'Base stats'!N:N)=0,MROUND(BZ33*P33,0.05),MIN(1,MAX(0.025,MROUND(IF(OR(CC33="true",AND(BJ33="false",BO33="false")),POWER(10,4.15*LOG10(_xlfn.XLOOKUP(B33,'Base stats'!B:B,'Base stats'!C:C)*1000)^-0.73),POWER(10,3.47*LOG10(_xlfn.XLOOKUP(B33,'Base stats'!B:B,'Base stats'!C:C)*1000)^-0.96))*IF(_xlfn.XLOOKUP(B33,'Base stats'!B:B,'Base stats'!AK:AK)=1,0.5,1)/100,0.025))))))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8" t="s">
        <v>685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stats'!O:O)=2,0,1)),0.05),0.985)))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*0.025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*0.025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1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T34" s="8">
        <f>IF(OR(A34="Queen",A34="Larva",A34="Megachicken",A34="Megatardi",A34="Toxscorpion"),"No",IFERROR(MAX(IF(_xlfn.XLOOKUP(B34,'Base stats'!B:B,'Base stats'!G:G)&lt;0.5,0.2,0.3),MROUND(_xlfn.XLOOKUP(B34,'Base stats'!B:B,'Base stats'!G:G)/(365/60),0.2)),"Unknown"))</f>
        <v>2.4000000000000004</v>
      </c>
      <c r="AU34" s="8">
        <f t="shared" si="0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stats'!N:N)=1,"No",MAX(0.01,MIN(MROUND(IF(OR(_xlfn.XLOOKUP(B34,'Base stats'!B:B,'Base stats'!AM:AM)=1,AND(BJ34="True",CC34="False")),POWER(10,3.47*LOG10(_xlfn.XLOOKUP(B34,'Base stats'!B:B,'Base stats'!C:C)*1000)^-0.96),POWER(10,4.15*LOG10(_xlfn.XLOOKUP(B34,'Base stats'!B:B,'Base stats'!C:C)*1000)^-0.73))*IF(OR(_xlfn.XLOOKUP(B34,'Base stats'!B:B,'Base stats'!AM:AM)=1,_xlfn.XLOOKUP(B34,'Base stats'!B:B,'Base stats'!AK:AK)=1),0.5,1)/100,0.025),0.5)))</f>
        <v>0.25</v>
      </c>
      <c r="CA34" s="25" t="str">
        <f>IF(P34="Standard","No",MAX(0.01,IF(_xlfn.XLOOKUP(B34,'Base stats'!B:B,'Base stats'!N:N)=0,MROUND(BZ34*P34,0.05),MIN(1,MAX(0.025,MROUND(IF(OR(CC34="true",AND(BJ34="false",BO34="false")),POWER(10,4.15*LOG10(_xlfn.XLOOKUP(B34,'Base stats'!B:B,'Base stats'!C:C)*1000)^-0.73),POWER(10,3.47*LOG10(_xlfn.XLOOKUP(B34,'Base stats'!B:B,'Base stats'!C:C)*1000)^-0.96))*IF(_xlfn.XLOOKUP(B34,'Base stats'!B:B,'Base stats'!AK:AK)=1,0.5,1)/100,0.025))))))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8" t="s">
        <v>685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stats'!O:O)=2,0,1)),0.05),0.985)))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*0.025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*0.025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1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T35" s="8">
        <f>IF(OR(A35="Queen",A35="Larva",A35="Megachicken",A35="Megatardi",A35="Toxscorpion"),"No",IFERROR(MAX(IF(_xlfn.XLOOKUP(B35,'Base stats'!B:B,'Base stats'!G:G)&lt;0.5,0.2,0.3),MROUND(_xlfn.XLOOKUP(B35,'Base stats'!B:B,'Base stats'!G:G)/(365/60),0.2)),"Unknown"))</f>
        <v>0.2</v>
      </c>
      <c r="AU35" s="8">
        <f t="shared" si="0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stats'!N:N)=1,"No",MAX(0.01,MIN(MROUND(IF(OR(_xlfn.XLOOKUP(B35,'Base stats'!B:B,'Base stats'!AM:AM)=1,AND(BJ35="True",CC35="False")),POWER(10,3.47*LOG10(_xlfn.XLOOKUP(B35,'Base stats'!B:B,'Base stats'!C:C)*1000)^-0.96),POWER(10,4.15*LOG10(_xlfn.XLOOKUP(B35,'Base stats'!B:B,'Base stats'!C:C)*1000)^-0.73))*IF(OR(_xlfn.XLOOKUP(B35,'Base stats'!B:B,'Base stats'!AM:AM)=1,_xlfn.XLOOKUP(B35,'Base stats'!B:B,'Base stats'!AK:AK)=1),0.5,1)/100,0.025),0.5)))</f>
        <v>0.5</v>
      </c>
      <c r="CA35" s="25">
        <f>IF(P35="Standard","No",MAX(0.01,IF(_xlfn.XLOOKUP(B35,'Base stats'!B:B,'Base stats'!N:N)=0,MROUND(BZ35*P35,0.05),MIN(1,MAX(0.025,MROUND(IF(OR(CC35="true",AND(BJ35="false",BO35="false")),POWER(10,4.15*LOG10(_xlfn.XLOOKUP(B35,'Base stats'!B:B,'Base stats'!C:C)*1000)^-0.73),POWER(10,3.47*LOG10(_xlfn.XLOOKUP(B35,'Base stats'!B:B,'Base stats'!C:C)*1000)^-0.96))*IF(_xlfn.XLOOKUP(B35,'Base stats'!B:B,'Base stats'!AK:AK)=1,0.5,1)/100,0.025))))))</f>
        <v>0.4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8" t="s">
        <v>685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stats'!O:O)=2,0,1)),0.05),0.985)))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*0.025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*0.025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1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IFERROR(IF(_xlfn.XLOOKUP(B36,'Base stats'!B:B,'Base stats'!F:F)="Lay eggs","Lay eggs",MIN(20,MAX(5.5,ROUND(((_xlfn.XLOOKUP(B36,'Base stats'!B:B,'Base stats'!F:F)-25)*(14.5/615) + 5.5)*2,0)/2))),"Cannot breed")</f>
        <v>6</v>
      </c>
      <c r="AT36" s="8">
        <f>IF(OR(A36="Queen",A36="Larva",A36="Megachicken",A36="Megatardi",A36="Toxscorpion"),"No",IFERROR(MAX(IF(_xlfn.XLOOKUP(B36,'Base stats'!B:B,'Base stats'!G:G)&lt;0.5,0.2,0.3),MROUND(_xlfn.XLOOKUP(B36,'Base stats'!B:B,'Base stats'!G:G)/(365/60),0.2)),"Unknown"))</f>
        <v>0.3</v>
      </c>
      <c r="AU36" s="8">
        <f t="shared" si="0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stats'!N:N)=1,"No",MAX(0.01,MIN(MROUND(IF(OR(_xlfn.XLOOKUP(B36,'Base stats'!B:B,'Base stats'!AM:AM)=1,AND(BJ36="True",CC36="False")),POWER(10,3.47*LOG10(_xlfn.XLOOKUP(B36,'Base stats'!B:B,'Base stats'!C:C)*1000)^-0.96),POWER(10,4.15*LOG10(_xlfn.XLOOKUP(B36,'Base stats'!B:B,'Base stats'!C:C)*1000)^-0.73))*IF(OR(_xlfn.XLOOKUP(B36,'Base stats'!B:B,'Base stats'!AM:AM)=1,_xlfn.XLOOKUP(B36,'Base stats'!B:B,'Base stats'!AK:AK)=1),0.5,1)/100,0.025),0.5)))</f>
        <v>0.5</v>
      </c>
      <c r="CA36" s="25" t="str">
        <f>IF(P36="Standard","No",MAX(0.01,IF(_xlfn.XLOOKUP(B36,'Base stats'!B:B,'Base stats'!N:N)=0,MROUND(BZ36*P36,0.05),MIN(1,MAX(0.025,MROUND(IF(OR(CC36="true",AND(BJ36="false",BO36="false")),POWER(10,4.15*LOG10(_xlfn.XLOOKUP(B36,'Base stats'!B:B,'Base stats'!C:C)*1000)^-0.73),POWER(10,3.47*LOG10(_xlfn.XLOOKUP(B36,'Base stats'!B:B,'Base stats'!C:C)*1000)^-0.96))*IF(_xlfn.XLOOKUP(B36,'Base stats'!B:B,'Base stats'!AK:AK)=1,0.5,1)/100,0.025))))))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8" t="s">
        <v>685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stats'!O:O)=2,0,1)),0.05),0.985)))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40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*0.025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*0.025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1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T37" s="8">
        <f>IF(OR(A37="Queen",A37="Larva",A37="Megachicken",A37="Megatardi",A37="Toxscorpion"),"No",IFERROR(MAX(IF(_xlfn.XLOOKUP(B37,'Base stats'!B:B,'Base stats'!G:G)&lt;0.5,0.2,0.3),MROUND(_xlfn.XLOOKUP(B37,'Base stats'!B:B,'Base stats'!G:G)/(365/60),0.2)),"Unknown"))</f>
        <v>0.2</v>
      </c>
      <c r="AU37" s="8">
        <f t="shared" si="0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TropicalRainforest TropicalSwamp Glowforest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stats'!N:N)=1,"No",MAX(0.01,MIN(MROUND(IF(OR(_xlfn.XLOOKUP(B37,'Base stats'!B:B,'Base stats'!AM:AM)=1,AND(BJ37="True",CC37="False")),POWER(10,3.47*LOG10(_xlfn.XLOOKUP(B37,'Base stats'!B:B,'Base stats'!C:C)*1000)^-0.96),POWER(10,4.15*LOG10(_xlfn.XLOOKUP(B37,'Base stats'!B:B,'Base stats'!C:C)*1000)^-0.73))*IF(OR(_xlfn.XLOOKUP(B37,'Base stats'!B:B,'Base stats'!AM:AM)=1,_xlfn.XLOOKUP(B37,'Base stats'!B:B,'Base stats'!AK:AK)=1),0.5,1)/100,0.025),0.5)))</f>
        <v>0.5</v>
      </c>
      <c r="CA37" s="25" t="str">
        <f>IF(P37="Standard","No",MAX(0.01,IF(_xlfn.XLOOKUP(B37,'Base stats'!B:B,'Base stats'!N:N)=0,MROUND(BZ37*P37,0.05),MIN(1,MAX(0.025,MROUND(IF(OR(CC37="true",AND(BJ37="false",BO37="false")),POWER(10,4.15*LOG10(_xlfn.XLOOKUP(B37,'Base stats'!B:B,'Base stats'!C:C)*1000)^-0.73),POWER(10,3.47*LOG10(_xlfn.XLOOKUP(B37,'Base stats'!B:B,'Base stats'!C:C)*1000)^-0.96))*IF(_xlfn.XLOOKUP(B37,'Base stats'!B:B,'Base stats'!AK:AK)=1,0.5,1)/100,0.025))))))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8" t="s">
        <v>685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stats'!O:O)=2,0,1)),0.05),0.985)))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*0.025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*0.025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1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T38" s="8">
        <f>IF(OR(A38="Queen",A38="Larva",A38="Megachicken",A38="Megatardi",A38="Toxscorpion"),"No",IFERROR(MAX(IF(_xlfn.XLOOKUP(B38,'Base stats'!B:B,'Base stats'!G:G)&lt;0.5,0.2,0.3),MROUND(_xlfn.XLOOKUP(B38,'Base stats'!B:B,'Base stats'!G:G)/(365/60),0.2)),"Unknown"))</f>
        <v>0.3</v>
      </c>
      <c r="AU38" s="8">
        <f t="shared" si="0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stats'!N:N)=1,"No",MAX(0.01,MIN(MROUND(IF(OR(_xlfn.XLOOKUP(B38,'Base stats'!B:B,'Base stats'!AM:AM)=1,AND(BJ38="True",CC38="False")),POWER(10,3.47*LOG10(_xlfn.XLOOKUP(B38,'Base stats'!B:B,'Base stats'!C:C)*1000)^-0.96),POWER(10,4.15*LOG10(_xlfn.XLOOKUP(B38,'Base stats'!B:B,'Base stats'!C:C)*1000)^-0.73))*IF(OR(_xlfn.XLOOKUP(B38,'Base stats'!B:B,'Base stats'!AM:AM)=1,_xlfn.XLOOKUP(B38,'Base stats'!B:B,'Base stats'!AK:AK)=1),0.5,1)/100,0.025),0.5)))</f>
        <v>0.5</v>
      </c>
      <c r="CA38" s="25" t="str">
        <f>IF(P38="Standard","No",MAX(0.01,IF(_xlfn.XLOOKUP(B38,'Base stats'!B:B,'Base stats'!N:N)=0,MROUND(BZ38*P38,0.05),MIN(1,MAX(0.025,MROUND(IF(OR(CC38="true",AND(BJ38="false",BO38="false")),POWER(10,4.15*LOG10(_xlfn.XLOOKUP(B38,'Base stats'!B:B,'Base stats'!C:C)*1000)^-0.73),POWER(10,3.47*LOG10(_xlfn.XLOOKUP(B38,'Base stats'!B:B,'Base stats'!C:C)*1000)^-0.96))*IF(_xlfn.XLOOKUP(B38,'Base stats'!B:B,'Base stats'!AK:AK)=1,0.5,1)/100,0.025))))))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8" t="s">
        <v>685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stats'!O:O)=2,0,1)),0.05),0.985)))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*0.025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*0.025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1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T39" s="8">
        <f>IF(OR(A39="Queen",A39="Larva",A39="Megachicken",A39="Megatardi",A39="Toxscorpion"),"No",IFERROR(MAX(IF(_xlfn.XLOOKUP(B39,'Base stats'!B:B,'Base stats'!G:G)&lt;0.5,0.2,0.3),MROUND(_xlfn.XLOOKUP(B39,'Base stats'!B:B,'Base stats'!G:G)/(365/60),0.2)),"Unknown"))</f>
        <v>0.3</v>
      </c>
      <c r="AU39" s="8">
        <f t="shared" si="0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stats'!N:N)=1,"No",MAX(0.01,MIN(MROUND(IF(OR(_xlfn.XLOOKUP(B39,'Base stats'!B:B,'Base stats'!AM:AM)=1,AND(BJ39="True",CC39="False")),POWER(10,3.47*LOG10(_xlfn.XLOOKUP(B39,'Base stats'!B:B,'Base stats'!C:C)*1000)^-0.96),POWER(10,4.15*LOG10(_xlfn.XLOOKUP(B39,'Base stats'!B:B,'Base stats'!C:C)*1000)^-0.73))*IF(OR(_xlfn.XLOOKUP(B39,'Base stats'!B:B,'Base stats'!AM:AM)=1,_xlfn.XLOOKUP(B39,'Base stats'!B:B,'Base stats'!AK:AK)=1),0.5,1)/100,0.025),0.5)))</f>
        <v>0.22500000000000001</v>
      </c>
      <c r="CA39" s="25" t="str">
        <f>IF(P39="Standard","No",MAX(0.01,IF(_xlfn.XLOOKUP(B39,'Base stats'!B:B,'Base stats'!N:N)=0,MROUND(BZ39*P39,0.05),MIN(1,MAX(0.025,MROUND(IF(OR(CC39="true",AND(BJ39="false",BO39="false")),POWER(10,4.15*LOG10(_xlfn.XLOOKUP(B39,'Base stats'!B:B,'Base stats'!C:C)*1000)^-0.73),POWER(10,3.47*LOG10(_xlfn.XLOOKUP(B39,'Base stats'!B:B,'Base stats'!C:C)*1000)^-0.96))*IF(_xlfn.XLOOKUP(B39,'Base stats'!B:B,'Base stats'!AK:AK)=1,0.5,1)/100,0.025))))))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8" t="s">
        <v>685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stats'!O:O)=2,0,1)),0.05),0.985)))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*0.025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*0.025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1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IFERROR(IF(_xlfn.XLOOKUP(B40,'Base stats'!B:B,'Base stats'!F:F)="Lay eggs","Lay eggs",MIN(20,MAX(5.5,ROUND(((_xlfn.XLOOKUP(B40,'Base stats'!B:B,'Base stats'!F:F)-25)*(14.5/615) + 5.5)*2,0)/2))),"Cannot breed")</f>
        <v>8</v>
      </c>
      <c r="AT40" s="8">
        <f>IF(OR(A40="Queen",A40="Larva",A40="Megachicken",A40="Megatardi",A40="Toxscorpion"),"No",IFERROR(MAX(IF(_xlfn.XLOOKUP(B40,'Base stats'!B:B,'Base stats'!G:G)&lt;0.5,0.2,0.3),MROUND(_xlfn.XLOOKUP(B40,'Base stats'!B:B,'Base stats'!G:G)/(365/60),0.2)),"Unknown"))</f>
        <v>0.3</v>
      </c>
      <c r="AU40" s="8">
        <f t="shared" si="0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stats'!N:N)=1,"No",MAX(0.01,MIN(MROUND(IF(OR(_xlfn.XLOOKUP(B40,'Base stats'!B:B,'Base stats'!AM:AM)=1,AND(BJ40="True",CC40="False")),POWER(10,3.47*LOG10(_xlfn.XLOOKUP(B40,'Base stats'!B:B,'Base stats'!C:C)*1000)^-0.96),POWER(10,4.15*LOG10(_xlfn.XLOOKUP(B40,'Base stats'!B:B,'Base stats'!C:C)*1000)^-0.73))*IF(OR(_xlfn.XLOOKUP(B40,'Base stats'!B:B,'Base stats'!AM:AM)=1,_xlfn.XLOOKUP(B40,'Base stats'!B:B,'Base stats'!AK:AK)=1),0.5,1)/100,0.025),0.5)))</f>
        <v>0.22500000000000001</v>
      </c>
      <c r="CA40" s="25" t="str">
        <f>IF(P40="Standard","No",MAX(0.01,IF(_xlfn.XLOOKUP(B40,'Base stats'!B:B,'Base stats'!N:N)=0,MROUND(BZ40*P40,0.05),MIN(1,MAX(0.025,MROUND(IF(OR(CC40="true",AND(BJ40="false",BO40="false")),POWER(10,4.15*LOG10(_xlfn.XLOOKUP(B40,'Base stats'!B:B,'Base stats'!C:C)*1000)^-0.73),POWER(10,3.47*LOG10(_xlfn.XLOOKUP(B40,'Base stats'!B:B,'Base stats'!C:C)*1000)^-0.96))*IF(_xlfn.XLOOKUP(B40,'Base stats'!B:B,'Base stats'!AK:AK)=1,0.5,1)/100,0.025))))))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8" t="s">
        <v>685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stats'!O:O)=2,0,1)),0.05),0.985)))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*0.025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*0.025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1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IFERROR(IF(_xlfn.XLOOKUP(B41,'Base stats'!B:B,'Base stats'!F:F)="Lay eggs","Lay eggs",MIN(20,MAX(5.5,ROUND(((_xlfn.XLOOKUP(B41,'Base stats'!B:B,'Base stats'!F:F)-25)*(14.5/615) + 5.5)*2,0)/2))),"Cannot breed")</f>
        <v>7</v>
      </c>
      <c r="AT41" s="8">
        <f>IF(OR(A41="Queen",A41="Larva",A41="Megachicken",A41="Megatardi",A41="Toxscorpion"),"No",IFERROR(MAX(IF(_xlfn.XLOOKUP(B41,'Base stats'!B:B,'Base stats'!G:G)&lt;0.5,0.2,0.3),MROUND(_xlfn.XLOOKUP(B41,'Base stats'!B:B,'Base stats'!G:G)/(365/60),0.2)),"Unknown"))</f>
        <v>0.3</v>
      </c>
      <c r="AU41" s="8">
        <f t="shared" si="0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stats'!N:N)=1,"No",MAX(0.01,MIN(MROUND(IF(OR(_xlfn.XLOOKUP(B41,'Base stats'!B:B,'Base stats'!AM:AM)=1,AND(BJ41="True",CC41="False")),POWER(10,3.47*LOG10(_xlfn.XLOOKUP(B41,'Base stats'!B:B,'Base stats'!C:C)*1000)^-0.96),POWER(10,4.15*LOG10(_xlfn.XLOOKUP(B41,'Base stats'!B:B,'Base stats'!C:C)*1000)^-0.73))*IF(OR(_xlfn.XLOOKUP(B41,'Base stats'!B:B,'Base stats'!AM:AM)=1,_xlfn.XLOOKUP(B41,'Base stats'!B:B,'Base stats'!AK:AK)=1),0.5,1)/100,0.025),0.5)))</f>
        <v>0.15000000000000002</v>
      </c>
      <c r="CA41" s="25">
        <f>IF(P41="Standard","No",MAX(0.01,IF(_xlfn.XLOOKUP(B41,'Base stats'!B:B,'Base stats'!N:N)=0,MROUND(BZ41*P41,0.05),MIN(1,MAX(0.025,MROUND(IF(OR(CC41="true",AND(BJ41="false",BO41="false")),POWER(10,4.15*LOG10(_xlfn.XLOOKUP(B41,'Base stats'!B:B,'Base stats'!C:C)*1000)^-0.73),POWER(10,3.47*LOG10(_xlfn.XLOOKUP(B41,'Base stats'!B:B,'Base stats'!C:C)*1000)^-0.96))*IF(_xlfn.XLOOKUP(B41,'Base stats'!B:B,'Base stats'!AK:AK)=1,0.5,1)/100,0.025))))))</f>
        <v>0.15000000000000002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8" t="s">
        <v>685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stats'!O:O)=2,0,1)),0.05),0.985)))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*0.025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*0.025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1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T42" s="8">
        <f>IF(OR(A42="Queen",A42="Larva",A42="Megachicken",A42="Megatardi",A42="Toxscorpion"),"No",IFERROR(MAX(IF(_xlfn.XLOOKUP(B42,'Base stats'!B:B,'Base stats'!G:G)&lt;0.5,0.2,0.3),MROUND(_xlfn.XLOOKUP(B42,'Base stats'!B:B,'Base stats'!G:G)/(365/60),0.2)),"Unknown"))</f>
        <v>0.4</v>
      </c>
      <c r="AU42" s="8">
        <f t="shared" si="0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Wasteffalo_Body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stats'!N:N)=1,"No",MAX(0.01,MIN(MROUND(IF(OR(_xlfn.XLOOKUP(B42,'Base stats'!B:B,'Base stats'!AM:AM)=1,AND(BJ42="True",CC42="False")),POWER(10,3.47*LOG10(_xlfn.XLOOKUP(B42,'Base stats'!B:B,'Base stats'!C:C)*1000)^-0.96),POWER(10,4.15*LOG10(_xlfn.XLOOKUP(B42,'Base stats'!B:B,'Base stats'!C:C)*1000)^-0.73))*IF(OR(_xlfn.XLOOKUP(B42,'Base stats'!B:B,'Base stats'!AM:AM)=1,_xlfn.XLOOKUP(B42,'Base stats'!B:B,'Base stats'!AK:AK)=1),0.5,1)/100,0.025),0.5)))</f>
        <v>0.15000000000000002</v>
      </c>
      <c r="CA42" s="25" t="str">
        <f>IF(P42="Standard","No",MAX(0.01,IF(_xlfn.XLOOKUP(B42,'Base stats'!B:B,'Base stats'!N:N)=0,MROUND(BZ42*P42,0.05),MIN(1,MAX(0.025,MROUND(IF(OR(CC42="true",AND(BJ42="false",BO42="false")),POWER(10,4.15*LOG10(_xlfn.XLOOKUP(B42,'Base stats'!B:B,'Base stats'!C:C)*1000)^-0.73),POWER(10,3.47*LOG10(_xlfn.XLOOKUP(B42,'Base stats'!B:B,'Base stats'!C:C)*1000)^-0.96))*IF(_xlfn.XLOOKUP(B42,'Base stats'!B:B,'Base stats'!AK:AK)=1,0.5,1)/100,0.025))))))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8" t="s">
        <v>685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stats'!O:O)=2,0,1)),0.05),0.985)))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*0.025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*0.025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1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T43" s="8">
        <f>IF(OR(A43="Queen",A43="Larva",A43="Megachicken",A43="Megatardi",A43="Toxscorpion"),"No",IFERROR(MAX(IF(_xlfn.XLOOKUP(B43,'Base stats'!B:B,'Base stats'!G:G)&lt;0.5,0.2,0.3),MROUND(_xlfn.XLOOKUP(B43,'Base stats'!B:B,'Base stats'!G:G)/(365/60),0.2)),"Unknown"))</f>
        <v>0.3</v>
      </c>
      <c r="AU43" s="8">
        <f t="shared" si="0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stats'!N:N)=1,"No",MAX(0.01,MIN(MROUND(IF(OR(_xlfn.XLOOKUP(B43,'Base stats'!B:B,'Base stats'!AM:AM)=1,AND(BJ43="True",CC43="False")),POWER(10,3.47*LOG10(_xlfn.XLOOKUP(B43,'Base stats'!B:B,'Base stats'!C:C)*1000)^-0.96),POWER(10,4.15*LOG10(_xlfn.XLOOKUP(B43,'Base stats'!B:B,'Base stats'!C:C)*1000)^-0.73))*IF(OR(_xlfn.XLOOKUP(B43,'Base stats'!B:B,'Base stats'!AM:AM)=1,_xlfn.XLOOKUP(B43,'Base stats'!B:B,'Base stats'!AK:AK)=1),0.5,1)/100,0.025),0.5)))</f>
        <v>0.15000000000000002</v>
      </c>
      <c r="CA43" s="25" t="str">
        <f>IF(P43="Standard","No",MAX(0.01,IF(_xlfn.XLOOKUP(B43,'Base stats'!B:B,'Base stats'!N:N)=0,MROUND(BZ43*P43,0.05),MIN(1,MAX(0.025,MROUND(IF(OR(CC43="true",AND(BJ43="false",BO43="false")),POWER(10,4.15*LOG10(_xlfn.XLOOKUP(B43,'Base stats'!B:B,'Base stats'!C:C)*1000)^-0.73),POWER(10,3.47*LOG10(_xlfn.XLOOKUP(B43,'Base stats'!B:B,'Base stats'!C:C)*1000)^-0.96))*IF(_xlfn.XLOOKUP(B43,'Base stats'!B:B,'Base stats'!AK:AK)=1,0.5,1)/100,0.025))))))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8" t="s">
        <v>685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stats'!O:O)=2,0,1)),0.05),0.985)))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*0.025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*0.025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1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T44" s="8">
        <f>IF(OR(A44="Queen",A44="Larva",A44="Megachicken",A44="Megatardi",A44="Toxscorpion"),"No",IFERROR(MAX(IF(_xlfn.XLOOKUP(B44,'Base stats'!B:B,'Base stats'!G:G)&lt;0.5,0.2,0.3),MROUND(_xlfn.XLOOKUP(B44,'Base stats'!B:B,'Base stats'!G:G)/(365/60),0.2)),"Unknown"))</f>
        <v>0.4</v>
      </c>
      <c r="AU44" s="8">
        <f t="shared" si="0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Wasteffalo_Body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stats'!N:N)=1,"No",MAX(0.01,MIN(MROUND(IF(OR(_xlfn.XLOOKUP(B44,'Base stats'!B:B,'Base stats'!AM:AM)=1,AND(BJ44="True",CC44="False")),POWER(10,3.47*LOG10(_xlfn.XLOOKUP(B44,'Base stats'!B:B,'Base stats'!C:C)*1000)^-0.96),POWER(10,4.15*LOG10(_xlfn.XLOOKUP(B44,'Base stats'!B:B,'Base stats'!C:C)*1000)^-0.73))*IF(OR(_xlfn.XLOOKUP(B44,'Base stats'!B:B,'Base stats'!AM:AM)=1,_xlfn.XLOOKUP(B44,'Base stats'!B:B,'Base stats'!AK:AK)=1),0.5,1)/100,0.025),0.5)))</f>
        <v>0.15000000000000002</v>
      </c>
      <c r="CA44" s="25" t="str">
        <f>IF(P44="Standard","No",MAX(0.01,IF(_xlfn.XLOOKUP(B44,'Base stats'!B:B,'Base stats'!N:N)=0,MROUND(BZ44*P44,0.05),MIN(1,MAX(0.025,MROUND(IF(OR(CC44="true",AND(BJ44="false",BO44="false")),POWER(10,4.15*LOG10(_xlfn.XLOOKUP(B44,'Base stats'!B:B,'Base stats'!C:C)*1000)^-0.73),POWER(10,3.47*LOG10(_xlfn.XLOOKUP(B44,'Base stats'!B:B,'Base stats'!C:C)*1000)^-0.96))*IF(_xlfn.XLOOKUP(B44,'Base stats'!B:B,'Base stats'!AK:AK)=1,0.5,1)/100,0.025))))))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8" t="s">
        <v>685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stats'!O:O)=2,0,1)),0.05),0.985)))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*0.025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*0.025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1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T45" s="8">
        <f>IF(OR(A45="Queen",A45="Larva",A45="Megachicken",A45="Megatardi",A45="Toxscorpion"),"No",IFERROR(MAX(IF(_xlfn.XLOOKUP(B45,'Base stats'!B:B,'Base stats'!G:G)&lt;0.5,0.2,0.3),MROUND(_xlfn.XLOOKUP(B45,'Base stats'!B:B,'Base stats'!G:G)/(365/60),0.2)),"Unknown"))</f>
        <v>0.4</v>
      </c>
      <c r="AU45" s="8">
        <f t="shared" si="0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Wasteffalo_Body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stats'!N:N)=1,"No",MAX(0.01,MIN(MROUND(IF(OR(_xlfn.XLOOKUP(B45,'Base stats'!B:B,'Base stats'!AM:AM)=1,AND(BJ45="True",CC45="False")),POWER(10,3.47*LOG10(_xlfn.XLOOKUP(B45,'Base stats'!B:B,'Base stats'!C:C)*1000)^-0.96),POWER(10,4.15*LOG10(_xlfn.XLOOKUP(B45,'Base stats'!B:B,'Base stats'!C:C)*1000)^-0.73))*IF(OR(_xlfn.XLOOKUP(B45,'Base stats'!B:B,'Base stats'!AM:AM)=1,_xlfn.XLOOKUP(B45,'Base stats'!B:B,'Base stats'!AK:AK)=1),0.5,1)/100,0.025),0.5)))</f>
        <v>0.15000000000000002</v>
      </c>
      <c r="CA45" s="25" t="str">
        <f>IF(P45="Standard","No",MAX(0.01,IF(_xlfn.XLOOKUP(B45,'Base stats'!B:B,'Base stats'!N:N)=0,MROUND(BZ45*P45,0.05),MIN(1,MAX(0.025,MROUND(IF(OR(CC45="true",AND(BJ45="false",BO45="false")),POWER(10,4.15*LOG10(_xlfn.XLOOKUP(B45,'Base stats'!B:B,'Base stats'!C:C)*1000)^-0.73),POWER(10,3.47*LOG10(_xlfn.XLOOKUP(B45,'Base stats'!B:B,'Base stats'!C:C)*1000)^-0.96))*IF(_xlfn.XLOOKUP(B45,'Base stats'!B:B,'Base stats'!AK:AK)=1,0.5,1)/100,0.025))))))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8" t="s">
        <v>685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stats'!O:O)=2,0,1)),0.05),0.985)))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*0.025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*0.025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1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T46" s="8">
        <f>IF(OR(A46="Queen",A46="Larva",A46="Megachicken",A46="Megatardi",A46="Toxscorpion"),"No",IFERROR(MAX(IF(_xlfn.XLOOKUP(B46,'Base stats'!B:B,'Base stats'!G:G)&lt;0.5,0.2,0.3),MROUND(_xlfn.XLOOKUP(B46,'Base stats'!B:B,'Base stats'!G:G)/(365/60),0.2)),"Unknown"))</f>
        <v>0.4</v>
      </c>
      <c r="AU46" s="8">
        <f t="shared" si="0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stats'!N:N)=1,"No",MAX(0.01,MIN(MROUND(IF(OR(_xlfn.XLOOKUP(B46,'Base stats'!B:B,'Base stats'!AM:AM)=1,AND(BJ46="True",CC46="False")),POWER(10,3.47*LOG10(_xlfn.XLOOKUP(B46,'Base stats'!B:B,'Base stats'!C:C)*1000)^-0.96),POWER(10,4.15*LOG10(_xlfn.XLOOKUP(B46,'Base stats'!B:B,'Base stats'!C:C)*1000)^-0.73))*IF(OR(_xlfn.XLOOKUP(B46,'Base stats'!B:B,'Base stats'!AM:AM)=1,_xlfn.XLOOKUP(B46,'Base stats'!B:B,'Base stats'!AK:AK)=1),0.5,1)/100,0.025),0.5)))</f>
        <v>0.17500000000000002</v>
      </c>
      <c r="CA46" s="25" t="str">
        <f>IF(P46="Standard","No",MAX(0.01,IF(_xlfn.XLOOKUP(B46,'Base stats'!B:B,'Base stats'!N:N)=0,MROUND(BZ46*P46,0.05),MIN(1,MAX(0.025,MROUND(IF(OR(CC46="true",AND(BJ46="false",BO46="false")),POWER(10,4.15*LOG10(_xlfn.XLOOKUP(B46,'Base stats'!B:B,'Base stats'!C:C)*1000)^-0.73),POWER(10,3.47*LOG10(_xlfn.XLOOKUP(B46,'Base stats'!B:B,'Base stats'!C:C)*1000)^-0.96))*IF(_xlfn.XLOOKUP(B46,'Base stats'!B:B,'Base stats'!AK:AK)=1,0.5,1)/100,0.025))))))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8" t="s">
        <v>685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stats'!O:O)=2,0,1)),0.05),0.985)))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*0.025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*0.025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1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T47" s="8">
        <f>IF(OR(A47="Queen",A47="Larva",A47="Megachicken",A47="Megatardi",A47="Toxscorpion"),"No",IFERROR(MAX(IF(_xlfn.XLOOKUP(B47,'Base stats'!B:B,'Base stats'!G:G)&lt;0.5,0.2,0.3),MROUND(_xlfn.XLOOKUP(B47,'Base stats'!B:B,'Base stats'!G:G)/(365/60),0.2)),"Unknown"))</f>
        <v>0.4</v>
      </c>
      <c r="AU47" s="8">
        <f t="shared" si="0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stats'!N:N)=1,"No",MAX(0.01,MIN(MROUND(IF(OR(_xlfn.XLOOKUP(B47,'Base stats'!B:B,'Base stats'!AM:AM)=1,AND(BJ47="True",CC47="False")),POWER(10,3.47*LOG10(_xlfn.XLOOKUP(B47,'Base stats'!B:B,'Base stats'!C:C)*1000)^-0.96),POWER(10,4.15*LOG10(_xlfn.XLOOKUP(B47,'Base stats'!B:B,'Base stats'!C:C)*1000)^-0.73))*IF(OR(_xlfn.XLOOKUP(B47,'Base stats'!B:B,'Base stats'!AM:AM)=1,_xlfn.XLOOKUP(B47,'Base stats'!B:B,'Base stats'!AK:AK)=1),0.5,1)/100,0.025),0.5)))</f>
        <v>0.1</v>
      </c>
      <c r="CA47" s="25">
        <f>IF(P47="Standard","No",MAX(0.01,IF(_xlfn.XLOOKUP(B47,'Base stats'!B:B,'Base stats'!N:N)=0,MROUND(BZ47*P47,0.05),MIN(1,MAX(0.025,MROUND(IF(OR(CC47="true",AND(BJ47="false",BO47="false")),POWER(10,4.15*LOG10(_xlfn.XLOOKUP(B47,'Base stats'!B:B,'Base stats'!C:C)*1000)^-0.73),POWER(10,3.47*LOG10(_xlfn.XLOOKUP(B47,'Base stats'!B:B,'Base stats'!C:C)*1000)^-0.96))*IF(_xlfn.XLOOKUP(B47,'Base stats'!B:B,'Base stats'!AK:AK)=1,0.5,1)/100,0.025))))))</f>
        <v>0.1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8" t="s">
        <v>685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stats'!O:O)=2,0,1)),0.05),0.985)))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*0.025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*0.025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1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T48" s="8">
        <f>IF(OR(A48="Queen",A48="Larva",A48="Megachicken",A48="Megatardi",A48="Toxscorpion"),"No",IFERROR(MAX(IF(_xlfn.XLOOKUP(B48,'Base stats'!B:B,'Base stats'!G:G)&lt;0.5,0.2,0.3),MROUND(_xlfn.XLOOKUP(B48,'Base stats'!B:B,'Base stats'!G:G)/(365/60),0.2)),"Unknown"))</f>
        <v>0.4</v>
      </c>
      <c r="AU48" s="8">
        <f t="shared" si="0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stats'!N:N)=1,"No",MAX(0.01,MIN(MROUND(IF(OR(_xlfn.XLOOKUP(B48,'Base stats'!B:B,'Base stats'!AM:AM)=1,AND(BJ48="True",CC48="False")),POWER(10,3.47*LOG10(_xlfn.XLOOKUP(B48,'Base stats'!B:B,'Base stats'!C:C)*1000)^-0.96),POWER(10,4.15*LOG10(_xlfn.XLOOKUP(B48,'Base stats'!B:B,'Base stats'!C:C)*1000)^-0.73))*IF(OR(_xlfn.XLOOKUP(B48,'Base stats'!B:B,'Base stats'!AM:AM)=1,_xlfn.XLOOKUP(B48,'Base stats'!B:B,'Base stats'!AK:AK)=1),0.5,1)/100,0.025),0.5)))</f>
        <v>No</v>
      </c>
      <c r="CA48" s="25">
        <f>IF(P48="Standard","No",MAX(0.01,IF(_xlfn.XLOOKUP(B48,'Base stats'!B:B,'Base stats'!N:N)=0,MROUND(BZ48*P48,0.05),MIN(1,MAX(0.025,MROUND(IF(OR(CC48="true",AND(BJ48="false",BO48="false")),POWER(10,4.15*LOG10(_xlfn.XLOOKUP(B48,'Base stats'!B:B,'Base stats'!C:C)*1000)^-0.73),POWER(10,3.47*LOG10(_xlfn.XLOOKUP(B48,'Base stats'!B:B,'Base stats'!C:C)*1000)^-0.96))*IF(_xlfn.XLOOKUP(B48,'Base stats'!B:B,'Base stats'!AK:AK)=1,0.5,1)/100,0.025))))))</f>
        <v>0.1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8" t="s">
        <v>685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stats'!O:O)=2,0,1)),0.05),0.985)))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*0.025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*0.025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1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T49" s="8">
        <f>IF(OR(A49="Queen",A49="Larva",A49="Megachicken",A49="Megatardi",A49="Toxscorpion"),"No",IFERROR(MAX(IF(_xlfn.XLOOKUP(B49,'Base stats'!B:B,'Base stats'!G:G)&lt;0.5,0.2,0.3),MROUND(_xlfn.XLOOKUP(B49,'Base stats'!B:B,'Base stats'!G:G)/(365/60),0.2)),"Unknown"))</f>
        <v>0.3</v>
      </c>
      <c r="AU49" s="8">
        <f t="shared" si="0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stats'!N:N)=1,"No",MAX(0.01,MIN(MROUND(IF(OR(_xlfn.XLOOKUP(B49,'Base stats'!B:B,'Base stats'!AM:AM)=1,AND(BJ49="True",CC49="False")),POWER(10,3.47*LOG10(_xlfn.XLOOKUP(B49,'Base stats'!B:B,'Base stats'!C:C)*1000)^-0.96),POWER(10,4.15*LOG10(_xlfn.XLOOKUP(B49,'Base stats'!B:B,'Base stats'!C:C)*1000)^-0.73))*IF(OR(_xlfn.XLOOKUP(B49,'Base stats'!B:B,'Base stats'!AM:AM)=1,_xlfn.XLOOKUP(B49,'Base stats'!B:B,'Base stats'!AK:AK)=1),0.5,1)/100,0.025),0.5)))</f>
        <v>0.17500000000000002</v>
      </c>
      <c r="CA49" s="25" t="str">
        <f>IF(P49="Standard","No",MAX(0.01,IF(_xlfn.XLOOKUP(B49,'Base stats'!B:B,'Base stats'!N:N)=0,MROUND(BZ49*P49,0.05),MIN(1,MAX(0.025,MROUND(IF(OR(CC49="true",AND(BJ49="false",BO49="false")),POWER(10,4.15*LOG10(_xlfn.XLOOKUP(B49,'Base stats'!B:B,'Base stats'!C:C)*1000)^-0.73),POWER(10,3.47*LOG10(_xlfn.XLOOKUP(B49,'Base stats'!B:B,'Base stats'!C:C)*1000)^-0.96))*IF(_xlfn.XLOOKUP(B49,'Base stats'!B:B,'Base stats'!AK:AK)=1,0.5,1)/100,0.025))))))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8" t="s">
        <v>685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stats'!O:O)=2,0,1)),0.05),0.985)))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*0.025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*0.025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1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IFERROR(IF(_xlfn.XLOOKUP(B50,'Base stats'!B:B,'Base stats'!F:F)="Lay eggs","Lay eggs",MIN(20,MAX(5.5,ROUND(((_xlfn.XLOOKUP(B50,'Base stats'!B:B,'Base stats'!F:F)-25)*(14.5/615) + 5.5)*2,0)/2))),"Cannot breed")</f>
        <v>9</v>
      </c>
      <c r="AT50" s="8">
        <f>IF(OR(A50="Queen",A50="Larva",A50="Megachicken",A50="Megatardi",A50="Toxscorpion"),"No",IFERROR(MAX(IF(_xlfn.XLOOKUP(B50,'Base stats'!B:B,'Base stats'!G:G)&lt;0.5,0.2,0.3),MROUND(_xlfn.XLOOKUP(B50,'Base stats'!B:B,'Base stats'!G:G)/(365/60),0.2)),"Unknown"))</f>
        <v>0.4</v>
      </c>
      <c r="AU50" s="8">
        <f t="shared" si="0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stats'!N:N)=1,"No",MAX(0.01,MIN(MROUND(IF(OR(_xlfn.XLOOKUP(B50,'Base stats'!B:B,'Base stats'!AM:AM)=1,AND(BJ50="True",CC50="False")),POWER(10,3.47*LOG10(_xlfn.XLOOKUP(B50,'Base stats'!B:B,'Base stats'!C:C)*1000)^-0.96),POWER(10,4.15*LOG10(_xlfn.XLOOKUP(B50,'Base stats'!B:B,'Base stats'!C:C)*1000)^-0.73))*IF(OR(_xlfn.XLOOKUP(B50,'Base stats'!B:B,'Base stats'!AM:AM)=1,_xlfn.XLOOKUP(B50,'Base stats'!B:B,'Base stats'!AK:AK)=1),0.5,1)/100,0.025),0.5)))</f>
        <v>0.2</v>
      </c>
      <c r="CA50" s="25" t="str">
        <f>IF(P50="Standard","No",MAX(0.01,IF(_xlfn.XLOOKUP(B50,'Base stats'!B:B,'Base stats'!N:N)=0,MROUND(BZ50*P50,0.05),MIN(1,MAX(0.025,MROUND(IF(OR(CC50="true",AND(BJ50="false",BO50="false")),POWER(10,4.15*LOG10(_xlfn.XLOOKUP(B50,'Base stats'!B:B,'Base stats'!C:C)*1000)^-0.73),POWER(10,3.47*LOG10(_xlfn.XLOOKUP(B50,'Base stats'!B:B,'Base stats'!C:C)*1000)^-0.96))*IF(_xlfn.XLOOKUP(B50,'Base stats'!B:B,'Base stats'!AK:AK)=1,0.5,1)/100,0.025))))))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8" t="s">
        <v>685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stats'!O:O)=2,0,1)),0.05),0.985)))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*0.025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*0.025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1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T51" s="8">
        <f>IF(OR(A51="Queen",A51="Larva",A51="Megachicken",A51="Megatardi",A51="Toxscorpion"),"No",IFERROR(MAX(IF(_xlfn.XLOOKUP(B51,'Base stats'!B:B,'Base stats'!G:G)&lt;0.5,0.2,0.3),MROUND(_xlfn.XLOOKUP(B51,'Base stats'!B:B,'Base stats'!G:G)/(365/60),0.2)),"Unknown"))</f>
        <v>0.3</v>
      </c>
      <c r="AU51" s="8">
        <f t="shared" si="0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stats'!N:N)=1,"No",MAX(0.01,MIN(MROUND(IF(OR(_xlfn.XLOOKUP(B51,'Base stats'!B:B,'Base stats'!AM:AM)=1,AND(BJ51="True",CC51="False")),POWER(10,3.47*LOG10(_xlfn.XLOOKUP(B51,'Base stats'!B:B,'Base stats'!C:C)*1000)^-0.96),POWER(10,4.15*LOG10(_xlfn.XLOOKUP(B51,'Base stats'!B:B,'Base stats'!C:C)*1000)^-0.73))*IF(OR(_xlfn.XLOOKUP(B51,'Base stats'!B:B,'Base stats'!AM:AM)=1,_xlfn.XLOOKUP(B51,'Base stats'!B:B,'Base stats'!AK:AK)=1),0.5,1)/100,0.025),0.5)))</f>
        <v>0.2</v>
      </c>
      <c r="CA51" s="25" t="str">
        <f>IF(P51="Standard","No",MAX(0.01,IF(_xlfn.XLOOKUP(B51,'Base stats'!B:B,'Base stats'!N:N)=0,MROUND(BZ51*P51,0.05),MIN(1,MAX(0.025,MROUND(IF(OR(CC51="true",AND(BJ51="false",BO51="false")),POWER(10,4.15*LOG10(_xlfn.XLOOKUP(B51,'Base stats'!B:B,'Base stats'!C:C)*1000)^-0.73),POWER(10,3.47*LOG10(_xlfn.XLOOKUP(B51,'Base stats'!B:B,'Base stats'!C:C)*1000)^-0.96))*IF(_xlfn.XLOOKUP(B51,'Base stats'!B:B,'Base stats'!AK:AK)=1,0.5,1)/100,0.025))))))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8" t="s">
        <v>685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stats'!O:O)=2,0,1)),0.05),0.985)))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*0.025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*0.025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1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T52" s="8">
        <f>IF(OR(A52="Queen",A52="Larva",A52="Megachicken",A52="Megatardi",A52="Toxscorpion"),"No",IFERROR(MAX(IF(_xlfn.XLOOKUP(B52,'Base stats'!B:B,'Base stats'!G:G)&lt;0.5,0.2,0.3),MROUND(_xlfn.XLOOKUP(B52,'Base stats'!B:B,'Base stats'!G:G)/(365/60),0.2)),"Unknown"))</f>
        <v>0.3</v>
      </c>
      <c r="AU52" s="8">
        <f t="shared" si="0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stats'!N:N)=1,"No",MAX(0.01,MIN(MROUND(IF(OR(_xlfn.XLOOKUP(B52,'Base stats'!B:B,'Base stats'!AM:AM)=1,AND(BJ52="True",CC52="False")),POWER(10,3.47*LOG10(_xlfn.XLOOKUP(B52,'Base stats'!B:B,'Base stats'!C:C)*1000)^-0.96),POWER(10,4.15*LOG10(_xlfn.XLOOKUP(B52,'Base stats'!B:B,'Base stats'!C:C)*1000)^-0.73))*IF(OR(_xlfn.XLOOKUP(B52,'Base stats'!B:B,'Base stats'!AM:AM)=1,_xlfn.XLOOKUP(B52,'Base stats'!B:B,'Base stats'!AK:AK)=1),0.5,1)/100,0.025),0.5)))</f>
        <v>0.2</v>
      </c>
      <c r="CA52" s="25" t="str">
        <f>IF(P52="Standard","No",MAX(0.01,IF(_xlfn.XLOOKUP(B52,'Base stats'!B:B,'Base stats'!N:N)=0,MROUND(BZ52*P52,0.05),MIN(1,MAX(0.025,MROUND(IF(OR(CC52="true",AND(BJ52="false",BO52="false")),POWER(10,4.15*LOG10(_xlfn.XLOOKUP(B52,'Base stats'!B:B,'Base stats'!C:C)*1000)^-0.73),POWER(10,3.47*LOG10(_xlfn.XLOOKUP(B52,'Base stats'!B:B,'Base stats'!C:C)*1000)^-0.96))*IF(_xlfn.XLOOKUP(B52,'Base stats'!B:B,'Base stats'!AK:AK)=1,0.5,1)/100,0.025))))))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8" t="s">
        <v>685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stats'!O:O)=2,0,1)),0.05),0.985)))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*0.025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*0.025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1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IFERROR(IF(_xlfn.XLOOKUP(B53,'Base stats'!B:B,'Base stats'!F:F)="Lay eggs","Lay eggs",MIN(20,MAX(5.5,ROUND(((_xlfn.XLOOKUP(B53,'Base stats'!B:B,'Base stats'!F:F)-25)*(14.5/615) + 5.5)*2,0)/2))),"Cannot breed")</f>
        <v>10</v>
      </c>
      <c r="AT53" s="8">
        <f>IF(OR(A53="Queen",A53="Larva",A53="Megachicken",A53="Megatardi",A53="Toxscorpion"),"No",IFERROR(MAX(IF(_xlfn.XLOOKUP(B53,'Base stats'!B:B,'Base stats'!G:G)&lt;0.5,0.2,0.3),MROUND(_xlfn.XLOOKUP(B53,'Base stats'!B:B,'Base stats'!G:G)/(365/60),0.2)),"Unknown"))</f>
        <v>0.3</v>
      </c>
      <c r="AU53" s="8">
        <f t="shared" si="0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stats'!N:N)=1,"No",MAX(0.01,MIN(MROUND(IF(OR(_xlfn.XLOOKUP(B53,'Base stats'!B:B,'Base stats'!AM:AM)=1,AND(BJ53="True",CC53="False")),POWER(10,3.47*LOG10(_xlfn.XLOOKUP(B53,'Base stats'!B:B,'Base stats'!C:C)*1000)^-0.96),POWER(10,4.15*LOG10(_xlfn.XLOOKUP(B53,'Base stats'!B:B,'Base stats'!C:C)*1000)^-0.73))*IF(OR(_xlfn.XLOOKUP(B53,'Base stats'!B:B,'Base stats'!AM:AM)=1,_xlfn.XLOOKUP(B53,'Base stats'!B:B,'Base stats'!AK:AK)=1),0.5,1)/100,0.025),0.5)))</f>
        <v>0.22500000000000001</v>
      </c>
      <c r="CA53" s="25" t="str">
        <f>IF(P53="Standard","No",MAX(0.01,IF(_xlfn.XLOOKUP(B53,'Base stats'!B:B,'Base stats'!N:N)=0,MROUND(BZ53*P53,0.05),MIN(1,MAX(0.025,MROUND(IF(OR(CC53="true",AND(BJ53="false",BO53="false")),POWER(10,4.15*LOG10(_xlfn.XLOOKUP(B53,'Base stats'!B:B,'Base stats'!C:C)*1000)^-0.73),POWER(10,3.47*LOG10(_xlfn.XLOOKUP(B53,'Base stats'!B:B,'Base stats'!C:C)*1000)^-0.96))*IF(_xlfn.XLOOKUP(B53,'Base stats'!B:B,'Base stats'!AK:AK)=1,0.5,1)/100,0.025))))))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8" t="s">
        <v>685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stats'!O:O)=2,0,1)),0.05),0.985)))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*0.025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*0.025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1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IFERROR(IF(_xlfn.XLOOKUP(B54,'Base stats'!B:B,'Base stats'!F:F)="Lay eggs","Lay eggs",MIN(20,MAX(5.5,ROUND(((_xlfn.XLOOKUP(B54,'Base stats'!B:B,'Base stats'!F:F)-25)*(14.5/615) + 5.5)*2,0)/2))),"Cannot breed")</f>
        <v>9</v>
      </c>
      <c r="AT54" s="8">
        <f>IF(OR(A54="Queen",A54="Larva",A54="Megachicken",A54="Megatardi",A54="Toxscorpion"),"No",IFERROR(MAX(IF(_xlfn.XLOOKUP(B54,'Base stats'!B:B,'Base stats'!G:G)&lt;0.5,0.2,0.3),MROUND(_xlfn.XLOOKUP(B54,'Base stats'!B:B,'Base stats'!G:G)/(365/60),0.2)),"Unknown"))</f>
        <v>0.3</v>
      </c>
      <c r="AU54" s="8">
        <f t="shared" si="0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stats'!N:N)=1,"No",MAX(0.01,MIN(MROUND(IF(OR(_xlfn.XLOOKUP(B54,'Base stats'!B:B,'Base stats'!AM:AM)=1,AND(BJ54="True",CC54="False")),POWER(10,3.47*LOG10(_xlfn.XLOOKUP(B54,'Base stats'!B:B,'Base stats'!C:C)*1000)^-0.96),POWER(10,4.15*LOG10(_xlfn.XLOOKUP(B54,'Base stats'!B:B,'Base stats'!C:C)*1000)^-0.73))*IF(OR(_xlfn.XLOOKUP(B54,'Base stats'!B:B,'Base stats'!AM:AM)=1,_xlfn.XLOOKUP(B54,'Base stats'!B:B,'Base stats'!AK:AK)=1),0.5,1)/100,0.025),0.5)))</f>
        <v>0.25</v>
      </c>
      <c r="CA54" s="25" t="str">
        <f>IF(P54="Standard","No",MAX(0.01,IF(_xlfn.XLOOKUP(B54,'Base stats'!B:B,'Base stats'!N:N)=0,MROUND(BZ54*P54,0.05),MIN(1,MAX(0.025,MROUND(IF(OR(CC54="true",AND(BJ54="false",BO54="false")),POWER(10,4.15*LOG10(_xlfn.XLOOKUP(B54,'Base stats'!B:B,'Base stats'!C:C)*1000)^-0.73),POWER(10,3.47*LOG10(_xlfn.XLOOKUP(B54,'Base stats'!B:B,'Base stats'!C:C)*1000)^-0.96))*IF(_xlfn.XLOOKUP(B54,'Base stats'!B:B,'Base stats'!AK:AK)=1,0.5,1)/100,0.025))))))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8" t="s">
        <v>685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stats'!O:O)=2,0,1)),0.05),0.985)))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*0.025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*0.025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1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T55" s="8">
        <f>IF(OR(A55="Queen",A55="Larva",A55="Megachicken",A55="Megatardi",A55="Toxscorpion"),"No",IFERROR(MAX(IF(_xlfn.XLOOKUP(B55,'Base stats'!B:B,'Base stats'!G:G)&lt;0.5,0.2,0.3),MROUND(_xlfn.XLOOKUP(B55,'Base stats'!B:B,'Base stats'!G:G)/(365/60),0.2)),"Unknown"))</f>
        <v>0.4</v>
      </c>
      <c r="AU55" s="8">
        <f t="shared" si="0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stats'!N:N)=1,"No",MAX(0.01,MIN(MROUND(IF(OR(_xlfn.XLOOKUP(B55,'Base stats'!B:B,'Base stats'!AM:AM)=1,AND(BJ55="True",CC55="False")),POWER(10,3.47*LOG10(_xlfn.XLOOKUP(B55,'Base stats'!B:B,'Base stats'!C:C)*1000)^-0.96),POWER(10,4.15*LOG10(_xlfn.XLOOKUP(B55,'Base stats'!B:B,'Base stats'!C:C)*1000)^-0.73))*IF(OR(_xlfn.XLOOKUP(B55,'Base stats'!B:B,'Base stats'!AM:AM)=1,_xlfn.XLOOKUP(B55,'Base stats'!B:B,'Base stats'!AK:AK)=1),0.5,1)/100,0.025),0.5)))</f>
        <v>0.05</v>
      </c>
      <c r="CA55" s="25">
        <f>IF(P55="Standard","No",MAX(0.01,IF(_xlfn.XLOOKUP(B55,'Base stats'!B:B,'Base stats'!N:N)=0,MROUND(BZ55*P55,0.05),MIN(1,MAX(0.025,MROUND(IF(OR(CC55="true",AND(BJ55="false",BO55="false")),POWER(10,4.15*LOG10(_xlfn.XLOOKUP(B55,'Base stats'!B:B,'Base stats'!C:C)*1000)^-0.73),POWER(10,3.47*LOG10(_xlfn.XLOOKUP(B55,'Base stats'!B:B,'Base stats'!C:C)*1000)^-0.96))*IF(_xlfn.XLOOKUP(B55,'Base stats'!B:B,'Base stats'!AK:AK)=1,0.5,1)/100,0.025))))))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8" t="s">
        <v>685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stats'!O:O)=2,0,1)),0.05),0.985)))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*0.025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*0.025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1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T56" s="8">
        <f>IF(OR(A56="Queen",A56="Larva",A56="Megachicken",A56="Megatardi",A56="Toxscorpion"),"No",IFERROR(MAX(IF(_xlfn.XLOOKUP(B56,'Base stats'!B:B,'Base stats'!G:G)&lt;0.5,0.2,0.3),MROUND(_xlfn.XLOOKUP(B56,'Base stats'!B:B,'Base stats'!G:G)/(365/60),0.2)),"Unknown"))</f>
        <v>0.4</v>
      </c>
      <c r="AU56" s="8">
        <f t="shared" si="0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stats'!N:N)=1,"No",MAX(0.01,MIN(MROUND(IF(OR(_xlfn.XLOOKUP(B56,'Base stats'!B:B,'Base stats'!AM:AM)=1,AND(BJ56="True",CC56="False")),POWER(10,3.47*LOG10(_xlfn.XLOOKUP(B56,'Base stats'!B:B,'Base stats'!C:C)*1000)^-0.96),POWER(10,4.15*LOG10(_xlfn.XLOOKUP(B56,'Base stats'!B:B,'Base stats'!C:C)*1000)^-0.73))*IF(OR(_xlfn.XLOOKUP(B56,'Base stats'!B:B,'Base stats'!AM:AM)=1,_xlfn.XLOOKUP(B56,'Base stats'!B:B,'Base stats'!AK:AK)=1),0.5,1)/100,0.025),0.5)))</f>
        <v>7.5000000000000011E-2</v>
      </c>
      <c r="CA56" s="25" t="str">
        <f>IF(P56="Standard","No",MAX(0.01,IF(_xlfn.XLOOKUP(B56,'Base stats'!B:B,'Base stats'!N:N)=0,MROUND(BZ56*P56,0.05),MIN(1,MAX(0.025,MROUND(IF(OR(CC56="true",AND(BJ56="false",BO56="false")),POWER(10,4.15*LOG10(_xlfn.XLOOKUP(B56,'Base stats'!B:B,'Base stats'!C:C)*1000)^-0.73),POWER(10,3.47*LOG10(_xlfn.XLOOKUP(B56,'Base stats'!B:B,'Base stats'!C:C)*1000)^-0.96))*IF(_xlfn.XLOOKUP(B56,'Base stats'!B:B,'Base stats'!AK:AK)=1,0.5,1)/100,0.025))))))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8" t="s">
        <v>685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stats'!O:O)=2,0,1)),0.05),0.985)))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*0.025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*0.025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1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T57" s="8">
        <f>IF(OR(A57="Queen",A57="Larva",A57="Megachicken",A57="Megatardi",A57="Toxscorpion"),"No",IFERROR(MAX(IF(_xlfn.XLOOKUP(B57,'Base stats'!B:B,'Base stats'!G:G)&lt;0.5,0.2,0.3),MROUND(_xlfn.XLOOKUP(B57,'Base stats'!B:B,'Base stats'!G:G)/(365/60),0.2)),"Unknown"))</f>
        <v>0.4</v>
      </c>
      <c r="AU57" s="8">
        <f t="shared" si="0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stats'!N:N)=1,"No",MAX(0.01,MIN(MROUND(IF(OR(_xlfn.XLOOKUP(B57,'Base stats'!B:B,'Base stats'!AM:AM)=1,AND(BJ57="True",CC57="False")),POWER(10,3.47*LOG10(_xlfn.XLOOKUP(B57,'Base stats'!B:B,'Base stats'!C:C)*1000)^-0.96),POWER(10,4.15*LOG10(_xlfn.XLOOKUP(B57,'Base stats'!B:B,'Base stats'!C:C)*1000)^-0.73))*IF(OR(_xlfn.XLOOKUP(B57,'Base stats'!B:B,'Base stats'!AM:AM)=1,_xlfn.XLOOKUP(B57,'Base stats'!B:B,'Base stats'!AK:AK)=1),0.5,1)/100,0.025),0.5)))</f>
        <v>7.5000000000000011E-2</v>
      </c>
      <c r="CA57" s="25" t="str">
        <f>IF(P57="Standard","No",MAX(0.01,IF(_xlfn.XLOOKUP(B57,'Base stats'!B:B,'Base stats'!N:N)=0,MROUND(BZ57*P57,0.05),MIN(1,MAX(0.025,MROUND(IF(OR(CC57="true",AND(BJ57="false",BO57="false")),POWER(10,4.15*LOG10(_xlfn.XLOOKUP(B57,'Base stats'!B:B,'Base stats'!C:C)*1000)^-0.73),POWER(10,3.47*LOG10(_xlfn.XLOOKUP(B57,'Base stats'!B:B,'Base stats'!C:C)*1000)^-0.96))*IF(_xlfn.XLOOKUP(B57,'Base stats'!B:B,'Base stats'!AK:AK)=1,0.5,1)/100,0.025))))))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8" t="s">
        <v>685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150</v>
      </c>
      <c r="I58" s="2">
        <f>MROUND(ROUNDDOWN(_xlfn.XLOOKUP(B58,'Base stats'!B:B,'Base stats'!L:L)/3.6/(23.3/11),1),0.5)</f>
        <v>5.5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stats'!O:O)=2,0,1)),0.05),0.985)))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*0.025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*0.025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1.35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1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P58" s="8">
        <f>MROUND(AO58*_xlfn.XLOOKUP(_xlfn.XLOOKUP(B58,'Base stats'!B:B,'Base stats'!E:E),Groups!A:A,Groups!AI:AI)*_xlfn.XLOOKUP(B58,'Base stats'!B:B,'Base stats'!Z:Z),0.05)</f>
        <v>0.4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0.30000000000000004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IFERROR(IF(_xlfn.XLOOKUP(B58,'Base stats'!B:B,'Base stats'!F:F)="Lay eggs","Lay eggs",MIN(20,MAX(5.5,ROUND(((_xlfn.XLOOKUP(B58,'Base stats'!B:B,'Base stats'!F:F)-25)*(14.5/615) + 5.5)*2,0)/2))),"Cannot breed")</f>
        <v>6</v>
      </c>
      <c r="AT58" s="8">
        <f>IF(OR(A58="Queen",A58="Larva",A58="Megachicken",A58="Megatardi",A58="Toxscorpion"),"No",IFERROR(MAX(IF(_xlfn.XLOOKUP(B58,'Base stats'!B:B,'Base stats'!G:G)&lt;0.5,0.2,0.3),MROUND(_xlfn.XLOOKUP(B58,'Base stats'!B:B,'Base stats'!G:G)/(365/60),0.2)),"Unknown"))</f>
        <v>0.3</v>
      </c>
      <c r="AU58" s="8">
        <f t="shared" si="0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55</v>
      </c>
      <c r="BS58" s="8">
        <f t="shared" si="5"/>
        <v>0.30000000000000004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stats'!N:N)=1,"No",MAX(0.01,MIN(MROUND(IF(OR(_xlfn.XLOOKUP(B58,'Base stats'!B:B,'Base stats'!AM:AM)=1,AND(BJ58="True",CC58="False")),POWER(10,3.47*LOG10(_xlfn.XLOOKUP(B58,'Base stats'!B:B,'Base stats'!C:C)*1000)^-0.96),POWER(10,4.15*LOG10(_xlfn.XLOOKUP(B58,'Base stats'!B:B,'Base stats'!C:C)*1000)^-0.73))*IF(OR(_xlfn.XLOOKUP(B58,'Base stats'!B:B,'Base stats'!AM:AM)=1,_xlfn.XLOOKUP(B58,'Base stats'!B:B,'Base stats'!AK:AK)=1),0.5,1)/100,0.025),0.5)))</f>
        <v>0.1</v>
      </c>
      <c r="CA58" s="25" t="str">
        <f>IF(P58="Standard","No",MAX(0.01,IF(_xlfn.XLOOKUP(B58,'Base stats'!B:B,'Base stats'!N:N)=0,MROUND(BZ58*P58,0.05),MIN(1,MAX(0.025,MROUND(IF(OR(CC58="true",AND(BJ58="false",BO58="false")),POWER(10,4.15*LOG10(_xlfn.XLOOKUP(B58,'Base stats'!B:B,'Base stats'!C:C)*1000)^-0.73),POWER(10,3.47*LOG10(_xlfn.XLOOKUP(B58,'Base stats'!B:B,'Base stats'!C:C)*1000)^-0.96))*IF(_xlfn.XLOOKUP(B58,'Base stats'!B:B,'Base stats'!AK:AK)=1,0.5,1)/100,0.025))))))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8" t="s">
        <v>685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stats'!O:O)=2,0,1)),0.05),0.985)))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*0.025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*0.025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1.25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4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1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P59" s="8">
        <f>MROUND(AO59*_xlfn.XLOOKUP(_xlfn.XLOOKUP(B59,'Base stats'!B:B,'Base stats'!E:E),Groups!A:A,Groups!AI:AI)*_xlfn.XLOOKUP(B59,'Base stats'!B:B,'Base stats'!Z:Z),0.05)</f>
        <v>0.30000000000000004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0.25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IFERROR(IF(_xlfn.XLOOKUP(B59,'Base stats'!B:B,'Base stats'!F:F)="Lay eggs","Lay eggs",MIN(20,MAX(5.5,ROUND(((_xlfn.XLOOKUP(B59,'Base stats'!B:B,'Base stats'!F:F)-25)*(14.5/615) + 5.5)*2,0)/2))),"Cannot breed")</f>
        <v>6</v>
      </c>
      <c r="AT59" s="8">
        <f>IF(OR(A59="Queen",A59="Larva",A59="Megachicken",A59="Megatardi",A59="Toxscorpion"),"No",IFERROR(MAX(IF(_xlfn.XLOOKUP(B59,'Base stats'!B:B,'Base stats'!G:G)&lt;0.5,0.2,0.3),MROUND(_xlfn.XLOOKUP(B59,'Base stats'!B:B,'Base stats'!G:G)/(365/60),0.2)),"Unknown"))</f>
        <v>0.3</v>
      </c>
      <c r="AU59" s="8">
        <f t="shared" si="0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0.1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45</v>
      </c>
      <c r="BS59" s="8">
        <f t="shared" si="5"/>
        <v>0.25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stats'!N:N)=1,"No",MAX(0.01,MIN(MROUND(IF(OR(_xlfn.XLOOKUP(B59,'Base stats'!B:B,'Base stats'!AM:AM)=1,AND(BJ59="True",CC59="False")),POWER(10,3.47*LOG10(_xlfn.XLOOKUP(B59,'Base stats'!B:B,'Base stats'!C:C)*1000)^-0.96),POWER(10,4.15*LOG10(_xlfn.XLOOKUP(B59,'Base stats'!B:B,'Base stats'!C:C)*1000)^-0.73))*IF(OR(_xlfn.XLOOKUP(B59,'Base stats'!B:B,'Base stats'!AM:AM)=1,_xlfn.XLOOKUP(B59,'Base stats'!B:B,'Base stats'!AK:AK)=1),0.5,1)/100,0.025),0.5)))</f>
        <v>0.1</v>
      </c>
      <c r="CA59" s="25" t="str">
        <f>IF(P59="Standard","No",MAX(0.01,IF(_xlfn.XLOOKUP(B59,'Base stats'!B:B,'Base stats'!N:N)=0,MROUND(BZ59*P59,0.05),MIN(1,MAX(0.025,MROUND(IF(OR(CC59="true",AND(BJ59="false",BO59="false")),POWER(10,4.15*LOG10(_xlfn.XLOOKUP(B59,'Base stats'!B:B,'Base stats'!C:C)*1000)^-0.73),POWER(10,3.47*LOG10(_xlfn.XLOOKUP(B59,'Base stats'!B:B,'Base stats'!C:C)*1000)^-0.96))*IF(_xlfn.XLOOKUP(B59,'Base stats'!B:B,'Base stats'!AK:AK)=1,0.5,1)/100,0.025))))))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8" t="s">
        <v>685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stats'!O:O)=2,0,1)),0.05),0.985)))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*0.025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*0.025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1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IFERROR(IF(_xlfn.XLOOKUP(B60,'Base stats'!B:B,'Base stats'!F:F)="Lay eggs","Lay eggs",MIN(20,MAX(5.5,ROUND(((_xlfn.XLOOKUP(B60,'Base stats'!B:B,'Base stats'!F:F)-25)*(14.5/615) + 5.5)*2,0)/2))),"Cannot breed")</f>
        <v>6</v>
      </c>
      <c r="AT60" s="8">
        <f>IF(OR(A60="Queen",A60="Larva",A60="Megachicken",A60="Megatardi",A60="Toxscorpion"),"No",IFERROR(MAX(IF(_xlfn.XLOOKUP(B60,'Base stats'!B:B,'Base stats'!G:G)&lt;0.5,0.2,0.3),MROUND(_xlfn.XLOOKUP(B60,'Base stats'!B:B,'Base stats'!G:G)/(365/60),0.2)),"Unknown"))</f>
        <v>0.3</v>
      </c>
      <c r="AU60" s="8">
        <f t="shared" si="0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stats'!N:N)=1,"No",MAX(0.01,MIN(MROUND(IF(OR(_xlfn.XLOOKUP(B60,'Base stats'!B:B,'Base stats'!AM:AM)=1,AND(BJ60="True",CC60="False")),POWER(10,3.47*LOG10(_xlfn.XLOOKUP(B60,'Base stats'!B:B,'Base stats'!C:C)*1000)^-0.96),POWER(10,4.15*LOG10(_xlfn.XLOOKUP(B60,'Base stats'!B:B,'Base stats'!C:C)*1000)^-0.73))*IF(OR(_xlfn.XLOOKUP(B60,'Base stats'!B:B,'Base stats'!AM:AM)=1,_xlfn.XLOOKUP(B60,'Base stats'!B:B,'Base stats'!AK:AK)=1),0.5,1)/100,0.025),0.5)))</f>
        <v>0.125</v>
      </c>
      <c r="CA60" s="25" t="str">
        <f>IF(P60="Standard","No",MAX(0.01,IF(_xlfn.XLOOKUP(B60,'Base stats'!B:B,'Base stats'!N:N)=0,MROUND(BZ60*P60,0.05),MIN(1,MAX(0.025,MROUND(IF(OR(CC60="true",AND(BJ60="false",BO60="false")),POWER(10,4.15*LOG10(_xlfn.XLOOKUP(B60,'Base stats'!B:B,'Base stats'!C:C)*1000)^-0.73),POWER(10,3.47*LOG10(_xlfn.XLOOKUP(B60,'Base stats'!B:B,'Base stats'!C:C)*1000)^-0.96))*IF(_xlfn.XLOOKUP(B60,'Base stats'!B:B,'Base stats'!AK:AK)=1,0.5,1)/100,0.025))))))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8" t="s">
        <v>685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stats'!O:O)=2,0,1)),0.05),0.985)))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*0.025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*0.025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1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IFERROR(IF(_xlfn.XLOOKUP(B61,'Base stats'!B:B,'Base stats'!F:F)="Lay eggs","Lay eggs",MIN(20,MAX(5.5,ROUND(((_xlfn.XLOOKUP(B61,'Base stats'!B:B,'Base stats'!F:F)-25)*(14.5/615) + 5.5)*2,0)/2))),"Cannot breed")</f>
        <v>7</v>
      </c>
      <c r="AT61" s="8">
        <f>IF(OR(A61="Queen",A61="Larva",A61="Megachicken",A61="Megatardi",A61="Toxscorpion"),"No",IFERROR(MAX(IF(_xlfn.XLOOKUP(B61,'Base stats'!B:B,'Base stats'!G:G)&lt;0.5,0.2,0.3),MROUND(_xlfn.XLOOKUP(B61,'Base stats'!B:B,'Base stats'!G:G)/(365/60),0.2)),"Unknown"))</f>
        <v>0.3</v>
      </c>
      <c r="AU61" s="8">
        <f t="shared" si="0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stats'!N:N)=1,"No",MAX(0.01,MIN(MROUND(IF(OR(_xlfn.XLOOKUP(B61,'Base stats'!B:B,'Base stats'!AM:AM)=1,AND(BJ61="True",CC61="False")),POWER(10,3.47*LOG10(_xlfn.XLOOKUP(B61,'Base stats'!B:B,'Base stats'!C:C)*1000)^-0.96),POWER(10,4.15*LOG10(_xlfn.XLOOKUP(B61,'Base stats'!B:B,'Base stats'!C:C)*1000)^-0.73))*IF(OR(_xlfn.XLOOKUP(B61,'Base stats'!B:B,'Base stats'!AM:AM)=1,_xlfn.XLOOKUP(B61,'Base stats'!B:B,'Base stats'!AK:AK)=1),0.5,1)/100,0.025),0.5)))</f>
        <v>No</v>
      </c>
      <c r="CA61" s="25">
        <f>IF(P61="Standard","No",MAX(0.01,IF(_xlfn.XLOOKUP(B61,'Base stats'!B:B,'Base stats'!N:N)=0,MROUND(BZ61*P61,0.05),MIN(1,MAX(0.025,MROUND(IF(OR(CC61="true",AND(BJ61="false",BO61="false")),POWER(10,4.15*LOG10(_xlfn.XLOOKUP(B61,'Base stats'!B:B,'Base stats'!C:C)*1000)^-0.73),POWER(10,3.47*LOG10(_xlfn.XLOOKUP(B61,'Base stats'!B:B,'Base stats'!C:C)*1000)^-0.96))*IF(_xlfn.XLOOKUP(B61,'Base stats'!B:B,'Base stats'!AK:AK)=1,0.5,1)/100,0.025))))))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8" t="s">
        <v>685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stats'!O:O)=2,0,1)),0.05),0.985)))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*0.025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*0.025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FrontRightPaw,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1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IFERROR(IF(_xlfn.XLOOKUP(B62,'Base stats'!B:B,'Base stats'!F:F)="Lay eggs","Lay eggs",MIN(20,MAX(5.5,ROUND(((_xlfn.XLOOKUP(B62,'Base stats'!B:B,'Base stats'!F:F)-25)*(14.5/615) + 5.5)*2,0)/2))),"Cannot breed")</f>
        <v>6</v>
      </c>
      <c r="AT62" s="8">
        <f>IF(OR(A62="Queen",A62="Larva",A62="Megachicken",A62="Megatardi",A62="Toxscorpion"),"No",IFERROR(MAX(IF(_xlfn.XLOOKUP(B62,'Base stats'!B:B,'Base stats'!G:G)&lt;0.5,0.2,0.3),MROUND(_xlfn.XLOOKUP(B62,'Base stats'!B:B,'Base stats'!G:G)/(365/60),0.2)),"Unknown"))</f>
        <v>1</v>
      </c>
      <c r="AU62" s="8">
        <f t="shared" si="0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stats'!N:N)=1,"No",MAX(0.01,MIN(MROUND(IF(OR(_xlfn.XLOOKUP(B62,'Base stats'!B:B,'Base stats'!AM:AM)=1,AND(BJ62="True",CC62="False")),POWER(10,3.47*LOG10(_xlfn.XLOOKUP(B62,'Base stats'!B:B,'Base stats'!C:C)*1000)^-0.96),POWER(10,4.15*LOG10(_xlfn.XLOOKUP(B62,'Base stats'!B:B,'Base stats'!C:C)*1000)^-0.73))*IF(OR(_xlfn.XLOOKUP(B62,'Base stats'!B:B,'Base stats'!AM:AM)=1,_xlfn.XLOOKUP(B62,'Base stats'!B:B,'Base stats'!AK:AK)=1),0.5,1)/100,0.025),0.5)))</f>
        <v>2.5000000000000001E-2</v>
      </c>
      <c r="CA62" s="25" t="str">
        <f>IF(P62="Standard","No",MAX(0.01,IF(_xlfn.XLOOKUP(B62,'Base stats'!B:B,'Base stats'!N:N)=0,MROUND(BZ62*P62,0.05),MIN(1,MAX(0.025,MROUND(IF(OR(CC62="true",AND(BJ62="false",BO62="false")),POWER(10,4.15*LOG10(_xlfn.XLOOKUP(B62,'Base stats'!B:B,'Base stats'!C:C)*1000)^-0.73),POWER(10,3.47*LOG10(_xlfn.XLOOKUP(B62,'Base stats'!B:B,'Base stats'!C:C)*1000)^-0.96))*IF(_xlfn.XLOOKUP(B62,'Base stats'!B:B,'Base stats'!AK:AK)=1,0.5,1)/100,0.025))))))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8" t="s">
        <v>685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stats'!O:O)=2,0,1)),0.05),0.985)))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*0.025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*0.025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1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T63" s="8">
        <f>IF(OR(A63="Queen",A63="Larva",A63="Megachicken",A63="Megatardi",A63="Toxscorpion"),"No",IFERROR(MAX(IF(_xlfn.XLOOKUP(B63,'Base stats'!B:B,'Base stats'!G:G)&lt;0.5,0.2,0.3),MROUND(_xlfn.XLOOKUP(B63,'Base stats'!B:B,'Base stats'!G:G)/(365/60),0.2)),"Unknown"))</f>
        <v>0.2</v>
      </c>
      <c r="AU63" s="8">
        <f t="shared" si="0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stats'!N:N)=1,"No",MAX(0.01,MIN(MROUND(IF(OR(_xlfn.XLOOKUP(B63,'Base stats'!B:B,'Base stats'!AM:AM)=1,AND(BJ63="True",CC63="False")),POWER(10,3.47*LOG10(_xlfn.XLOOKUP(B63,'Base stats'!B:B,'Base stats'!C:C)*1000)^-0.96),POWER(10,4.15*LOG10(_xlfn.XLOOKUP(B63,'Base stats'!B:B,'Base stats'!C:C)*1000)^-0.73))*IF(OR(_xlfn.XLOOKUP(B63,'Base stats'!B:B,'Base stats'!AM:AM)=1,_xlfn.XLOOKUP(B63,'Base stats'!B:B,'Base stats'!AK:AK)=1),0.5,1)/100,0.025),0.5)))</f>
        <v>0.5</v>
      </c>
      <c r="CA63" s="25">
        <f>IF(P63="Standard","No",MAX(0.01,IF(_xlfn.XLOOKUP(B63,'Base stats'!B:B,'Base stats'!N:N)=0,MROUND(BZ63*P63,0.05),MIN(1,MAX(0.025,MROUND(IF(OR(CC63="true",AND(BJ63="false",BO63="false")),POWER(10,4.15*LOG10(_xlfn.XLOOKUP(B63,'Base stats'!B:B,'Base stats'!C:C)*1000)^-0.73),POWER(10,3.47*LOG10(_xlfn.XLOOKUP(B63,'Base stats'!B:B,'Base stats'!C:C)*1000)^-0.96))*IF(_xlfn.XLOOKUP(B63,'Base stats'!B:B,'Base stats'!AK:AK)=1,0.5,1)/100,0.025))))))</f>
        <v>0.4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8" t="s">
        <v>685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stats'!O:O)=2,0,1)),0.05),0.985)))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*0.025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*0.025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1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T64" s="8">
        <f>IF(OR(A64="Queen",A64="Larva",A64="Megachicken",A64="Megatardi",A64="Toxscorpion"),"No",IFERROR(MAX(IF(_xlfn.XLOOKUP(B64,'Base stats'!B:B,'Base stats'!G:G)&lt;0.5,0.2,0.3),MROUND(_xlfn.XLOOKUP(B64,'Base stats'!B:B,'Base stats'!G:G)/(365/60),0.2)),"Unknown"))</f>
        <v>0.3</v>
      </c>
      <c r="AU64" s="8">
        <f t="shared" si="0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stats'!N:N)=1,"No",MAX(0.01,MIN(MROUND(IF(OR(_xlfn.XLOOKUP(B64,'Base stats'!B:B,'Base stats'!AM:AM)=1,AND(BJ64="True",CC64="False")),POWER(10,3.47*LOG10(_xlfn.XLOOKUP(B64,'Base stats'!B:B,'Base stats'!C:C)*1000)^-0.96),POWER(10,4.15*LOG10(_xlfn.XLOOKUP(B64,'Base stats'!B:B,'Base stats'!C:C)*1000)^-0.73))*IF(OR(_xlfn.XLOOKUP(B64,'Base stats'!B:B,'Base stats'!AM:AM)=1,_xlfn.XLOOKUP(B64,'Base stats'!B:B,'Base stats'!AK:AK)=1),0.5,1)/100,0.025),0.5)))</f>
        <v>0.5</v>
      </c>
      <c r="CA64" s="25" t="str">
        <f>IF(P64="Standard","No",MAX(0.01,IF(_xlfn.XLOOKUP(B64,'Base stats'!B:B,'Base stats'!N:N)=0,MROUND(BZ64*P64,0.05),MIN(1,MAX(0.025,MROUND(IF(OR(CC64="true",AND(BJ64="false",BO64="false")),POWER(10,4.15*LOG10(_xlfn.XLOOKUP(B64,'Base stats'!B:B,'Base stats'!C:C)*1000)^-0.73),POWER(10,3.47*LOG10(_xlfn.XLOOKUP(B64,'Base stats'!B:B,'Base stats'!C:C)*1000)^-0.96))*IF(_xlfn.XLOOKUP(B64,'Base stats'!B:B,'Base stats'!AK:AK)=1,0.5,1)/100,0.025))))))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8" t="s">
        <v>685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stats'!O:O)=2,0,1)),0.05),0.985)))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*0.025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*0.025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1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T65" s="8">
        <f>IF(OR(A65="Queen",A65="Larva",A65="Megachicken",A65="Megatardi",A65="Toxscorpion"),"No",IFERROR(MAX(IF(_xlfn.XLOOKUP(B65,'Base stats'!B:B,'Base stats'!G:G)&lt;0.5,0.2,0.3),MROUND(_xlfn.XLOOKUP(B65,'Base stats'!B:B,'Base stats'!G:G)/(365/60),0.2)),"Unknown"))</f>
        <v>0.4</v>
      </c>
      <c r="AU65" s="8">
        <f t="shared" si="0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stats'!N:N)=1,"No",MAX(0.01,MIN(MROUND(IF(OR(_xlfn.XLOOKUP(B65,'Base stats'!B:B,'Base stats'!AM:AM)=1,AND(BJ65="True",CC65="False")),POWER(10,3.47*LOG10(_xlfn.XLOOKUP(B65,'Base stats'!B:B,'Base stats'!C:C)*1000)^-0.96),POWER(10,4.15*LOG10(_xlfn.XLOOKUP(B65,'Base stats'!B:B,'Base stats'!C:C)*1000)^-0.73))*IF(OR(_xlfn.XLOOKUP(B65,'Base stats'!B:B,'Base stats'!AM:AM)=1,_xlfn.XLOOKUP(B65,'Base stats'!B:B,'Base stats'!AK:AK)=1),0.5,1)/100,0.025),0.5)))</f>
        <v>0.5</v>
      </c>
      <c r="CA65" s="25">
        <f>IF(P65="Standard","No",MAX(0.01,IF(_xlfn.XLOOKUP(B65,'Base stats'!B:B,'Base stats'!N:N)=0,MROUND(BZ65*P65,0.05),MIN(1,MAX(0.025,MROUND(IF(OR(CC65="true",AND(BJ65="false",BO65="false")),POWER(10,4.15*LOG10(_xlfn.XLOOKUP(B65,'Base stats'!B:B,'Base stats'!C:C)*1000)^-0.73),POWER(10,3.47*LOG10(_xlfn.XLOOKUP(B65,'Base stats'!B:B,'Base stats'!C:C)*1000)^-0.96))*IF(_xlfn.XLOOKUP(B65,'Base stats'!B:B,'Base stats'!AK:AK)=1,0.5,1)/100,0.025))))))</f>
        <v>0.4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8" t="s">
        <v>685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stats'!O:O)=2,0,1)),0.05),0.985)))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*0.025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*0.025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1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T66" s="8">
        <f>IF(OR(A66="Queen",A66="Larva",A66="Megachicken",A66="Megatardi",A66="Toxscorpion"),"No",IFERROR(MAX(IF(_xlfn.XLOOKUP(B66,'Base stats'!B:B,'Base stats'!G:G)&lt;0.5,0.2,0.3),MROUND(_xlfn.XLOOKUP(B66,'Base stats'!B:B,'Base stats'!G:G)/(365/60),0.2)),"Unknown"))</f>
        <v>0.4</v>
      </c>
      <c r="AU66" s="8">
        <f t="shared" ref="AU66:AU129" si="7">IF(AT66="No","No",IFERROR(MROUND(AT66/2,0.05),"Unknown"))</f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stats'!N:N)=1,"No",MAX(0.01,MIN(MROUND(IF(OR(_xlfn.XLOOKUP(B66,'Base stats'!B:B,'Base stats'!AM:AM)=1,AND(BJ66="True",CC66="False")),POWER(10,3.47*LOG10(_xlfn.XLOOKUP(B66,'Base stats'!B:B,'Base stats'!C:C)*1000)^-0.96),POWER(10,4.15*LOG10(_xlfn.XLOOKUP(B66,'Base stats'!B:B,'Base stats'!C:C)*1000)^-0.73))*IF(OR(_xlfn.XLOOKUP(B66,'Base stats'!B:B,'Base stats'!AM:AM)=1,_xlfn.XLOOKUP(B66,'Base stats'!B:B,'Base stats'!AK:AK)=1),0.5,1)/100,0.025),0.5)))</f>
        <v>0.5</v>
      </c>
      <c r="CA66" s="25" t="str">
        <f>IF(P66="Standard","No",MAX(0.01,IF(_xlfn.XLOOKUP(B66,'Base stats'!B:B,'Base stats'!N:N)=0,MROUND(BZ66*P66,0.05),MIN(1,MAX(0.025,MROUND(IF(OR(CC66="true",AND(BJ66="false",BO66="false")),POWER(10,4.15*LOG10(_xlfn.XLOOKUP(B66,'Base stats'!B:B,'Base stats'!C:C)*1000)^-0.73),POWER(10,3.47*LOG10(_xlfn.XLOOKUP(B66,'Base stats'!B:B,'Base stats'!C:C)*1000)^-0.96))*IF(_xlfn.XLOOKUP(B66,'Base stats'!B:B,'Base stats'!AK:AK)=1,0.5,1)/100,0.025))))))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8" t="s">
        <v>685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stats'!O:O)=2,0,1)),0.05),0.985)))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*0.025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*0.025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8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T67" s="8">
        <f>IF(OR(A67="Queen",A67="Larva",A67="Megachicken",A67="Megatardi",A67="Toxscorpion"),"No",IFERROR(MAX(IF(_xlfn.XLOOKUP(B67,'Base stats'!B:B,'Base stats'!G:G)&lt;0.5,0.2,0.3),MROUND(_xlfn.XLOOKUP(B67,'Base stats'!B:B,'Base stats'!G:G)/(365/60),0.2)),"Unknown"))</f>
        <v>0.3</v>
      </c>
      <c r="AU67" s="8">
        <f t="shared" si="7"/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8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stats'!N:N)=1,"No",MAX(0.01,MIN(MROUND(IF(OR(_xlfn.XLOOKUP(B67,'Base stats'!B:B,'Base stats'!AM:AM)=1,AND(BJ67="True",CC67="False")),POWER(10,3.47*LOG10(_xlfn.XLOOKUP(B67,'Base stats'!B:B,'Base stats'!C:C)*1000)^-0.96),POWER(10,4.15*LOG10(_xlfn.XLOOKUP(B67,'Base stats'!B:B,'Base stats'!C:C)*1000)^-0.73))*IF(OR(_xlfn.XLOOKUP(B67,'Base stats'!B:B,'Base stats'!AM:AM)=1,_xlfn.XLOOKUP(B67,'Base stats'!B:B,'Base stats'!AK:AK)=1),0.5,1)/100,0.025),0.5)))</f>
        <v>0.5</v>
      </c>
      <c r="CA67" s="25" t="str">
        <f>IF(P67="Standard","No",MAX(0.01,IF(_xlfn.XLOOKUP(B67,'Base stats'!B:B,'Base stats'!N:N)=0,MROUND(BZ67*P67,0.05),MIN(1,MAX(0.025,MROUND(IF(OR(CC67="true",AND(BJ67="false",BO67="false")),POWER(10,4.15*LOG10(_xlfn.XLOOKUP(B67,'Base stats'!B:B,'Base stats'!C:C)*1000)^-0.73),POWER(10,3.47*LOG10(_xlfn.XLOOKUP(B67,'Base stats'!B:B,'Base stats'!C:C)*1000)^-0.96))*IF(_xlfn.XLOOKUP(B67,'Base stats'!B:B,'Base stats'!AK:AK)=1,0.5,1)/100,0.025))))))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8" t="s">
        <v>685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stats'!O:O)=2,0,1)),0.05),0.985)))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*0.025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*0.025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8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T68" s="8">
        <f>IF(OR(A68="Queen",A68="Larva",A68="Megachicken",A68="Megatardi",A68="Toxscorpion"),"No",IFERROR(MAX(IF(_xlfn.XLOOKUP(B68,'Base stats'!B:B,'Base stats'!G:G)&lt;0.5,0.2,0.3),MROUND(_xlfn.XLOOKUP(B68,'Base stats'!B:B,'Base stats'!G:G)/(365/60),0.2)),"Unknown"))</f>
        <v>0.4</v>
      </c>
      <c r="AU68" s="8">
        <f t="shared" si="7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stats'!N:N)=1,"No",MAX(0.01,MIN(MROUND(IF(OR(_xlfn.XLOOKUP(B68,'Base stats'!B:B,'Base stats'!AM:AM)=1,AND(BJ68="True",CC68="False")),POWER(10,3.47*LOG10(_xlfn.XLOOKUP(B68,'Base stats'!B:B,'Base stats'!C:C)*1000)^-0.96),POWER(10,4.15*LOG10(_xlfn.XLOOKUP(B68,'Base stats'!B:B,'Base stats'!C:C)*1000)^-0.73))*IF(OR(_xlfn.XLOOKUP(B68,'Base stats'!B:B,'Base stats'!AM:AM)=1,_xlfn.XLOOKUP(B68,'Base stats'!B:B,'Base stats'!AK:AK)=1),0.5,1)/100,0.025),0.5)))</f>
        <v>0.32500000000000001</v>
      </c>
      <c r="CA68" s="25" t="str">
        <f>IF(P68="Standard","No",MAX(0.01,IF(_xlfn.XLOOKUP(B68,'Base stats'!B:B,'Base stats'!N:N)=0,MROUND(BZ68*P68,0.05),MIN(1,MAX(0.025,MROUND(IF(OR(CC68="true",AND(BJ68="false",BO68="false")),POWER(10,4.15*LOG10(_xlfn.XLOOKUP(B68,'Base stats'!B:B,'Base stats'!C:C)*1000)^-0.73),POWER(10,3.47*LOG10(_xlfn.XLOOKUP(B68,'Base stats'!B:B,'Base stats'!C:C)*1000)^-0.96))*IF(_xlfn.XLOOKUP(B68,'Base stats'!B:B,'Base stats'!AK:AK)=1,0.5,1)/100,0.025))))))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8" t="s">
        <v>685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stats'!O:O)=2,0,1)),0.05),0.985)))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*0.025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*0.025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8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T69" s="8">
        <f>IF(OR(A69="Queen",A69="Larva",A69="Megachicken",A69="Megatardi",A69="Toxscorpion"),"No",IFERROR(MAX(IF(_xlfn.XLOOKUP(B69,'Base stats'!B:B,'Base stats'!G:G)&lt;0.5,0.2,0.3),MROUND(_xlfn.XLOOKUP(B69,'Base stats'!B:B,'Base stats'!G:G)/(365/60),0.2)),"Unknown"))</f>
        <v>0.4</v>
      </c>
      <c r="AU69" s="8">
        <f t="shared" si="7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8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stats'!N:N)=1,"No",MAX(0.01,MIN(MROUND(IF(OR(_xlfn.XLOOKUP(B69,'Base stats'!B:B,'Base stats'!AM:AM)=1,AND(BJ69="True",CC69="False")),POWER(10,3.47*LOG10(_xlfn.XLOOKUP(B69,'Base stats'!B:B,'Base stats'!C:C)*1000)^-0.96),POWER(10,4.15*LOG10(_xlfn.XLOOKUP(B69,'Base stats'!B:B,'Base stats'!C:C)*1000)^-0.73))*IF(OR(_xlfn.XLOOKUP(B69,'Base stats'!B:B,'Base stats'!AM:AM)=1,_xlfn.XLOOKUP(B69,'Base stats'!B:B,'Base stats'!AK:AK)=1),0.5,1)/100,0.025),0.5)))</f>
        <v>0.5</v>
      </c>
      <c r="CA69" s="25" t="str">
        <f>IF(P69="Standard","No",MAX(0.01,IF(_xlfn.XLOOKUP(B69,'Base stats'!B:B,'Base stats'!N:N)=0,MROUND(BZ69*P69,0.05),MIN(1,MAX(0.025,MROUND(IF(OR(CC69="true",AND(BJ69="false",BO69="false")),POWER(10,4.15*LOG10(_xlfn.XLOOKUP(B69,'Base stats'!B:B,'Base stats'!C:C)*1000)^-0.73),POWER(10,3.47*LOG10(_xlfn.XLOOKUP(B69,'Base stats'!B:B,'Base stats'!C:C)*1000)^-0.96))*IF(_xlfn.XLOOKUP(B69,'Base stats'!B:B,'Base stats'!AK:AK)=1,0.5,1)/100,0.025))))))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8" t="s">
        <v>685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stats'!O:O)=2,0,1)),0.05),0.985)))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*0.025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*0.025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8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T70" s="8">
        <f>IF(OR(A70="Queen",A70="Larva",A70="Megachicken",A70="Megatardi",A70="Toxscorpion"),"No",IFERROR(MAX(IF(_xlfn.XLOOKUP(B70,'Base stats'!B:B,'Base stats'!G:G)&lt;0.5,0.2,0.3),MROUND(_xlfn.XLOOKUP(B70,'Base stats'!B:B,'Base stats'!G:G)/(365/60),0.2)),"Unknown"))</f>
        <v>0.8</v>
      </c>
      <c r="AU70" s="8">
        <f t="shared" si="7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8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stats'!N:N)=1,"No",MAX(0.01,MIN(MROUND(IF(OR(_xlfn.XLOOKUP(B70,'Base stats'!B:B,'Base stats'!AM:AM)=1,AND(BJ70="True",CC70="False")),POWER(10,3.47*LOG10(_xlfn.XLOOKUP(B70,'Base stats'!B:B,'Base stats'!C:C)*1000)^-0.96),POWER(10,4.15*LOG10(_xlfn.XLOOKUP(B70,'Base stats'!B:B,'Base stats'!C:C)*1000)^-0.73))*IF(OR(_xlfn.XLOOKUP(B70,'Base stats'!B:B,'Base stats'!AM:AM)=1,_xlfn.XLOOKUP(B70,'Base stats'!B:B,'Base stats'!AK:AK)=1),0.5,1)/100,0.025),0.5)))</f>
        <v>0.45</v>
      </c>
      <c r="CA70" s="25" t="str">
        <f>IF(P70="Standard","No",MAX(0.01,IF(_xlfn.XLOOKUP(B70,'Base stats'!B:B,'Base stats'!N:N)=0,MROUND(BZ70*P70,0.05),MIN(1,MAX(0.025,MROUND(IF(OR(CC70="true",AND(BJ70="false",BO70="false")),POWER(10,4.15*LOG10(_xlfn.XLOOKUP(B70,'Base stats'!B:B,'Base stats'!C:C)*1000)^-0.73),POWER(10,3.47*LOG10(_xlfn.XLOOKUP(B70,'Base stats'!B:B,'Base stats'!C:C)*1000)^-0.96))*IF(_xlfn.XLOOKUP(B70,'Base stats'!B:B,'Base stats'!AK:AK)=1,0.5,1)/100,0.025))))))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8" t="s">
        <v>685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stats'!O:O)=2,0,1)),0.05),0.985)))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*0.025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*0.025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8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T71" s="8">
        <f>IF(OR(A71="Queen",A71="Larva",A71="Megachicken",A71="Megatardi",A71="Toxscorpion"),"No",IFERROR(MAX(IF(_xlfn.XLOOKUP(B71,'Base stats'!B:B,'Base stats'!G:G)&lt;0.5,0.2,0.3),MROUND(_xlfn.XLOOKUP(B71,'Base stats'!B:B,'Base stats'!G:G)/(365/60),0.2)),"Unknown"))</f>
        <v>0.8</v>
      </c>
      <c r="AU71" s="8">
        <f t="shared" si="7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stats'!N:N)=1,"No",MAX(0.01,MIN(MROUND(IF(OR(_xlfn.XLOOKUP(B71,'Base stats'!B:B,'Base stats'!AM:AM)=1,AND(BJ71="True",CC71="False")),POWER(10,3.47*LOG10(_xlfn.XLOOKUP(B71,'Base stats'!B:B,'Base stats'!C:C)*1000)^-0.96),POWER(10,4.15*LOG10(_xlfn.XLOOKUP(B71,'Base stats'!B:B,'Base stats'!C:C)*1000)^-0.73))*IF(OR(_xlfn.XLOOKUP(B71,'Base stats'!B:B,'Base stats'!AM:AM)=1,_xlfn.XLOOKUP(B71,'Base stats'!B:B,'Base stats'!AK:AK)=1),0.5,1)/100,0.025),0.5)))</f>
        <v>0.25</v>
      </c>
      <c r="CA71" s="25" t="str">
        <f>IF(P71="Standard","No",MAX(0.01,IF(_xlfn.XLOOKUP(B71,'Base stats'!B:B,'Base stats'!N:N)=0,MROUND(BZ71*P71,0.05),MIN(1,MAX(0.025,MROUND(IF(OR(CC71="true",AND(BJ71="false",BO71="false")),POWER(10,4.15*LOG10(_xlfn.XLOOKUP(B71,'Base stats'!B:B,'Base stats'!C:C)*1000)^-0.73),POWER(10,3.47*LOG10(_xlfn.XLOOKUP(B71,'Base stats'!B:B,'Base stats'!C:C)*1000)^-0.96))*IF(_xlfn.XLOOKUP(B71,'Base stats'!B:B,'Base stats'!AK:AK)=1,0.5,1)/100,0.025))))))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8" t="s">
        <v>685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stats'!O:O)=2,0,1)),0.05),0.985)))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*0.025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*0.025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8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T72" s="8">
        <f>IF(OR(A72="Queen",A72="Larva",A72="Megachicken",A72="Megatardi",A72="Toxscorpion"),"No",IFERROR(MAX(IF(_xlfn.XLOOKUP(B72,'Base stats'!B:B,'Base stats'!G:G)&lt;0.5,0.2,0.3),MROUND(_xlfn.XLOOKUP(B72,'Base stats'!B:B,'Base stats'!G:G)/(365/60),0.2)),"Unknown"))</f>
        <v>0.4</v>
      </c>
      <c r="AU72" s="8">
        <f t="shared" si="7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8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stats'!N:N)=1,"No",MAX(0.01,MIN(MROUND(IF(OR(_xlfn.XLOOKUP(B72,'Base stats'!B:B,'Base stats'!AM:AM)=1,AND(BJ72="True",CC72="False")),POWER(10,3.47*LOG10(_xlfn.XLOOKUP(B72,'Base stats'!B:B,'Base stats'!C:C)*1000)^-0.96),POWER(10,4.15*LOG10(_xlfn.XLOOKUP(B72,'Base stats'!B:B,'Base stats'!C:C)*1000)^-0.73))*IF(OR(_xlfn.XLOOKUP(B72,'Base stats'!B:B,'Base stats'!AM:AM)=1,_xlfn.XLOOKUP(B72,'Base stats'!B:B,'Base stats'!AK:AK)=1),0.5,1)/100,0.025),0.5)))</f>
        <v>0.42500000000000004</v>
      </c>
      <c r="CA72" s="25" t="str">
        <f>IF(P72="Standard","No",MAX(0.01,IF(_xlfn.XLOOKUP(B72,'Base stats'!B:B,'Base stats'!N:N)=0,MROUND(BZ72*P72,0.05),MIN(1,MAX(0.025,MROUND(IF(OR(CC72="true",AND(BJ72="false",BO72="false")),POWER(10,4.15*LOG10(_xlfn.XLOOKUP(B72,'Base stats'!B:B,'Base stats'!C:C)*1000)^-0.73),POWER(10,3.47*LOG10(_xlfn.XLOOKUP(B72,'Base stats'!B:B,'Base stats'!C:C)*1000)^-0.96))*IF(_xlfn.XLOOKUP(B72,'Base stats'!B:B,'Base stats'!AK:AK)=1,0.5,1)/100,0.025))))))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8" t="s">
        <v>685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stats'!O:O)=2,0,1)),0.05),0.985)))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*0.025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*0.025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8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T73" s="8">
        <f>IF(OR(A73="Queen",A73="Larva",A73="Megachicken",A73="Megatardi",A73="Toxscorpion"),"No",IFERROR(MAX(IF(_xlfn.XLOOKUP(B73,'Base stats'!B:B,'Base stats'!G:G)&lt;0.5,0.2,0.3),MROUND(_xlfn.XLOOKUP(B73,'Base stats'!B:B,'Base stats'!G:G)/(365/60),0.2)),"Unknown"))</f>
        <v>1</v>
      </c>
      <c r="AU73" s="8">
        <f t="shared" si="7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8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stats'!N:N)=1,"No",MAX(0.01,MIN(MROUND(IF(OR(_xlfn.XLOOKUP(B73,'Base stats'!B:B,'Base stats'!AM:AM)=1,AND(BJ73="True",CC73="False")),POWER(10,3.47*LOG10(_xlfn.XLOOKUP(B73,'Base stats'!B:B,'Base stats'!C:C)*1000)^-0.96),POWER(10,4.15*LOG10(_xlfn.XLOOKUP(B73,'Base stats'!B:B,'Base stats'!C:C)*1000)^-0.73))*IF(OR(_xlfn.XLOOKUP(B73,'Base stats'!B:B,'Base stats'!AM:AM)=1,_xlfn.XLOOKUP(B73,'Base stats'!B:B,'Base stats'!AK:AK)=1),0.5,1)/100,0.025),0.5)))</f>
        <v>0.375</v>
      </c>
      <c r="CA73" s="25" t="str">
        <f>IF(P73="Standard","No",MAX(0.01,IF(_xlfn.XLOOKUP(B73,'Base stats'!B:B,'Base stats'!N:N)=0,MROUND(BZ73*P73,0.05),MIN(1,MAX(0.025,MROUND(IF(OR(CC73="true",AND(BJ73="false",BO73="false")),POWER(10,4.15*LOG10(_xlfn.XLOOKUP(B73,'Base stats'!B:B,'Base stats'!C:C)*1000)^-0.73),POWER(10,3.47*LOG10(_xlfn.XLOOKUP(B73,'Base stats'!B:B,'Base stats'!C:C)*1000)^-0.96))*IF(_xlfn.XLOOKUP(B73,'Base stats'!B:B,'Base stats'!AK:AK)=1,0.5,1)/100,0.025))))))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8" t="s">
        <v>685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stats'!O:O)=2,0,1)),0.05),0.985)))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*0.025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*0.025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FrontRightPaw,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8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T74" s="8">
        <f>IF(OR(A74="Queen",A74="Larva",A74="Megachicken",A74="Megatardi",A74="Toxscorpion"),"No",IFERROR(MAX(IF(_xlfn.XLOOKUP(B74,'Base stats'!B:B,'Base stats'!G:G)&lt;0.5,0.2,0.3),MROUND(_xlfn.XLOOKUP(B74,'Base stats'!B:B,'Base stats'!G:G)/(365/60),0.2)),"Unknown"))</f>
        <v>0.60000000000000009</v>
      </c>
      <c r="AU74" s="8">
        <f t="shared" si="7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stats'!N:N)=1,"No",MAX(0.01,MIN(MROUND(IF(OR(_xlfn.XLOOKUP(B74,'Base stats'!B:B,'Base stats'!AM:AM)=1,AND(BJ74="True",CC74="False")),POWER(10,3.47*LOG10(_xlfn.XLOOKUP(B74,'Base stats'!B:B,'Base stats'!C:C)*1000)^-0.96),POWER(10,4.15*LOG10(_xlfn.XLOOKUP(B74,'Base stats'!B:B,'Base stats'!C:C)*1000)^-0.73))*IF(OR(_xlfn.XLOOKUP(B74,'Base stats'!B:B,'Base stats'!AM:AM)=1,_xlfn.XLOOKUP(B74,'Base stats'!B:B,'Base stats'!AK:AK)=1),0.5,1)/100,0.025),0.5)))</f>
        <v>0.05</v>
      </c>
      <c r="CA74" s="25" t="str">
        <f>IF(P74="Standard","No",MAX(0.01,IF(_xlfn.XLOOKUP(B74,'Base stats'!B:B,'Base stats'!N:N)=0,MROUND(BZ74*P74,0.05),MIN(1,MAX(0.025,MROUND(IF(OR(CC74="true",AND(BJ74="false",BO74="false")),POWER(10,4.15*LOG10(_xlfn.XLOOKUP(B74,'Base stats'!B:B,'Base stats'!C:C)*1000)^-0.73),POWER(10,3.47*LOG10(_xlfn.XLOOKUP(B74,'Base stats'!B:B,'Base stats'!C:C)*1000)^-0.96))*IF(_xlfn.XLOOKUP(B74,'Base stats'!B:B,'Base stats'!AK:AK)=1,0.5,1)/100,0.025))))))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8" t="s">
        <v>685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stats'!O:O)=2,0,1)),0.05),0.985)))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*0.025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*0.025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FrontRightPaw,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8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T75" s="8">
        <f>IF(OR(A75="Queen",A75="Larva",A75="Megachicken",A75="Megatardi",A75="Toxscorpion"),"No",IFERROR(MAX(IF(_xlfn.XLOOKUP(B75,'Base stats'!B:B,'Base stats'!G:G)&lt;0.5,0.2,0.3),MROUND(_xlfn.XLOOKUP(B75,'Base stats'!B:B,'Base stats'!G:G)/(365/60),0.2)),"Unknown"))</f>
        <v>0.60000000000000009</v>
      </c>
      <c r="AU75" s="8">
        <f t="shared" si="7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stats'!N:N)=1,"No",MAX(0.01,MIN(MROUND(IF(OR(_xlfn.XLOOKUP(B75,'Base stats'!B:B,'Base stats'!AM:AM)=1,AND(BJ75="True",CC75="False")),POWER(10,3.47*LOG10(_xlfn.XLOOKUP(B75,'Base stats'!B:B,'Base stats'!C:C)*1000)^-0.96),POWER(10,4.15*LOG10(_xlfn.XLOOKUP(B75,'Base stats'!B:B,'Base stats'!C:C)*1000)^-0.73))*IF(OR(_xlfn.XLOOKUP(B75,'Base stats'!B:B,'Base stats'!AM:AM)=1,_xlfn.XLOOKUP(B75,'Base stats'!B:B,'Base stats'!AK:AK)=1),0.5,1)/100,0.025),0.5)))</f>
        <v>0.05</v>
      </c>
      <c r="CA75" s="25" t="str">
        <f>IF(P75="Standard","No",MAX(0.01,IF(_xlfn.XLOOKUP(B75,'Base stats'!B:B,'Base stats'!N:N)=0,MROUND(BZ75*P75,0.05),MIN(1,MAX(0.025,MROUND(IF(OR(CC75="true",AND(BJ75="false",BO75="false")),POWER(10,4.15*LOG10(_xlfn.XLOOKUP(B75,'Base stats'!B:B,'Base stats'!C:C)*1000)^-0.73),POWER(10,3.47*LOG10(_xlfn.XLOOKUP(B75,'Base stats'!B:B,'Base stats'!C:C)*1000)^-0.96))*IF(_xlfn.XLOOKUP(B75,'Base stats'!B:B,'Base stats'!AK:AK)=1,0.5,1)/100,0.025))))))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8" t="s">
        <v>685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stats'!O:O)=2,0,1)),0.05),0.985)))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*0.025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*0.025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8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IFERROR(IF(_xlfn.XLOOKUP(B76,'Base stats'!B:B,'Base stats'!F:F)="Lay eggs","Lay eggs",MIN(20,MAX(5.5,ROUND(((_xlfn.XLOOKUP(B76,'Base stats'!B:B,'Base stats'!F:F)-25)*(14.5/615) + 5.5)*2,0)/2))),"Cannot breed")</f>
        <v>6</v>
      </c>
      <c r="AT76" s="8">
        <f>IF(OR(A76="Queen",A76="Larva",A76="Megachicken",A76="Megatardi",A76="Toxscorpion"),"No",IFERROR(MAX(IF(_xlfn.XLOOKUP(B76,'Base stats'!B:B,'Base stats'!G:G)&lt;0.5,0.2,0.3),MROUND(_xlfn.XLOOKUP(B76,'Base stats'!B:B,'Base stats'!G:G)/(365/60),0.2)),"Unknown"))</f>
        <v>0.60000000000000009</v>
      </c>
      <c r="AU76" s="8">
        <f t="shared" si="7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stats'!N:N)=1,"No",MAX(0.01,MIN(MROUND(IF(OR(_xlfn.XLOOKUP(B76,'Base stats'!B:B,'Base stats'!AM:AM)=1,AND(BJ76="True",CC76="False")),POWER(10,3.47*LOG10(_xlfn.XLOOKUP(B76,'Base stats'!B:B,'Base stats'!C:C)*1000)^-0.96),POWER(10,4.15*LOG10(_xlfn.XLOOKUP(B76,'Base stats'!B:B,'Base stats'!C:C)*1000)^-0.73))*IF(OR(_xlfn.XLOOKUP(B76,'Base stats'!B:B,'Base stats'!AM:AM)=1,_xlfn.XLOOKUP(B76,'Base stats'!B:B,'Base stats'!AK:AK)=1),0.5,1)/100,0.025),0.5)))</f>
        <v>0.5</v>
      </c>
      <c r="CA76" s="25" t="str">
        <f>IF(P76="Standard","No",MAX(0.01,IF(_xlfn.XLOOKUP(B76,'Base stats'!B:B,'Base stats'!N:N)=0,MROUND(BZ76*P76,0.05),MIN(1,MAX(0.025,MROUND(IF(OR(CC76="true",AND(BJ76="false",BO76="false")),POWER(10,4.15*LOG10(_xlfn.XLOOKUP(B76,'Base stats'!B:B,'Base stats'!C:C)*1000)^-0.73),POWER(10,3.47*LOG10(_xlfn.XLOOKUP(B76,'Base stats'!B:B,'Base stats'!C:C)*1000)^-0.96))*IF(_xlfn.XLOOKUP(B76,'Base stats'!B:B,'Base stats'!AK:AK)=1,0.5,1)/100,0.025))))))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8" t="s">
        <v>685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stats'!O:O)=2,0,1)),0.05),0.985)))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*0.025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*0.025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8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T77" s="8">
        <f>IF(OR(A77="Queen",A77="Larva",A77="Megachicken",A77="Megatardi",A77="Toxscorpion"),"No",IFERROR(MAX(IF(_xlfn.XLOOKUP(B77,'Base stats'!B:B,'Base stats'!G:G)&lt;0.5,0.2,0.3),MROUND(_xlfn.XLOOKUP(B77,'Base stats'!B:B,'Base stats'!G:G)/(365/60),0.2)),"Unknown"))</f>
        <v>0.8</v>
      </c>
      <c r="AU77" s="8">
        <f t="shared" si="7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stats'!N:N)=1,"No",MAX(0.01,MIN(MROUND(IF(OR(_xlfn.XLOOKUP(B77,'Base stats'!B:B,'Base stats'!AM:AM)=1,AND(BJ77="True",CC77="False")),POWER(10,3.47*LOG10(_xlfn.XLOOKUP(B77,'Base stats'!B:B,'Base stats'!C:C)*1000)^-0.96),POWER(10,4.15*LOG10(_xlfn.XLOOKUP(B77,'Base stats'!B:B,'Base stats'!C:C)*1000)^-0.73))*IF(OR(_xlfn.XLOOKUP(B77,'Base stats'!B:B,'Base stats'!AM:AM)=1,_xlfn.XLOOKUP(B77,'Base stats'!B:B,'Base stats'!AK:AK)=1),0.5,1)/100,0.025),0.5)))</f>
        <v>0.22500000000000001</v>
      </c>
      <c r="CA77" s="25" t="str">
        <f>IF(P77="Standard","No",MAX(0.01,IF(_xlfn.XLOOKUP(B77,'Base stats'!B:B,'Base stats'!N:N)=0,MROUND(BZ77*P77,0.05),MIN(1,MAX(0.025,MROUND(IF(OR(CC77="true",AND(BJ77="false",BO77="false")),POWER(10,4.15*LOG10(_xlfn.XLOOKUP(B77,'Base stats'!B:B,'Base stats'!C:C)*1000)^-0.73),POWER(10,3.47*LOG10(_xlfn.XLOOKUP(B77,'Base stats'!B:B,'Base stats'!C:C)*1000)^-0.96))*IF(_xlfn.XLOOKUP(B77,'Base stats'!B:B,'Base stats'!AK:AK)=1,0.5,1)/100,0.025))))))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8" t="s">
        <v>685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stats'!O:O)=2,0,1)),0.05),0.985)))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*0.025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*0.025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8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T78" s="8">
        <f>IF(OR(A78="Queen",A78="Larva",A78="Megachicken",A78="Megatardi",A78="Toxscorpion"),"No",IFERROR(MAX(IF(_xlfn.XLOOKUP(B78,'Base stats'!B:B,'Base stats'!G:G)&lt;0.5,0.2,0.3),MROUND(_xlfn.XLOOKUP(B78,'Base stats'!B:B,'Base stats'!G:G)/(365/60),0.2)),"Unknown"))</f>
        <v>0.60000000000000009</v>
      </c>
      <c r="AU78" s="8">
        <f t="shared" si="7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stats'!N:N)=1,"No",MAX(0.01,MIN(MROUND(IF(OR(_xlfn.XLOOKUP(B78,'Base stats'!B:B,'Base stats'!AM:AM)=1,AND(BJ78="True",CC78="False")),POWER(10,3.47*LOG10(_xlfn.XLOOKUP(B78,'Base stats'!B:B,'Base stats'!C:C)*1000)^-0.96),POWER(10,4.15*LOG10(_xlfn.XLOOKUP(B78,'Base stats'!B:B,'Base stats'!C:C)*1000)^-0.73))*IF(OR(_xlfn.XLOOKUP(B78,'Base stats'!B:B,'Base stats'!AM:AM)=1,_xlfn.XLOOKUP(B78,'Base stats'!B:B,'Base stats'!AK:AK)=1),0.5,1)/100,0.025),0.5)))</f>
        <v>0.125</v>
      </c>
      <c r="CA78" s="25" t="str">
        <f>IF(P78="Standard","No",MAX(0.01,IF(_xlfn.XLOOKUP(B78,'Base stats'!B:B,'Base stats'!N:N)=0,MROUND(BZ78*P78,0.05),MIN(1,MAX(0.025,MROUND(IF(OR(CC78="true",AND(BJ78="false",BO78="false")),POWER(10,4.15*LOG10(_xlfn.XLOOKUP(B78,'Base stats'!B:B,'Base stats'!C:C)*1000)^-0.73),POWER(10,3.47*LOG10(_xlfn.XLOOKUP(B78,'Base stats'!B:B,'Base stats'!C:C)*1000)^-0.96))*IF(_xlfn.XLOOKUP(B78,'Base stats'!B:B,'Base stats'!AK:AK)=1,0.5,1)/100,0.025))))))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8" t="s">
        <v>685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stats'!O:O)=2,0,1)),0.05),0.985)))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*0.025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*0.025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8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IFERROR(IF(_xlfn.XLOOKUP(B79,'Base stats'!B:B,'Base stats'!F:F)="Lay eggs","Lay eggs",MIN(20,MAX(5.5,ROUND(((_xlfn.XLOOKUP(B79,'Base stats'!B:B,'Base stats'!F:F)-25)*(14.5/615) + 5.5)*2,0)/2))),"Cannot breed")</f>
        <v>20</v>
      </c>
      <c r="AT79" s="8">
        <f>IF(OR(A79="Queen",A79="Larva",A79="Megachicken",A79="Megatardi",A79="Toxscorpion"),"No",IFERROR(MAX(IF(_xlfn.XLOOKUP(B79,'Base stats'!B:B,'Base stats'!G:G)&lt;0.5,0.2,0.3),MROUND(_xlfn.XLOOKUP(B79,'Base stats'!B:B,'Base stats'!G:G)/(365/60),0.2)),"Unknown"))</f>
        <v>1.8</v>
      </c>
      <c r="AU79" s="8">
        <f t="shared" si="7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stats'!N:N)=1,"No",MAX(0.01,MIN(MROUND(IF(OR(_xlfn.XLOOKUP(B79,'Base stats'!B:B,'Base stats'!AM:AM)=1,AND(BJ79="True",CC79="False")),POWER(10,3.47*LOG10(_xlfn.XLOOKUP(B79,'Base stats'!B:B,'Base stats'!C:C)*1000)^-0.96),POWER(10,4.15*LOG10(_xlfn.XLOOKUP(B79,'Base stats'!B:B,'Base stats'!C:C)*1000)^-0.73))*IF(OR(_xlfn.XLOOKUP(B79,'Base stats'!B:B,'Base stats'!AM:AM)=1,_xlfn.XLOOKUP(B79,'Base stats'!B:B,'Base stats'!AK:AK)=1),0.5,1)/100,0.025),0.5)))</f>
        <v>0.1</v>
      </c>
      <c r="CA79" s="25" t="str">
        <f>IF(P79="Standard","No",MAX(0.01,IF(_xlfn.XLOOKUP(B79,'Base stats'!B:B,'Base stats'!N:N)=0,MROUND(BZ79*P79,0.05),MIN(1,MAX(0.025,MROUND(IF(OR(CC79="true",AND(BJ79="false",BO79="false")),POWER(10,4.15*LOG10(_xlfn.XLOOKUP(B79,'Base stats'!B:B,'Base stats'!C:C)*1000)^-0.73),POWER(10,3.47*LOG10(_xlfn.XLOOKUP(B79,'Base stats'!B:B,'Base stats'!C:C)*1000)^-0.96))*IF(_xlfn.XLOOKUP(B79,'Base stats'!B:B,'Base stats'!AK:AK)=1,0.5,1)/100,0.025))))))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1142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8" t="s">
        <v>685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3475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stats'!O:O)=2,0,1)),0.05),0.985)))</f>
        <v>0.98499999999999999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*0.025
),
0.05
),
200%
),
"No"
)</f>
        <v>0.8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*0.025
),
0.05
),
200%
),
"No"
)</f>
        <v>0.8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8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9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IFERROR(IF(_xlfn.XLOOKUP(B80,'Base stats'!B:B,'Base stats'!F:F)="Lay eggs","Lay eggs",MIN(20,MAX(5.5,ROUND(((_xlfn.XLOOKUP(B80,'Base stats'!B:B,'Base stats'!F:F)-25)*(14.5/615) + 5.5)*2,0)/2))),"Cannot breed")</f>
        <v>20</v>
      </c>
      <c r="AT80" s="8">
        <f>IF(OR(A80="Queen",A80="Larva",A80="Megachicken",A80="Megatardi",A80="Toxscorpion"),"No",IFERROR(MAX(IF(_xlfn.XLOOKUP(B80,'Base stats'!B:B,'Base stats'!G:G)&lt;0.5,0.2,0.3),MROUND(_xlfn.XLOOKUP(B80,'Base stats'!B:B,'Base stats'!G:G)/(365/60),0.2)),"Unknown"))</f>
        <v>2</v>
      </c>
      <c r="AU80" s="8">
        <f t="shared" si="7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1165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stats'!N:N)=1,"No",MAX(0.01,MIN(MROUND(IF(OR(_xlfn.XLOOKUP(B80,'Base stats'!B:B,'Base stats'!AM:AM)=1,AND(BJ80="True",CC80="False")),POWER(10,3.47*LOG10(_xlfn.XLOOKUP(B80,'Base stats'!B:B,'Base stats'!C:C)*1000)^-0.96),POWER(10,4.15*LOG10(_xlfn.XLOOKUP(B80,'Base stats'!B:B,'Base stats'!C:C)*1000)^-0.73))*IF(OR(_xlfn.XLOOKUP(B80,'Base stats'!B:B,'Base stats'!AM:AM)=1,_xlfn.XLOOKUP(B80,'Base stats'!B:B,'Base stats'!AK:AK)=1),0.5,1)/100,0.025),0.5)))</f>
        <v>2.5000000000000001E-2</v>
      </c>
      <c r="CA80" s="25">
        <f>IF(P80="Standard","No",MAX(0.01,IF(_xlfn.XLOOKUP(B80,'Base stats'!B:B,'Base stats'!N:N)=0,MROUND(BZ80*P80,0.05),MIN(1,MAX(0.025,MROUND(IF(OR(CC80="true",AND(BJ80="false",BO80="false")),POWER(10,4.15*LOG10(_xlfn.XLOOKUP(B80,'Base stats'!B:B,'Base stats'!C:C)*1000)^-0.73),POWER(10,3.47*LOG10(_xlfn.XLOOKUP(B80,'Base stats'!B:B,'Base stats'!C:C)*1000)^-0.96))*IF(_xlfn.XLOOKUP(B80,'Base stats'!B:B,'Base stats'!AK:AK)=1,0.5,1)/100,0.025))))))</f>
        <v>0.05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8" t="s">
        <v>685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3.5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stats'!O:O)=2,0,1)),0.05),0.985)))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*0.025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*0.025
),
0.05
),
200%
),
"No"
)</f>
        <v>0.2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1.1500000000000001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8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IFERROR(IF(_xlfn.XLOOKUP(B81,'Base stats'!B:B,'Base stats'!F:F)="Lay eggs","Lay eggs",MIN(20,MAX(5.5,ROUND(((_xlfn.XLOOKUP(B81,'Base stats'!B:B,'Base stats'!F:F)-25)*(14.5/615) + 5.5)*2,0)/2))),"Cannot breed")</f>
        <v>8</v>
      </c>
      <c r="AT81" s="8">
        <f>IF(OR(A81="Queen",A81="Larva",A81="Megachicken",A81="Megatardi",A81="Toxscorpion"),"No",IFERROR(MAX(IF(_xlfn.XLOOKUP(B81,'Base stats'!B:B,'Base stats'!G:G)&lt;0.5,0.2,0.3),MROUND(_xlfn.XLOOKUP(B81,'Base stats'!B:B,'Base stats'!G:G)/(365/60),0.2)),"Unknown"))</f>
        <v>0.3</v>
      </c>
      <c r="AU81" s="8">
        <f t="shared" si="7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stats'!N:N)=1,"No",MAX(0.01,MIN(MROUND(IF(OR(_xlfn.XLOOKUP(B81,'Base stats'!B:B,'Base stats'!AM:AM)=1,AND(BJ81="True",CC81="False")),POWER(10,3.47*LOG10(_xlfn.XLOOKUP(B81,'Base stats'!B:B,'Base stats'!C:C)*1000)^-0.96),POWER(10,4.15*LOG10(_xlfn.XLOOKUP(B81,'Base stats'!B:B,'Base stats'!C:C)*1000)^-0.73))*IF(OR(_xlfn.XLOOKUP(B81,'Base stats'!B:B,'Base stats'!AM:AM)=1,_xlfn.XLOOKUP(B81,'Base stats'!B:B,'Base stats'!AK:AK)=1),0.5,1)/100,0.025),0.5)))</f>
        <v>0.375</v>
      </c>
      <c r="CA81" s="25" t="str">
        <f>IF(P81="Standard","No",MAX(0.01,IF(_xlfn.XLOOKUP(B81,'Base stats'!B:B,'Base stats'!N:N)=0,MROUND(BZ81*P81,0.05),MIN(1,MAX(0.025,MROUND(IF(OR(CC81="true",AND(BJ81="false",BO81="false")),POWER(10,4.15*LOG10(_xlfn.XLOOKUP(B81,'Base stats'!B:B,'Base stats'!C:C)*1000)^-0.73),POWER(10,3.47*LOG10(_xlfn.XLOOKUP(B81,'Base stats'!B:B,'Base stats'!C:C)*1000)^-0.96))*IF(_xlfn.XLOOKUP(B81,'Base stats'!B:B,'Base stats'!AK:AK)=1,0.5,1)/100,0.025))))))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8" t="s">
        <v>685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stats'!O:O)=2,0,1)),0.05),0.985)))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*0.025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*0.025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FrontRightPaw,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8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T82" s="8">
        <f>IF(OR(A82="Queen",A82="Larva",A82="Megachicken",A82="Megatardi",A82="Toxscorpion"),"No",IFERROR(MAX(IF(_xlfn.XLOOKUP(B82,'Base stats'!B:B,'Base stats'!G:G)&lt;0.5,0.2,0.3),MROUND(_xlfn.XLOOKUP(B82,'Base stats'!B:B,'Base stats'!G:G)/(365/60),0.2)),"Unknown"))</f>
        <v>0.4</v>
      </c>
      <c r="AU82" s="8">
        <f t="shared" si="7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stats'!N:N)=1,"No",MAX(0.01,MIN(MROUND(IF(OR(_xlfn.XLOOKUP(B82,'Base stats'!B:B,'Base stats'!AM:AM)=1,AND(BJ82="True",CC82="False")),POWER(10,3.47*LOG10(_xlfn.XLOOKUP(B82,'Base stats'!B:B,'Base stats'!C:C)*1000)^-0.96),POWER(10,4.15*LOG10(_xlfn.XLOOKUP(B82,'Base stats'!B:B,'Base stats'!C:C)*1000)^-0.73))*IF(OR(_xlfn.XLOOKUP(B82,'Base stats'!B:B,'Base stats'!AM:AM)=1,_xlfn.XLOOKUP(B82,'Base stats'!B:B,'Base stats'!AK:AK)=1),0.5,1)/100,0.025),0.5)))</f>
        <v>7.5000000000000011E-2</v>
      </c>
      <c r="CA82" s="25" t="str">
        <f>IF(P82="Standard","No",MAX(0.01,IF(_xlfn.XLOOKUP(B82,'Base stats'!B:B,'Base stats'!N:N)=0,MROUND(BZ82*P82,0.05),MIN(1,MAX(0.025,MROUND(IF(OR(CC82="true",AND(BJ82="false",BO82="false")),POWER(10,4.15*LOG10(_xlfn.XLOOKUP(B82,'Base stats'!B:B,'Base stats'!C:C)*1000)^-0.73),POWER(10,3.47*LOG10(_xlfn.XLOOKUP(B82,'Base stats'!B:B,'Base stats'!C:C)*1000)^-0.96))*IF(_xlfn.XLOOKUP(B82,'Base stats'!B:B,'Base stats'!AK:AK)=1,0.5,1)/100,0.025))))))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8" t="s">
        <v>685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stats'!O:O)=2,0,1)),0.05),0.985)))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*0.025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*0.025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FrontRightPaw,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8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IFERROR(IF(_xlfn.XLOOKUP(B83,'Base stats'!B:B,'Base stats'!F:F)="Lay eggs","Lay eggs",MIN(20,MAX(5.5,ROUND(((_xlfn.XLOOKUP(B83,'Base stats'!B:B,'Base stats'!F:F)-25)*(14.5/615) + 5.5)*2,0)/2))),"Cannot breed")</f>
        <v>6</v>
      </c>
      <c r="AT83" s="8">
        <f>IF(OR(A83="Queen",A83="Larva",A83="Megachicken",A83="Megatardi",A83="Toxscorpion"),"No",IFERROR(MAX(IF(_xlfn.XLOOKUP(B83,'Base stats'!B:B,'Base stats'!G:G)&lt;0.5,0.2,0.3),MROUND(_xlfn.XLOOKUP(B83,'Base stats'!B:B,'Base stats'!G:G)/(365/60),0.2)),"Unknown"))</f>
        <v>0.3</v>
      </c>
      <c r="AU83" s="8">
        <f t="shared" si="7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stats'!N:N)=1,"No",MAX(0.01,MIN(MROUND(IF(OR(_xlfn.XLOOKUP(B83,'Base stats'!B:B,'Base stats'!AM:AM)=1,AND(BJ83="True",CC83="False")),POWER(10,3.47*LOG10(_xlfn.XLOOKUP(B83,'Base stats'!B:B,'Base stats'!C:C)*1000)^-0.96),POWER(10,4.15*LOG10(_xlfn.XLOOKUP(B83,'Base stats'!B:B,'Base stats'!C:C)*1000)^-0.73))*IF(OR(_xlfn.XLOOKUP(B83,'Base stats'!B:B,'Base stats'!AM:AM)=1,_xlfn.XLOOKUP(B83,'Base stats'!B:B,'Base stats'!AK:AK)=1),0.5,1)/100,0.025),0.5)))</f>
        <v>0.17500000000000002</v>
      </c>
      <c r="CA83" s="25" t="str">
        <f>IF(P83="Standard","No",MAX(0.01,IF(_xlfn.XLOOKUP(B83,'Base stats'!B:B,'Base stats'!N:N)=0,MROUND(BZ83*P83,0.05),MIN(1,MAX(0.025,MROUND(IF(OR(CC83="true",AND(BJ83="false",BO83="false")),POWER(10,4.15*LOG10(_xlfn.XLOOKUP(B83,'Base stats'!B:B,'Base stats'!C:C)*1000)^-0.73),POWER(10,3.47*LOG10(_xlfn.XLOOKUP(B83,'Base stats'!B:B,'Base stats'!C:C)*1000)^-0.96))*IF(_xlfn.XLOOKUP(B83,'Base stats'!B:B,'Base stats'!AK:AK)=1,0.5,1)/100,0.025))))))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8" t="s">
        <v>685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stats'!O:O)=2,0,1)),0.05),0.985)))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*0.025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*0.025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FrontRightPaw,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8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IFERROR(IF(_xlfn.XLOOKUP(B84,'Base stats'!B:B,'Base stats'!F:F)="Lay eggs","Lay eggs",MIN(20,MAX(5.5,ROUND(((_xlfn.XLOOKUP(B84,'Base stats'!B:B,'Base stats'!F:F)-25)*(14.5/615) + 5.5)*2,0)/2))),"Cannot breed")</f>
        <v>6</v>
      </c>
      <c r="AT84" s="8">
        <f>IF(OR(A84="Queen",A84="Larva",A84="Megachicken",A84="Megatardi",A84="Toxscorpion"),"No",IFERROR(MAX(IF(_xlfn.XLOOKUP(B84,'Base stats'!B:B,'Base stats'!G:G)&lt;0.5,0.2,0.3),MROUND(_xlfn.XLOOKUP(B84,'Base stats'!B:B,'Base stats'!G:G)/(365/60),0.2)),"Unknown"))</f>
        <v>0.3</v>
      </c>
      <c r="AU84" s="8">
        <f t="shared" si="7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stats'!N:N)=1,"No",MAX(0.01,MIN(MROUND(IF(OR(_xlfn.XLOOKUP(B84,'Base stats'!B:B,'Base stats'!AM:AM)=1,AND(BJ84="True",CC84="False")),POWER(10,3.47*LOG10(_xlfn.XLOOKUP(B84,'Base stats'!B:B,'Base stats'!C:C)*1000)^-0.96),POWER(10,4.15*LOG10(_xlfn.XLOOKUP(B84,'Base stats'!B:B,'Base stats'!C:C)*1000)^-0.73))*IF(OR(_xlfn.XLOOKUP(B84,'Base stats'!B:B,'Base stats'!AM:AM)=1,_xlfn.XLOOKUP(B84,'Base stats'!B:B,'Base stats'!AK:AK)=1),0.5,1)/100,0.025),0.5)))</f>
        <v>0.30000000000000004</v>
      </c>
      <c r="CA84" s="25" t="str">
        <f>IF(P84="Standard","No",MAX(0.01,IF(_xlfn.XLOOKUP(B84,'Base stats'!B:B,'Base stats'!N:N)=0,MROUND(BZ84*P84,0.05),MIN(1,MAX(0.025,MROUND(IF(OR(CC84="true",AND(BJ84="false",BO84="false")),POWER(10,4.15*LOG10(_xlfn.XLOOKUP(B84,'Base stats'!B:B,'Base stats'!C:C)*1000)^-0.73),POWER(10,3.47*LOG10(_xlfn.XLOOKUP(B84,'Base stats'!B:B,'Base stats'!C:C)*1000)^-0.96))*IF(_xlfn.XLOOKUP(B84,'Base stats'!B:B,'Base stats'!AK:AK)=1,0.5,1)/100,0.025))))))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8" t="s">
        <v>685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stats'!O:O)=2,0,1)),0.05),0.985)))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*0.025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*0.025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FrontRightPaw,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8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T85" s="8">
        <f>IF(OR(A85="Queen",A85="Larva",A85="Megachicken",A85="Megatardi",A85="Toxscorpion"),"No",IFERROR(MAX(IF(_xlfn.XLOOKUP(B85,'Base stats'!B:B,'Base stats'!G:G)&lt;0.5,0.2,0.3),MROUND(_xlfn.XLOOKUP(B85,'Base stats'!B:B,'Base stats'!G:G)/(365/60),0.2)),"Unknown"))</f>
        <v>0.3</v>
      </c>
      <c r="AU85" s="8">
        <f t="shared" si="7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stats'!N:N)=1,"No",MAX(0.01,MIN(MROUND(IF(OR(_xlfn.XLOOKUP(B85,'Base stats'!B:B,'Base stats'!AM:AM)=1,AND(BJ85="True",CC85="False")),POWER(10,3.47*LOG10(_xlfn.XLOOKUP(B85,'Base stats'!B:B,'Base stats'!C:C)*1000)^-0.96),POWER(10,4.15*LOG10(_xlfn.XLOOKUP(B85,'Base stats'!B:B,'Base stats'!C:C)*1000)^-0.73))*IF(OR(_xlfn.XLOOKUP(B85,'Base stats'!B:B,'Base stats'!AM:AM)=1,_xlfn.XLOOKUP(B85,'Base stats'!B:B,'Base stats'!AK:AK)=1),0.5,1)/100,0.025),0.5)))</f>
        <v>7.5000000000000011E-2</v>
      </c>
      <c r="CA85" s="25" t="str">
        <f>IF(P85="Standard","No",MAX(0.01,IF(_xlfn.XLOOKUP(B85,'Base stats'!B:B,'Base stats'!N:N)=0,MROUND(BZ85*P85,0.05),MIN(1,MAX(0.025,MROUND(IF(OR(CC85="true",AND(BJ85="false",BO85="false")),POWER(10,4.15*LOG10(_xlfn.XLOOKUP(B85,'Base stats'!B:B,'Base stats'!C:C)*1000)^-0.73),POWER(10,3.47*LOG10(_xlfn.XLOOKUP(B85,'Base stats'!B:B,'Base stats'!C:C)*1000)^-0.96))*IF(_xlfn.XLOOKUP(B85,'Base stats'!B:B,'Base stats'!AK:AK)=1,0.5,1)/100,0.025))))))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8" t="s">
        <v>685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stats'!O:O)=2,0,1)),0.05),0.985)))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*0.025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*0.025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8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IFERROR(IF(_xlfn.XLOOKUP(B86,'Base stats'!B:B,'Base stats'!F:F)="Lay eggs","Lay eggs",MIN(20,MAX(5.5,ROUND(((_xlfn.XLOOKUP(B86,'Base stats'!B:B,'Base stats'!F:F)-25)*(14.5/615) + 5.5)*2,0)/2))),"Cannot breed")</f>
        <v>11</v>
      </c>
      <c r="AT86" s="8">
        <f>IF(OR(A86="Queen",A86="Larva",A86="Megachicken",A86="Megatardi",A86="Toxscorpion"),"No",IFERROR(MAX(IF(_xlfn.XLOOKUP(B86,'Base stats'!B:B,'Base stats'!G:G)&lt;0.5,0.2,0.3),MROUND(_xlfn.XLOOKUP(B86,'Base stats'!B:B,'Base stats'!G:G)/(365/60),0.2)),"Unknown"))</f>
        <v>0.4</v>
      </c>
      <c r="AU86" s="8">
        <f t="shared" si="7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stats'!N:N)=1,"No",MAX(0.01,MIN(MROUND(IF(OR(_xlfn.XLOOKUP(B86,'Base stats'!B:B,'Base stats'!AM:AM)=1,AND(BJ86="True",CC86="False")),POWER(10,3.47*LOG10(_xlfn.XLOOKUP(B86,'Base stats'!B:B,'Base stats'!C:C)*1000)^-0.96),POWER(10,4.15*LOG10(_xlfn.XLOOKUP(B86,'Base stats'!B:B,'Base stats'!C:C)*1000)^-0.73))*IF(OR(_xlfn.XLOOKUP(B86,'Base stats'!B:B,'Base stats'!AM:AM)=1,_xlfn.XLOOKUP(B86,'Base stats'!B:B,'Base stats'!AK:AK)=1),0.5,1)/100,0.025),0.5)))</f>
        <v>0.05</v>
      </c>
      <c r="CA86" s="25" t="str">
        <f>IF(P86="Standard","No",MAX(0.01,IF(_xlfn.XLOOKUP(B86,'Base stats'!B:B,'Base stats'!N:N)=0,MROUND(BZ86*P86,0.05),MIN(1,MAX(0.025,MROUND(IF(OR(CC86="true",AND(BJ86="false",BO86="false")),POWER(10,4.15*LOG10(_xlfn.XLOOKUP(B86,'Base stats'!B:B,'Base stats'!C:C)*1000)^-0.73),POWER(10,3.47*LOG10(_xlfn.XLOOKUP(B86,'Base stats'!B:B,'Base stats'!C:C)*1000)^-0.96))*IF(_xlfn.XLOOKUP(B86,'Base stats'!B:B,'Base stats'!AK:AK)=1,0.5,1)/100,0.025))))))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8" t="s">
        <v>685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stats'!O:O)=2,0,1)),0.05),0.985)))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*0.025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*0.025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8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IFERROR(IF(_xlfn.XLOOKUP(B87,'Base stats'!B:B,'Base stats'!F:F)="Lay eggs","Lay eggs",MIN(20,MAX(5.5,ROUND(((_xlfn.XLOOKUP(B87,'Base stats'!B:B,'Base stats'!F:F)-25)*(14.5/615) + 5.5)*2,0)/2))),"Cannot breed")</f>
        <v>11</v>
      </c>
      <c r="AT87" s="8">
        <f>IF(OR(A87="Queen",A87="Larva",A87="Megachicken",A87="Megatardi",A87="Toxscorpion"),"No",IFERROR(MAX(IF(_xlfn.XLOOKUP(B87,'Base stats'!B:B,'Base stats'!G:G)&lt;0.5,0.2,0.3),MROUND(_xlfn.XLOOKUP(B87,'Base stats'!B:B,'Base stats'!G:G)/(365/60),0.2)),"Unknown"))</f>
        <v>0.4</v>
      </c>
      <c r="AU87" s="8">
        <f t="shared" si="7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stats'!N:N)=1,"No",MAX(0.01,MIN(MROUND(IF(OR(_xlfn.XLOOKUP(B87,'Base stats'!B:B,'Base stats'!AM:AM)=1,AND(BJ87="True",CC87="False")),POWER(10,3.47*LOG10(_xlfn.XLOOKUP(B87,'Base stats'!B:B,'Base stats'!C:C)*1000)^-0.96),POWER(10,4.15*LOG10(_xlfn.XLOOKUP(B87,'Base stats'!B:B,'Base stats'!C:C)*1000)^-0.73))*IF(OR(_xlfn.XLOOKUP(B87,'Base stats'!B:B,'Base stats'!AM:AM)=1,_xlfn.XLOOKUP(B87,'Base stats'!B:B,'Base stats'!AK:AK)=1),0.5,1)/100,0.025),0.5)))</f>
        <v>0.05</v>
      </c>
      <c r="CA87" s="25" t="str">
        <f>IF(P87="Standard","No",MAX(0.01,IF(_xlfn.XLOOKUP(B87,'Base stats'!B:B,'Base stats'!N:N)=0,MROUND(BZ87*P87,0.05),MIN(1,MAX(0.025,MROUND(IF(OR(CC87="true",AND(BJ87="false",BO87="false")),POWER(10,4.15*LOG10(_xlfn.XLOOKUP(B87,'Base stats'!B:B,'Base stats'!C:C)*1000)^-0.73),POWER(10,3.47*LOG10(_xlfn.XLOOKUP(B87,'Base stats'!B:B,'Base stats'!C:C)*1000)^-0.96))*IF(_xlfn.XLOOKUP(B87,'Base stats'!B:B,'Base stats'!AK:AK)=1,0.5,1)/100,0.025))))))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8" t="s">
        <v>685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stats'!O:O)=2,0,1)),0.05),0.985)))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*0.025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*0.025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8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T88" s="8">
        <f>IF(OR(A88="Queen",A88="Larva",A88="Megachicken",A88="Megatardi",A88="Toxscorpion"),"No",IFERROR(MAX(IF(_xlfn.XLOOKUP(B88,'Base stats'!B:B,'Base stats'!G:G)&lt;0.5,0.2,0.3),MROUND(_xlfn.XLOOKUP(B88,'Base stats'!B:B,'Base stats'!G:G)/(365/60),0.2)),"Unknown"))</f>
        <v>0.8</v>
      </c>
      <c r="AU88" s="8">
        <f t="shared" si="7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stats'!N:N)=1,"No",MAX(0.01,MIN(MROUND(IF(OR(_xlfn.XLOOKUP(B88,'Base stats'!B:B,'Base stats'!AM:AM)=1,AND(BJ88="True",CC88="False")),POWER(10,3.47*LOG10(_xlfn.XLOOKUP(B88,'Base stats'!B:B,'Base stats'!C:C)*1000)^-0.96),POWER(10,4.15*LOG10(_xlfn.XLOOKUP(B88,'Base stats'!B:B,'Base stats'!C:C)*1000)^-0.73))*IF(OR(_xlfn.XLOOKUP(B88,'Base stats'!B:B,'Base stats'!AM:AM)=1,_xlfn.XLOOKUP(B88,'Base stats'!B:B,'Base stats'!AK:AK)=1),0.5,1)/100,0.025),0.5)))</f>
        <v>0.125</v>
      </c>
      <c r="CA88" s="25" t="str">
        <f>IF(P88="Standard","No",MAX(0.01,IF(_xlfn.XLOOKUP(B88,'Base stats'!B:B,'Base stats'!N:N)=0,MROUND(BZ88*P88,0.05),MIN(1,MAX(0.025,MROUND(IF(OR(CC88="true",AND(BJ88="false",BO88="false")),POWER(10,4.15*LOG10(_xlfn.XLOOKUP(B88,'Base stats'!B:B,'Base stats'!C:C)*1000)^-0.73),POWER(10,3.47*LOG10(_xlfn.XLOOKUP(B88,'Base stats'!B:B,'Base stats'!C:C)*1000)^-0.96))*IF(_xlfn.XLOOKUP(B88,'Base stats'!B:B,'Base stats'!AK:AK)=1,0.5,1)/100,0.025))))))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8" t="s">
        <v>685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stats'!O:O)=2,0,1)),0.05),0.985)))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*0.025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*0.025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8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IFERROR(IF(_xlfn.XLOOKUP(B89,'Base stats'!B:B,'Base stats'!F:F)="Lay eggs","Lay eggs",MIN(20,MAX(5.5,ROUND(((_xlfn.XLOOKUP(B89,'Base stats'!B:B,'Base stats'!F:F)-25)*(14.5/615) + 5.5)*2,0)/2))),"Cannot breed")</f>
        <v>11</v>
      </c>
      <c r="AT89" s="8">
        <f>IF(OR(A89="Queen",A89="Larva",A89="Megachicken",A89="Megatardi",A89="Toxscorpion"),"No",IFERROR(MAX(IF(_xlfn.XLOOKUP(B89,'Base stats'!B:B,'Base stats'!G:G)&lt;0.5,0.2,0.3),MROUND(_xlfn.XLOOKUP(B89,'Base stats'!B:B,'Base stats'!G:G)/(365/60),0.2)),"Unknown"))</f>
        <v>1.2000000000000002</v>
      </c>
      <c r="AU89" s="8">
        <f t="shared" si="7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stats'!N:N)=1,"No",MAX(0.01,MIN(MROUND(IF(OR(_xlfn.XLOOKUP(B89,'Base stats'!B:B,'Base stats'!AM:AM)=1,AND(BJ89="True",CC89="False")),POWER(10,3.47*LOG10(_xlfn.XLOOKUP(B89,'Base stats'!B:B,'Base stats'!C:C)*1000)^-0.96),POWER(10,4.15*LOG10(_xlfn.XLOOKUP(B89,'Base stats'!B:B,'Base stats'!C:C)*1000)^-0.73))*IF(OR(_xlfn.XLOOKUP(B89,'Base stats'!B:B,'Base stats'!AM:AM)=1,_xlfn.XLOOKUP(B89,'Base stats'!B:B,'Base stats'!AK:AK)=1),0.5,1)/100,0.025),0.5)))</f>
        <v>0.17500000000000002</v>
      </c>
      <c r="CA89" s="25" t="str">
        <f>IF(P89="Standard","No",MAX(0.01,IF(_xlfn.XLOOKUP(B89,'Base stats'!B:B,'Base stats'!N:N)=0,MROUND(BZ89*P89,0.05),MIN(1,MAX(0.025,MROUND(IF(OR(CC89="true",AND(BJ89="false",BO89="false")),POWER(10,4.15*LOG10(_xlfn.XLOOKUP(B89,'Base stats'!B:B,'Base stats'!C:C)*1000)^-0.73),POWER(10,3.47*LOG10(_xlfn.XLOOKUP(B89,'Base stats'!B:B,'Base stats'!C:C)*1000)^-0.96))*IF(_xlfn.XLOOKUP(B89,'Base stats'!B:B,'Base stats'!AK:AK)=1,0.5,1)/100,0.025))))))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8" t="s">
        <v>685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stats'!O:O)=2,0,1)),0.05),0.985)))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*0.025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*0.025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8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T90" s="8">
        <f>IF(OR(A90="Queen",A90="Larva",A90="Megachicken",A90="Megatardi",A90="Toxscorpion"),"No",IFERROR(MAX(IF(_xlfn.XLOOKUP(B90,'Base stats'!B:B,'Base stats'!G:G)&lt;0.5,0.2,0.3),MROUND(_xlfn.XLOOKUP(B90,'Base stats'!B:B,'Base stats'!G:G)/(365/60),0.2)),"Unknown"))</f>
        <v>0.8</v>
      </c>
      <c r="AU90" s="8">
        <f t="shared" si="7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stats'!N:N)=1,"No",MAX(0.01,MIN(MROUND(IF(OR(_xlfn.XLOOKUP(B90,'Base stats'!B:B,'Base stats'!AM:AM)=1,AND(BJ90="True",CC90="False")),POWER(10,3.47*LOG10(_xlfn.XLOOKUP(B90,'Base stats'!B:B,'Base stats'!C:C)*1000)^-0.96),POWER(10,4.15*LOG10(_xlfn.XLOOKUP(B90,'Base stats'!B:B,'Base stats'!C:C)*1000)^-0.73))*IF(OR(_xlfn.XLOOKUP(B90,'Base stats'!B:B,'Base stats'!AM:AM)=1,_xlfn.XLOOKUP(B90,'Base stats'!B:B,'Base stats'!AK:AK)=1),0.5,1)/100,0.025),0.5)))</f>
        <v>0.2</v>
      </c>
      <c r="CA90" s="25" t="str">
        <f>IF(P90="Standard","No",MAX(0.01,IF(_xlfn.XLOOKUP(B90,'Base stats'!B:B,'Base stats'!N:N)=0,MROUND(BZ90*P90,0.05),MIN(1,MAX(0.025,MROUND(IF(OR(CC90="true",AND(BJ90="false",BO90="false")),POWER(10,4.15*LOG10(_xlfn.XLOOKUP(B90,'Base stats'!B:B,'Base stats'!C:C)*1000)^-0.73),POWER(10,3.47*LOG10(_xlfn.XLOOKUP(B90,'Base stats'!B:B,'Base stats'!C:C)*1000)^-0.96))*IF(_xlfn.XLOOKUP(B90,'Base stats'!B:B,'Base stats'!AK:AK)=1,0.5,1)/100,0.025))))))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8" t="s">
        <v>685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stats'!O:O)=2,0,1)),0.05),0.985)))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*0.025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*0.025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8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T91" s="8">
        <f>IF(OR(A91="Queen",A91="Larva",A91="Megachicken",A91="Megatardi",A91="Toxscorpion"),"No",IFERROR(MAX(IF(_xlfn.XLOOKUP(B91,'Base stats'!B:B,'Base stats'!G:G)&lt;0.5,0.2,0.3),MROUND(_xlfn.XLOOKUP(B91,'Base stats'!B:B,'Base stats'!G:G)/(365/60),0.2)),"Unknown"))</f>
        <v>2</v>
      </c>
      <c r="AU91" s="8">
        <f t="shared" si="7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stats'!N:N)=1,"No",MAX(0.01,MIN(MROUND(IF(OR(_xlfn.XLOOKUP(B91,'Base stats'!B:B,'Base stats'!AM:AM)=1,AND(BJ91="True",CC91="False")),POWER(10,3.47*LOG10(_xlfn.XLOOKUP(B91,'Base stats'!B:B,'Base stats'!C:C)*1000)^-0.96),POWER(10,4.15*LOG10(_xlfn.XLOOKUP(B91,'Base stats'!B:B,'Base stats'!C:C)*1000)^-0.73))*IF(OR(_xlfn.XLOOKUP(B91,'Base stats'!B:B,'Base stats'!AM:AM)=1,_xlfn.XLOOKUP(B91,'Base stats'!B:B,'Base stats'!AK:AK)=1),0.5,1)/100,0.025),0.5)))</f>
        <v>0.17500000000000002</v>
      </c>
      <c r="CA91" s="25" t="str">
        <f>IF(P91="Standard","No",MAX(0.01,IF(_xlfn.XLOOKUP(B91,'Base stats'!B:B,'Base stats'!N:N)=0,MROUND(BZ91*P91,0.05),MIN(1,MAX(0.025,MROUND(IF(OR(CC91="true",AND(BJ91="false",BO91="false")),POWER(10,4.15*LOG10(_xlfn.XLOOKUP(B91,'Base stats'!B:B,'Base stats'!C:C)*1000)^-0.73),POWER(10,3.47*LOG10(_xlfn.XLOOKUP(B91,'Base stats'!B:B,'Base stats'!C:C)*1000)^-0.96))*IF(_xlfn.XLOOKUP(B91,'Base stats'!B:B,'Base stats'!AK:AK)=1,0.5,1)/100,0.025))))))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8" t="s">
        <v>685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stats'!O:O)=2,0,1)),0.05),0.985)))</f>
        <v>0.95000000000000007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*0.025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*0.025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8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T92" s="8">
        <f>IF(OR(A92="Queen",A92="Larva",A92="Megachicken",A92="Megatardi",A92="Toxscorpion"),"No",IFERROR(MAX(IF(_xlfn.XLOOKUP(B92,'Base stats'!B:B,'Base stats'!G:G)&lt;0.5,0.2,0.3),MROUND(_xlfn.XLOOKUP(B92,'Base stats'!B:B,'Base stats'!G:G)/(365/60),0.2)),"Unknown"))</f>
        <v>1.6</v>
      </c>
      <c r="AU92" s="8">
        <f t="shared" si="7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stats'!N:N)=1,"No",MAX(0.01,MIN(MROUND(IF(OR(_xlfn.XLOOKUP(B92,'Base stats'!B:B,'Base stats'!AM:AM)=1,AND(BJ92="True",CC92="False")),POWER(10,3.47*LOG10(_xlfn.XLOOKUP(B92,'Base stats'!B:B,'Base stats'!C:C)*1000)^-0.96),POWER(10,4.15*LOG10(_xlfn.XLOOKUP(B92,'Base stats'!B:B,'Base stats'!C:C)*1000)^-0.73))*IF(OR(_xlfn.XLOOKUP(B92,'Base stats'!B:B,'Base stats'!AM:AM)=1,_xlfn.XLOOKUP(B92,'Base stats'!B:B,'Base stats'!AK:AK)=1),0.5,1)/100,0.025),0.5)))</f>
        <v>0.17500000000000002</v>
      </c>
      <c r="CA92" s="25" t="str">
        <f>IF(P92="Standard","No",MAX(0.01,IF(_xlfn.XLOOKUP(B92,'Base stats'!B:B,'Base stats'!N:N)=0,MROUND(BZ92*P92,0.05),MIN(1,MAX(0.025,MROUND(IF(OR(CC92="true",AND(BJ92="false",BO92="false")),POWER(10,4.15*LOG10(_xlfn.XLOOKUP(B92,'Base stats'!B:B,'Base stats'!C:C)*1000)^-0.73),POWER(10,3.47*LOG10(_xlfn.XLOOKUP(B92,'Base stats'!B:B,'Base stats'!C:C)*1000)^-0.96))*IF(_xlfn.XLOOKUP(B92,'Base stats'!B:B,'Base stats'!AK:AK)=1,0.5,1)/100,0.025))))))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8" t="s">
        <v>685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stats'!O:O)=2,0,1)),0.05),0.985)))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*0.025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*0.025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8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T93" s="8">
        <f>IF(OR(A93="Queen",A93="Larva",A93="Megachicken",A93="Megatardi",A93="Toxscorpion"),"No",IFERROR(MAX(IF(_xlfn.XLOOKUP(B93,'Base stats'!B:B,'Base stats'!G:G)&lt;0.5,0.2,0.3),MROUND(_xlfn.XLOOKUP(B93,'Base stats'!B:B,'Base stats'!G:G)/(365/60),0.2)),"Unknown"))</f>
        <v>0.4</v>
      </c>
      <c r="AU93" s="8">
        <f t="shared" si="7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stats'!N:N)=1,"No",MAX(0.01,MIN(MROUND(IF(OR(_xlfn.XLOOKUP(B93,'Base stats'!B:B,'Base stats'!AM:AM)=1,AND(BJ93="True",CC93="False")),POWER(10,3.47*LOG10(_xlfn.XLOOKUP(B93,'Base stats'!B:B,'Base stats'!C:C)*1000)^-0.96),POWER(10,4.15*LOG10(_xlfn.XLOOKUP(B93,'Base stats'!B:B,'Base stats'!C:C)*1000)^-0.73))*IF(OR(_xlfn.XLOOKUP(B93,'Base stats'!B:B,'Base stats'!AM:AM)=1,_xlfn.XLOOKUP(B93,'Base stats'!B:B,'Base stats'!AK:AK)=1),0.5,1)/100,0.025),0.5)))</f>
        <v>0.5</v>
      </c>
      <c r="CA93" s="25" t="str">
        <f>IF(P93="Standard","No",MAX(0.01,IF(_xlfn.XLOOKUP(B93,'Base stats'!B:B,'Base stats'!N:N)=0,MROUND(BZ93*P93,0.05),MIN(1,MAX(0.025,MROUND(IF(OR(CC93="true",AND(BJ93="false",BO93="false")),POWER(10,4.15*LOG10(_xlfn.XLOOKUP(B93,'Base stats'!B:B,'Base stats'!C:C)*1000)^-0.73),POWER(10,3.47*LOG10(_xlfn.XLOOKUP(B93,'Base stats'!B:B,'Base stats'!C:C)*1000)^-0.96))*IF(_xlfn.XLOOKUP(B93,'Base stats'!B:B,'Base stats'!AK:AK)=1,0.5,1)/100,0.025))))))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8" t="s">
        <v>685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stats'!O:O)=2,0,1)),0.05),0.985)))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*0.025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*0.025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8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IFERROR(IF(_xlfn.XLOOKUP(B94,'Base stats'!B:B,'Base stats'!F:F)="Lay eggs","Lay eggs",MIN(20,MAX(5.5,ROUND(((_xlfn.XLOOKUP(B94,'Base stats'!B:B,'Base stats'!F:F)-25)*(14.5/615) + 5.5)*2,0)/2))),"Cannot breed")</f>
        <v>10</v>
      </c>
      <c r="AT94" s="8">
        <f>IF(OR(A94="Queen",A94="Larva",A94="Megachicken",A94="Megatardi",A94="Toxscorpion"),"No",IFERROR(MAX(IF(_xlfn.XLOOKUP(B94,'Base stats'!B:B,'Base stats'!G:G)&lt;0.5,0.2,0.3),MROUND(_xlfn.XLOOKUP(B94,'Base stats'!B:B,'Base stats'!G:G)/(365/60),0.2)),"Unknown"))</f>
        <v>0.4</v>
      </c>
      <c r="AU94" s="8">
        <f t="shared" si="7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stats'!N:N)=1,"No",MAX(0.01,MIN(MROUND(IF(OR(_xlfn.XLOOKUP(B94,'Base stats'!B:B,'Base stats'!AM:AM)=1,AND(BJ94="True",CC94="False")),POWER(10,3.47*LOG10(_xlfn.XLOOKUP(B94,'Base stats'!B:B,'Base stats'!C:C)*1000)^-0.96),POWER(10,4.15*LOG10(_xlfn.XLOOKUP(B94,'Base stats'!B:B,'Base stats'!C:C)*1000)^-0.73))*IF(OR(_xlfn.XLOOKUP(B94,'Base stats'!B:B,'Base stats'!AM:AM)=1,_xlfn.XLOOKUP(B94,'Base stats'!B:B,'Base stats'!AK:AK)=1),0.5,1)/100,0.025),0.5)))</f>
        <v>0.30000000000000004</v>
      </c>
      <c r="CA94" s="25" t="str">
        <f>IF(P94="Standard","No",MAX(0.01,IF(_xlfn.XLOOKUP(B94,'Base stats'!B:B,'Base stats'!N:N)=0,MROUND(BZ94*P94,0.05),MIN(1,MAX(0.025,MROUND(IF(OR(CC94="true",AND(BJ94="false",BO94="false")),POWER(10,4.15*LOG10(_xlfn.XLOOKUP(B94,'Base stats'!B:B,'Base stats'!C:C)*1000)^-0.73),POWER(10,3.47*LOG10(_xlfn.XLOOKUP(B94,'Base stats'!B:B,'Base stats'!C:C)*1000)^-0.96))*IF(_xlfn.XLOOKUP(B94,'Base stats'!B:B,'Base stats'!AK:AK)=1,0.5,1)/100,0.025))))))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8" t="s">
        <v>685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stats'!O:O)=2,0,1)),0.05),0.985)))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*0.025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*0.025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8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T95" s="8">
        <f>IF(OR(A95="Queen",A95="Larva",A95="Megachicken",A95="Megatardi",A95="Toxscorpion"),"No",IFERROR(MAX(IF(_xlfn.XLOOKUP(B95,'Base stats'!B:B,'Base stats'!G:G)&lt;0.5,0.2,0.3),MROUND(_xlfn.XLOOKUP(B95,'Base stats'!B:B,'Base stats'!G:G)/(365/60),0.2)),"Unknown"))</f>
        <v>0.4</v>
      </c>
      <c r="AU95" s="8">
        <f t="shared" si="7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stats'!N:N)=1,"No",MAX(0.01,MIN(MROUND(IF(OR(_xlfn.XLOOKUP(B95,'Base stats'!B:B,'Base stats'!AM:AM)=1,AND(BJ95="True",CC95="False")),POWER(10,3.47*LOG10(_xlfn.XLOOKUP(B95,'Base stats'!B:B,'Base stats'!C:C)*1000)^-0.96),POWER(10,4.15*LOG10(_xlfn.XLOOKUP(B95,'Base stats'!B:B,'Base stats'!C:C)*1000)^-0.73))*IF(OR(_xlfn.XLOOKUP(B95,'Base stats'!B:B,'Base stats'!AM:AM)=1,_xlfn.XLOOKUP(B95,'Base stats'!B:B,'Base stats'!AK:AK)=1),0.5,1)/100,0.025),0.5)))</f>
        <v>0.2</v>
      </c>
      <c r="CA95" s="25" t="str">
        <f>IF(P95="Standard","No",MAX(0.01,IF(_xlfn.XLOOKUP(B95,'Base stats'!B:B,'Base stats'!N:N)=0,MROUND(BZ95*P95,0.05),MIN(1,MAX(0.025,MROUND(IF(OR(CC95="true",AND(BJ95="false",BO95="false")),POWER(10,4.15*LOG10(_xlfn.XLOOKUP(B95,'Base stats'!B:B,'Base stats'!C:C)*1000)^-0.73),POWER(10,3.47*LOG10(_xlfn.XLOOKUP(B95,'Base stats'!B:B,'Base stats'!C:C)*1000)^-0.96))*IF(_xlfn.XLOOKUP(B95,'Base stats'!B:B,'Base stats'!AK:AK)=1,0.5,1)/100,0.025))))))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8" t="s">
        <v>685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stats'!O:O)=2,0,1)),0.05),0.985)))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*0.025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*0.025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8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T96" s="8">
        <f>IF(OR(A96="Queen",A96="Larva",A96="Megachicken",A96="Megatardi",A96="Toxscorpion"),"No",IFERROR(MAX(IF(_xlfn.XLOOKUP(B96,'Base stats'!B:B,'Base stats'!G:G)&lt;0.5,0.2,0.3),MROUND(_xlfn.XLOOKUP(B96,'Base stats'!B:B,'Base stats'!G:G)/(365/60),0.2)),"Unknown"))</f>
        <v>0.4</v>
      </c>
      <c r="AU96" s="8">
        <f t="shared" si="7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stats'!N:N)=1,"No",MAX(0.01,MIN(MROUND(IF(OR(_xlfn.XLOOKUP(B96,'Base stats'!B:B,'Base stats'!AM:AM)=1,AND(BJ96="True",CC96="False")),POWER(10,3.47*LOG10(_xlfn.XLOOKUP(B96,'Base stats'!B:B,'Base stats'!C:C)*1000)^-0.96),POWER(10,4.15*LOG10(_xlfn.XLOOKUP(B96,'Base stats'!B:B,'Base stats'!C:C)*1000)^-0.73))*IF(OR(_xlfn.XLOOKUP(B96,'Base stats'!B:B,'Base stats'!AM:AM)=1,_xlfn.XLOOKUP(B96,'Base stats'!B:B,'Base stats'!AK:AK)=1),0.5,1)/100,0.025),0.5)))</f>
        <v>0.15000000000000002</v>
      </c>
      <c r="CA96" s="25" t="str">
        <f>IF(P96="Standard","No",MAX(0.01,IF(_xlfn.XLOOKUP(B96,'Base stats'!B:B,'Base stats'!N:N)=0,MROUND(BZ96*P96,0.05),MIN(1,MAX(0.025,MROUND(IF(OR(CC96="true",AND(BJ96="false",BO96="false")),POWER(10,4.15*LOG10(_xlfn.XLOOKUP(B96,'Base stats'!B:B,'Base stats'!C:C)*1000)^-0.73),POWER(10,3.47*LOG10(_xlfn.XLOOKUP(B96,'Base stats'!B:B,'Base stats'!C:C)*1000)^-0.96))*IF(_xlfn.XLOOKUP(B96,'Base stats'!B:B,'Base stats'!AK:AK)=1,0.5,1)/100,0.025))))))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8" t="s">
        <v>685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stats'!O:O)=2,0,1)),0.05),0.985)))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*0.025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*0.025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8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IFERROR(IF(_xlfn.XLOOKUP(B97,'Base stats'!B:B,'Base stats'!F:F)="Lay eggs","Lay eggs",MIN(20,MAX(5.5,ROUND(((_xlfn.XLOOKUP(B97,'Base stats'!B:B,'Base stats'!F:F)-25)*(14.5/615) + 5.5)*2,0)/2))),"Cannot breed")</f>
        <v>11</v>
      </c>
      <c r="AT97" s="8">
        <f>IF(OR(A97="Queen",A97="Larva",A97="Megachicken",A97="Megatardi",A97="Toxscorpion"),"No",IFERROR(MAX(IF(_xlfn.XLOOKUP(B97,'Base stats'!B:B,'Base stats'!G:G)&lt;0.5,0.2,0.3),MROUND(_xlfn.XLOOKUP(B97,'Base stats'!B:B,'Base stats'!G:G)/(365/60),0.2)),"Unknown"))</f>
        <v>0.4</v>
      </c>
      <c r="AU97" s="8">
        <f t="shared" si="7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stats'!N:N)=1,"No",MAX(0.01,MIN(MROUND(IF(OR(_xlfn.XLOOKUP(B97,'Base stats'!B:B,'Base stats'!AM:AM)=1,AND(BJ97="True",CC97="False")),POWER(10,3.47*LOG10(_xlfn.XLOOKUP(B97,'Base stats'!B:B,'Base stats'!C:C)*1000)^-0.96),POWER(10,4.15*LOG10(_xlfn.XLOOKUP(B97,'Base stats'!B:B,'Base stats'!C:C)*1000)^-0.73))*IF(OR(_xlfn.XLOOKUP(B97,'Base stats'!B:B,'Base stats'!AM:AM)=1,_xlfn.XLOOKUP(B97,'Base stats'!B:B,'Base stats'!AK:AK)=1),0.5,1)/100,0.025),0.5)))</f>
        <v>0.15000000000000002</v>
      </c>
      <c r="CA97" s="25" t="str">
        <f>IF(P97="Standard","No",MAX(0.01,IF(_xlfn.XLOOKUP(B97,'Base stats'!B:B,'Base stats'!N:N)=0,MROUND(BZ97*P97,0.05),MIN(1,MAX(0.025,MROUND(IF(OR(CC97="true",AND(BJ97="false",BO97="false")),POWER(10,4.15*LOG10(_xlfn.XLOOKUP(B97,'Base stats'!B:B,'Base stats'!C:C)*1000)^-0.73),POWER(10,3.47*LOG10(_xlfn.XLOOKUP(B97,'Base stats'!B:B,'Base stats'!C:C)*1000)^-0.96))*IF(_xlfn.XLOOKUP(B97,'Base stats'!B:B,'Base stats'!AK:AK)=1,0.5,1)/100,0.025))))))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8" t="s">
        <v>685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stats'!O:O)=2,0,1)),0.05),0.985)))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*0.025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*0.025
),
0.05
),
200%
),
"No"
)</f>
        <v>0.05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8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T98" s="8">
        <f>IF(OR(A98="Queen",A98="Larva",A98="Megachicken",A98="Megatardi",A98="Toxscorpion"),"No",IFERROR(MAX(IF(_xlfn.XLOOKUP(B98,'Base stats'!B:B,'Base stats'!G:G)&lt;0.5,0.2,0.3),MROUND(_xlfn.XLOOKUP(B98,'Base stats'!B:B,'Base stats'!G:G)/(365/60),0.2)),"Unknown"))</f>
        <v>0.8</v>
      </c>
      <c r="AU98" s="8">
        <f t="shared" si="7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stats'!N:N)=1,"No",MAX(0.01,MIN(MROUND(IF(OR(_xlfn.XLOOKUP(B98,'Base stats'!B:B,'Base stats'!AM:AM)=1,AND(BJ98="True",CC98="False")),POWER(10,3.47*LOG10(_xlfn.XLOOKUP(B98,'Base stats'!B:B,'Base stats'!C:C)*1000)^-0.96),POWER(10,4.15*LOG10(_xlfn.XLOOKUP(B98,'Base stats'!B:B,'Base stats'!C:C)*1000)^-0.73))*IF(OR(_xlfn.XLOOKUP(B98,'Base stats'!B:B,'Base stats'!AM:AM)=1,_xlfn.XLOOKUP(B98,'Base stats'!B:B,'Base stats'!AK:AK)=1),0.5,1)/100,0.025),0.5)))</f>
        <v>0.22500000000000001</v>
      </c>
      <c r="CA98" s="25" t="str">
        <f>IF(P98="Standard","No",MAX(0.01,IF(_xlfn.XLOOKUP(B98,'Base stats'!B:B,'Base stats'!N:N)=0,MROUND(BZ98*P98,0.05),MIN(1,MAX(0.025,MROUND(IF(OR(CC98="true",AND(BJ98="false",BO98="false")),POWER(10,4.15*LOG10(_xlfn.XLOOKUP(B98,'Base stats'!B:B,'Base stats'!C:C)*1000)^-0.73),POWER(10,3.47*LOG10(_xlfn.XLOOKUP(B98,'Base stats'!B:B,'Base stats'!C:C)*1000)^-0.96))*IF(_xlfn.XLOOKUP(B98,'Base stats'!B:B,'Base stats'!AK:AK)=1,0.5,1)/100,0.025))))))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8" t="s">
        <v>685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stats'!O:O)=2,0,1)),0.05),0.985)))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*0.025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*0.025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8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T99" s="8">
        <f>IF(OR(A99="Queen",A99="Larva",A99="Megachicken",A99="Megatardi",A99="Toxscorpion"),"No",IFERROR(MAX(IF(_xlfn.XLOOKUP(B99,'Base stats'!B:B,'Base stats'!G:G)&lt;0.5,0.2,0.3),MROUND(_xlfn.XLOOKUP(B99,'Base stats'!B:B,'Base stats'!G:G)/(365/60),0.2)),"Unknown"))</f>
        <v>0.3</v>
      </c>
      <c r="AU99" s="8">
        <f t="shared" si="7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stats'!N:N)=1,"No",MAX(0.01,MIN(MROUND(IF(OR(_xlfn.XLOOKUP(B99,'Base stats'!B:B,'Base stats'!AM:AM)=1,AND(BJ99="True",CC99="False")),POWER(10,3.47*LOG10(_xlfn.XLOOKUP(B99,'Base stats'!B:B,'Base stats'!C:C)*1000)^-0.96),POWER(10,4.15*LOG10(_xlfn.XLOOKUP(B99,'Base stats'!B:B,'Base stats'!C:C)*1000)^-0.73))*IF(OR(_xlfn.XLOOKUP(B99,'Base stats'!B:B,'Base stats'!AM:AM)=1,_xlfn.XLOOKUP(B99,'Base stats'!B:B,'Base stats'!AK:AK)=1),0.5,1)/100,0.025),0.5)))</f>
        <v>0.05</v>
      </c>
      <c r="CA99" s="25">
        <f>IF(P99="Standard","No",MAX(0.01,IF(_xlfn.XLOOKUP(B99,'Base stats'!B:B,'Base stats'!N:N)=0,MROUND(BZ99*P99,0.05),MIN(1,MAX(0.025,MROUND(IF(OR(CC99="true",AND(BJ99="false",BO99="false")),POWER(10,4.15*LOG10(_xlfn.XLOOKUP(B99,'Base stats'!B:B,'Base stats'!C:C)*1000)^-0.73),POWER(10,3.47*LOG10(_xlfn.XLOOKUP(B99,'Base stats'!B:B,'Base stats'!C:C)*1000)^-0.96))*IF(_xlfn.XLOOKUP(B99,'Base stats'!B:B,'Base stats'!AK:AK)=1,0.5,1)/100,0.025))))))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8" t="s">
        <v>685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stats'!O:O)=2,0,1)),0.05),0.985)))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*0.025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*0.025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8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T100" s="8">
        <f>IF(OR(A100="Queen",A100="Larva",A100="Megachicken",A100="Megatardi",A100="Toxscorpion"),"No",IFERROR(MAX(IF(_xlfn.XLOOKUP(B100,'Base stats'!B:B,'Base stats'!G:G)&lt;0.5,0.2,0.3),MROUND(_xlfn.XLOOKUP(B100,'Base stats'!B:B,'Base stats'!G:G)/(365/60),0.2)),"Unknown"))</f>
        <v>0.4</v>
      </c>
      <c r="AU100" s="8">
        <f t="shared" si="7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stats'!N:N)=1,"No",MAX(0.01,MIN(MROUND(IF(OR(_xlfn.XLOOKUP(B100,'Base stats'!B:B,'Base stats'!AM:AM)=1,AND(BJ100="True",CC100="False")),POWER(10,3.47*LOG10(_xlfn.XLOOKUP(B100,'Base stats'!B:B,'Base stats'!C:C)*1000)^-0.96),POWER(10,4.15*LOG10(_xlfn.XLOOKUP(B100,'Base stats'!B:B,'Base stats'!C:C)*1000)^-0.73))*IF(OR(_xlfn.XLOOKUP(B100,'Base stats'!B:B,'Base stats'!AM:AM)=1,_xlfn.XLOOKUP(B100,'Base stats'!B:B,'Base stats'!AK:AK)=1),0.5,1)/100,0.025),0.5)))</f>
        <v>0.05</v>
      </c>
      <c r="CA100" s="25" t="str">
        <f>IF(P100="Standard","No",MAX(0.01,IF(_xlfn.XLOOKUP(B100,'Base stats'!B:B,'Base stats'!N:N)=0,MROUND(BZ100*P100,0.05),MIN(1,MAX(0.025,MROUND(IF(OR(CC100="true",AND(BJ100="false",BO100="false")),POWER(10,4.15*LOG10(_xlfn.XLOOKUP(B100,'Base stats'!B:B,'Base stats'!C:C)*1000)^-0.73),POWER(10,3.47*LOG10(_xlfn.XLOOKUP(B100,'Base stats'!B:B,'Base stats'!C:C)*1000)^-0.96))*IF(_xlfn.XLOOKUP(B100,'Base stats'!B:B,'Base stats'!AK:AK)=1,0.5,1)/100,0.025))))))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8" t="s">
        <v>685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stats'!O:O)=2,0,1)),0.05),0.985)))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*0.025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*0.025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8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T101" s="8">
        <f>IF(OR(A101="Queen",A101="Larva",A101="Megachicken",A101="Megatardi",A101="Toxscorpion"),"No",IFERROR(MAX(IF(_xlfn.XLOOKUP(B101,'Base stats'!B:B,'Base stats'!G:G)&lt;0.5,0.2,0.3),MROUND(_xlfn.XLOOKUP(B101,'Base stats'!B:B,'Base stats'!G:G)/(365/60),0.2)),"Unknown"))</f>
        <v>0.4</v>
      </c>
      <c r="AU101" s="8">
        <f t="shared" si="7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stats'!N:N)=1,"No",MAX(0.01,MIN(MROUND(IF(OR(_xlfn.XLOOKUP(B101,'Base stats'!B:B,'Base stats'!AM:AM)=1,AND(BJ101="True",CC101="False")),POWER(10,3.47*LOG10(_xlfn.XLOOKUP(B101,'Base stats'!B:B,'Base stats'!C:C)*1000)^-0.96),POWER(10,4.15*LOG10(_xlfn.XLOOKUP(B101,'Base stats'!B:B,'Base stats'!C:C)*1000)^-0.73))*IF(OR(_xlfn.XLOOKUP(B101,'Base stats'!B:B,'Base stats'!AM:AM)=1,_xlfn.XLOOKUP(B101,'Base stats'!B:B,'Base stats'!AK:AK)=1),0.5,1)/100,0.025),0.5)))</f>
        <v>0.5</v>
      </c>
      <c r="CA101" s="25" t="str">
        <f>IF(P101="Standard","No",MAX(0.01,IF(_xlfn.XLOOKUP(B101,'Base stats'!B:B,'Base stats'!N:N)=0,MROUND(BZ101*P101,0.05),MIN(1,MAX(0.025,MROUND(IF(OR(CC101="true",AND(BJ101="false",BO101="false")),POWER(10,4.15*LOG10(_xlfn.XLOOKUP(B101,'Base stats'!B:B,'Base stats'!C:C)*1000)^-0.73),POWER(10,3.47*LOG10(_xlfn.XLOOKUP(B101,'Base stats'!B:B,'Base stats'!C:C)*1000)^-0.96))*IF(_xlfn.XLOOKUP(B101,'Base stats'!B:B,'Base stats'!AK:AK)=1,0.5,1)/100,0.025))))))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8" t="s">
        <v>685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stats'!O:O)=2,0,1)),0.05),0.985)))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*0.025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*0.025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8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T102" s="8">
        <f>IF(OR(A102="Queen",A102="Larva",A102="Megachicken",A102="Megatardi",A102="Toxscorpion"),"No",IFERROR(MAX(IF(_xlfn.XLOOKUP(B102,'Base stats'!B:B,'Base stats'!G:G)&lt;0.5,0.2,0.3),MROUND(_xlfn.XLOOKUP(B102,'Base stats'!B:B,'Base stats'!G:G)/(365/60),0.2)),"Unknown"))</f>
        <v>0.4</v>
      </c>
      <c r="AU102" s="8">
        <f t="shared" si="7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stats'!N:N)=1,"No",MAX(0.01,MIN(MROUND(IF(OR(_xlfn.XLOOKUP(B102,'Base stats'!B:B,'Base stats'!AM:AM)=1,AND(BJ102="True",CC102="False")),POWER(10,3.47*LOG10(_xlfn.XLOOKUP(B102,'Base stats'!B:B,'Base stats'!C:C)*1000)^-0.96),POWER(10,4.15*LOG10(_xlfn.XLOOKUP(B102,'Base stats'!B:B,'Base stats'!C:C)*1000)^-0.73))*IF(OR(_xlfn.XLOOKUP(B102,'Base stats'!B:B,'Base stats'!AM:AM)=1,_xlfn.XLOOKUP(B102,'Base stats'!B:B,'Base stats'!AK:AK)=1),0.5,1)/100,0.025),0.5)))</f>
        <v>0.5</v>
      </c>
      <c r="CA102" s="25" t="str">
        <f>IF(P102="Standard","No",MAX(0.01,IF(_xlfn.XLOOKUP(B102,'Base stats'!B:B,'Base stats'!N:N)=0,MROUND(BZ102*P102,0.05),MIN(1,MAX(0.025,MROUND(IF(OR(CC102="true",AND(BJ102="false",BO102="false")),POWER(10,4.15*LOG10(_xlfn.XLOOKUP(B102,'Base stats'!B:B,'Base stats'!C:C)*1000)^-0.73),POWER(10,3.47*LOG10(_xlfn.XLOOKUP(B102,'Base stats'!B:B,'Base stats'!C:C)*1000)^-0.96))*IF(_xlfn.XLOOKUP(B102,'Base stats'!B:B,'Base stats'!AK:AK)=1,0.5,1)/100,0.025))))))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8" t="s">
        <v>685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stats'!O:O)=2,0,1)),0.05),0.985)))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*0.025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*0.025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8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T103" s="8">
        <f>IF(OR(A103="Queen",A103="Larva",A103="Megachicken",A103="Megatardi",A103="Toxscorpion"),"No",IFERROR(MAX(IF(_xlfn.XLOOKUP(B103,'Base stats'!B:B,'Base stats'!G:G)&lt;0.5,0.2,0.3),MROUND(_xlfn.XLOOKUP(B103,'Base stats'!B:B,'Base stats'!G:G)/(365/60),0.2)),"Unknown"))</f>
        <v>0.3</v>
      </c>
      <c r="AU103" s="8">
        <f t="shared" si="7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No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stats'!N:N)=1,"No",MAX(0.01,MIN(MROUND(IF(OR(_xlfn.XLOOKUP(B103,'Base stats'!B:B,'Base stats'!AM:AM)=1,AND(BJ103="True",CC103="False")),POWER(10,3.47*LOG10(_xlfn.XLOOKUP(B103,'Base stats'!B:B,'Base stats'!C:C)*1000)^-0.96),POWER(10,4.15*LOG10(_xlfn.XLOOKUP(B103,'Base stats'!B:B,'Base stats'!C:C)*1000)^-0.73))*IF(OR(_xlfn.XLOOKUP(B103,'Base stats'!B:B,'Base stats'!AM:AM)=1,_xlfn.XLOOKUP(B103,'Base stats'!B:B,'Base stats'!AK:AK)=1),0.5,1)/100,0.025),0.5)))</f>
        <v>0.32500000000000001</v>
      </c>
      <c r="CA103" s="25">
        <f>IF(P103="Standard","No",MAX(0.01,IF(_xlfn.XLOOKUP(B103,'Base stats'!B:B,'Base stats'!N:N)=0,MROUND(BZ103*P103,0.05),MIN(1,MAX(0.025,MROUND(IF(OR(CC103="true",AND(BJ103="false",BO103="false")),POWER(10,4.15*LOG10(_xlfn.XLOOKUP(B103,'Base stats'!B:B,'Base stats'!C:C)*1000)^-0.73),POWER(10,3.47*LOG10(_xlfn.XLOOKUP(B103,'Base stats'!B:B,'Base stats'!C:C)*1000)^-0.96))*IF(_xlfn.XLOOKUP(B103,'Base stats'!B:B,'Base stats'!AK:AK)=1,0.5,1)/100,0.025))))))</f>
        <v>0.35000000000000003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8" t="s">
        <v>685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725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stats'!O:O)=2,0,1)),0.05),0.985)))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*0.025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*0.025
),
0.05
),
200%
),
"No"
)</f>
        <v>0.1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8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T104" s="8">
        <f>IF(OR(A104="Queen",A104="Larva",A104="Megachicken",A104="Megatardi",A104="Toxscorpion"),"No",IFERROR(MAX(IF(_xlfn.XLOOKUP(B104,'Base stats'!B:B,'Base stats'!G:G)&lt;0.5,0.2,0.3),MROUND(_xlfn.XLOOKUP(B104,'Base stats'!B:B,'Base stats'!G:G)/(365/60),0.2)),"Unknown"))</f>
        <v>0.3</v>
      </c>
      <c r="AU104" s="8">
        <f t="shared" si="7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No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185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stats'!N:N)=1,"No",MAX(0.01,MIN(MROUND(IF(OR(_xlfn.XLOOKUP(B104,'Base stats'!B:B,'Base stats'!AM:AM)=1,AND(BJ104="True",CC104="False")),POWER(10,3.47*LOG10(_xlfn.XLOOKUP(B104,'Base stats'!B:B,'Base stats'!C:C)*1000)^-0.96),POWER(10,4.15*LOG10(_xlfn.XLOOKUP(B104,'Base stats'!B:B,'Base stats'!C:C)*1000)^-0.73))*IF(OR(_xlfn.XLOOKUP(B104,'Base stats'!B:B,'Base stats'!AM:AM)=1,_xlfn.XLOOKUP(B104,'Base stats'!B:B,'Base stats'!AK:AK)=1),0.5,1)/100,0.025),0.5)))</f>
        <v>0.17500000000000002</v>
      </c>
      <c r="CA104" s="25">
        <f>IF(P104="Standard","No",MAX(0.01,IF(_xlfn.XLOOKUP(B104,'Base stats'!B:B,'Base stats'!N:N)=0,MROUND(BZ104*P104,0.05),MIN(1,MAX(0.025,MROUND(IF(OR(CC104="true",AND(BJ104="false",BO104="false")),POWER(10,4.15*LOG10(_xlfn.XLOOKUP(B104,'Base stats'!B:B,'Base stats'!C:C)*1000)^-0.73),POWER(10,3.47*LOG10(_xlfn.XLOOKUP(B104,'Base stats'!B:B,'Base stats'!C:C)*1000)^-0.96))*IF(_xlfn.XLOOKUP(B104,'Base stats'!B:B,'Base stats'!AK:AK)=1,0.5,1)/100,0.025))))))</f>
        <v>0.2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8" t="s">
        <v>685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stats'!O:O)=2,0,1)),0.05),0.985)))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*0.025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*0.025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chelicerae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LeftPincer, RightPincer</v>
      </c>
      <c r="AL105" s="7" t="str">
        <f>IF(AI105="No","No",_xlfn.XLOOKUP(_xlfn.XLOOKUP(B105,'Base stats'!B:B,'Base stats'!E:E),Groups!A:A,Groups!AG:AG))</f>
        <v>left pincer, right pincer</v>
      </c>
      <c r="AM105" s="7" t="str">
        <f>IF(AI105="No","No",_xlfn.XLOOKUP(_xlfn.XLOOKUP(B105,'Base stats'!B:B,'Base stats'!E:E),Groups!A:A,Groups!AH:AH))</f>
        <v>Scratch</v>
      </c>
      <c r="AN105" s="2">
        <f t="shared" si="8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T105" s="8">
        <f>IF(OR(A105="Queen",A105="Larva",A105="Megachicken",A105="Megatardi",A105="Toxscorpion"),"No",IFERROR(MAX(IF(_xlfn.XLOOKUP(B105,'Base stats'!B:B,'Base stats'!G:G)&lt;0.5,0.2,0.3),MROUND(_xlfn.XLOOKUP(B105,'Base stats'!B:B,'Base stats'!G:G)/(365/60),0.2)),"Unknown"))</f>
        <v>0.4</v>
      </c>
      <c r="AU105" s="8">
        <f t="shared" si="7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No</v>
      </c>
      <c r="BC105" s="23" t="str">
        <f>_xlfn.XLOOKUP(_xlfn.XLOOKUP(B105,'Base stats'!B:B,'Base stats'!E:E),Groups!A:A,Groups!AL:AL)</f>
        <v>ScorpionLike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stats'!N:N)=1,"No",MAX(0.01,MIN(MROUND(IF(OR(_xlfn.XLOOKUP(B105,'Base stats'!B:B,'Base stats'!AM:AM)=1,AND(BJ105="True",CC105="False")),POWER(10,3.47*LOG10(_xlfn.XLOOKUP(B105,'Base stats'!B:B,'Base stats'!C:C)*1000)^-0.96),POWER(10,4.15*LOG10(_xlfn.XLOOKUP(B105,'Base stats'!B:B,'Base stats'!C:C)*1000)^-0.73))*IF(OR(_xlfn.XLOOKUP(B105,'Base stats'!B:B,'Base stats'!AM:AM)=1,_xlfn.XLOOKUP(B105,'Base stats'!B:B,'Base stats'!AK:AK)=1),0.5,1)/100,0.025),0.5)))</f>
        <v>0.15000000000000002</v>
      </c>
      <c r="CA105" s="25">
        <f>IF(P105="Standard","No",MAX(0.01,IF(_xlfn.XLOOKUP(B105,'Base stats'!B:B,'Base stats'!N:N)=0,MROUND(BZ105*P105,0.05),MIN(1,MAX(0.025,MROUND(IF(OR(CC105="true",AND(BJ105="false",BO105="false")),POWER(10,4.15*LOG10(_xlfn.XLOOKUP(B105,'Base stats'!B:B,'Base stats'!C:C)*1000)^-0.73),POWER(10,3.47*LOG10(_xlfn.XLOOKUP(B105,'Base stats'!B:B,'Base stats'!C:C)*1000)^-0.96))*IF(_xlfn.XLOOKUP(B105,'Base stats'!B:B,'Base stats'!AK:AK)=1,0.5,1)/100,0.025))))))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8" t="s">
        <v>685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3725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stats'!O:O)=2,0,1)),0.05),0.985)))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*0.025
),
0.05
),
200%
),
"No"
)</f>
        <v>0.9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*0.025
),
0.05
),
200%
),
"No"
)</f>
        <v>0.30000000000000004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8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8.25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T106" s="8" t="str">
        <f>IF(OR(A106="Queen",A106="Larva",A106="Megachicken",A106="Megatardi",A106="Toxscorpion"),"No",IFERROR(MAX(IF(_xlfn.XLOOKUP(B106,'Base stats'!B:B,'Base stats'!G:G)&lt;0.5,0.2,0.3),MROUND(_xlfn.XLOOKUP(B106,'Base stats'!B:B,'Base stats'!G:G)/(365/60),0.2)),"Unknown"))</f>
        <v>No</v>
      </c>
      <c r="AU106" s="8" t="str">
        <f t="shared" si="7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No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1280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stats'!N:N)=1,"No",MAX(0.01,MIN(MROUND(IF(OR(_xlfn.XLOOKUP(B106,'Base stats'!B:B,'Base stats'!AM:AM)=1,AND(BJ106="True",CC106="False")),POWER(10,3.47*LOG10(_xlfn.XLOOKUP(B106,'Base stats'!B:B,'Base stats'!C:C)*1000)^-0.96),POWER(10,4.15*LOG10(_xlfn.XLOOKUP(B106,'Base stats'!B:B,'Base stats'!C:C)*1000)^-0.73))*IF(OR(_xlfn.XLOOKUP(B106,'Base stats'!B:B,'Base stats'!AM:AM)=1,_xlfn.XLOOKUP(B106,'Base stats'!B:B,'Base stats'!AK:AK)=1),0.5,1)/100,0.025),0.5)))</f>
        <v>2.5000000000000001E-2</v>
      </c>
      <c r="CA106" s="25">
        <f>IF(P106="Standard","No",MAX(0.01,IF(_xlfn.XLOOKUP(B106,'Base stats'!B:B,'Base stats'!N:N)=0,MROUND(BZ106*P106,0.05),MIN(1,MAX(0.025,MROUND(IF(OR(CC106="true",AND(BJ106="false",BO106="false")),POWER(10,4.15*LOG10(_xlfn.XLOOKUP(B106,'Base stats'!B:B,'Base stats'!C:C)*1000)^-0.73),POWER(10,3.47*LOG10(_xlfn.XLOOKUP(B106,'Base stats'!B:B,'Base stats'!C:C)*1000)^-0.96))*IF(_xlfn.XLOOKUP(B106,'Base stats'!B:B,'Base stats'!AK:AK)=1,0.5,1)/100,0.025))))))</f>
        <v>0.05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8" t="s">
        <v>685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stats'!O:O)=2,0,1)),0.05),0.985)))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*0.025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*0.025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8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T107" s="8" t="str">
        <f>IF(OR(A107="Queen",A107="Larva",A107="Megachicken",A107="Megatardi",A107="Toxscorpion"),"No",IFERROR(MAX(IF(_xlfn.XLOOKUP(B107,'Base stats'!B:B,'Base stats'!G:G)&lt;0.5,0.2,0.3),MROUND(_xlfn.XLOOKUP(B107,'Base stats'!B:B,'Base stats'!G:G)/(365/60),0.2)),"Unknown"))</f>
        <v>No</v>
      </c>
      <c r="AU107" s="8" t="str">
        <f t="shared" si="7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No</v>
      </c>
      <c r="BC107" s="23" t="str">
        <f>_xlfn.XLOOKUP(_xlfn.XLOOKUP(B107,'Base stats'!B:B,'Base stats'!E:E),Groups!A:A,Groups!AL:AL)</f>
        <v>BeetleLike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stats'!N:N)=1,"No",MAX(0.01,MIN(MROUND(IF(OR(_xlfn.XLOOKUP(B107,'Base stats'!B:B,'Base stats'!AM:AM)=1,AND(BJ107="True",CC107="False")),POWER(10,3.47*LOG10(_xlfn.XLOOKUP(B107,'Base stats'!B:B,'Base stats'!C:C)*1000)^-0.96),POWER(10,4.15*LOG10(_xlfn.XLOOKUP(B107,'Base stats'!B:B,'Base stats'!C:C)*1000)^-0.73))*IF(OR(_xlfn.XLOOKUP(B107,'Base stats'!B:B,'Base stats'!AM:AM)=1,_xlfn.XLOOKUP(B107,'Base stats'!B:B,'Base stats'!AK:AK)=1),0.5,1)/100,0.025),0.5)))</f>
        <v>0.32500000000000001</v>
      </c>
      <c r="CA107" s="25">
        <f>IF(P107="Standard","No",MAX(0.01,IF(_xlfn.XLOOKUP(B107,'Base stats'!B:B,'Base stats'!N:N)=0,MROUND(BZ107*P107,0.05),MIN(1,MAX(0.025,MROUND(IF(OR(CC107="true",AND(BJ107="false",BO107="false")),POWER(10,4.15*LOG10(_xlfn.XLOOKUP(B107,'Base stats'!B:B,'Base stats'!C:C)*1000)^-0.73),POWER(10,3.47*LOG10(_xlfn.XLOOKUP(B107,'Base stats'!B:B,'Base stats'!C:C)*1000)^-0.96))*IF(_xlfn.XLOOKUP(B107,'Base stats'!B:B,'Base stats'!AK:AK)=1,0.5,1)/100,0.025))))))</f>
        <v>0.35000000000000003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8" t="s">
        <v>685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stats'!O:O)=2,0,1)),0.05),0.985)))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*0.025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*0.025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8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T108" s="8">
        <f>IF(OR(A108="Queen",A108="Larva",A108="Megachicken",A108="Megatardi",A108="Toxscorpion"),"No",IFERROR(MAX(IF(_xlfn.XLOOKUP(B108,'Base stats'!B:B,'Base stats'!G:G)&lt;0.5,0.2,0.3),MROUND(_xlfn.XLOOKUP(B108,'Base stats'!B:B,'Base stats'!G:G)/(365/60),0.2)),"Unknown"))</f>
        <v>0.3</v>
      </c>
      <c r="AU108" s="8">
        <f t="shared" si="7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No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stats'!N:N)=1,"No",MAX(0.01,MIN(MROUND(IF(OR(_xlfn.XLOOKUP(B108,'Base stats'!B:B,'Base stats'!AM:AM)=1,AND(BJ108="True",CC108="False")),POWER(10,3.47*LOG10(_xlfn.XLOOKUP(B108,'Base stats'!B:B,'Base stats'!C:C)*1000)^-0.96),POWER(10,4.15*LOG10(_xlfn.XLOOKUP(B108,'Base stats'!B:B,'Base stats'!C:C)*1000)^-0.73))*IF(OR(_xlfn.XLOOKUP(B108,'Base stats'!B:B,'Base stats'!AM:AM)=1,_xlfn.XLOOKUP(B108,'Base stats'!B:B,'Base stats'!AK:AK)=1),0.5,1)/100,0.025),0.5)))</f>
        <v>0.27500000000000002</v>
      </c>
      <c r="CA108" s="25">
        <f>IF(P108="Standard","No",MAX(0.01,IF(_xlfn.XLOOKUP(B108,'Base stats'!B:B,'Base stats'!N:N)=0,MROUND(BZ108*P108,0.05),MIN(1,MAX(0.025,MROUND(IF(OR(CC108="true",AND(BJ108="false",BO108="false")),POWER(10,4.15*LOG10(_xlfn.XLOOKUP(B108,'Base stats'!B:B,'Base stats'!C:C)*1000)^-0.73),POWER(10,3.47*LOG10(_xlfn.XLOOKUP(B108,'Base stats'!B:B,'Base stats'!C:C)*1000)^-0.96))*IF(_xlfn.XLOOKUP(B108,'Base stats'!B:B,'Base stats'!AK:AK)=1,0.5,1)/100,0.025))))))</f>
        <v>0.30000000000000004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8" t="s">
        <v>685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stats'!O:O)=2,0,1)),0.05),0.985)))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*0.025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*0.025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8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T109" s="8">
        <f>IF(OR(A109="Queen",A109="Larva",A109="Megachicken",A109="Megatardi",A109="Toxscorpion"),"No",IFERROR(MAX(IF(_xlfn.XLOOKUP(B109,'Base stats'!B:B,'Base stats'!G:G)&lt;0.5,0.2,0.3),MROUND(_xlfn.XLOOKUP(B109,'Base stats'!B:B,'Base stats'!G:G)/(365/60),0.2)),"Unknown"))</f>
        <v>0.3</v>
      </c>
      <c r="AU109" s="8">
        <f t="shared" si="7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stats'!N:N)=1,"No",MAX(0.01,MIN(MROUND(IF(OR(_xlfn.XLOOKUP(B109,'Base stats'!B:B,'Base stats'!AM:AM)=1,AND(BJ109="True",CC109="False")),POWER(10,3.47*LOG10(_xlfn.XLOOKUP(B109,'Base stats'!B:B,'Base stats'!C:C)*1000)^-0.96),POWER(10,4.15*LOG10(_xlfn.XLOOKUP(B109,'Base stats'!B:B,'Base stats'!C:C)*1000)^-0.73))*IF(OR(_xlfn.XLOOKUP(B109,'Base stats'!B:B,'Base stats'!AM:AM)=1,_xlfn.XLOOKUP(B109,'Base stats'!B:B,'Base stats'!AK:AK)=1),0.5,1)/100,0.025),0.5)))</f>
        <v>7.5000000000000011E-2</v>
      </c>
      <c r="CA109" s="25" t="str">
        <f>IF(P109="Standard","No",MAX(0.01,IF(_xlfn.XLOOKUP(B109,'Base stats'!B:B,'Base stats'!N:N)=0,MROUND(BZ109*P109,0.05),MIN(1,MAX(0.025,MROUND(IF(OR(CC109="true",AND(BJ109="false",BO109="false")),POWER(10,4.15*LOG10(_xlfn.XLOOKUP(B109,'Base stats'!B:B,'Base stats'!C:C)*1000)^-0.73),POWER(10,3.47*LOG10(_xlfn.XLOOKUP(B109,'Base stats'!B:B,'Base stats'!C:C)*1000)^-0.96))*IF(_xlfn.XLOOKUP(B109,'Base stats'!B:B,'Base stats'!AK:AK)=1,0.5,1)/100,0.025))))))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8" t="s">
        <v>685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stats'!O:O)=2,0,1)),0.05),0.985)))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*0.025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*0.025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8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T110" s="8">
        <f>IF(OR(A110="Queen",A110="Larva",A110="Megachicken",A110="Megatardi",A110="Toxscorpion"),"No",IFERROR(MAX(IF(_xlfn.XLOOKUP(B110,'Base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7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stats'!N:N)=1,"No",MAX(0.01,MIN(MROUND(IF(OR(_xlfn.XLOOKUP(B110,'Base stats'!B:B,'Base stats'!AM:AM)=1,AND(BJ110="True",CC110="False")),POWER(10,3.47*LOG10(_xlfn.XLOOKUP(B110,'Base stats'!B:B,'Base stats'!C:C)*1000)^-0.96),POWER(10,4.15*LOG10(_xlfn.XLOOKUP(B110,'Base stats'!B:B,'Base stats'!C:C)*1000)^-0.73))*IF(OR(_xlfn.XLOOKUP(B110,'Base stats'!B:B,'Base stats'!AM:AM)=1,_xlfn.XLOOKUP(B110,'Base stats'!B:B,'Base stats'!AK:AK)=1),0.5,1)/100,0.025),0.5)))</f>
        <v>0.125</v>
      </c>
      <c r="CA110" s="25" t="str">
        <f>IF(P110="Standard","No",MAX(0.01,IF(_xlfn.XLOOKUP(B110,'Base stats'!B:B,'Base stats'!N:N)=0,MROUND(BZ110*P110,0.05),MIN(1,MAX(0.025,MROUND(IF(OR(CC110="true",AND(BJ110="false",BO110="false")),POWER(10,4.15*LOG10(_xlfn.XLOOKUP(B110,'Base stats'!B:B,'Base stats'!C:C)*1000)^-0.73),POWER(10,3.47*LOG10(_xlfn.XLOOKUP(B110,'Base stats'!B:B,'Base stats'!C:C)*1000)^-0.96))*IF(_xlfn.XLOOKUP(B110,'Base stats'!B:B,'Base stats'!AK:AK)=1,0.5,1)/100,0.025))))))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8" t="s">
        <v>685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stats'!O:O)=2,0,1)),0.05),0.985)))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*0.025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*0.025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8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T111" s="8">
        <f>IF(OR(A111="Queen",A111="Larva",A111="Megachicken",A111="Megatardi",A111="Toxscorpion"),"No",IFERROR(MAX(IF(_xlfn.XLOOKUP(B111,'Base stats'!B:B,'Base stats'!G:G)&lt;0.5,0.2,0.3),MROUND(_xlfn.XLOOKUP(B111,'Base stats'!B:B,'Base stats'!G:G)/(365/60),0.2)),"Unknown"))</f>
        <v>0.4</v>
      </c>
      <c r="AU111" s="8">
        <f t="shared" si="7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stats'!N:N)=1,"No",MAX(0.01,MIN(MROUND(IF(OR(_xlfn.XLOOKUP(B111,'Base stats'!B:B,'Base stats'!AM:AM)=1,AND(BJ111="True",CC111="False")),POWER(10,3.47*LOG10(_xlfn.XLOOKUP(B111,'Base stats'!B:B,'Base stats'!C:C)*1000)^-0.96),POWER(10,4.15*LOG10(_xlfn.XLOOKUP(B111,'Base stats'!B:B,'Base stats'!C:C)*1000)^-0.73))*IF(OR(_xlfn.XLOOKUP(B111,'Base stats'!B:B,'Base stats'!AM:AM)=1,_xlfn.XLOOKUP(B111,'Base stats'!B:B,'Base stats'!AK:AK)=1),0.5,1)/100,0.025),0.5)))</f>
        <v>0.15000000000000002</v>
      </c>
      <c r="CA111" s="25" t="str">
        <f>IF(P111="Standard","No",MAX(0.01,IF(_xlfn.XLOOKUP(B111,'Base stats'!B:B,'Base stats'!N:N)=0,MROUND(BZ111*P111,0.05),MIN(1,MAX(0.025,MROUND(IF(OR(CC111="true",AND(BJ111="false",BO111="false")),POWER(10,4.15*LOG10(_xlfn.XLOOKUP(B111,'Base stats'!B:B,'Base stats'!C:C)*1000)^-0.73),POWER(10,3.47*LOG10(_xlfn.XLOOKUP(B111,'Base stats'!B:B,'Base stats'!C:C)*1000)^-0.96))*IF(_xlfn.XLOOKUP(B111,'Base stats'!B:B,'Base stats'!AK:AK)=1,0.5,1)/100,0.025))))))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8" t="s">
        <v>685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stats'!O:O)=2,0,1)),0.05),0.985)))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*0.025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*0.025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8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T112" s="8">
        <f>IF(OR(A112="Queen",A112="Larva",A112="Megachicken",A112="Megatardi",A112="Toxscorpion"),"No",IFERROR(MAX(IF(_xlfn.XLOOKUP(B112,'Base stats'!B:B,'Base stats'!G:G)&lt;0.5,0.2,0.3),MROUND(_xlfn.XLOOKUP(B112,'Base stats'!B:B,'Base stats'!G:G)/(365/60),0.2)),"Unknown"))</f>
        <v>0.3</v>
      </c>
      <c r="AU112" s="8">
        <f t="shared" si="7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stats'!N:N)=1,"No",MAX(0.01,MIN(MROUND(IF(OR(_xlfn.XLOOKUP(B112,'Base stats'!B:B,'Base stats'!AM:AM)=1,AND(BJ112="True",CC112="False")),POWER(10,3.47*LOG10(_xlfn.XLOOKUP(B112,'Base stats'!B:B,'Base stats'!C:C)*1000)^-0.96),POWER(10,4.15*LOG10(_xlfn.XLOOKUP(B112,'Base stats'!B:B,'Base stats'!C:C)*1000)^-0.73))*IF(OR(_xlfn.XLOOKUP(B112,'Base stats'!B:B,'Base stats'!AM:AM)=1,_xlfn.XLOOKUP(B112,'Base stats'!B:B,'Base stats'!AK:AK)=1),0.5,1)/100,0.025),0.5)))</f>
        <v>0.17500000000000002</v>
      </c>
      <c r="CA112" s="25" t="str">
        <f>IF(P112="Standard","No",MAX(0.01,IF(_xlfn.XLOOKUP(B112,'Base stats'!B:B,'Base stats'!N:N)=0,MROUND(BZ112*P112,0.05),MIN(1,MAX(0.025,MROUND(IF(OR(CC112="true",AND(BJ112="false",BO112="false")),POWER(10,4.15*LOG10(_xlfn.XLOOKUP(B112,'Base stats'!B:B,'Base stats'!C:C)*1000)^-0.73),POWER(10,3.47*LOG10(_xlfn.XLOOKUP(B112,'Base stats'!B:B,'Base stats'!C:C)*1000)^-0.96))*IF(_xlfn.XLOOKUP(B112,'Base stats'!B:B,'Base stats'!AK:AK)=1,0.5,1)/100,0.025))))))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8" t="s">
        <v>685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stats'!O:O)=2,0,1)),0.05),0.985)))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*0.025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*0.025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8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T113" s="8">
        <f>IF(OR(A113="Queen",A113="Larva",A113="Megachicken",A113="Megatardi",A113="Toxscorpion"),"No",IFERROR(MAX(IF(_xlfn.XLOOKUP(B113,'Base stats'!B:B,'Base stats'!G:G)&lt;0.5,0.2,0.3),MROUND(_xlfn.XLOOKUP(B113,'Base stats'!B:B,'Base stats'!G:G)/(365/60),0.2)),"Unknown"))</f>
        <v>1.6</v>
      </c>
      <c r="AU113" s="8">
        <f t="shared" si="7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stats'!N:N)=1,"No",MAX(0.01,MIN(MROUND(IF(OR(_xlfn.XLOOKUP(B113,'Base stats'!B:B,'Base stats'!AM:AM)=1,AND(BJ113="True",CC113="False")),POWER(10,3.47*LOG10(_xlfn.XLOOKUP(B113,'Base stats'!B:B,'Base stats'!C:C)*1000)^-0.96),POWER(10,4.15*LOG10(_xlfn.XLOOKUP(B113,'Base stats'!B:B,'Base stats'!C:C)*1000)^-0.73))*IF(OR(_xlfn.XLOOKUP(B113,'Base stats'!B:B,'Base stats'!AM:AM)=1,_xlfn.XLOOKUP(B113,'Base stats'!B:B,'Base stats'!AK:AK)=1),0.5,1)/100,0.025),0.5)))</f>
        <v>0.15000000000000002</v>
      </c>
      <c r="CA113" s="25" t="str">
        <f>IF(P113="Standard","No",MAX(0.01,IF(_xlfn.XLOOKUP(B113,'Base stats'!B:B,'Base stats'!N:N)=0,MROUND(BZ113*P113,0.05),MIN(1,MAX(0.025,MROUND(IF(OR(CC113="true",AND(BJ113="false",BO113="false")),POWER(10,4.15*LOG10(_xlfn.XLOOKUP(B113,'Base stats'!B:B,'Base stats'!C:C)*1000)^-0.73),POWER(10,3.47*LOG10(_xlfn.XLOOKUP(B113,'Base stats'!B:B,'Base stats'!C:C)*1000)^-0.96))*IF(_xlfn.XLOOKUP(B113,'Base stats'!B:B,'Base stats'!AK:AK)=1,0.5,1)/100,0.025))))))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8" t="s">
        <v>685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stats'!O:O)=2,0,1)),0.05),0.985)))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*0.025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*0.025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FrontRightPaw,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8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T114" s="8">
        <f>IF(OR(A114="Queen",A114="Larva",A114="Megachicken",A114="Megatardi",A114="Toxscorpion"),"No",IFERROR(MAX(IF(_xlfn.XLOOKUP(B114,'Base stats'!B:B,'Base stats'!G:G)&lt;0.5,0.2,0.3),MROUND(_xlfn.XLOOKUP(B114,'Base stats'!B:B,'Base stats'!G:G)/(365/60),0.2)),"Unknown"))</f>
        <v>0.3</v>
      </c>
      <c r="AU114" s="8">
        <f t="shared" si="7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stats'!N:N)=1,"No",MAX(0.01,MIN(MROUND(IF(OR(_xlfn.XLOOKUP(B114,'Base stats'!B:B,'Base stats'!AM:AM)=1,AND(BJ114="True",CC114="False")),POWER(10,3.47*LOG10(_xlfn.XLOOKUP(B114,'Base stats'!B:B,'Base stats'!C:C)*1000)^-0.96),POWER(10,4.15*LOG10(_xlfn.XLOOKUP(B114,'Base stats'!B:B,'Base stats'!C:C)*1000)^-0.73))*IF(OR(_xlfn.XLOOKUP(B114,'Base stats'!B:B,'Base stats'!AM:AM)=1,_xlfn.XLOOKUP(B114,'Base stats'!B:B,'Base stats'!AK:AK)=1),0.5,1)/100,0.025),0.5)))</f>
        <v>0.05</v>
      </c>
      <c r="CA114" s="25" t="str">
        <f>IF(P114="Standard","No",MAX(0.01,IF(_xlfn.XLOOKUP(B114,'Base stats'!B:B,'Base stats'!N:N)=0,MROUND(BZ114*P114,0.05),MIN(1,MAX(0.025,MROUND(IF(OR(CC114="true",AND(BJ114="false",BO114="false")),POWER(10,4.15*LOG10(_xlfn.XLOOKUP(B114,'Base stats'!B:B,'Base stats'!C:C)*1000)^-0.73),POWER(10,3.47*LOG10(_xlfn.XLOOKUP(B114,'Base stats'!B:B,'Base stats'!C:C)*1000)^-0.96))*IF(_xlfn.XLOOKUP(B114,'Base stats'!B:B,'Base stats'!AK:AK)=1,0.5,1)/100,0.025))))))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8" t="s">
        <v>685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stats'!O:O)=2,0,1)),0.05),0.985)))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*0.025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*0.025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FrontRightPaw,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8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T115" s="8">
        <f>IF(OR(A115="Queen",A115="Larva",A115="Megachicken",A115="Megatardi",A115="Toxscorpion"),"No",IFERROR(MAX(IF(_xlfn.XLOOKUP(B115,'Base stats'!B:B,'Base stats'!G:G)&lt;0.5,0.2,0.3),MROUND(_xlfn.XLOOKUP(B115,'Base stats'!B:B,'Base stats'!G:G)/(365/60),0.2)),"Unknown"))</f>
        <v>0.4</v>
      </c>
      <c r="AU115" s="8">
        <f t="shared" si="7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stats'!N:N)=1,"No",MAX(0.01,MIN(MROUND(IF(OR(_xlfn.XLOOKUP(B115,'Base stats'!B:B,'Base stats'!AM:AM)=1,AND(BJ115="True",CC115="False")),POWER(10,3.47*LOG10(_xlfn.XLOOKUP(B115,'Base stats'!B:B,'Base stats'!C:C)*1000)^-0.96),POWER(10,4.15*LOG10(_xlfn.XLOOKUP(B115,'Base stats'!B:B,'Base stats'!C:C)*1000)^-0.73))*IF(OR(_xlfn.XLOOKUP(B115,'Base stats'!B:B,'Base stats'!AM:AM)=1,_xlfn.XLOOKUP(B115,'Base stats'!B:B,'Base stats'!AK:AK)=1),0.5,1)/100,0.025),0.5)))</f>
        <v>0.125</v>
      </c>
      <c r="CA115" s="25">
        <f>IF(P115="Standard","No",MAX(0.01,IF(_xlfn.XLOOKUP(B115,'Base stats'!B:B,'Base stats'!N:N)=0,MROUND(BZ115*P115,0.05),MIN(1,MAX(0.025,MROUND(IF(OR(CC115="true",AND(BJ115="false",BO115="false")),POWER(10,4.15*LOG10(_xlfn.XLOOKUP(B115,'Base stats'!B:B,'Base stats'!C:C)*1000)^-0.73),POWER(10,3.47*LOG10(_xlfn.XLOOKUP(B115,'Base stats'!B:B,'Base stats'!C:C)*1000)^-0.96))*IF(_xlfn.XLOOKUP(B115,'Base stats'!B:B,'Base stats'!AK:AK)=1,0.5,1)/100,0.025))))))</f>
        <v>0.1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8" t="s">
        <v>685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stats'!O:O)=2,0,1)),0.05),0.985)))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*0.025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*0.025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FrontRightPaw,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8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T116" s="8">
        <f>IF(OR(A116="Queen",A116="Larva",A116="Megachicken",A116="Megatardi",A116="Toxscorpion"),"No",IFERROR(MAX(IF(_xlfn.XLOOKUP(B116,'Base stats'!B:B,'Base stats'!G:G)&lt;0.5,0.2,0.3),MROUND(_xlfn.XLOOKUP(B116,'Base stats'!B:B,'Base stats'!G:G)/(365/60),0.2)),"Unknown"))</f>
        <v>0.3</v>
      </c>
      <c r="AU116" s="8">
        <f t="shared" si="7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stats'!N:N)=1,"No",MAX(0.01,MIN(MROUND(IF(OR(_xlfn.XLOOKUP(B116,'Base stats'!B:B,'Base stats'!AM:AM)=1,AND(BJ116="True",CC116="False")),POWER(10,3.47*LOG10(_xlfn.XLOOKUP(B116,'Base stats'!B:B,'Base stats'!C:C)*1000)^-0.96),POWER(10,4.15*LOG10(_xlfn.XLOOKUP(B116,'Base stats'!B:B,'Base stats'!C:C)*1000)^-0.73))*IF(OR(_xlfn.XLOOKUP(B116,'Base stats'!B:B,'Base stats'!AM:AM)=1,_xlfn.XLOOKUP(B116,'Base stats'!B:B,'Base stats'!AK:AK)=1),0.5,1)/100,0.025),0.5)))</f>
        <v>0.22500000000000001</v>
      </c>
      <c r="CA116" s="25" t="str">
        <f>IF(P116="Standard","No",MAX(0.01,IF(_xlfn.XLOOKUP(B116,'Base stats'!B:B,'Base stats'!N:N)=0,MROUND(BZ116*P116,0.05),MIN(1,MAX(0.025,MROUND(IF(OR(CC116="true",AND(BJ116="false",BO116="false")),POWER(10,4.15*LOG10(_xlfn.XLOOKUP(B116,'Base stats'!B:B,'Base stats'!C:C)*1000)^-0.73),POWER(10,3.47*LOG10(_xlfn.XLOOKUP(B116,'Base stats'!B:B,'Base stats'!C:C)*1000)^-0.96))*IF(_xlfn.XLOOKUP(B116,'Base stats'!B:B,'Base stats'!AK:AK)=1,0.5,1)/100,0.025))))))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8" t="s">
        <v>685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stats'!O:O)=2,0,1)),0.05),0.985)))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*0.025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*0.025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FrontRightPaw,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8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T117" s="8">
        <f>IF(OR(A117="Queen",A117="Larva",A117="Megachicken",A117="Megatardi",A117="Toxscorpion"),"No",IFERROR(MAX(IF(_xlfn.XLOOKUP(B117,'Base stats'!B:B,'Base stats'!G:G)&lt;0.5,0.2,0.3),MROUND(_xlfn.XLOOKUP(B117,'Base stats'!B:B,'Base stats'!G:G)/(365/60),0.2)),"Unknown"))</f>
        <v>0.3</v>
      </c>
      <c r="AU117" s="8">
        <f t="shared" si="7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AridShrubland TropicalRainforest TropicalSwamp Grasslands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stats'!N:N)=1,"No",MAX(0.01,MIN(MROUND(IF(OR(_xlfn.XLOOKUP(B117,'Base stats'!B:B,'Base stats'!AM:AM)=1,AND(BJ117="True",CC117="False")),POWER(10,3.47*LOG10(_xlfn.XLOOKUP(B117,'Base stats'!B:B,'Base stats'!C:C)*1000)^-0.96),POWER(10,4.15*LOG10(_xlfn.XLOOKUP(B117,'Base stats'!B:B,'Base stats'!C:C)*1000)^-0.73))*IF(OR(_xlfn.XLOOKUP(B117,'Base stats'!B:B,'Base stats'!AM:AM)=1,_xlfn.XLOOKUP(B117,'Base stats'!B:B,'Base stats'!AK:AK)=1),0.5,1)/100,0.025),0.5)))</f>
        <v>0.05</v>
      </c>
      <c r="CA117" s="25" t="str">
        <f>IF(P117="Standard","No",MAX(0.01,IF(_xlfn.XLOOKUP(B117,'Base stats'!B:B,'Base stats'!N:N)=0,MROUND(BZ117*P117,0.05),MIN(1,MAX(0.025,MROUND(IF(OR(CC117="true",AND(BJ117="false",BO117="false")),POWER(10,4.15*LOG10(_xlfn.XLOOKUP(B117,'Base stats'!B:B,'Base stats'!C:C)*1000)^-0.73),POWER(10,3.47*LOG10(_xlfn.XLOOKUP(B117,'Base stats'!B:B,'Base stats'!C:C)*1000)^-0.96))*IF(_xlfn.XLOOKUP(B117,'Base stats'!B:B,'Base stats'!AK:AK)=1,0.5,1)/100,0.025))))))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8" t="s">
        <v>685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stats'!O:O)=2,0,1)),0.05),0.985)))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*0.025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*0.025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8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T118" s="8">
        <f>IF(OR(A118="Queen",A118="Larva",A118="Megachicken",A118="Megatardi",A118="Toxscorpion"),"No",IFERROR(MAX(IF(_xlfn.XLOOKUP(B118,'Base stats'!B:B,'Base stats'!G:G)&lt;0.5,0.2,0.3),MROUND(_xlfn.XLOOKUP(B118,'Base stats'!B:B,'Base stats'!G:G)/(365/60),0.2)),"Unknown"))</f>
        <v>0.3</v>
      </c>
      <c r="AU118" s="8">
        <f t="shared" si="7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stats'!N:N)=1,"No",MAX(0.01,MIN(MROUND(IF(OR(_xlfn.XLOOKUP(B118,'Base stats'!B:B,'Base stats'!AM:AM)=1,AND(BJ118="True",CC118="False")),POWER(10,3.47*LOG10(_xlfn.XLOOKUP(B118,'Base stats'!B:B,'Base stats'!C:C)*1000)^-0.96),POWER(10,4.15*LOG10(_xlfn.XLOOKUP(B118,'Base stats'!B:B,'Base stats'!C:C)*1000)^-0.73))*IF(OR(_xlfn.XLOOKUP(B118,'Base stats'!B:B,'Base stats'!AM:AM)=1,_xlfn.XLOOKUP(B118,'Base stats'!B:B,'Base stats'!AK:AK)=1),0.5,1)/100,0.025),0.5)))</f>
        <v>7.5000000000000011E-2</v>
      </c>
      <c r="CA118" s="25" t="str">
        <f>IF(P118="Standard","No",MAX(0.01,IF(_xlfn.XLOOKUP(B118,'Base stats'!B:B,'Base stats'!N:N)=0,MROUND(BZ118*P118,0.05),MIN(1,MAX(0.025,MROUND(IF(OR(CC118="true",AND(BJ118="false",BO118="false")),POWER(10,4.15*LOG10(_xlfn.XLOOKUP(B118,'Base stats'!B:B,'Base stats'!C:C)*1000)^-0.73),POWER(10,3.47*LOG10(_xlfn.XLOOKUP(B118,'Base stats'!B:B,'Base stats'!C:C)*1000)^-0.96))*IF(_xlfn.XLOOKUP(B118,'Base stats'!B:B,'Base stats'!AK:AK)=1,0.5,1)/100,0.025))))))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8" t="s">
        <v>685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stats'!O:O)=2,0,1)),0.05),0.985)))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*0.025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*0.025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8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T119" s="8">
        <f>IF(OR(A119="Queen",A119="Larva",A119="Megachicken",A119="Megatardi",A119="Toxscorpion"),"No",IFERROR(MAX(IF(_xlfn.XLOOKUP(B119,'Base stats'!B:B,'Base stats'!G:G)&lt;0.5,0.2,0.3),MROUND(_xlfn.XLOOKUP(B119,'Base stats'!B:B,'Base stats'!G:G)/(365/60),0.2)),"Unknown"))</f>
        <v>0.3</v>
      </c>
      <c r="AU119" s="8">
        <f t="shared" si="7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stats'!N:N)=1,"No",MAX(0.01,MIN(MROUND(IF(OR(_xlfn.XLOOKUP(B119,'Base stats'!B:B,'Base stats'!AM:AM)=1,AND(BJ119="True",CC119="False")),POWER(10,3.47*LOG10(_xlfn.XLOOKUP(B119,'Base stats'!B:B,'Base stats'!C:C)*1000)^-0.96),POWER(10,4.15*LOG10(_xlfn.XLOOKUP(B119,'Base stats'!B:B,'Base stats'!C:C)*1000)^-0.73))*IF(OR(_xlfn.XLOOKUP(B119,'Base stats'!B:B,'Base stats'!AM:AM)=1,_xlfn.XLOOKUP(B119,'Base stats'!B:B,'Base stats'!AK:AK)=1),0.5,1)/100,0.025),0.5)))</f>
        <v>7.5000000000000011E-2</v>
      </c>
      <c r="CA119" s="25" t="str">
        <f>IF(P119="Standard","No",MAX(0.01,IF(_xlfn.XLOOKUP(B119,'Base stats'!B:B,'Base stats'!N:N)=0,MROUND(BZ119*P119,0.05),MIN(1,MAX(0.025,MROUND(IF(OR(CC119="true",AND(BJ119="false",BO119="false")),POWER(10,4.15*LOG10(_xlfn.XLOOKUP(B119,'Base stats'!B:B,'Base stats'!C:C)*1000)^-0.73),POWER(10,3.47*LOG10(_xlfn.XLOOKUP(B119,'Base stats'!B:B,'Base stats'!C:C)*1000)^-0.96))*IF(_xlfn.XLOOKUP(B119,'Base stats'!B:B,'Base stats'!AK:AK)=1,0.5,1)/100,0.025))))))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8" t="s">
        <v>685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stats'!O:O)=2,0,1)),0.05),0.985)))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*0.025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*0.025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FrontRightPaw,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8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T120" s="8">
        <f>IF(OR(A120="Queen",A120="Larva",A120="Megachicken",A120="Megatardi",A120="Toxscorpion"),"No",IFERROR(MAX(IF(_xlfn.XLOOKUP(B120,'Base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7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stats'!N:N)=1,"No",MAX(0.01,MIN(MROUND(IF(OR(_xlfn.XLOOKUP(B120,'Base stats'!B:B,'Base stats'!AM:AM)=1,AND(BJ120="True",CC120="False")),POWER(10,3.47*LOG10(_xlfn.XLOOKUP(B120,'Base stats'!B:B,'Base stats'!C:C)*1000)^-0.96),POWER(10,4.15*LOG10(_xlfn.XLOOKUP(B120,'Base stats'!B:B,'Base stats'!C:C)*1000)^-0.73))*IF(OR(_xlfn.XLOOKUP(B120,'Base stats'!B:B,'Base stats'!AM:AM)=1,_xlfn.XLOOKUP(B120,'Base stats'!B:B,'Base stats'!AK:AK)=1),0.5,1)/100,0.025),0.5)))</f>
        <v>0.05</v>
      </c>
      <c r="CA120" s="25" t="str">
        <f>IF(P120="Standard","No",MAX(0.01,IF(_xlfn.XLOOKUP(B120,'Base stats'!B:B,'Base stats'!N:N)=0,MROUND(BZ120*P120,0.05),MIN(1,MAX(0.025,MROUND(IF(OR(CC120="true",AND(BJ120="false",BO120="false")),POWER(10,4.15*LOG10(_xlfn.XLOOKUP(B120,'Base stats'!B:B,'Base stats'!C:C)*1000)^-0.73),POWER(10,3.47*LOG10(_xlfn.XLOOKUP(B120,'Base stats'!B:B,'Base stats'!C:C)*1000)^-0.96))*IF(_xlfn.XLOOKUP(B120,'Base stats'!B:B,'Base stats'!AK:AK)=1,0.5,1)/100,0.025))))))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8" t="s">
        <v>685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stats'!O:O)=2,0,1)),0.05),0.985)))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*0.025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*0.025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8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T121" s="8">
        <f>IF(OR(A121="Queen",A121="Larva",A121="Megachicken",A121="Megatardi",A121="Toxscorpion"),"No",IFERROR(MAX(IF(_xlfn.XLOOKUP(B121,'Base stats'!B:B,'Base stats'!G:G)&lt;0.5,0.2,0.3),MROUND(_xlfn.XLOOKUP(B121,'Base stats'!B:B,'Base stats'!G:G)/(365/60),0.2)),"Unknown"))</f>
        <v>0.4</v>
      </c>
      <c r="AU121" s="8">
        <f t="shared" si="7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stats'!N:N)=1,"No",MAX(0.01,MIN(MROUND(IF(OR(_xlfn.XLOOKUP(B121,'Base stats'!B:B,'Base stats'!AM:AM)=1,AND(BJ121="True",CC121="False")),POWER(10,3.47*LOG10(_xlfn.XLOOKUP(B121,'Base stats'!B:B,'Base stats'!C:C)*1000)^-0.96),POWER(10,4.15*LOG10(_xlfn.XLOOKUP(B121,'Base stats'!B:B,'Base stats'!C:C)*1000)^-0.73))*IF(OR(_xlfn.XLOOKUP(B121,'Base stats'!B:B,'Base stats'!AM:AM)=1,_xlfn.XLOOKUP(B121,'Base stats'!B:B,'Base stats'!AK:AK)=1),0.5,1)/100,0.025),0.5)))</f>
        <v>0.05</v>
      </c>
      <c r="CA121" s="25" t="str">
        <f>IF(P121="Standard","No",MAX(0.01,IF(_xlfn.XLOOKUP(B121,'Base stats'!B:B,'Base stats'!N:N)=0,MROUND(BZ121*P121,0.05),MIN(1,MAX(0.025,MROUND(IF(OR(CC121="true",AND(BJ121="false",BO121="false")),POWER(10,4.15*LOG10(_xlfn.XLOOKUP(B121,'Base stats'!B:B,'Base stats'!C:C)*1000)^-0.73),POWER(10,3.47*LOG10(_xlfn.XLOOKUP(B121,'Base stats'!B:B,'Base stats'!C:C)*1000)^-0.96))*IF(_xlfn.XLOOKUP(B121,'Base stats'!B:B,'Base stats'!AK:AK)=1,0.5,1)/100,0.025))))))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8" t="s">
        <v>685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stats'!O:O)=2,0,1)),0.05),0.985)))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*0.025
),
0.05
),
200%
),
"No"
)</f>
        <v>0.70000000000000007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*0.025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8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T122" s="8">
        <f>IF(OR(A122="Queen",A122="Larva",A122="Megachicken",A122="Megatardi",A122="Toxscorpion"),"No",IFERROR(MAX(IF(_xlfn.XLOOKUP(B122,'Base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7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stats'!N:N)=1,"No",MAX(0.01,MIN(MROUND(IF(OR(_xlfn.XLOOKUP(B122,'Base stats'!B:B,'Base stats'!AM:AM)=1,AND(BJ122="True",CC122="False")),POWER(10,3.47*LOG10(_xlfn.XLOOKUP(B122,'Base stats'!B:B,'Base stats'!C:C)*1000)^-0.96),POWER(10,4.15*LOG10(_xlfn.XLOOKUP(B122,'Base stats'!B:B,'Base stats'!C:C)*1000)^-0.73))*IF(OR(_xlfn.XLOOKUP(B122,'Base stats'!B:B,'Base stats'!AM:AM)=1,_xlfn.XLOOKUP(B122,'Base stats'!B:B,'Base stats'!AK:AK)=1),0.5,1)/100,0.025),0.5)))</f>
        <v>0.22500000000000001</v>
      </c>
      <c r="CA122" s="25" t="str">
        <f>IF(P122="Standard","No",MAX(0.01,IF(_xlfn.XLOOKUP(B122,'Base stats'!B:B,'Base stats'!N:N)=0,MROUND(BZ122*P122,0.05),MIN(1,MAX(0.025,MROUND(IF(OR(CC122="true",AND(BJ122="false",BO122="false")),POWER(10,4.15*LOG10(_xlfn.XLOOKUP(B122,'Base stats'!B:B,'Base stats'!C:C)*1000)^-0.73),POWER(10,3.47*LOG10(_xlfn.XLOOKUP(B122,'Base stats'!B:B,'Base stats'!C:C)*1000)^-0.96))*IF(_xlfn.XLOOKUP(B122,'Base stats'!B:B,'Base stats'!AK:AK)=1,0.5,1)/100,0.025))))))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8" t="s">
        <v>685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stats'!O:O)=2,0,1)),0.05),0.985)))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*0.025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*0.025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FrontRightPaw,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8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T123" s="8">
        <f>IF(OR(A123="Queen",A123="Larva",A123="Megachicken",A123="Megatardi",A123="Toxscorpion"),"No",IFERROR(MAX(IF(_xlfn.XLOOKUP(B123,'Base stats'!B:B,'Base stats'!G:G)&lt;0.5,0.2,0.3),MROUND(_xlfn.XLOOKUP(B123,'Base stats'!B:B,'Base stats'!G:G)/(365/60),0.2)),"Unknown"))</f>
        <v>0.4</v>
      </c>
      <c r="AU123" s="8">
        <f t="shared" si="7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stats'!N:N)=1,"No",MAX(0.01,MIN(MROUND(IF(OR(_xlfn.XLOOKUP(B123,'Base stats'!B:B,'Base stats'!AM:AM)=1,AND(BJ123="True",CC123="False")),POWER(10,3.47*LOG10(_xlfn.XLOOKUP(B123,'Base stats'!B:B,'Base stats'!C:C)*1000)^-0.96),POWER(10,4.15*LOG10(_xlfn.XLOOKUP(B123,'Base stats'!B:B,'Base stats'!C:C)*1000)^-0.73))*IF(OR(_xlfn.XLOOKUP(B123,'Base stats'!B:B,'Base stats'!AM:AM)=1,_xlfn.XLOOKUP(B123,'Base stats'!B:B,'Base stats'!AK:AK)=1),0.5,1)/100,0.025),0.5)))</f>
        <v>0.05</v>
      </c>
      <c r="CA123" s="25" t="str">
        <f>IF(P123="Standard","No",MAX(0.01,IF(_xlfn.XLOOKUP(B123,'Base stats'!B:B,'Base stats'!N:N)=0,MROUND(BZ123*P123,0.05),MIN(1,MAX(0.025,MROUND(IF(OR(CC123="true",AND(BJ123="false",BO123="false")),POWER(10,4.15*LOG10(_xlfn.XLOOKUP(B123,'Base stats'!B:B,'Base stats'!C:C)*1000)^-0.73),POWER(10,3.47*LOG10(_xlfn.XLOOKUP(B123,'Base stats'!B:B,'Base stats'!C:C)*1000)^-0.96))*IF(_xlfn.XLOOKUP(B123,'Base stats'!B:B,'Base stats'!AK:AK)=1,0.5,1)/100,0.025))))))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8" t="s">
        <v>685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stats'!O:O)=2,0,1)),0.05),0.985)))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*0.025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*0.025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8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T124" s="8">
        <f>IF(OR(A124="Queen",A124="Larva",A124="Megachicken",A124="Megatardi",A124="Toxscorpion"),"No",IFERROR(MAX(IF(_xlfn.XLOOKUP(B124,'Base stats'!B:B,'Base stats'!G:G)&lt;0.5,0.2,0.3),MROUND(_xlfn.XLOOKUP(B124,'Base stats'!B:B,'Base stats'!G:G)/(365/60),0.2)),"Unknown"))</f>
        <v>0.4</v>
      </c>
      <c r="AU124" s="8">
        <f t="shared" si="7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stats'!N:N)=1,"No",MAX(0.01,MIN(MROUND(IF(OR(_xlfn.XLOOKUP(B124,'Base stats'!B:B,'Base stats'!AM:AM)=1,AND(BJ124="True",CC124="False")),POWER(10,3.47*LOG10(_xlfn.XLOOKUP(B124,'Base stats'!B:B,'Base stats'!C:C)*1000)^-0.96),POWER(10,4.15*LOG10(_xlfn.XLOOKUP(B124,'Base stats'!B:B,'Base stats'!C:C)*1000)^-0.73))*IF(OR(_xlfn.XLOOKUP(B124,'Base stats'!B:B,'Base stats'!AM:AM)=1,_xlfn.XLOOKUP(B124,'Base stats'!B:B,'Base stats'!AK:AK)=1),0.5,1)/100,0.025),0.5)))</f>
        <v>0.5</v>
      </c>
      <c r="CA124" s="25" t="str">
        <f>IF(P124="Standard","No",MAX(0.01,IF(_xlfn.XLOOKUP(B124,'Base stats'!B:B,'Base stats'!N:N)=0,MROUND(BZ124*P124,0.05),MIN(1,MAX(0.025,MROUND(IF(OR(CC124="true",AND(BJ124="false",BO124="false")),POWER(10,4.15*LOG10(_xlfn.XLOOKUP(B124,'Base stats'!B:B,'Base stats'!C:C)*1000)^-0.73),POWER(10,3.47*LOG10(_xlfn.XLOOKUP(B124,'Base stats'!B:B,'Base stats'!C:C)*1000)^-0.96))*IF(_xlfn.XLOOKUP(B124,'Base stats'!B:B,'Base stats'!AK:AK)=1,0.5,1)/100,0.025))))))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8" t="s">
        <v>685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stats'!O:O)=2,0,1)),0.05),0.985)))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*0.025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*0.025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8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T125" s="8">
        <f>IF(OR(A125="Queen",A125="Larva",A125="Megachicken",A125="Megatardi",A125="Toxscorpion"),"No",IFERROR(MAX(IF(_xlfn.XLOOKUP(B125,'Base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7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stats'!N:N)=1,"No",MAX(0.01,MIN(MROUND(IF(OR(_xlfn.XLOOKUP(B125,'Base stats'!B:B,'Base stats'!AM:AM)=1,AND(BJ125="True",CC125="False")),POWER(10,3.47*LOG10(_xlfn.XLOOKUP(B125,'Base stats'!B:B,'Base stats'!C:C)*1000)^-0.96),POWER(10,4.15*LOG10(_xlfn.XLOOKUP(B125,'Base stats'!B:B,'Base stats'!C:C)*1000)^-0.73))*IF(OR(_xlfn.XLOOKUP(B125,'Base stats'!B:B,'Base stats'!AM:AM)=1,_xlfn.XLOOKUP(B125,'Base stats'!B:B,'Base stats'!AK:AK)=1),0.5,1)/100,0.025),0.5)))</f>
        <v>0.15000000000000002</v>
      </c>
      <c r="CA125" s="25" t="str">
        <f>IF(P125="Standard","No",MAX(0.01,IF(_xlfn.XLOOKUP(B125,'Base stats'!B:B,'Base stats'!N:N)=0,MROUND(BZ125*P125,0.05),MIN(1,MAX(0.025,MROUND(IF(OR(CC125="true",AND(BJ125="false",BO125="false")),POWER(10,4.15*LOG10(_xlfn.XLOOKUP(B125,'Base stats'!B:B,'Base stats'!C:C)*1000)^-0.73),POWER(10,3.47*LOG10(_xlfn.XLOOKUP(B125,'Base stats'!B:B,'Base stats'!C:C)*1000)^-0.96))*IF(_xlfn.XLOOKUP(B125,'Base stats'!B:B,'Base stats'!AK:AK)=1,0.5,1)/100,0.025))))))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8" t="s">
        <v>685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stats'!O:O)=2,0,1)),0.05),0.985)))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*0.025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*0.025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8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T126" s="8">
        <f>IF(OR(A126="Queen",A126="Larva",A126="Megachicken",A126="Megatardi",A126="Toxscorpion"),"No",IFERROR(MAX(IF(_xlfn.XLOOKUP(B126,'Base stats'!B:B,'Base stats'!G:G)&lt;0.5,0.2,0.3),MROUND(_xlfn.XLOOKUP(B126,'Base stats'!B:B,'Base stats'!G:G)/(365/60),0.2)),"Unknown"))</f>
        <v>0.4</v>
      </c>
      <c r="AU126" s="8">
        <f t="shared" si="7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stats'!N:N)=1,"No",MAX(0.01,MIN(MROUND(IF(OR(_xlfn.XLOOKUP(B126,'Base stats'!B:B,'Base stats'!AM:AM)=1,AND(BJ126="True",CC126="False")),POWER(10,3.47*LOG10(_xlfn.XLOOKUP(B126,'Base stats'!B:B,'Base stats'!C:C)*1000)^-0.96),POWER(10,4.15*LOG10(_xlfn.XLOOKUP(B126,'Base stats'!B:B,'Base stats'!C:C)*1000)^-0.73))*IF(OR(_xlfn.XLOOKUP(B126,'Base stats'!B:B,'Base stats'!AM:AM)=1,_xlfn.XLOOKUP(B126,'Base stats'!B:B,'Base stats'!AK:AK)=1),0.5,1)/100,0.025),0.5)))</f>
        <v>0.375</v>
      </c>
      <c r="CA126" s="25" t="str">
        <f>IF(P126="Standard","No",MAX(0.01,IF(_xlfn.XLOOKUP(B126,'Base stats'!B:B,'Base stats'!N:N)=0,MROUND(BZ126*P126,0.05),MIN(1,MAX(0.025,MROUND(IF(OR(CC126="true",AND(BJ126="false",BO126="false")),POWER(10,4.15*LOG10(_xlfn.XLOOKUP(B126,'Base stats'!B:B,'Base stats'!C:C)*1000)^-0.73),POWER(10,3.47*LOG10(_xlfn.XLOOKUP(B126,'Base stats'!B:B,'Base stats'!C:C)*1000)^-0.96))*IF(_xlfn.XLOOKUP(B126,'Base stats'!B:B,'Base stats'!AK:AK)=1,0.5,1)/100,0.025))))))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8" t="s">
        <v>685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stats'!O:O)=2,0,1)),0.05),0.985)))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*0.025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*0.025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8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T127" s="8">
        <f>IF(OR(A127="Queen",A127="Larva",A127="Megachicken",A127="Megatardi",A127="Toxscorpion"),"No",IFERROR(MAX(IF(_xlfn.XLOOKUP(B127,'Base stats'!B:B,'Base stats'!G:G)&lt;0.5,0.2,0.3),MROUND(_xlfn.XLOOKUP(B127,'Base stats'!B:B,'Base stats'!G:G)/(365/60),0.2)),"Unknown"))</f>
        <v>0.3</v>
      </c>
      <c r="AU127" s="8">
        <f t="shared" si="7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No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stats'!N:N)=1,"No",MAX(0.01,MIN(MROUND(IF(OR(_xlfn.XLOOKUP(B127,'Base stats'!B:B,'Base stats'!AM:AM)=1,AND(BJ127="True",CC127="False")),POWER(10,3.47*LOG10(_xlfn.XLOOKUP(B127,'Base stats'!B:B,'Base stats'!C:C)*1000)^-0.96),POWER(10,4.15*LOG10(_xlfn.XLOOKUP(B127,'Base stats'!B:B,'Base stats'!C:C)*1000)^-0.73))*IF(OR(_xlfn.XLOOKUP(B127,'Base stats'!B:B,'Base stats'!AM:AM)=1,_xlfn.XLOOKUP(B127,'Base stats'!B:B,'Base stats'!AK:AK)=1),0.5,1)/100,0.025),0.5)))</f>
        <v>0.32500000000000001</v>
      </c>
      <c r="CA127" s="25">
        <f>IF(P127="Standard","No",MAX(0.01,IF(_xlfn.XLOOKUP(B127,'Base stats'!B:B,'Base stats'!N:N)=0,MROUND(BZ127*P127,0.05),MIN(1,MAX(0.025,MROUND(IF(OR(CC127="true",AND(BJ127="false",BO127="false")),POWER(10,4.15*LOG10(_xlfn.XLOOKUP(B127,'Base stats'!B:B,'Base stats'!C:C)*1000)^-0.73),POWER(10,3.47*LOG10(_xlfn.XLOOKUP(B127,'Base stats'!B:B,'Base stats'!C:C)*1000)^-0.96))*IF(_xlfn.XLOOKUP(B127,'Base stats'!B:B,'Base stats'!AK:AK)=1,0.5,1)/100,0.025))))))</f>
        <v>0.35000000000000003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8" t="s">
        <v>685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stats'!O:O)=2,0,1)),0.05),0.985)))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*0.025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*0.025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FrontRightPaw,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8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T128" s="8">
        <f>IF(OR(A128="Queen",A128="Larva",A128="Megachicken",A128="Megatardi",A128="Toxscorpion"),"No",IFERROR(MAX(IF(_xlfn.XLOOKUP(B128,'Base stats'!B:B,'Base stats'!G:G)&lt;0.5,0.2,0.3),MROUND(_xlfn.XLOOKUP(B128,'Base stats'!B:B,'Base stats'!G:G)/(365/60),0.2)),"Unknown"))</f>
        <v>0.3</v>
      </c>
      <c r="AU128" s="8">
        <f t="shared" si="7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stats'!N:N)=1,"No",MAX(0.01,MIN(MROUND(IF(OR(_xlfn.XLOOKUP(B128,'Base stats'!B:B,'Base stats'!AM:AM)=1,AND(BJ128="True",CC128="False")),POWER(10,3.47*LOG10(_xlfn.XLOOKUP(B128,'Base stats'!B:B,'Base stats'!C:C)*1000)^-0.96),POWER(10,4.15*LOG10(_xlfn.XLOOKUP(B128,'Base stats'!B:B,'Base stats'!C:C)*1000)^-0.73))*IF(OR(_xlfn.XLOOKUP(B128,'Base stats'!B:B,'Base stats'!AM:AM)=1,_xlfn.XLOOKUP(B128,'Base stats'!B:B,'Base stats'!AK:AK)=1),0.5,1)/100,0.025),0.5)))</f>
        <v>0.05</v>
      </c>
      <c r="CA128" s="25" t="str">
        <f>IF(P128="Standard","No",MAX(0.01,IF(_xlfn.XLOOKUP(B128,'Base stats'!B:B,'Base stats'!N:N)=0,MROUND(BZ128*P128,0.05),MIN(1,MAX(0.025,MROUND(IF(OR(CC128="true",AND(BJ128="false",BO128="false")),POWER(10,4.15*LOG10(_xlfn.XLOOKUP(B128,'Base stats'!B:B,'Base stats'!C:C)*1000)^-0.73),POWER(10,3.47*LOG10(_xlfn.XLOOKUP(B128,'Base stats'!B:B,'Base stats'!C:C)*1000)^-0.96))*IF(_xlfn.XLOOKUP(B128,'Base stats'!B:B,'Base stats'!AK:AK)=1,0.5,1)/100,0.025))))))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8" t="s">
        <v>685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stats'!O:O)=2,0,1)),0.05),0.985)))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*0.025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*0.025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8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T129" s="8">
        <f>IF(OR(A129="Queen",A129="Larva",A129="Megachicken",A129="Megatardi",A129="Toxscorpion"),"No",IFERROR(MAX(IF(_xlfn.XLOOKUP(B129,'Base stats'!B:B,'Base stats'!G:G)&lt;0.5,0.2,0.3),MROUND(_xlfn.XLOOKUP(B129,'Base stats'!B:B,'Base stats'!G:G)/(365/60),0.2)),"Unknown"))</f>
        <v>0.4</v>
      </c>
      <c r="AU129" s="8">
        <f t="shared" si="7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8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stats'!N:N)=1,"No",MAX(0.01,MIN(MROUND(IF(OR(_xlfn.XLOOKUP(B129,'Base stats'!B:B,'Base stats'!AM:AM)=1,AND(BJ129="True",CC129="False")),POWER(10,3.47*LOG10(_xlfn.XLOOKUP(B129,'Base stats'!B:B,'Base stats'!C:C)*1000)^-0.96),POWER(10,4.15*LOG10(_xlfn.XLOOKUP(B129,'Base stats'!B:B,'Base stats'!C:C)*1000)^-0.73))*IF(OR(_xlfn.XLOOKUP(B129,'Base stats'!B:B,'Base stats'!AM:AM)=1,_xlfn.XLOOKUP(B129,'Base stats'!B:B,'Base stats'!AK:AK)=1),0.5,1)/100,0.025),0.5)))</f>
        <v>0.45</v>
      </c>
      <c r="CA129" s="25" t="str">
        <f>IF(P129="Standard","No",MAX(0.01,IF(_xlfn.XLOOKUP(B129,'Base stats'!B:B,'Base stats'!N:N)=0,MROUND(BZ129*P129,0.05),MIN(1,MAX(0.025,MROUND(IF(OR(CC129="true",AND(BJ129="false",BO129="false")),POWER(10,4.15*LOG10(_xlfn.XLOOKUP(B129,'Base stats'!B:B,'Base stats'!C:C)*1000)^-0.73),POWER(10,3.47*LOG10(_xlfn.XLOOKUP(B129,'Base stats'!B:B,'Base stats'!C:C)*1000)^-0.96))*IF(_xlfn.XLOOKUP(B129,'Base stats'!B:B,'Base stats'!AK:AK)=1,0.5,1)/100,0.025))))))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8" t="s">
        <v>685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stats'!O:O)=2,0,1)),0.05),0.985)))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*0.025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*0.025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8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T130" s="8">
        <f>IF(OR(A130="Queen",A130="Larva",A130="Megachicken",A130="Megatardi",A130="Toxscorpion"),"No",IFERROR(MAX(IF(_xlfn.XLOOKUP(B130,'Base stats'!B:B,'Base stats'!G:G)&lt;0.5,0.2,0.3),MROUND(_xlfn.XLOOKUP(B130,'Base stats'!B:B,'Base stats'!G:G)/(365/60),0.2)),"Unknown"))</f>
        <v>0.3</v>
      </c>
      <c r="AU130" s="8">
        <f t="shared" ref="AU130:AU193" si="14">IF(AT130="No","No",IFERROR(MROUND(AT130/2,0.05),"Unknown"))</f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stats'!N:N)=1,"No",MAX(0.01,MIN(MROUND(IF(OR(_xlfn.XLOOKUP(B130,'Base stats'!B:B,'Base stats'!AM:AM)=1,AND(BJ130="True",CC130="False")),POWER(10,3.47*LOG10(_xlfn.XLOOKUP(B130,'Base stats'!B:B,'Base stats'!C:C)*1000)^-0.96),POWER(10,4.15*LOG10(_xlfn.XLOOKUP(B130,'Base stats'!B:B,'Base stats'!C:C)*1000)^-0.73))*IF(OR(_xlfn.XLOOKUP(B130,'Base stats'!B:B,'Base stats'!AM:AM)=1,_xlfn.XLOOKUP(B130,'Base stats'!B:B,'Base stats'!AK:AK)=1),0.5,1)/100,0.025),0.5)))</f>
        <v>0.25</v>
      </c>
      <c r="CA130" s="25" t="str">
        <f>IF(P130="Standard","No",MAX(0.01,IF(_xlfn.XLOOKUP(B130,'Base stats'!B:B,'Base stats'!N:N)=0,MROUND(BZ130*P130,0.05),MIN(1,MAX(0.025,MROUND(IF(OR(CC130="true",AND(BJ130="false",BO130="false")),POWER(10,4.15*LOG10(_xlfn.XLOOKUP(B130,'Base stats'!B:B,'Base stats'!C:C)*1000)^-0.73),POWER(10,3.47*LOG10(_xlfn.XLOOKUP(B130,'Base stats'!B:B,'Base stats'!C:C)*1000)^-0.96))*IF(_xlfn.XLOOKUP(B130,'Base stats'!B:B,'Base stats'!AK:AK)=1,0.5,1)/100,0.025))))))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8" t="s">
        <v>685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stats'!O:O)=2,0,1)),0.05),0.985)))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*0.025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*0.025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62" si="15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T131" s="8">
        <f>IF(OR(A131="Queen",A131="Larva",A131="Megachicken",A131="Megatardi",A131="Toxscorpion"),"No",IFERROR(MAX(IF(_xlfn.XLOOKUP(B131,'Base stats'!B:B,'Base stats'!G:G)&lt;0.5,0.2,0.3),MROUND(_xlfn.XLOOKUP(B131,'Base stats'!B:B,'Base stats'!G:G)/(365/60),0.2)),"Unknown"))</f>
        <v>0.3</v>
      </c>
      <c r="AU131" s="8">
        <f t="shared" si="14"/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62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62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62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62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stats'!N:N)=1,"No",MAX(0.01,MIN(MROUND(IF(OR(_xlfn.XLOOKUP(B131,'Base stats'!B:B,'Base stats'!AM:AM)=1,AND(BJ131="True",CC131="False")),POWER(10,3.47*LOG10(_xlfn.XLOOKUP(B131,'Base stats'!B:B,'Base stats'!C:C)*1000)^-0.96),POWER(10,4.15*LOG10(_xlfn.XLOOKUP(B131,'Base stats'!B:B,'Base stats'!C:C)*1000)^-0.73))*IF(OR(_xlfn.XLOOKUP(B131,'Base stats'!B:B,'Base stats'!AM:AM)=1,_xlfn.XLOOKUP(B131,'Base stats'!B:B,'Base stats'!AK:AK)=1),0.5,1)/100,0.025),0.5)))</f>
        <v>0.5</v>
      </c>
      <c r="CA131" s="25" t="str">
        <f>IF(P131="Standard","No",MAX(0.01,IF(_xlfn.XLOOKUP(B131,'Base stats'!B:B,'Base stats'!N:N)=0,MROUND(BZ131*P131,0.05),MIN(1,MAX(0.025,MROUND(IF(OR(CC131="true",AND(BJ131="false",BO131="false")),POWER(10,4.15*LOG10(_xlfn.XLOOKUP(B131,'Base stats'!B:B,'Base stats'!C:C)*1000)^-0.73),POWER(10,3.47*LOG10(_xlfn.XLOOKUP(B131,'Base stats'!B:B,'Base stats'!C:C)*1000)^-0.96))*IF(_xlfn.XLOOKUP(B131,'Base stats'!B:B,'Base stats'!AK:AK)=1,0.5,1)/100,0.025))))))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62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8" t="s">
        <v>685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stats'!O:O)=2,0,1)),0.05),0.985)))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*0.025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*0.025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FrontRightPaw,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5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T132" s="8">
        <f>IF(OR(A132="Queen",A132="Larva",A132="Megachicken",A132="Megatardi",A132="Toxscorpion"),"No",IFERROR(MAX(IF(_xlfn.XLOOKUP(B132,'Base stats'!B:B,'Base stats'!G:G)&lt;0.5,0.2,0.3),MROUND(_xlfn.XLOOKUP(B132,'Base stats'!B:B,'Base stats'!G:G)/(365/60),0.2)),"Unknown"))</f>
        <v>0.4</v>
      </c>
      <c r="AU132" s="8">
        <f t="shared" si="14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stats'!N:N)=1,"No",MAX(0.01,MIN(MROUND(IF(OR(_xlfn.XLOOKUP(B132,'Base stats'!B:B,'Base stats'!AM:AM)=1,AND(BJ132="True",CC132="False")),POWER(10,3.47*LOG10(_xlfn.XLOOKUP(B132,'Base stats'!B:B,'Base stats'!C:C)*1000)^-0.96),POWER(10,4.15*LOG10(_xlfn.XLOOKUP(B132,'Base stats'!B:B,'Base stats'!C:C)*1000)^-0.73))*IF(OR(_xlfn.XLOOKUP(B132,'Base stats'!B:B,'Base stats'!AM:AM)=1,_xlfn.XLOOKUP(B132,'Base stats'!B:B,'Base stats'!AK:AK)=1),0.5,1)/100,0.025),0.5)))</f>
        <v>0.05</v>
      </c>
      <c r="CA132" s="25" t="str">
        <f>IF(P132="Standard","No",MAX(0.01,IF(_xlfn.XLOOKUP(B132,'Base stats'!B:B,'Base stats'!N:N)=0,MROUND(BZ132*P132,0.05),MIN(1,MAX(0.025,MROUND(IF(OR(CC132="true",AND(BJ132="false",BO132="false")),POWER(10,4.15*LOG10(_xlfn.XLOOKUP(B132,'Base stats'!B:B,'Base stats'!C:C)*1000)^-0.73),POWER(10,3.47*LOG10(_xlfn.XLOOKUP(B132,'Base stats'!B:B,'Base stats'!C:C)*1000)^-0.96))*IF(_xlfn.XLOOKUP(B132,'Base stats'!B:B,'Base stats'!AK:AK)=1,0.5,1)/100,0.025))))))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8" t="s">
        <v>685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stats'!O:O)=2,0,1)),0.05),0.985)))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*0.025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*0.025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5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T133" s="8">
        <f>IF(OR(A133="Queen",A133="Larva",A133="Megachicken",A133="Megatardi",A133="Toxscorpion"),"No",IFERROR(MAX(IF(_xlfn.XLOOKUP(B133,'Base stats'!B:B,'Base stats'!G:G)&lt;0.5,0.2,0.3),MROUND(_xlfn.XLOOKUP(B133,'Base stats'!B:B,'Base stats'!G:G)/(365/60),0.2)),"Unknown"))</f>
        <v>0.3</v>
      </c>
      <c r="AU133" s="8">
        <f t="shared" si="14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stats'!N:N)=1,"No",MAX(0.01,MIN(MROUND(IF(OR(_xlfn.XLOOKUP(B133,'Base stats'!B:B,'Base stats'!AM:AM)=1,AND(BJ133="True",CC133="False")),POWER(10,3.47*LOG10(_xlfn.XLOOKUP(B133,'Base stats'!B:B,'Base stats'!C:C)*1000)^-0.96),POWER(10,4.15*LOG10(_xlfn.XLOOKUP(B133,'Base stats'!B:B,'Base stats'!C:C)*1000)^-0.73))*IF(OR(_xlfn.XLOOKUP(B133,'Base stats'!B:B,'Base stats'!AM:AM)=1,_xlfn.XLOOKUP(B133,'Base stats'!B:B,'Base stats'!AK:AK)=1),0.5,1)/100,0.025),0.5)))</f>
        <v>0.5</v>
      </c>
      <c r="CA133" s="25" t="str">
        <f>IF(P133="Standard","No",MAX(0.01,IF(_xlfn.XLOOKUP(B133,'Base stats'!B:B,'Base stats'!N:N)=0,MROUND(BZ133*P133,0.05),MIN(1,MAX(0.025,MROUND(IF(OR(CC133="true",AND(BJ133="false",BO133="false")),POWER(10,4.15*LOG10(_xlfn.XLOOKUP(B133,'Base stats'!B:B,'Base stats'!C:C)*1000)^-0.73),POWER(10,3.47*LOG10(_xlfn.XLOOKUP(B133,'Base stats'!B:B,'Base stats'!C:C)*1000)^-0.96))*IF(_xlfn.XLOOKUP(B133,'Base stats'!B:B,'Base stats'!AK:AK)=1,0.5,1)/100,0.025))))))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8" t="s">
        <v>685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stats'!O:O)=2,0,1)),0.05),0.985)))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*0.025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*0.025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5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T134" s="8">
        <f>IF(OR(A134="Queen",A134="Larva",A134="Megachicken",A134="Megatardi",A134="Toxscorpion"),"No",IFERROR(MAX(IF(_xlfn.XLOOKUP(B134,'Base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4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0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stats'!N:N)=1,"No",MAX(0.01,MIN(MROUND(IF(OR(_xlfn.XLOOKUP(B134,'Base stats'!B:B,'Base stats'!AM:AM)=1,AND(BJ134="True",CC134="False")),POWER(10,3.47*LOG10(_xlfn.XLOOKUP(B134,'Base stats'!B:B,'Base stats'!C:C)*1000)^-0.96),POWER(10,4.15*LOG10(_xlfn.XLOOKUP(B134,'Base stats'!B:B,'Base stats'!C:C)*1000)^-0.73))*IF(OR(_xlfn.XLOOKUP(B134,'Base stats'!B:B,'Base stats'!AM:AM)=1,_xlfn.XLOOKUP(B134,'Base stats'!B:B,'Base stats'!AK:AK)=1),0.5,1)/100,0.025),0.5)))</f>
        <v>0.27500000000000002</v>
      </c>
      <c r="CA134" s="25" t="str">
        <f>IF(P134="Standard","No",MAX(0.01,IF(_xlfn.XLOOKUP(B134,'Base stats'!B:B,'Base stats'!N:N)=0,MROUND(BZ134*P134,0.05),MIN(1,MAX(0.025,MROUND(IF(OR(CC134="true",AND(BJ134="false",BO134="false")),POWER(10,4.15*LOG10(_xlfn.XLOOKUP(B134,'Base stats'!B:B,'Base stats'!C:C)*1000)^-0.73),POWER(10,3.47*LOG10(_xlfn.XLOOKUP(B134,'Base stats'!B:B,'Base stats'!C:C)*1000)^-0.96))*IF(_xlfn.XLOOKUP(B134,'Base stats'!B:B,'Base stats'!AK:AK)=1,0.5,1)/100,0.025))))))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8" t="s">
        <v>685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stats'!O:O)=2,0,1)),0.05),0.985)))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*0.025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*0.025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5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T135" s="8">
        <f>IF(OR(A135="Queen",A135="Larva",A135="Megachicken",A135="Megatardi",A135="Toxscorpion"),"No",IFERROR(MAX(IF(_xlfn.XLOOKUP(B135,'Base stats'!B:B,'Base stats'!G:G)&lt;0.5,0.2,0.3),MROUND(_xlfn.XLOOKUP(B135,'Base stats'!B:B,'Base stats'!G:G)/(365/60),0.2)),"Unknown"))</f>
        <v>0.4</v>
      </c>
      <c r="AU135" s="8">
        <f t="shared" si="14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stats'!N:N)=1,"No",MAX(0.01,MIN(MROUND(IF(OR(_xlfn.XLOOKUP(B135,'Base stats'!B:B,'Base stats'!AM:AM)=1,AND(BJ135="True",CC135="False")),POWER(10,3.47*LOG10(_xlfn.XLOOKUP(B135,'Base stats'!B:B,'Base stats'!C:C)*1000)^-0.96),POWER(10,4.15*LOG10(_xlfn.XLOOKUP(B135,'Base stats'!B:B,'Base stats'!C:C)*1000)^-0.73))*IF(OR(_xlfn.XLOOKUP(B135,'Base stats'!B:B,'Base stats'!AM:AM)=1,_xlfn.XLOOKUP(B135,'Base stats'!B:B,'Base stats'!AK:AK)=1),0.5,1)/100,0.025),0.5)))</f>
        <v>0.15000000000000002</v>
      </c>
      <c r="CA135" s="25" t="str">
        <f>IF(P135="Standard","No",MAX(0.01,IF(_xlfn.XLOOKUP(B135,'Base stats'!B:B,'Base stats'!N:N)=0,MROUND(BZ135*P135,0.05),MIN(1,MAX(0.025,MROUND(IF(OR(CC135="true",AND(BJ135="false",BO135="false")),POWER(10,4.15*LOG10(_xlfn.XLOOKUP(B135,'Base stats'!B:B,'Base stats'!C:C)*1000)^-0.73),POWER(10,3.47*LOG10(_xlfn.XLOOKUP(B135,'Base stats'!B:B,'Base stats'!C:C)*1000)^-0.96))*IF(_xlfn.XLOOKUP(B135,'Base stats'!B:B,'Base stats'!AK:AK)=1,0.5,1)/100,0.025))))))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8" t="s">
        <v>685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stats'!O:O)=2,0,1)),0.05),0.985)))</f>
        <v>0.95000000000000007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*0.025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*0.025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5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T136" s="8">
        <f>IF(OR(A136="Queen",A136="Larva",A136="Megachicken",A136="Megatardi",A136="Toxscorpion"),"No",IFERROR(MAX(IF(_xlfn.XLOOKUP(B136,'Base stats'!B:B,'Base stats'!G:G)&lt;0.5,0.2,0.3),MROUND(_xlfn.XLOOKUP(B136,'Base stats'!B:B,'Base stats'!G:G)/(365/60),0.2)),"Unknown"))</f>
        <v>0.4</v>
      </c>
      <c r="AU136" s="8">
        <f t="shared" si="14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stats'!N:N)=1,"No",MAX(0.01,MIN(MROUND(IF(OR(_xlfn.XLOOKUP(B136,'Base stats'!B:B,'Base stats'!AM:AM)=1,AND(BJ136="True",CC136="False")),POWER(10,3.47*LOG10(_xlfn.XLOOKUP(B136,'Base stats'!B:B,'Base stats'!C:C)*1000)^-0.96),POWER(10,4.15*LOG10(_xlfn.XLOOKUP(B136,'Base stats'!B:B,'Base stats'!C:C)*1000)^-0.73))*IF(OR(_xlfn.XLOOKUP(B136,'Base stats'!B:B,'Base stats'!AM:AM)=1,_xlfn.XLOOKUP(B136,'Base stats'!B:B,'Base stats'!AK:AK)=1),0.5,1)/100,0.025),0.5)))</f>
        <v>0.2</v>
      </c>
      <c r="CA136" s="25" t="str">
        <f>IF(P136="Standard","No",MAX(0.01,IF(_xlfn.XLOOKUP(B136,'Base stats'!B:B,'Base stats'!N:N)=0,MROUND(BZ136*P136,0.05),MIN(1,MAX(0.025,MROUND(IF(OR(CC136="true",AND(BJ136="false",BO136="false")),POWER(10,4.15*LOG10(_xlfn.XLOOKUP(B136,'Base stats'!B:B,'Base stats'!C:C)*1000)^-0.73),POWER(10,3.47*LOG10(_xlfn.XLOOKUP(B136,'Base stats'!B:B,'Base stats'!C:C)*1000)^-0.96))*IF(_xlfn.XLOOKUP(B136,'Base stats'!B:B,'Base stats'!AK:AK)=1,0.5,1)/100,0.025))))))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8" t="s">
        <v>685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stats'!O:O)=2,0,1)),0.05),0.985)))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*0.025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*0.025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5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T137" s="8">
        <f>IF(OR(A137="Queen",A137="Larva",A137="Megachicken",A137="Megatardi",A137="Toxscorpion"),"No",IFERROR(MAX(IF(_xlfn.XLOOKUP(B137,'Base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4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3~10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stats'!N:N)=1,"No",MAX(0.01,MIN(MROUND(IF(OR(_xlfn.XLOOKUP(B137,'Base stats'!B:B,'Base stats'!AM:AM)=1,AND(BJ137="True",CC137="False")),POWER(10,3.47*LOG10(_xlfn.XLOOKUP(B137,'Base stats'!B:B,'Base stats'!C:C)*1000)^-0.96),POWER(10,4.15*LOG10(_xlfn.XLOOKUP(B137,'Base stats'!B:B,'Base stats'!C:C)*1000)^-0.73))*IF(OR(_xlfn.XLOOKUP(B137,'Base stats'!B:B,'Base stats'!AM:AM)=1,_xlfn.XLOOKUP(B137,'Base stats'!B:B,'Base stats'!AK:AK)=1),0.5,1)/100,0.025),0.5)))</f>
        <v>0.125</v>
      </c>
      <c r="CA137" s="25" t="str">
        <f>IF(P137="Standard","No",MAX(0.01,IF(_xlfn.XLOOKUP(B137,'Base stats'!B:B,'Base stats'!N:N)=0,MROUND(BZ137*P137,0.05),MIN(1,MAX(0.025,MROUND(IF(OR(CC137="true",AND(BJ137="false",BO137="false")),POWER(10,4.15*LOG10(_xlfn.XLOOKUP(B137,'Base stats'!B:B,'Base stats'!C:C)*1000)^-0.73),POWER(10,3.47*LOG10(_xlfn.XLOOKUP(B137,'Base stats'!B:B,'Base stats'!C:C)*1000)^-0.96))*IF(_xlfn.XLOOKUP(B137,'Base stats'!B:B,'Base stats'!AK:AK)=1,0.5,1)/100,0.025))))))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8" t="s">
        <v>685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stats'!O:O)=2,0,1)),0.05),0.985)))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-35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*0.025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*0.025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FrontRightPaw,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5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stats'!E:E),Groups!A:A,Groups!AI:AI)*_xlfn.XLOOKUP(B138,'Base stats'!B:B,'Base stats'!Z:Z),0.05)</f>
        <v>3.3000000000000003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T138" s="8">
        <f>IF(OR(A138="Queen",A138="Larva",A138="Megachicken",A138="Megatardi",A138="Toxscorpion"),"No",IFERROR(MAX(IF(_xlfn.XLOOKUP(B138,'Base stats'!B:B,'Base stats'!G:G)&lt;0.5,0.2,0.3),MROUND(_xlfn.XLOOKUP(B138,'Base stats'!B:B,'Base stats'!G:G)/(365/60),0.2)),"Unknown"))</f>
        <v>0.8</v>
      </c>
      <c r="AU138" s="8">
        <f t="shared" si="14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108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340</v>
      </c>
      <c r="BS138" s="8">
        <f t="shared" si="19"/>
        <v>1.4500000000000002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true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AnimalUncommon, AnimalFighter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stats'!N:N)=1,"No",MAX(0.01,MIN(MROUND(IF(OR(_xlfn.XLOOKUP(B138,'Base stats'!B:B,'Base stats'!AM:AM)=1,AND(BJ138="True",CC138="False")),POWER(10,3.47*LOG10(_xlfn.XLOOKUP(B138,'Base stats'!B:B,'Base stats'!C:C)*1000)^-0.96),POWER(10,4.15*LOG10(_xlfn.XLOOKUP(B138,'Base stats'!B:B,'Base stats'!C:C)*1000)^-0.73))*IF(OR(_xlfn.XLOOKUP(B138,'Base stats'!B:B,'Base stats'!AM:AM)=1,_xlfn.XLOOKUP(B138,'Base stats'!B:B,'Base stats'!AK:AK)=1),0.5,1)/100,0.025),0.5)))</f>
        <v>2.5000000000000001E-2</v>
      </c>
      <c r="CA138" s="25" t="str">
        <f>IF(P138="Standard","No",MAX(0.01,IF(_xlfn.XLOOKUP(B138,'Base stats'!B:B,'Base stats'!N:N)=0,MROUND(BZ138*P138,0.05),MIN(1,MAX(0.025,MROUND(IF(OR(CC138="true",AND(BJ138="false",BO138="false")),POWER(10,4.15*LOG10(_xlfn.XLOOKUP(B138,'Base stats'!B:B,'Base stats'!C:C)*1000)^-0.73),POWER(10,3.47*LOG10(_xlfn.XLOOKUP(B138,'Base stats'!B:B,'Base stats'!C:C)*1000)^-0.96))*IF(_xlfn.XLOOKUP(B138,'Base stats'!B:B,'Base stats'!AK:AK)=1,0.5,1)/100,0.025))))))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False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8" t="s">
        <v>685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stats'!O:O)=2,0,1)),0.05),0.985)))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*0.025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*0.025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5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T139" s="8">
        <f>IF(OR(A139="Queen",A139="Larva",A139="Megachicken",A139="Megatardi",A139="Toxscorpion"),"No",IFERROR(MAX(IF(_xlfn.XLOOKUP(B139,'Base stats'!B:B,'Base stats'!G:G)&lt;0.5,0.2,0.3),MROUND(_xlfn.XLOOKUP(B139,'Base stats'!B:B,'Base stats'!G:G)/(365/60),0.2)),"Unknown"))</f>
        <v>0.3</v>
      </c>
      <c r="AU139" s="8">
        <f t="shared" si="14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stats'!N:N)=1,"No",MAX(0.01,MIN(MROUND(IF(OR(_xlfn.XLOOKUP(B139,'Base stats'!B:B,'Base stats'!AM:AM)=1,AND(BJ139="True",CC139="False")),POWER(10,3.47*LOG10(_xlfn.XLOOKUP(B139,'Base stats'!B:B,'Base stats'!C:C)*1000)^-0.96),POWER(10,4.15*LOG10(_xlfn.XLOOKUP(B139,'Base stats'!B:B,'Base stats'!C:C)*1000)^-0.73))*IF(OR(_xlfn.XLOOKUP(B139,'Base stats'!B:B,'Base stats'!AM:AM)=1,_xlfn.XLOOKUP(B139,'Base stats'!B:B,'Base stats'!AK:AK)=1),0.5,1)/100,0.025),0.5)))</f>
        <v>7.5000000000000011E-2</v>
      </c>
      <c r="CA139" s="25" t="str">
        <f>IF(P139="Standard","No",MAX(0.01,IF(_xlfn.XLOOKUP(B139,'Base stats'!B:B,'Base stats'!N:N)=0,MROUND(BZ139*P139,0.05),MIN(1,MAX(0.025,MROUND(IF(OR(CC139="true",AND(BJ139="false",BO139="false")),POWER(10,4.15*LOG10(_xlfn.XLOOKUP(B139,'Base stats'!B:B,'Base stats'!C:C)*1000)^-0.73),POWER(10,3.47*LOG10(_xlfn.XLOOKUP(B139,'Base stats'!B:B,'Base stats'!C:C)*1000)^-0.96))*IF(_xlfn.XLOOKUP(B139,'Base stats'!B:B,'Base stats'!AK:AK)=1,0.5,1)/100,0.025))))))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8" t="s">
        <v>685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stats'!O:O)=2,0,1)),0.05),0.985)))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*0.025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*0.025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5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T140" s="8">
        <f>IF(OR(A140="Queen",A140="Larva",A140="Megachicken",A140="Megatardi",A140="Toxscorpion"),"No",IFERROR(MAX(IF(_xlfn.XLOOKUP(B140,'Base stats'!B:B,'Base stats'!G:G)&lt;0.5,0.2,0.3),MROUND(_xlfn.XLOOKUP(B140,'Base stats'!B:B,'Base stats'!G:G)/(365/60),0.2)),"Unknown"))</f>
        <v>0.3</v>
      </c>
      <c r="AU140" s="8">
        <f t="shared" si="14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stats'!N:N)=1,"No",MAX(0.01,MIN(MROUND(IF(OR(_xlfn.XLOOKUP(B140,'Base stats'!B:B,'Base stats'!AM:AM)=1,AND(BJ140="True",CC140="False")),POWER(10,3.47*LOG10(_xlfn.XLOOKUP(B140,'Base stats'!B:B,'Base stats'!C:C)*1000)^-0.96),POWER(10,4.15*LOG10(_xlfn.XLOOKUP(B140,'Base stats'!B:B,'Base stats'!C:C)*1000)^-0.73))*IF(OR(_xlfn.XLOOKUP(B140,'Base stats'!B:B,'Base stats'!AM:AM)=1,_xlfn.XLOOKUP(B140,'Base stats'!B:B,'Base stats'!AK:AK)=1),0.5,1)/100,0.025),0.5)))</f>
        <v>0.125</v>
      </c>
      <c r="CA140" s="25" t="str">
        <f>IF(P140="Standard","No",MAX(0.01,IF(_xlfn.XLOOKUP(B140,'Base stats'!B:B,'Base stats'!N:N)=0,MROUND(BZ140*P140,0.05),MIN(1,MAX(0.025,MROUND(IF(OR(CC140="true",AND(BJ140="false",BO140="false")),POWER(10,4.15*LOG10(_xlfn.XLOOKUP(B140,'Base stats'!B:B,'Base stats'!C:C)*1000)^-0.73),POWER(10,3.47*LOG10(_xlfn.XLOOKUP(B140,'Base stats'!B:B,'Base stats'!C:C)*1000)^-0.96))*IF(_xlfn.XLOOKUP(B140,'Base stats'!B:B,'Base stats'!AK:AK)=1,0.5,1)/100,0.025))))))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8" t="s">
        <v>685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stats'!O:O)=2,0,1)),0.05),0.985)))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*0.025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*0.025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5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T141" s="8">
        <f>IF(OR(A141="Queen",A141="Larva",A141="Megachicken",A141="Megatardi",A141="Toxscorpion"),"No",IFERROR(MAX(IF(_xlfn.XLOOKUP(B141,'Base stats'!B:B,'Base stats'!G:G)&lt;0.5,0.2,0.3),MROUND(_xlfn.XLOOKUP(B141,'Base stats'!B:B,'Base stats'!G:G)/(365/60),0.2)),"Unknown"))</f>
        <v>0.3</v>
      </c>
      <c r="AU141" s="8">
        <f t="shared" si="14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stats'!N:N)=1,"No",MAX(0.01,MIN(MROUND(IF(OR(_xlfn.XLOOKUP(B141,'Base stats'!B:B,'Base stats'!AM:AM)=1,AND(BJ141="True",CC141="False")),POWER(10,3.47*LOG10(_xlfn.XLOOKUP(B141,'Base stats'!B:B,'Base stats'!C:C)*1000)^-0.96),POWER(10,4.15*LOG10(_xlfn.XLOOKUP(B141,'Base stats'!B:B,'Base stats'!C:C)*1000)^-0.73))*IF(OR(_xlfn.XLOOKUP(B141,'Base stats'!B:B,'Base stats'!AM:AM)=1,_xlfn.XLOOKUP(B141,'Base stats'!B:B,'Base stats'!AK:AK)=1),0.5,1)/100,0.025),0.5)))</f>
        <v>7.5000000000000011E-2</v>
      </c>
      <c r="CA141" s="25" t="str">
        <f>IF(P141="Standard","No",MAX(0.01,IF(_xlfn.XLOOKUP(B141,'Base stats'!B:B,'Base stats'!N:N)=0,MROUND(BZ141*P141,0.05),MIN(1,MAX(0.025,MROUND(IF(OR(CC141="true",AND(BJ141="false",BO141="false")),POWER(10,4.15*LOG10(_xlfn.XLOOKUP(B141,'Base stats'!B:B,'Base stats'!C:C)*1000)^-0.73),POWER(10,3.47*LOG10(_xlfn.XLOOKUP(B141,'Base stats'!B:B,'Base stats'!C:C)*1000)^-0.96))*IF(_xlfn.XLOOKUP(B141,'Base stats'!B:B,'Base stats'!AK:AK)=1,0.5,1)/100,0.025))))))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8" t="s">
        <v>685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stats'!O:O)=2,0,1)),0.05),0.985)))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*0.025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*0.025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5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T142" s="8">
        <f>IF(OR(A142="Queen",A142="Larva",A142="Megachicken",A142="Megatardi",A142="Toxscorpion"),"No",IFERROR(MAX(IF(_xlfn.XLOOKUP(B142,'Base stats'!B:B,'Base stats'!G:G)&lt;0.5,0.2,0.3),MROUND(_xlfn.XLOOKUP(B142,'Base stats'!B:B,'Base stats'!G:G)/(365/60),0.2)),"Unknown"))</f>
        <v>0.3</v>
      </c>
      <c r="AU142" s="8">
        <f t="shared" si="14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stats'!N:N)=1,"No",MAX(0.01,MIN(MROUND(IF(OR(_xlfn.XLOOKUP(B142,'Base stats'!B:B,'Base stats'!AM:AM)=1,AND(BJ142="True",CC142="False")),POWER(10,3.47*LOG10(_xlfn.XLOOKUP(B142,'Base stats'!B:B,'Base stats'!C:C)*1000)^-0.96),POWER(10,4.15*LOG10(_xlfn.XLOOKUP(B142,'Base stats'!B:B,'Base stats'!C:C)*1000)^-0.73))*IF(OR(_xlfn.XLOOKUP(B142,'Base stats'!B:B,'Base stats'!AM:AM)=1,_xlfn.XLOOKUP(B142,'Base stats'!B:B,'Base stats'!AK:AK)=1),0.5,1)/100,0.025),0.5)))</f>
        <v>7.5000000000000011E-2</v>
      </c>
      <c r="CA142" s="25" t="str">
        <f>IF(P142="Standard","No",MAX(0.01,IF(_xlfn.XLOOKUP(B142,'Base stats'!B:B,'Base stats'!N:N)=0,MROUND(BZ142*P142,0.05),MIN(1,MAX(0.025,MROUND(IF(OR(CC142="true",AND(BJ142="false",BO142="false")),POWER(10,4.15*LOG10(_xlfn.XLOOKUP(B142,'Base stats'!B:B,'Base stats'!C:C)*1000)^-0.73),POWER(10,3.47*LOG10(_xlfn.XLOOKUP(B142,'Base stats'!B:B,'Base stats'!C:C)*1000)^-0.96))*IF(_xlfn.XLOOKUP(B142,'Base stats'!B:B,'Base stats'!AK:AK)=1,0.5,1)/100,0.025))))))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8" t="s">
        <v>685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stats'!O:O)=2,0,1)),0.05),0.985)))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*0.025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*0.025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5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T143" s="8">
        <f>IF(OR(A143="Queen",A143="Larva",A143="Megachicken",A143="Megatardi",A143="Toxscorpion"),"No",IFERROR(MAX(IF(_xlfn.XLOOKUP(B143,'Base stats'!B:B,'Base stats'!G:G)&lt;0.5,0.2,0.3),MROUND(_xlfn.XLOOKUP(B143,'Base stats'!B:B,'Base stats'!G:G)/(365/60),0.2)),"Unknown"))</f>
        <v>0.3</v>
      </c>
      <c r="AU143" s="8">
        <f t="shared" si="14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stats'!N:N)=1,"No",MAX(0.01,MIN(MROUND(IF(OR(_xlfn.XLOOKUP(B143,'Base stats'!B:B,'Base stats'!AM:AM)=1,AND(BJ143="True",CC143="False")),POWER(10,3.47*LOG10(_xlfn.XLOOKUP(B143,'Base stats'!B:B,'Base stats'!C:C)*1000)^-0.96),POWER(10,4.15*LOG10(_xlfn.XLOOKUP(B143,'Base stats'!B:B,'Base stats'!C:C)*1000)^-0.73))*IF(OR(_xlfn.XLOOKUP(B143,'Base stats'!B:B,'Base stats'!AM:AM)=1,_xlfn.XLOOKUP(B143,'Base stats'!B:B,'Base stats'!AK:AK)=1),0.5,1)/100,0.025),0.5)))</f>
        <v>7.5000000000000011E-2</v>
      </c>
      <c r="CA143" s="25" t="str">
        <f>IF(P143="Standard","No",MAX(0.01,IF(_xlfn.XLOOKUP(B143,'Base stats'!B:B,'Base stats'!N:N)=0,MROUND(BZ143*P143,0.05),MIN(1,MAX(0.025,MROUND(IF(OR(CC143="true",AND(BJ143="false",BO143="false")),POWER(10,4.15*LOG10(_xlfn.XLOOKUP(B143,'Base stats'!B:B,'Base stats'!C:C)*1000)^-0.73),POWER(10,3.47*LOG10(_xlfn.XLOOKUP(B143,'Base stats'!B:B,'Base stats'!C:C)*1000)^-0.96))*IF(_xlfn.XLOOKUP(B143,'Base stats'!B:B,'Base stats'!AK:AK)=1,0.5,1)/100,0.025))))))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8" t="s">
        <v>685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stats'!O:O)=2,0,1)),0.05),0.985)))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*0.025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*0.025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5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T144" s="8">
        <f>IF(OR(A144="Queen",A144="Larva",A144="Megachicken",A144="Megatardi",A144="Toxscorpion"),"No",IFERROR(MAX(IF(_xlfn.XLOOKUP(B144,'Base stats'!B:B,'Base stats'!G:G)&lt;0.5,0.2,0.3),MROUND(_xlfn.XLOOKUP(B144,'Base stats'!B:B,'Base stats'!G:G)/(365/60),0.2)),"Unknown"))</f>
        <v>0.3</v>
      </c>
      <c r="AU144" s="8">
        <f t="shared" si="14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stats'!N:N)=1,"No",MAX(0.01,MIN(MROUND(IF(OR(_xlfn.XLOOKUP(B144,'Base stats'!B:B,'Base stats'!AM:AM)=1,AND(BJ144="True",CC144="False")),POWER(10,3.47*LOG10(_xlfn.XLOOKUP(B144,'Base stats'!B:B,'Base stats'!C:C)*1000)^-0.96),POWER(10,4.15*LOG10(_xlfn.XLOOKUP(B144,'Base stats'!B:B,'Base stats'!C:C)*1000)^-0.73))*IF(OR(_xlfn.XLOOKUP(B144,'Base stats'!B:B,'Base stats'!AM:AM)=1,_xlfn.XLOOKUP(B144,'Base stats'!B:B,'Base stats'!AK:AK)=1),0.5,1)/100,0.025),0.5)))</f>
        <v>0.05</v>
      </c>
      <c r="CA144" s="25" t="str">
        <f>IF(P144="Standard","No",MAX(0.01,IF(_xlfn.XLOOKUP(B144,'Base stats'!B:B,'Base stats'!N:N)=0,MROUND(BZ144*P144,0.05),MIN(1,MAX(0.025,MROUND(IF(OR(CC144="true",AND(BJ144="false",BO144="false")),POWER(10,4.15*LOG10(_xlfn.XLOOKUP(B144,'Base stats'!B:B,'Base stats'!C:C)*1000)^-0.73),POWER(10,3.47*LOG10(_xlfn.XLOOKUP(B144,'Base stats'!B:B,'Base stats'!C:C)*1000)^-0.96))*IF(_xlfn.XLOOKUP(B144,'Base stats'!B:B,'Base stats'!AK:AK)=1,0.5,1)/100,0.025))))))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8" t="s">
        <v>685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stats'!O:O)=2,0,1)),0.05),0.985)))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*0.025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*0.025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5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T145" s="8">
        <f>IF(OR(A145="Queen",A145="Larva",A145="Megachicken",A145="Megatardi",A145="Toxscorpion"),"No",IFERROR(MAX(IF(_xlfn.XLOOKUP(B145,'Base stats'!B:B,'Base stats'!G:G)&lt;0.5,0.2,0.3),MROUND(_xlfn.XLOOKUP(B145,'Base stats'!B:B,'Base stats'!G:G)/(365/60),0.2)),"Unknown"))</f>
        <v>0.3</v>
      </c>
      <c r="AU145" s="8">
        <f t="shared" si="14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stats'!N:N)=1,"No",MAX(0.01,MIN(MROUND(IF(OR(_xlfn.XLOOKUP(B145,'Base stats'!B:B,'Base stats'!AM:AM)=1,AND(BJ145="True",CC145="False")),POWER(10,3.47*LOG10(_xlfn.XLOOKUP(B145,'Base stats'!B:B,'Base stats'!C:C)*1000)^-0.96),POWER(10,4.15*LOG10(_xlfn.XLOOKUP(B145,'Base stats'!B:B,'Base stats'!C:C)*1000)^-0.73))*IF(OR(_xlfn.XLOOKUP(B145,'Base stats'!B:B,'Base stats'!AM:AM)=1,_xlfn.XLOOKUP(B145,'Base stats'!B:B,'Base stats'!AK:AK)=1),0.5,1)/100,0.025),0.5)))</f>
        <v>7.5000000000000011E-2</v>
      </c>
      <c r="CA145" s="25" t="str">
        <f>IF(P145="Standard","No",MAX(0.01,IF(_xlfn.XLOOKUP(B145,'Base stats'!B:B,'Base stats'!N:N)=0,MROUND(BZ145*P145,0.05),MIN(1,MAX(0.025,MROUND(IF(OR(CC145="true",AND(BJ145="false",BO145="false")),POWER(10,4.15*LOG10(_xlfn.XLOOKUP(B145,'Base stats'!B:B,'Base stats'!C:C)*1000)^-0.73),POWER(10,3.47*LOG10(_xlfn.XLOOKUP(B145,'Base stats'!B:B,'Base stats'!C:C)*1000)^-0.96))*IF(_xlfn.XLOOKUP(B145,'Base stats'!B:B,'Base stats'!AK:AK)=1,0.5,1)/100,0.025))))))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8" t="s">
        <v>685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stats'!O:O)=2,0,1)),0.05),0.985)))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*0.025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*0.025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5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T146" s="8">
        <f>IF(OR(A146="Queen",A146="Larva",A146="Megachicken",A146="Megatardi",A146="Toxscorpion"),"No",IFERROR(MAX(IF(_xlfn.XLOOKUP(B146,'Base stats'!B:B,'Base stats'!G:G)&lt;0.5,0.2,0.3),MROUND(_xlfn.XLOOKUP(B146,'Base stats'!B:B,'Base stats'!G:G)/(365/60),0.2)),"Unknown"))</f>
        <v>0.3</v>
      </c>
      <c r="AU146" s="8">
        <f t="shared" si="14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stats'!N:N)=1,"No",MAX(0.01,MIN(MROUND(IF(OR(_xlfn.XLOOKUP(B146,'Base stats'!B:B,'Base stats'!AM:AM)=1,AND(BJ146="True",CC146="False")),POWER(10,3.47*LOG10(_xlfn.XLOOKUP(B146,'Base stats'!B:B,'Base stats'!C:C)*1000)^-0.96),POWER(10,4.15*LOG10(_xlfn.XLOOKUP(B146,'Base stats'!B:B,'Base stats'!C:C)*1000)^-0.73))*IF(OR(_xlfn.XLOOKUP(B146,'Base stats'!B:B,'Base stats'!AM:AM)=1,_xlfn.XLOOKUP(B146,'Base stats'!B:B,'Base stats'!AK:AK)=1),0.5,1)/100,0.025),0.5)))</f>
        <v>0.1</v>
      </c>
      <c r="CA146" s="25" t="str">
        <f>IF(P146="Standard","No",MAX(0.01,IF(_xlfn.XLOOKUP(B146,'Base stats'!B:B,'Base stats'!N:N)=0,MROUND(BZ146*P146,0.05),MIN(1,MAX(0.025,MROUND(IF(OR(CC146="true",AND(BJ146="false",BO146="false")),POWER(10,4.15*LOG10(_xlfn.XLOOKUP(B146,'Base stats'!B:B,'Base stats'!C:C)*1000)^-0.73),POWER(10,3.47*LOG10(_xlfn.XLOOKUP(B146,'Base stats'!B:B,'Base stats'!C:C)*1000)^-0.96))*IF(_xlfn.XLOOKUP(B146,'Base stats'!B:B,'Base stats'!AK:AK)=1,0.5,1)/100,0.025))))))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8" t="s">
        <v>685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stats'!O:O)=2,0,1)),0.05),0.985)))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*0.025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*0.025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5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T147" s="8">
        <f>IF(OR(A147="Queen",A147="Larva",A147="Megachicken",A147="Megatardi",A147="Toxscorpion"),"No",IFERROR(MAX(IF(_xlfn.XLOOKUP(B147,'Base stats'!B:B,'Base stats'!G:G)&lt;0.5,0.2,0.3),MROUND(_xlfn.XLOOKUP(B147,'Base stats'!B:B,'Base stats'!G:G)/(365/60),0.2)),"Unknown"))</f>
        <v>0.3</v>
      </c>
      <c r="AU147" s="8">
        <f t="shared" si="14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stats'!N:N)=1,"No",MAX(0.01,MIN(MROUND(IF(OR(_xlfn.XLOOKUP(B147,'Base stats'!B:B,'Base stats'!AM:AM)=1,AND(BJ147="True",CC147="False")),POWER(10,3.47*LOG10(_xlfn.XLOOKUP(B147,'Base stats'!B:B,'Base stats'!C:C)*1000)^-0.96),POWER(10,4.15*LOG10(_xlfn.XLOOKUP(B147,'Base stats'!B:B,'Base stats'!C:C)*1000)^-0.73))*IF(OR(_xlfn.XLOOKUP(B147,'Base stats'!B:B,'Base stats'!AM:AM)=1,_xlfn.XLOOKUP(B147,'Base stats'!B:B,'Base stats'!AK:AK)=1),0.5,1)/100,0.025),0.5)))</f>
        <v>0.05</v>
      </c>
      <c r="CA147" s="25" t="str">
        <f>IF(P147="Standard","No",MAX(0.01,IF(_xlfn.XLOOKUP(B147,'Base stats'!B:B,'Base stats'!N:N)=0,MROUND(BZ147*P147,0.05),MIN(1,MAX(0.025,MROUND(IF(OR(CC147="true",AND(BJ147="false",BO147="false")),POWER(10,4.15*LOG10(_xlfn.XLOOKUP(B147,'Base stats'!B:B,'Base stats'!C:C)*1000)^-0.73),POWER(10,3.47*LOG10(_xlfn.XLOOKUP(B147,'Base stats'!B:B,'Base stats'!C:C)*1000)^-0.96))*IF(_xlfn.XLOOKUP(B147,'Base stats'!B:B,'Base stats'!AK:AK)=1,0.5,1)/100,0.025))))))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8" t="s">
        <v>685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stats'!O:O)=2,0,1)),0.05),0.985)))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*0.025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*0.025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5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T148" s="8">
        <f>IF(OR(A148="Queen",A148="Larva",A148="Megachicken",A148="Megatardi",A148="Toxscorpion"),"No",IFERROR(MAX(IF(_xlfn.XLOOKUP(B148,'Base stats'!B:B,'Base stats'!G:G)&lt;0.5,0.2,0.3),MROUND(_xlfn.XLOOKUP(B148,'Base stats'!B:B,'Base stats'!G:G)/(365/60),0.2)),"Unknown"))</f>
        <v>0.3</v>
      </c>
      <c r="AU148" s="8">
        <f t="shared" si="14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stats'!N:N)=1,"No",MAX(0.01,MIN(MROUND(IF(OR(_xlfn.XLOOKUP(B148,'Base stats'!B:B,'Base stats'!AM:AM)=1,AND(BJ148="True",CC148="False")),POWER(10,3.47*LOG10(_xlfn.XLOOKUP(B148,'Base stats'!B:B,'Base stats'!C:C)*1000)^-0.96),POWER(10,4.15*LOG10(_xlfn.XLOOKUP(B148,'Base stats'!B:B,'Base stats'!C:C)*1000)^-0.73))*IF(OR(_xlfn.XLOOKUP(B148,'Base stats'!B:B,'Base stats'!AM:AM)=1,_xlfn.XLOOKUP(B148,'Base stats'!B:B,'Base stats'!AK:AK)=1),0.5,1)/100,0.025),0.5)))</f>
        <v>0.1</v>
      </c>
      <c r="CA148" s="25" t="str">
        <f>IF(P148="Standard","No",MAX(0.01,IF(_xlfn.XLOOKUP(B148,'Base stats'!B:B,'Base stats'!N:N)=0,MROUND(BZ148*P148,0.05),MIN(1,MAX(0.025,MROUND(IF(OR(CC148="true",AND(BJ148="false",BO148="false")),POWER(10,4.15*LOG10(_xlfn.XLOOKUP(B148,'Base stats'!B:B,'Base stats'!C:C)*1000)^-0.73),POWER(10,3.47*LOG10(_xlfn.XLOOKUP(B148,'Base stats'!B:B,'Base stats'!C:C)*1000)^-0.96))*IF(_xlfn.XLOOKUP(B148,'Base stats'!B:B,'Base stats'!AK:AK)=1,0.5,1)/100,0.025))))))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8" t="s">
        <v>685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stats'!O:O)=2,0,1)),0.05),0.985)))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*0.025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*0.025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5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T149" s="8">
        <f>IF(OR(A149="Queen",A149="Larva",A149="Megachicken",A149="Megatardi",A149="Toxscorpion"),"No",IFERROR(MAX(IF(_xlfn.XLOOKUP(B149,'Base stats'!B:B,'Base stats'!G:G)&lt;0.5,0.2,0.3),MROUND(_xlfn.XLOOKUP(B149,'Base stats'!B:B,'Base stats'!G:G)/(365/60),0.2)),"Unknown"))</f>
        <v>0.3</v>
      </c>
      <c r="AU149" s="8">
        <f t="shared" si="14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stats'!N:N)=1,"No",MAX(0.01,MIN(MROUND(IF(OR(_xlfn.XLOOKUP(B149,'Base stats'!B:B,'Base stats'!AM:AM)=1,AND(BJ149="True",CC149="False")),POWER(10,3.47*LOG10(_xlfn.XLOOKUP(B149,'Base stats'!B:B,'Base stats'!C:C)*1000)^-0.96),POWER(10,4.15*LOG10(_xlfn.XLOOKUP(B149,'Base stats'!B:B,'Base stats'!C:C)*1000)^-0.73))*IF(OR(_xlfn.XLOOKUP(B149,'Base stats'!B:B,'Base stats'!AM:AM)=1,_xlfn.XLOOKUP(B149,'Base stats'!B:B,'Base stats'!AK:AK)=1),0.5,1)/100,0.025),0.5)))</f>
        <v>7.5000000000000011E-2</v>
      </c>
      <c r="CA149" s="25" t="str">
        <f>IF(P149="Standard","No",MAX(0.01,IF(_xlfn.XLOOKUP(B149,'Base stats'!B:B,'Base stats'!N:N)=0,MROUND(BZ149*P149,0.05),MIN(1,MAX(0.025,MROUND(IF(OR(CC149="true",AND(BJ149="false",BO149="false")),POWER(10,4.15*LOG10(_xlfn.XLOOKUP(B149,'Base stats'!B:B,'Base stats'!C:C)*1000)^-0.73),POWER(10,3.47*LOG10(_xlfn.XLOOKUP(B149,'Base stats'!B:B,'Base stats'!C:C)*1000)^-0.96))*IF(_xlfn.XLOOKUP(B149,'Base stats'!B:B,'Base stats'!AK:AK)=1,0.5,1)/100,0.025))))))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8" t="s">
        <v>685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stats'!O:O)=2,0,1)),0.05),0.985)))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*0.025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*0.025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FrontRightPaw,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5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T150" s="8">
        <f>IF(OR(A150="Queen",A150="Larva",A150="Megachicken",A150="Megatardi",A150="Toxscorpion"),"No",IFERROR(MAX(IF(_xlfn.XLOOKUP(B150,'Base stats'!B:B,'Base stats'!G:G)&lt;0.5,0.2,0.3),MROUND(_xlfn.XLOOKUP(B150,'Base stats'!B:B,'Base stats'!G:G)/(365/60),0.2)),"Unknown"))</f>
        <v>0.3</v>
      </c>
      <c r="AU150" s="8">
        <f t="shared" si="14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stats'!N:N)=1,"No",MAX(0.01,MIN(MROUND(IF(OR(_xlfn.XLOOKUP(B150,'Base stats'!B:B,'Base stats'!AM:AM)=1,AND(BJ150="True",CC150="False")),POWER(10,3.47*LOG10(_xlfn.XLOOKUP(B150,'Base stats'!B:B,'Base stats'!C:C)*1000)^-0.96),POWER(10,4.15*LOG10(_xlfn.XLOOKUP(B150,'Base stats'!B:B,'Base stats'!C:C)*1000)^-0.73))*IF(OR(_xlfn.XLOOKUP(B150,'Base stats'!B:B,'Base stats'!AM:AM)=1,_xlfn.XLOOKUP(B150,'Base stats'!B:B,'Base stats'!AK:AK)=1),0.5,1)/100,0.025),0.5)))</f>
        <v>0.1</v>
      </c>
      <c r="CA150" s="25" t="str">
        <f>IF(P150="Standard","No",MAX(0.01,IF(_xlfn.XLOOKUP(B150,'Base stats'!B:B,'Base stats'!N:N)=0,MROUND(BZ150*P150,0.05),MIN(1,MAX(0.025,MROUND(IF(OR(CC150="true",AND(BJ150="false",BO150="false")),POWER(10,4.15*LOG10(_xlfn.XLOOKUP(B150,'Base stats'!B:B,'Base stats'!C:C)*1000)^-0.73),POWER(10,3.47*LOG10(_xlfn.XLOOKUP(B150,'Base stats'!B:B,'Base stats'!C:C)*1000)^-0.96))*IF(_xlfn.XLOOKUP(B150,'Base stats'!B:B,'Base stats'!AK:AK)=1,0.5,1)/100,0.025))))))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8" t="s">
        <v>685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stats'!O:O)=2,0,1)),0.05),0.985)))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*0.025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*0.025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FrontRightPaw,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5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T151" s="8">
        <f>IF(OR(A151="Queen",A151="Larva",A151="Megachicken",A151="Megatardi",A151="Toxscorpion"),"No",IFERROR(MAX(IF(_xlfn.XLOOKUP(B151,'Base stats'!B:B,'Base stats'!G:G)&lt;0.5,0.2,0.3),MROUND(_xlfn.XLOOKUP(B151,'Base stats'!B:B,'Base stats'!G:G)/(365/60),0.2)),"Unknown"))</f>
        <v>0.3</v>
      </c>
      <c r="AU151" s="8">
        <f t="shared" si="14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stats'!N:N)=1,"No",MAX(0.01,MIN(MROUND(IF(OR(_xlfn.XLOOKUP(B151,'Base stats'!B:B,'Base stats'!AM:AM)=1,AND(BJ151="True",CC151="False")),POWER(10,3.47*LOG10(_xlfn.XLOOKUP(B151,'Base stats'!B:B,'Base stats'!C:C)*1000)^-0.96),POWER(10,4.15*LOG10(_xlfn.XLOOKUP(B151,'Base stats'!B:B,'Base stats'!C:C)*1000)^-0.73))*IF(OR(_xlfn.XLOOKUP(B151,'Base stats'!B:B,'Base stats'!AM:AM)=1,_xlfn.XLOOKUP(B151,'Base stats'!B:B,'Base stats'!AK:AK)=1),0.5,1)/100,0.025),0.5)))</f>
        <v>0.1</v>
      </c>
      <c r="CA151" s="25" t="str">
        <f>IF(P151="Standard","No",MAX(0.01,IF(_xlfn.XLOOKUP(B151,'Base stats'!B:B,'Base stats'!N:N)=0,MROUND(BZ151*P151,0.05),MIN(1,MAX(0.025,MROUND(IF(OR(CC151="true",AND(BJ151="false",BO151="false")),POWER(10,4.15*LOG10(_xlfn.XLOOKUP(B151,'Base stats'!B:B,'Base stats'!C:C)*1000)^-0.73),POWER(10,3.47*LOG10(_xlfn.XLOOKUP(B151,'Base stats'!B:B,'Base stats'!C:C)*1000)^-0.96))*IF(_xlfn.XLOOKUP(B151,'Base stats'!B:B,'Base stats'!AK:AK)=1,0.5,1)/100,0.025))))))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8" t="s">
        <v>685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stats'!O:O)=2,0,1)),0.05),0.985)))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*0.025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*0.025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FrontRightPaw,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5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T152" s="8">
        <f>IF(OR(A152="Queen",A152="Larva",A152="Megachicken",A152="Megatardi",A152="Toxscorpion"),"No",IFERROR(MAX(IF(_xlfn.XLOOKUP(B152,'Base stats'!B:B,'Base stats'!G:G)&lt;0.5,0.2,0.3),MROUND(_xlfn.XLOOKUP(B152,'Base stats'!B:B,'Base stats'!G:G)/(365/60),0.2)),"Unknown"))</f>
        <v>0.3</v>
      </c>
      <c r="AU152" s="8">
        <f t="shared" si="14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stats'!N:N)=1,"No",MAX(0.01,MIN(MROUND(IF(OR(_xlfn.XLOOKUP(B152,'Base stats'!B:B,'Base stats'!AM:AM)=1,AND(BJ152="True",CC152="False")),POWER(10,3.47*LOG10(_xlfn.XLOOKUP(B152,'Base stats'!B:B,'Base stats'!C:C)*1000)^-0.96),POWER(10,4.15*LOG10(_xlfn.XLOOKUP(B152,'Base stats'!B:B,'Base stats'!C:C)*1000)^-0.73))*IF(OR(_xlfn.XLOOKUP(B152,'Base stats'!B:B,'Base stats'!AM:AM)=1,_xlfn.XLOOKUP(B152,'Base stats'!B:B,'Base stats'!AK:AK)=1),0.5,1)/100,0.025),0.5)))</f>
        <v>0.1</v>
      </c>
      <c r="CA152" s="25" t="str">
        <f>IF(P152="Standard","No",MAX(0.01,IF(_xlfn.XLOOKUP(B152,'Base stats'!B:B,'Base stats'!N:N)=0,MROUND(BZ152*P152,0.05),MIN(1,MAX(0.025,MROUND(IF(OR(CC152="true",AND(BJ152="false",BO152="false")),POWER(10,4.15*LOG10(_xlfn.XLOOKUP(B152,'Base stats'!B:B,'Base stats'!C:C)*1000)^-0.73),POWER(10,3.47*LOG10(_xlfn.XLOOKUP(B152,'Base stats'!B:B,'Base stats'!C:C)*1000)^-0.96))*IF(_xlfn.XLOOKUP(B152,'Base stats'!B:B,'Base stats'!AK:AK)=1,0.5,1)/100,0.025))))))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8" t="s">
        <v>685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stats'!O:O)=2,0,1)),0.05),0.985)))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*0.025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*0.025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FrontRightPaw,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5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T153" s="8">
        <f>IF(OR(A153="Queen",A153="Larva",A153="Megachicken",A153="Megatardi",A153="Toxscorpion"),"No",IFERROR(MAX(IF(_xlfn.XLOOKUP(B153,'Base stats'!B:B,'Base stats'!G:G)&lt;0.5,0.2,0.3),MROUND(_xlfn.XLOOKUP(B153,'Base stats'!B:B,'Base stats'!G:G)/(365/60),0.2)),"Unknown"))</f>
        <v>0.3</v>
      </c>
      <c r="AU153" s="8">
        <f t="shared" si="14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stats'!N:N)=1,"No",MAX(0.01,MIN(MROUND(IF(OR(_xlfn.XLOOKUP(B153,'Base stats'!B:B,'Base stats'!AM:AM)=1,AND(BJ153="True",CC153="False")),POWER(10,3.47*LOG10(_xlfn.XLOOKUP(B153,'Base stats'!B:B,'Base stats'!C:C)*1000)^-0.96),POWER(10,4.15*LOG10(_xlfn.XLOOKUP(B153,'Base stats'!B:B,'Base stats'!C:C)*1000)^-0.73))*IF(OR(_xlfn.XLOOKUP(B153,'Base stats'!B:B,'Base stats'!AM:AM)=1,_xlfn.XLOOKUP(B153,'Base stats'!B:B,'Base stats'!AK:AK)=1),0.5,1)/100,0.025),0.5)))</f>
        <v>0.1</v>
      </c>
      <c r="CA153" s="25" t="str">
        <f>IF(P153="Standard","No",MAX(0.01,IF(_xlfn.XLOOKUP(B153,'Base stats'!B:B,'Base stats'!N:N)=0,MROUND(BZ153*P153,0.05),MIN(1,MAX(0.025,MROUND(IF(OR(CC153="true",AND(BJ153="false",BO153="false")),POWER(10,4.15*LOG10(_xlfn.XLOOKUP(B153,'Base stats'!B:B,'Base stats'!C:C)*1000)^-0.73),POWER(10,3.47*LOG10(_xlfn.XLOOKUP(B153,'Base stats'!B:B,'Base stats'!C:C)*1000)^-0.96))*IF(_xlfn.XLOOKUP(B153,'Base stats'!B:B,'Base stats'!AK:AK)=1,0.5,1)/100,0.025))))))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8" t="s">
        <v>685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stats'!O:O)=2,0,1)),0.05),0.985)))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*0.025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*0.025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FrontRightPaw,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5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T154" s="8">
        <f>IF(OR(A154="Queen",A154="Larva",A154="Megachicken",A154="Megatardi",A154="Toxscorpion"),"No",IFERROR(MAX(IF(_xlfn.XLOOKUP(B154,'Base stats'!B:B,'Base stats'!G:G)&lt;0.5,0.2,0.3),MROUND(_xlfn.XLOOKUP(B154,'Base stats'!B:B,'Base stats'!G:G)/(365/60),0.2)),"Unknown"))</f>
        <v>0.3</v>
      </c>
      <c r="AU154" s="8">
        <f t="shared" si="14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stats'!N:N)=1,"No",MAX(0.01,MIN(MROUND(IF(OR(_xlfn.XLOOKUP(B154,'Base stats'!B:B,'Base stats'!AM:AM)=1,AND(BJ154="True",CC154="False")),POWER(10,3.47*LOG10(_xlfn.XLOOKUP(B154,'Base stats'!B:B,'Base stats'!C:C)*1000)^-0.96),POWER(10,4.15*LOG10(_xlfn.XLOOKUP(B154,'Base stats'!B:B,'Base stats'!C:C)*1000)^-0.73))*IF(OR(_xlfn.XLOOKUP(B154,'Base stats'!B:B,'Base stats'!AM:AM)=1,_xlfn.XLOOKUP(B154,'Base stats'!B:B,'Base stats'!AK:AK)=1),0.5,1)/100,0.025),0.5)))</f>
        <v>0.1</v>
      </c>
      <c r="CA154" s="25" t="str">
        <f>IF(P154="Standard","No",MAX(0.01,IF(_xlfn.XLOOKUP(B154,'Base stats'!B:B,'Base stats'!N:N)=0,MROUND(BZ154*P154,0.05),MIN(1,MAX(0.025,MROUND(IF(OR(CC154="true",AND(BJ154="false",BO154="false")),POWER(10,4.15*LOG10(_xlfn.XLOOKUP(B154,'Base stats'!B:B,'Base stats'!C:C)*1000)^-0.73),POWER(10,3.47*LOG10(_xlfn.XLOOKUP(B154,'Base stats'!B:B,'Base stats'!C:C)*1000)^-0.96))*IF(_xlfn.XLOOKUP(B154,'Base stats'!B:B,'Base stats'!AK:AK)=1,0.5,1)/100,0.025))))))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8" t="s">
        <v>685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stats'!O:O)=2,0,1)),0.05),0.985)))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*0.025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*0.025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FrontRightPaw,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5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T155" s="8">
        <f>IF(OR(A155="Queen",A155="Larva",A155="Megachicken",A155="Megatardi",A155="Toxscorpion"),"No",IFERROR(MAX(IF(_xlfn.XLOOKUP(B155,'Base stats'!B:B,'Base stats'!G:G)&lt;0.5,0.2,0.3),MROUND(_xlfn.XLOOKUP(B155,'Base stats'!B:B,'Base stats'!G:G)/(365/60),0.2)),"Unknown"))</f>
        <v>0.3</v>
      </c>
      <c r="AU155" s="8">
        <f t="shared" si="14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stats'!N:N)=1,"No",MAX(0.01,MIN(MROUND(IF(OR(_xlfn.XLOOKUP(B155,'Base stats'!B:B,'Base stats'!AM:AM)=1,AND(BJ155="True",CC155="False")),POWER(10,3.47*LOG10(_xlfn.XLOOKUP(B155,'Base stats'!B:B,'Base stats'!C:C)*1000)^-0.96),POWER(10,4.15*LOG10(_xlfn.XLOOKUP(B155,'Base stats'!B:B,'Base stats'!C:C)*1000)^-0.73))*IF(OR(_xlfn.XLOOKUP(B155,'Base stats'!B:B,'Base stats'!AM:AM)=1,_xlfn.XLOOKUP(B155,'Base stats'!B:B,'Base stats'!AK:AK)=1),0.5,1)/100,0.025),0.5)))</f>
        <v>0.1</v>
      </c>
      <c r="CA155" s="25" t="str">
        <f>IF(P155="Standard","No",MAX(0.01,IF(_xlfn.XLOOKUP(B155,'Base stats'!B:B,'Base stats'!N:N)=0,MROUND(BZ155*P155,0.05),MIN(1,MAX(0.025,MROUND(IF(OR(CC155="true",AND(BJ155="false",BO155="false")),POWER(10,4.15*LOG10(_xlfn.XLOOKUP(B155,'Base stats'!B:B,'Base stats'!C:C)*1000)^-0.73),POWER(10,3.47*LOG10(_xlfn.XLOOKUP(B155,'Base stats'!B:B,'Base stats'!C:C)*1000)^-0.96))*IF(_xlfn.XLOOKUP(B155,'Base stats'!B:B,'Base stats'!AK:AK)=1,0.5,1)/100,0.025))))))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8" t="s">
        <v>685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stats'!O:O)=2,0,1)),0.05),0.985)))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*0.025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*0.025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FrontRightPaw,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5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T156" s="8">
        <f>IF(OR(A156="Queen",A156="Larva",A156="Megachicken",A156="Megatardi",A156="Toxscorpion"),"No",IFERROR(MAX(IF(_xlfn.XLOOKUP(B156,'Base stats'!B:B,'Base stats'!G:G)&lt;0.5,0.2,0.3),MROUND(_xlfn.XLOOKUP(B156,'Base stats'!B:B,'Base stats'!G:G)/(365/60),0.2)),"Unknown"))</f>
        <v>0.3</v>
      </c>
      <c r="AU156" s="8">
        <f t="shared" si="14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stats'!N:N)=1,"No",MAX(0.01,MIN(MROUND(IF(OR(_xlfn.XLOOKUP(B156,'Base stats'!B:B,'Base stats'!AM:AM)=1,AND(BJ156="True",CC156="False")),POWER(10,3.47*LOG10(_xlfn.XLOOKUP(B156,'Base stats'!B:B,'Base stats'!C:C)*1000)^-0.96),POWER(10,4.15*LOG10(_xlfn.XLOOKUP(B156,'Base stats'!B:B,'Base stats'!C:C)*1000)^-0.73))*IF(OR(_xlfn.XLOOKUP(B156,'Base stats'!B:B,'Base stats'!AM:AM)=1,_xlfn.XLOOKUP(B156,'Base stats'!B:B,'Base stats'!AK:AK)=1),0.5,1)/100,0.025),0.5)))</f>
        <v>0.1</v>
      </c>
      <c r="CA156" s="25" t="str">
        <f>IF(P156="Standard","No",MAX(0.01,IF(_xlfn.XLOOKUP(B156,'Base stats'!B:B,'Base stats'!N:N)=0,MROUND(BZ156*P156,0.05),MIN(1,MAX(0.025,MROUND(IF(OR(CC156="true",AND(BJ156="false",BO156="false")),POWER(10,4.15*LOG10(_xlfn.XLOOKUP(B156,'Base stats'!B:B,'Base stats'!C:C)*1000)^-0.73),POWER(10,3.47*LOG10(_xlfn.XLOOKUP(B156,'Base stats'!B:B,'Base stats'!C:C)*1000)^-0.96))*IF(_xlfn.XLOOKUP(B156,'Base stats'!B:B,'Base stats'!AK:AK)=1,0.5,1)/100,0.025))))))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8" t="s">
        <v>685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stats'!O:O)=2,0,1)),0.05),0.985)))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*0.025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*0.025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FrontRightPaw,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5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T157" s="8">
        <f>IF(OR(A157="Queen",A157="Larva",A157="Megachicken",A157="Megatardi",A157="Toxscorpion"),"No",IFERROR(MAX(IF(_xlfn.XLOOKUP(B157,'Base stats'!B:B,'Base stats'!G:G)&lt;0.5,0.2,0.3),MROUND(_xlfn.XLOOKUP(B157,'Base stats'!B:B,'Base stats'!G:G)/(365/60),0.2)),"Unknown"))</f>
        <v>0.3</v>
      </c>
      <c r="AU157" s="8">
        <f t="shared" si="14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stats'!N:N)=1,"No",MAX(0.01,MIN(MROUND(IF(OR(_xlfn.XLOOKUP(B157,'Base stats'!B:B,'Base stats'!AM:AM)=1,AND(BJ157="True",CC157="False")),POWER(10,3.47*LOG10(_xlfn.XLOOKUP(B157,'Base stats'!B:B,'Base stats'!C:C)*1000)^-0.96),POWER(10,4.15*LOG10(_xlfn.XLOOKUP(B157,'Base stats'!B:B,'Base stats'!C:C)*1000)^-0.73))*IF(OR(_xlfn.XLOOKUP(B157,'Base stats'!B:B,'Base stats'!AM:AM)=1,_xlfn.XLOOKUP(B157,'Base stats'!B:B,'Base stats'!AK:AK)=1),0.5,1)/100,0.025),0.5)))</f>
        <v>0.1</v>
      </c>
      <c r="CA157" s="25" t="str">
        <f>IF(P157="Standard","No",MAX(0.01,IF(_xlfn.XLOOKUP(B157,'Base stats'!B:B,'Base stats'!N:N)=0,MROUND(BZ157*P157,0.05),MIN(1,MAX(0.025,MROUND(IF(OR(CC157="true",AND(BJ157="false",BO157="false")),POWER(10,4.15*LOG10(_xlfn.XLOOKUP(B157,'Base stats'!B:B,'Base stats'!C:C)*1000)^-0.73),POWER(10,3.47*LOG10(_xlfn.XLOOKUP(B157,'Base stats'!B:B,'Base stats'!C:C)*1000)^-0.96))*IF(_xlfn.XLOOKUP(B157,'Base stats'!B:B,'Base stats'!AK:AK)=1,0.5,1)/100,0.025))))))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8" t="s">
        <v>685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stats'!O:O)=2,0,1)),0.05),0.985)))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*0.025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*0.025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FrontRightPaw,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5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T158" s="8">
        <f>IF(OR(A158="Queen",A158="Larva",A158="Megachicken",A158="Megatardi",A158="Toxscorpion"),"No",IFERROR(MAX(IF(_xlfn.XLOOKUP(B158,'Base stats'!B:B,'Base stats'!G:G)&lt;0.5,0.2,0.3),MROUND(_xlfn.XLOOKUP(B158,'Base stats'!B:B,'Base stats'!G:G)/(365/60),0.2)),"Unknown"))</f>
        <v>0.3</v>
      </c>
      <c r="AU158" s="8">
        <f t="shared" si="14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stats'!N:N)=1,"No",MAX(0.01,MIN(MROUND(IF(OR(_xlfn.XLOOKUP(B158,'Base stats'!B:B,'Base stats'!AM:AM)=1,AND(BJ158="True",CC158="False")),POWER(10,3.47*LOG10(_xlfn.XLOOKUP(B158,'Base stats'!B:B,'Base stats'!C:C)*1000)^-0.96),POWER(10,4.15*LOG10(_xlfn.XLOOKUP(B158,'Base stats'!B:B,'Base stats'!C:C)*1000)^-0.73))*IF(OR(_xlfn.XLOOKUP(B158,'Base stats'!B:B,'Base stats'!AM:AM)=1,_xlfn.XLOOKUP(B158,'Base stats'!B:B,'Base stats'!AK:AK)=1),0.5,1)/100,0.025),0.5)))</f>
        <v>0.1</v>
      </c>
      <c r="CA158" s="25" t="str">
        <f>IF(P158="Standard","No",MAX(0.01,IF(_xlfn.XLOOKUP(B158,'Base stats'!B:B,'Base stats'!N:N)=0,MROUND(BZ158*P158,0.05),MIN(1,MAX(0.025,MROUND(IF(OR(CC158="true",AND(BJ158="false",BO158="false")),POWER(10,4.15*LOG10(_xlfn.XLOOKUP(B158,'Base stats'!B:B,'Base stats'!C:C)*1000)^-0.73),POWER(10,3.47*LOG10(_xlfn.XLOOKUP(B158,'Base stats'!B:B,'Base stats'!C:C)*1000)^-0.96))*IF(_xlfn.XLOOKUP(B158,'Base stats'!B:B,'Base stats'!AK:AK)=1,0.5,1)/100,0.025))))))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8" t="s">
        <v>685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stats'!O:O)=2,0,1)),0.05),0.985)))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*0.025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*0.025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FrontRightPaw,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5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T159" s="8">
        <f>IF(OR(A159="Queen",A159="Larva",A159="Megachicken",A159="Megatardi",A159="Toxscorpion"),"No",IFERROR(MAX(IF(_xlfn.XLOOKUP(B159,'Base stats'!B:B,'Base stats'!G:G)&lt;0.5,0.2,0.3),MROUND(_xlfn.XLOOKUP(B159,'Base stats'!B:B,'Base stats'!G:G)/(365/60),0.2)),"Unknown"))</f>
        <v>0.3</v>
      </c>
      <c r="AU159" s="8">
        <f t="shared" si="14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stats'!N:N)=1,"No",MAX(0.01,MIN(MROUND(IF(OR(_xlfn.XLOOKUP(B159,'Base stats'!B:B,'Base stats'!AM:AM)=1,AND(BJ159="True",CC159="False")),POWER(10,3.47*LOG10(_xlfn.XLOOKUP(B159,'Base stats'!B:B,'Base stats'!C:C)*1000)^-0.96),POWER(10,4.15*LOG10(_xlfn.XLOOKUP(B159,'Base stats'!B:B,'Base stats'!C:C)*1000)^-0.73))*IF(OR(_xlfn.XLOOKUP(B159,'Base stats'!B:B,'Base stats'!AM:AM)=1,_xlfn.XLOOKUP(B159,'Base stats'!B:B,'Base stats'!AK:AK)=1),0.5,1)/100,0.025),0.5)))</f>
        <v>0.1</v>
      </c>
      <c r="CA159" s="25" t="str">
        <f>IF(P159="Standard","No",MAX(0.01,IF(_xlfn.XLOOKUP(B159,'Base stats'!B:B,'Base stats'!N:N)=0,MROUND(BZ159*P159,0.05),MIN(1,MAX(0.025,MROUND(IF(OR(CC159="true",AND(BJ159="false",BO159="false")),POWER(10,4.15*LOG10(_xlfn.XLOOKUP(B159,'Base stats'!B:B,'Base stats'!C:C)*1000)^-0.73),POWER(10,3.47*LOG10(_xlfn.XLOOKUP(B159,'Base stats'!B:B,'Base stats'!C:C)*1000)^-0.96))*IF(_xlfn.XLOOKUP(B159,'Base stats'!B:B,'Base stats'!AK:AK)=1,0.5,1)/100,0.025))))))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8" t="s">
        <v>685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4525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stats'!O:O)=2,0,1)),0.05),0.985)))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*0.025
),
0.05
),
200%
),
"No"
)</f>
        <v>0.85000000000000009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*0.025
),
0.05
),
200%
),
"No"
)</f>
        <v>0.85000000000000009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FrontRightPaw,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5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T160" s="8">
        <f>IF(OR(A160="Queen",A160="Larva",A160="Megachicken",A160="Megatardi",A160="Toxscorpion"),"No",IFERROR(MAX(IF(_xlfn.XLOOKUP(B160,'Base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4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1575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stats'!N:N)=1,"No",MAX(0.01,MIN(MROUND(IF(OR(_xlfn.XLOOKUP(B160,'Base stats'!B:B,'Base stats'!AM:AM)=1,AND(BJ160="True",CC160="False")),POWER(10,3.47*LOG10(_xlfn.XLOOKUP(B160,'Base stats'!B:B,'Base stats'!C:C)*1000)^-0.96),POWER(10,4.15*LOG10(_xlfn.XLOOKUP(B160,'Base stats'!B:B,'Base stats'!C:C)*1000)^-0.73))*IF(OR(_xlfn.XLOOKUP(B160,'Base stats'!B:B,'Base stats'!AM:AM)=1,_xlfn.XLOOKUP(B160,'Base stats'!B:B,'Base stats'!AK:AK)=1),0.5,1)/100,0.025),0.5)))</f>
        <v>2.5000000000000001E-2</v>
      </c>
      <c r="CA160" s="25">
        <f>IF(P160="Standard","No",MAX(0.01,IF(_xlfn.XLOOKUP(B160,'Base stats'!B:B,'Base stats'!N:N)=0,MROUND(BZ160*P160,0.05),MIN(1,MAX(0.025,MROUND(IF(OR(CC160="true",AND(BJ160="false",BO160="false")),POWER(10,4.15*LOG10(_xlfn.XLOOKUP(B160,'Base stats'!B:B,'Base stats'!C:C)*1000)^-0.73),POWER(10,3.47*LOG10(_xlfn.XLOOKUP(B160,'Base stats'!B:B,'Base stats'!C:C)*1000)^-0.96))*IF(_xlfn.XLOOKUP(B160,'Base stats'!B:B,'Base stats'!AK:AK)=1,0.5,1)/100,0.025))))))</f>
        <v>0.05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1160</v>
      </c>
      <c r="C161" s="28" t="s">
        <v>1161</v>
      </c>
      <c r="D161" s="28" t="s">
        <v>1162</v>
      </c>
      <c r="E161" s="28" t="s">
        <v>685</v>
      </c>
      <c r="F161" s="28" t="s">
        <v>685</v>
      </c>
      <c r="G161" s="28" t="s">
        <v>685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stats'!O:O)=2,0,1)),0.05),0.985)))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*0.025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*0.025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FrontRightPaw,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5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T161" s="8">
        <f>IF(OR(A161="Queen",A161="Larva",A161="Megachicken",A161="Megatardi",A161="Toxscorpion"),"No",IFERROR(MAX(IF(_xlfn.XLOOKUP(B161,'Base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4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stats'!N:N)=1,"No",MAX(0.01,MIN(MROUND(IF(OR(_xlfn.XLOOKUP(B161,'Base stats'!B:B,'Base stats'!AM:AM)=1,AND(BJ161="True",CC161="False")),POWER(10,3.47*LOG10(_xlfn.XLOOKUP(B161,'Base stats'!B:B,'Base stats'!C:C)*1000)^-0.96),POWER(10,4.15*LOG10(_xlfn.XLOOKUP(B161,'Base stats'!B:B,'Base stats'!C:C)*1000)^-0.73))*IF(OR(_xlfn.XLOOKUP(B161,'Base stats'!B:B,'Base stats'!AM:AM)=1,_xlfn.XLOOKUP(B161,'Base stats'!B:B,'Base stats'!AK:AK)=1),0.5,1)/100,0.025),0.5)))</f>
        <v>2.5000000000000001E-2</v>
      </c>
      <c r="CA161" s="25" t="str">
        <f>IF(P161="Standard","No",MAX(0.01,IF(_xlfn.XLOOKUP(B161,'Base stats'!B:B,'Base stats'!N:N)=0,MROUND(BZ161*P161,0.05),MIN(1,MAX(0.025,MROUND(IF(OR(CC161="true",AND(BJ161="false",BO161="false")),POWER(10,4.15*LOG10(_xlfn.XLOOKUP(B161,'Base stats'!B:B,'Base stats'!C:C)*1000)^-0.73),POWER(10,3.47*LOG10(_xlfn.XLOOKUP(B161,'Base stats'!B:B,'Base stats'!C:C)*1000)^-0.96))*IF(_xlfn.XLOOKUP(B161,'Base stats'!B:B,'Base stats'!AK:AK)=1,0.5,1)/100,0.025))))))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1163</v>
      </c>
      <c r="C162" s="28" t="s">
        <v>1165</v>
      </c>
      <c r="D162" s="28" t="s">
        <v>1162</v>
      </c>
      <c r="E162" s="28" t="s">
        <v>685</v>
      </c>
      <c r="F162" s="28" t="s">
        <v>685</v>
      </c>
      <c r="G162" s="28" t="s">
        <v>685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stats'!O:O)=2,0,1)),0.05),0.985)))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-25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*0.025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*0.025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5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T162" s="8">
        <f>IF(OR(A162="Queen",A162="Larva",A162="Megachicken",A162="Megatardi",A162="Toxscorpion"),"No",IFERROR(MAX(IF(_xlfn.XLOOKUP(B162,'Base stats'!B:B,'Base stats'!G:G)&lt;0.5,0.2,0.3),MROUND(_xlfn.XLOOKUP(B162,'Base stats'!B:B,'Base stats'!G:G)/(365/60),0.2)),"Unknown"))</f>
        <v>0.3</v>
      </c>
      <c r="AU162" s="8">
        <f t="shared" si="14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8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>TemperateForest TemperateSwamp</v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stats'!N:N)=1,"No",MAX(0.01,MIN(MROUND(IF(OR(_xlfn.XLOOKUP(B162,'Base stats'!B:B,'Base stats'!AM:AM)=1,AND(BJ162="True",CC162="False")),POWER(10,3.47*LOG10(_xlfn.XLOOKUP(B162,'Base stats'!B:B,'Base stats'!C:C)*1000)^-0.96),POWER(10,4.15*LOG10(_xlfn.XLOOKUP(B162,'Base stats'!B:B,'Base stats'!C:C)*1000)^-0.73))*IF(OR(_xlfn.XLOOKUP(B162,'Base stats'!B:B,'Base stats'!AM:AM)=1,_xlfn.XLOOKUP(B162,'Base stats'!B:B,'Base stats'!AK:AK)=1),0.5,1)/100,0.025),0.5)))</f>
        <v>7.5000000000000011E-2</v>
      </c>
      <c r="CA162" s="25" t="str">
        <f>IF(P162="Standard","No",MAX(0.01,IF(_xlfn.XLOOKUP(B162,'Base stats'!B:B,'Base stats'!N:N)=0,MROUND(BZ162*P162,0.05),MIN(1,MAX(0.025,MROUND(IF(OR(CC162="true",AND(BJ162="false",BO162="false")),POWER(10,4.15*LOG10(_xlfn.XLOOKUP(B162,'Base stats'!B:B,'Base stats'!C:C)*1000)^-0.73),POWER(10,3.47*LOG10(_xlfn.XLOOKUP(B162,'Base stats'!B:B,'Base stats'!C:C)*1000)^-0.96))*IF(_xlfn.XLOOKUP(B162,'Base stats'!B:B,'Base stats'!AK:AK)=1,0.5,1)/100,0.025))))))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1167</v>
      </c>
      <c r="C163" s="28" t="s">
        <v>1168</v>
      </c>
      <c r="D163" s="28" t="s">
        <v>1162</v>
      </c>
      <c r="E163" s="28" t="s">
        <v>685</v>
      </c>
      <c r="F163" s="28" t="s">
        <v>685</v>
      </c>
      <c r="G163" s="28" t="s">
        <v>685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stats'!O:O)=2,0,1)),0.05),0.985)))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*0.025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*0.025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ref="AN163:AN166" si="21">IF(BJ163="false","No",MROUND(AO163*5+15*1,5))</f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T163" s="8">
        <f>IF(OR(A163="Queen",A163="Larva",A163="Megachicken",A163="Megatardi",A163="Toxscorpion"),"No",IFERROR(MAX(IF(_xlfn.XLOOKUP(B163,'Base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4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ref="AW163:AW166" si="22">IF(BT163="No","false","true")</f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ref="BL163:BL166" si="23">IF(BI163&lt;&gt;"None",1,0)</f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ref="BN163:BN166" si="24">IF(OR(BM163&lt;&gt;"No",BQ163=1),"true","false")</f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ref="BS163:BS166" si="25">MROUND(AO163 * 0.2 + AQ163 * 0.8,0.05)</f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 TropicalSwamp Glowforest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stats'!N:N)=1,"No",MAX(0.01,MIN(MROUND(IF(OR(_xlfn.XLOOKUP(B163,'Base stats'!B:B,'Base stats'!AM:AM)=1,AND(BJ163="True",CC163="False")),POWER(10,3.47*LOG10(_xlfn.XLOOKUP(B163,'Base stats'!B:B,'Base stats'!C:C)*1000)^-0.96),POWER(10,4.15*LOG10(_xlfn.XLOOKUP(B163,'Base stats'!B:B,'Base stats'!C:C)*1000)^-0.73))*IF(OR(_xlfn.XLOOKUP(B163,'Base stats'!B:B,'Base stats'!AM:AM)=1,_xlfn.XLOOKUP(B163,'Base stats'!B:B,'Base stats'!AK:AK)=1),0.5,1)/100,0.025),0.5)))</f>
        <v>2.5000000000000001E-2</v>
      </c>
      <c r="CA163" s="25" t="str">
        <f>IF(P163="Standard","No",MAX(0.01,IF(_xlfn.XLOOKUP(B163,'Base stats'!B:B,'Base stats'!N:N)=0,MROUND(BZ163*P163,0.05),MIN(1,MAX(0.025,MROUND(IF(OR(CC163="true",AND(BJ163="false",BO163="false")),POWER(10,4.15*LOG10(_xlfn.XLOOKUP(B163,'Base stats'!B:B,'Base stats'!C:C)*1000)^-0.73),POWER(10,3.47*LOG10(_xlfn.XLOOKUP(B163,'Base stats'!B:B,'Base stats'!C:C)*1000)^-0.96))*IF(_xlfn.XLOOKUP(B163,'Base stats'!B:B,'Base stats'!AK:AK)=1,0.5,1)/100,0.025))))))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ref="CD163:CD166" si="26">IF(J163&gt;0.95,"True","False")</f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1170</v>
      </c>
      <c r="C164" s="28" t="s">
        <v>1169</v>
      </c>
      <c r="D164" s="28" t="s">
        <v>1162</v>
      </c>
      <c r="E164" s="28" t="s">
        <v>685</v>
      </c>
      <c r="F164" s="28" t="s">
        <v>685</v>
      </c>
      <c r="G164" s="28" t="s">
        <v>685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stats'!O:O)=2,0,1)),0.05),0.985)))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*0.025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*0.025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21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T164" s="8" t="str">
        <f>IF(OR(A164="Queen",A164="Larva",A164="Megachicken",A164="Megatardi",A164="Toxscorpion"),"No",IFERROR(MAX(IF(_xlfn.XLOOKUP(B164,'Base stats'!B:B,'Base stats'!G:G)&lt;0.5,0.2,0.3),MROUND(_xlfn.XLOOKUP(B164,'Base stats'!B:B,'Base stats'!G:G)/(365/60),0.2)),"Unknown"))</f>
        <v>No</v>
      </c>
      <c r="AU164" s="8" t="str">
        <f t="shared" si="14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22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8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23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24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25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stats'!N:N)=1,"No",MAX(0.01,MIN(MROUND(IF(OR(_xlfn.XLOOKUP(B164,'Base stats'!B:B,'Base stats'!AM:AM)=1,AND(BJ164="True",CC164="False")),POWER(10,3.47*LOG10(_xlfn.XLOOKUP(B164,'Base stats'!B:B,'Base stats'!C:C)*1000)^-0.96),POWER(10,4.15*LOG10(_xlfn.XLOOKUP(B164,'Base stats'!B:B,'Base stats'!C:C)*1000)^-0.73))*IF(OR(_xlfn.XLOOKUP(B164,'Base stats'!B:B,'Base stats'!AM:AM)=1,_xlfn.XLOOKUP(B164,'Base stats'!B:B,'Base stats'!AK:AK)=1),0.5,1)/100,0.025),0.5)))</f>
        <v>0.05</v>
      </c>
      <c r="CA164" s="25" t="str">
        <f>IF(P164="Standard","No",MAX(0.01,IF(_xlfn.XLOOKUP(B164,'Base stats'!B:B,'Base stats'!N:N)=0,MROUND(BZ164*P164,0.05),MIN(1,MAX(0.025,MROUND(IF(OR(CC164="true",AND(BJ164="false",BO164="false")),POWER(10,4.15*LOG10(_xlfn.XLOOKUP(B164,'Base stats'!B:B,'Base stats'!C:C)*1000)^-0.73),POWER(10,3.47*LOG10(_xlfn.XLOOKUP(B164,'Base stats'!B:B,'Base stats'!C:C)*1000)^-0.96))*IF(_xlfn.XLOOKUP(B164,'Base stats'!B:B,'Base stats'!AK:AK)=1,0.5,1)/100,0.025))))))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6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1172</v>
      </c>
      <c r="C165" s="28" t="s">
        <v>1171</v>
      </c>
      <c r="D165" s="28" t="s">
        <v>1162</v>
      </c>
      <c r="E165" s="28" t="s">
        <v>685</v>
      </c>
      <c r="F165" s="28" t="s">
        <v>685</v>
      </c>
      <c r="G165" s="28" t="s">
        <v>685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stats'!O:O)=2,0,1)),0.05),0.985)))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-25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*0.025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*0.025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21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T165" s="8">
        <f>IF(OR(A165="Queen",A165="Larva",A165="Megachicken",A165="Megatardi",A165="Toxscorpion"),"No",IFERROR(MAX(IF(_xlfn.XLOOKUP(B165,'Base stats'!B:B,'Base stats'!G:G)&lt;0.5,0.2,0.3),MROUND(_xlfn.XLOOKUP(B165,'Base stats'!B:B,'Base stats'!G:G)/(365/60),0.2)),"Unknown"))</f>
        <v>0.4</v>
      </c>
      <c r="AU165" s="8">
        <f t="shared" si="14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22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23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24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25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>TemperateForest TemperateSwamp</v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stats'!N:N)=1,"No",MAX(0.01,MIN(MROUND(IF(OR(_xlfn.XLOOKUP(B165,'Base stats'!B:B,'Base stats'!AM:AM)=1,AND(BJ165="True",CC165="False")),POWER(10,3.47*LOG10(_xlfn.XLOOKUP(B165,'Base stats'!B:B,'Base stats'!C:C)*1000)^-0.96),POWER(10,4.15*LOG10(_xlfn.XLOOKUP(B165,'Base stats'!B:B,'Base stats'!C:C)*1000)^-0.73))*IF(OR(_xlfn.XLOOKUP(B165,'Base stats'!B:B,'Base stats'!AM:AM)=1,_xlfn.XLOOKUP(B165,'Base stats'!B:B,'Base stats'!AK:AK)=1),0.5,1)/100,0.025),0.5)))</f>
        <v>0.05</v>
      </c>
      <c r="CA165" s="25" t="str">
        <f>IF(P165="Standard","No",MAX(0.01,IF(_xlfn.XLOOKUP(B165,'Base stats'!B:B,'Base stats'!N:N)=0,MROUND(BZ165*P165,0.05),MIN(1,MAX(0.025,MROUND(IF(OR(CC165="true",AND(BJ165="false",BO165="false")),POWER(10,4.15*LOG10(_xlfn.XLOOKUP(B165,'Base stats'!B:B,'Base stats'!C:C)*1000)^-0.73),POWER(10,3.47*LOG10(_xlfn.XLOOKUP(B165,'Base stats'!B:B,'Base stats'!C:C)*1000)^-0.96))*IF(_xlfn.XLOOKUP(B165,'Base stats'!B:B,'Base stats'!AK:AK)=1,0.5,1)/100,0.025))))))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6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1174</v>
      </c>
      <c r="C166" s="28" t="s">
        <v>1173</v>
      </c>
      <c r="D166" s="28" t="s">
        <v>1162</v>
      </c>
      <c r="E166" s="28" t="s">
        <v>685</v>
      </c>
      <c r="F166" s="28" t="s">
        <v>685</v>
      </c>
      <c r="G166" s="28" t="s">
        <v>685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stats'!O:O)=2,0,1)),0.05),0.985)))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*0.025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*0.025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21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T166" s="8">
        <f>IF(OR(A166="Queen",A166="Larva",A166="Megachicken",A166="Megatardi",A166="Toxscorpion"),"No",IFERROR(MAX(IF(_xlfn.XLOOKUP(B166,'Base stats'!B:B,'Base stats'!G:G)&lt;0.5,0.2,0.3),MROUND(_xlfn.XLOOKUP(B166,'Base stats'!B:B,'Base stats'!G:G)/(365/60),0.2)),"Unknown"))</f>
        <v>0.4</v>
      </c>
      <c r="AU166" s="8">
        <f t="shared" si="14"/>
        <v>0.2</v>
      </c>
      <c r="AV166" s="8">
        <f>IFERROR(IFERROR(MROUND(_xlfn.XLOOKUP(B166,'Base stats'!B:B,'Base stats'!J:J),0.1),"Lay eggs"),"Cannot breed")</f>
        <v>5</v>
      </c>
      <c r="AW166" s="2" t="str">
        <f t="shared" si="22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23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24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25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stats'!N:N)=1,"No",MAX(0.01,MIN(MROUND(IF(OR(_xlfn.XLOOKUP(B166,'Base stats'!B:B,'Base stats'!AM:AM)=1,AND(BJ166="True",CC166="False")),POWER(10,3.47*LOG10(_xlfn.XLOOKUP(B166,'Base stats'!B:B,'Base stats'!C:C)*1000)^-0.96),POWER(10,4.15*LOG10(_xlfn.XLOOKUP(B166,'Base stats'!B:B,'Base stats'!C:C)*1000)^-0.73))*IF(OR(_xlfn.XLOOKUP(B166,'Base stats'!B:B,'Base stats'!AM:AM)=1,_xlfn.XLOOKUP(B166,'Base stats'!B:B,'Base stats'!AK:AK)=1),0.5,1)/100,0.025),0.5)))</f>
        <v>0.05</v>
      </c>
      <c r="CA166" s="25" t="str">
        <f>IF(P166="Standard","No",MAX(0.01,IF(_xlfn.XLOOKUP(B166,'Base stats'!B:B,'Base stats'!N:N)=0,MROUND(BZ166*P166,0.05),MIN(1,MAX(0.025,MROUND(IF(OR(CC166="true",AND(BJ166="false",BO166="false")),POWER(10,4.15*LOG10(_xlfn.XLOOKUP(B166,'Base stats'!B:B,'Base stats'!C:C)*1000)^-0.73),POWER(10,3.47*LOG10(_xlfn.XLOOKUP(B166,'Base stats'!B:B,'Base stats'!C:C)*1000)^-0.96))*IF(_xlfn.XLOOKUP(B166,'Base stats'!B:B,'Base stats'!AK:AK)=1,0.5,1)/100,0.025))))))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6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1212</v>
      </c>
      <c r="C167" s="28" t="s">
        <v>1214</v>
      </c>
      <c r="D167" s="28" t="s">
        <v>1215</v>
      </c>
      <c r="E167" s="28" t="s">
        <v>1217</v>
      </c>
      <c r="F167" s="28" t="s">
        <v>1218</v>
      </c>
      <c r="G167" s="28" t="s">
        <v>685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9450</v>
      </c>
      <c r="I167" s="2">
        <f>MROUND(ROUNDDOWN(_xlfn.XLOOKUP(B167,'Base stats'!B:B,'Base stats'!L:L)/3.6/(23.3/11),1),0.5)</f>
        <v>14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*0.025
),
0.05
),
200%
),
"No"
)</f>
        <v>1.6500000000000001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*0.025
),
0.05
),
200%
),
"No"
)</f>
        <v>2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FrontRightPaw,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ref="AN167" si="27">IF(BJ167="false","No",MROUND(AO167*5+15*1,5))</f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T167" s="8">
        <f>IF(OR(A167="Queen",A167="Larva",A167="Megachicken",A167="Megatardi",A167="Toxscorpion"),"No",IFERROR(MAX(IF(_xlfn.XLOOKUP(B167,'Base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4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ref="AW167" si="28">IF(BT167="No","false","true")</f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Leather_PhotonozoaM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ref="BL167" si="29">IF(BI167&lt;&gt;"None",1,0)</f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ref="BN167" si="30">IF(OR(BM167&lt;&gt;"No",BQ167=1),"true","false")</f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3610</v>
      </c>
      <c r="BS167" s="8">
        <f t="shared" ref="BS167" si="31">MROUND(AO167 * 0.2 + AQ167 * 0.8,0.05)</f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stats'!N:N)=1,"No",MAX(0.01,MIN(MROUND(IF(OR(_xlfn.XLOOKUP(B167,'Base stats'!B:B,'Base stats'!AM:AM)=1,AND(BJ167="True",CC167="False")),POWER(10,3.47*LOG10(_xlfn.XLOOKUP(B167,'Base stats'!B:B,'Base stats'!C:C)*1000)^-0.96),POWER(10,4.15*LOG10(_xlfn.XLOOKUP(B167,'Base stats'!B:B,'Base stats'!C:C)*1000)^-0.73))*IF(OR(_xlfn.XLOOKUP(B167,'Base stats'!B:B,'Base stats'!AM:AM)=1,_xlfn.XLOOKUP(B167,'Base stats'!B:B,'Base stats'!AK:AK)=1),0.5,1)/100,0.025),0.5)))</f>
        <v>2.5000000000000001E-2</v>
      </c>
      <c r="CA167" s="25">
        <f>IF(P167="Standard","No",MAX(0.01,IF(_xlfn.XLOOKUP(B167,'Base stats'!B:B,'Base stats'!N:N)=0,MROUND(BZ167*P167,0.05),MIN(1,MAX(0.025,MROUND(IF(OR(CC167="true",AND(BJ167="false",BO167="false")),POWER(10,4.15*LOG10(_xlfn.XLOOKUP(B167,'Base stats'!B:B,'Base stats'!C:C)*1000)^-0.73),POWER(10,3.47*LOG10(_xlfn.XLOOKUP(B167,'Base stats'!B:B,'Base stats'!C:C)*1000)^-0.96))*IF(_xlfn.XLOOKUP(B167,'Base stats'!B:B,'Base stats'!AK:AK)=1,0.5,1)/100,0.025))))))</f>
        <v>0.05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ref="CD167" si="32">IF(J167&gt;0.95,"True","False")</f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ht="16.5" thickTop="1" thickBot="1" x14ac:dyDescent="0.3">
      <c r="A168" s="26" t="str">
        <f>_xlfn.XLOOKUP(B168,'Base stats'!B:B,'Base stats'!A:A)</f>
        <v>Asciotaurus</v>
      </c>
      <c r="B168" s="6" t="s">
        <v>1235</v>
      </c>
      <c r="C168" s="28" t="s">
        <v>1236</v>
      </c>
      <c r="D168" s="28" t="s">
        <v>1215</v>
      </c>
      <c r="E168" s="28" t="s">
        <v>1217</v>
      </c>
      <c r="F168" s="28" t="s">
        <v>1218</v>
      </c>
      <c r="G168" s="28" t="s">
        <v>685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2650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-175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*0.025
),
0.05
),
200%
),
"No"
)</f>
        <v>1.4000000000000001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*0.025
),
0.05
),
200%
),
"No"
)</f>
        <v>2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ref="AN168:AN170" si="33">IF(BJ168="false","No",MROUND(AO168*5+15*1,5))</f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stats'!E:E),Groups!A:A,Groups!AI:AI)*_xlfn.XLOOKUP(B168,'Base stats'!B:B,'Base stats'!Z:Z),0.05)</f>
        <v>5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T168" s="8">
        <f>IF(OR(A168="Queen",A168="Larva",A168="Megachicken",A168="Megatardi",A168="Toxscorpion"),"No",IFERROR(MAX(IF(_xlfn.XLOOKUP(B168,'Base stats'!B:B,'Base stats'!G:G)&lt;0.5,0.2,0.3),MROUND(_xlfn.XLOOKUP(B168,'Base stats'!B:B,'Base stats'!G:G)/(365/60),0.2)),"Unknown"))</f>
        <v>1.6</v>
      </c>
      <c r="AU168" s="8">
        <f t="shared" si="14"/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ref="AW168:AW170" si="34">IF(BT168="No","false","true")</f>
        <v>true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Leather_PhotonozoaM</v>
      </c>
      <c r="BC168" s="23" t="str">
        <f>_xlfn.XLOOKUP(_xlfn.XLOOKUP(B168,'Base stats'!B:B,'Base stats'!E:E),Groups!A:A,Groups!AL:AL)</f>
        <v>Xenobovid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0.1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0.3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Intermediate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false</v>
      </c>
      <c r="BK168" s="2" t="str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L168" s="2">
        <f t="shared" ref="BL168:BL170" si="35">IF(BI168&lt;&gt;"None",1,0)</f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ref="BN168:BN170" si="36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Zoology_DraftControl</v>
      </c>
      <c r="BQ168" s="25" t="str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No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840</v>
      </c>
      <c r="BS168" s="8">
        <f t="shared" ref="BS168:BS170" si="37">MROUND(AO168 * 0.2 + AQ168 * 0.8,0.05)</f>
        <v>3.1500000000000004</v>
      </c>
      <c r="BT168" s="8" t="str">
        <f>_xlfn.XLOOKUP(B168,'Base stats'!B:B,'Base stats'!AF:AF)</f>
        <v>3~10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stats'!N:N)=1,"No",MAX(0.01,MIN(MROUND(IF(OR(_xlfn.XLOOKUP(B168,'Base stats'!B:B,'Base stats'!AM:AM)=1,AND(BJ168="True",CC168="False")),POWER(10,3.47*LOG10(_xlfn.XLOOKUP(B168,'Base stats'!B:B,'Base stats'!C:C)*1000)^-0.96),POWER(10,4.15*LOG10(_xlfn.XLOOKUP(B168,'Base stats'!B:B,'Base stats'!C:C)*1000)^-0.73))*IF(OR(_xlfn.XLOOKUP(B168,'Base stats'!B:B,'Base stats'!AM:AM)=1,_xlfn.XLOOKUP(B168,'Base stats'!B:B,'Base stats'!AK:AK)=1),0.5,1)/100,0.025),0.5)))</f>
        <v>0.1</v>
      </c>
      <c r="CA168" s="25">
        <f>IF(P168="Standard","No",MAX(0.01,IF(_xlfn.XLOOKUP(B168,'Base stats'!B:B,'Base stats'!N:N)=0,MROUND(BZ168*P168,0.05),MIN(1,MAX(0.025,MROUND(IF(OR(CC168="true",AND(BJ168="false",BO168="false")),POWER(10,4.15*LOG10(_xlfn.XLOOKUP(B168,'Base stats'!B:B,'Base stats'!C:C)*1000)^-0.73),POWER(10,3.47*LOG10(_xlfn.XLOOKUP(B168,'Base stats'!B:B,'Base stats'!C:C)*1000)^-0.96))*IF(_xlfn.XLOOKUP(B168,'Base stats'!B:B,'Base stats'!AK:AK)=1,0.5,1)/100,0.025))))))</f>
        <v>0.1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:CD170" si="38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Arthropython</v>
      </c>
      <c r="B169" s="6" t="s">
        <v>1220</v>
      </c>
      <c r="C169" s="28" t="s">
        <v>1223</v>
      </c>
      <c r="D169" s="28" t="s">
        <v>1215</v>
      </c>
      <c r="E169" s="28" t="s">
        <v>1217</v>
      </c>
      <c r="F169" s="28" t="s">
        <v>1218</v>
      </c>
      <c r="G169" s="28" t="s">
        <v>685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1250</v>
      </c>
      <c r="I169" s="2">
        <f>MROUND(ROUNDDOWN(_xlfn.XLOOKUP(B169,'Base stats'!B:B,'Base stats'!L:L)/3.6/(23.3/11),1),0.5)</f>
        <v>3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-160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*0.025
),
0.05
),
200%
),
"No"
)</f>
        <v>0.2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*0.025
),
0.05
),
200%
),
"No"
)</f>
        <v>0.8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FrontRightPaw,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33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stats'!E:E),Groups!A:A,Groups!AI:AI)*_xlfn.XLOOKUP(B169,'Base stats'!B:B,'Base stats'!Z:Z),0.05)</f>
        <v>1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T169" s="8">
        <f>IF(OR(A169="Queen",A169="Larva",A169="Megachicken",A169="Megatardi",A169="Toxscorpion"),"No",IFERROR(MAX(IF(_xlfn.XLOOKUP(B169,'Base stats'!B:B,'Base stats'!G:G)&lt;0.5,0.2,0.3),MROUND(_xlfn.XLOOKUP(B169,'Base stats'!B:B,'Base stats'!G:G)/(365/60),0.2)),"Unknown"))</f>
        <v>0.4</v>
      </c>
      <c r="AU169" s="8">
        <f t="shared" si="14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34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Leather_PhotonozoaM</v>
      </c>
      <c r="BC169" s="23" t="str">
        <f>_xlfn.XLOOKUP(_xlfn.XLOOKUP(B169,'Base stats'!B:B,'Base stats'!E:E),Groups!A:A,Groups!AL:AL)</f>
        <v>Xenosnake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1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true</v>
      </c>
      <c r="BK169" s="2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L169" s="2">
        <f t="shared" si="35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36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AttackTarget, Dig, Zoology_DraftControl</v>
      </c>
      <c r="BQ169" s="25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10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390</v>
      </c>
      <c r="BS169" s="8">
        <f t="shared" si="37"/>
        <v>0.55000000000000004</v>
      </c>
      <c r="BT169" s="8" t="str">
        <f>_xlfn.XLOOKUP(B169,'Base stats'!B:B,'Base stats'!AF:AF)</f>
        <v>No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stats'!N:N)=1,"No",MAX(0.01,MIN(MROUND(IF(OR(_xlfn.XLOOKUP(B169,'Base stats'!B:B,'Base stats'!AM:AM)=1,AND(BJ169="True",CC169="False")),POWER(10,3.47*LOG10(_xlfn.XLOOKUP(B169,'Base stats'!B:B,'Base stats'!C:C)*1000)^-0.96),POWER(10,4.15*LOG10(_xlfn.XLOOKUP(B169,'Base stats'!B:B,'Base stats'!C:C)*1000)^-0.73))*IF(OR(_xlfn.XLOOKUP(B169,'Base stats'!B:B,'Base stats'!AM:AM)=1,_xlfn.XLOOKUP(B169,'Base stats'!B:B,'Base stats'!AK:AK)=1),0.5,1)/100,0.025),0.5)))</f>
        <v>0.05</v>
      </c>
      <c r="CA169" s="25">
        <f>IF(P169="Standard","No",MAX(0.01,IF(_xlfn.XLOOKUP(B169,'Base stats'!B:B,'Base stats'!N:N)=0,MROUND(BZ169*P169,0.05),MIN(1,MAX(0.025,MROUND(IF(OR(CC169="true",AND(BJ169="false",BO169="false")),POWER(10,4.15*LOG10(_xlfn.XLOOKUP(B169,'Base stats'!B:B,'Base stats'!C:C)*1000)^-0.73),POWER(10,3.47*LOG10(_xlfn.XLOOKUP(B169,'Base stats'!B:B,'Base stats'!C:C)*1000)^-0.96))*IF(_xlfn.XLOOKUP(B169,'Base stats'!B:B,'Base stats'!AK:AK)=1,0.5,1)/100,0.025))))))</f>
        <v>0.05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38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Paragnathus</v>
      </c>
      <c r="B170" s="6" t="s">
        <v>1222</v>
      </c>
      <c r="C170" s="28" t="s">
        <v>1224</v>
      </c>
      <c r="D170" s="28" t="s">
        <v>1215</v>
      </c>
      <c r="E170" s="28" t="s">
        <v>1217</v>
      </c>
      <c r="F170" s="28" t="s">
        <v>1218</v>
      </c>
      <c r="G170" s="28" t="s">
        <v>685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800</v>
      </c>
      <c r="I170" s="2">
        <f>MROUND(ROUNDDOWN(_xlfn.XLOOKUP(B170,'Base stats'!B:B,'Base stats'!L:L)/3.6/(23.3/11),1),0.5)</f>
        <v>4.5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-165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*0.025
),
0.05
),
200%
),
"No"
)</f>
        <v>0.30000000000000004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*0.025
),
0.05
),
200%
),
"No"
)</f>
        <v>0.85000000000000009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33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stats'!E:E),Groups!A:A,Groups!AI:AI)*_xlfn.XLOOKUP(B170,'Base stats'!B:B,'Base stats'!Z:Z),0.05)</f>
        <v>1.25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T170" s="8">
        <f>IF(OR(A170="Queen",A170="Larva",A170="Megachicken",A170="Megatardi",A170="Toxscorpion"),"No",IFERROR(MAX(IF(_xlfn.XLOOKUP(B170,'Base stats'!B:B,'Base stats'!G:G)&lt;0.5,0.2,0.3),MROUND(_xlfn.XLOOKUP(B170,'Base stats'!B:B,'Base stats'!G:G)/(365/60),0.2)),"Unknown"))</f>
        <v>0.4</v>
      </c>
      <c r="AU170" s="8">
        <f t="shared" si="14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34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Leather_PhotonozoaS</v>
      </c>
      <c r="BC170" s="23" t="str">
        <f>_xlfn.XLOOKUP(_xlfn.XLOOKUP(B170,'Base stats'!B:B,'Base stats'!E:E),Groups!A:A,Groups!AL:AL)</f>
        <v>Paragnathus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2.5000000000000001E-2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0.1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false</v>
      </c>
      <c r="BK170" s="2" t="str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L170" s="2">
        <f t="shared" si="35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36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Forage, Zoology_DraftControl</v>
      </c>
      <c r="BQ170" s="25" t="str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No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190</v>
      </c>
      <c r="BS170" s="8">
        <f t="shared" si="37"/>
        <v>0.75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stats'!N:N)=1,"No",MAX(0.01,MIN(MROUND(IF(OR(_xlfn.XLOOKUP(B170,'Base stats'!B:B,'Base stats'!AM:AM)=1,AND(BJ170="True",CC170="False")),POWER(10,3.47*LOG10(_xlfn.XLOOKUP(B170,'Base stats'!B:B,'Base stats'!C:C)*1000)^-0.96),POWER(10,4.15*LOG10(_xlfn.XLOOKUP(B170,'Base stats'!B:B,'Base stats'!C:C)*1000)^-0.73))*IF(OR(_xlfn.XLOOKUP(B170,'Base stats'!B:B,'Base stats'!AM:AM)=1,_xlfn.XLOOKUP(B170,'Base stats'!B:B,'Base stats'!AK:AK)=1),0.5,1)/100,0.025),0.5)))</f>
        <v>0.2</v>
      </c>
      <c r="CA170" s="25">
        <f>IF(P170="Standard","No",MAX(0.01,IF(_xlfn.XLOOKUP(B170,'Base stats'!B:B,'Base stats'!N:N)=0,MROUND(BZ170*P170,0.05),MIN(1,MAX(0.025,MROUND(IF(OR(CC170="true",AND(BJ170="false",BO170="false")),POWER(10,4.15*LOG10(_xlfn.XLOOKUP(B170,'Base stats'!B:B,'Base stats'!C:C)*1000)^-0.73),POWER(10,3.47*LOG10(_xlfn.XLOOKUP(B170,'Base stats'!B:B,'Base stats'!C:C)*1000)^-0.96))*IF(_xlfn.XLOOKUP(B170,'Base stats'!B:B,'Base stats'!AK:AK)=1,0.5,1)/100,0.025))))))</f>
        <v>0.2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38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ht="16.5" thickTop="1" thickBot="1" x14ac:dyDescent="0.3">
      <c r="A171" s="26" t="str">
        <f>_xlfn.XLOOKUP(B171,'Base stats'!B:B,'Base stats'!A:A)</f>
        <v>BlackFootedFerret</v>
      </c>
      <c r="B171" s="6" t="s">
        <v>1240</v>
      </c>
      <c r="C171" s="28" t="s">
        <v>1242</v>
      </c>
      <c r="D171" s="28" t="s">
        <v>1243</v>
      </c>
      <c r="E171" s="28" t="s">
        <v>685</v>
      </c>
      <c r="F171" s="28" t="s">
        <v>685</v>
      </c>
      <c r="G171" s="28" t="s">
        <v>685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-20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50</v>
      </c>
      <c r="N171" s="8" t="str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*0.025
),
0.05
),
200%
),
"No"
)</f>
        <v>No</v>
      </c>
      <c r="O171" s="8" t="str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*0.025
),
0.05
),
200%
),
"No"
)</f>
        <v>No</v>
      </c>
      <c r="P171" s="2" t="str">
        <f>_xlfn.XLOOKUP(B171,'Base stats'!B:B,'Base stats'!R:R)</f>
        <v>Standard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FrontRightPaw,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ref="AN171" si="39">IF(BJ171="false","No",MROUND(AO171*5+15*1,5))</f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stats'!E:E),Groups!A:A,Groups!AI:AI)*_xlfn.XLOOKUP(B171,'Base stats'!B:B,'Base stats'!Z:Z),0.05)</f>
        <v>0.2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T171" s="8">
        <f>IF(OR(A171="Queen",A171="Larva",A171="Megachicken",A171="Megatardi",A171="Toxscorpion"),"No",IFERROR(MAX(IF(_xlfn.XLOOKUP(B171,'Base stats'!B:B,'Base stats'!G:G)&lt;0.5,0.2,0.3),MROUND(_xlfn.XLOOKUP(B171,'Base stats'!B:B,'Base stats'!G:G)/(365/60),0.2)),"Unknown"))</f>
        <v>0.3</v>
      </c>
      <c r="AU171" s="8">
        <f t="shared" si="14"/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ref="AW171" si="4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Leather_Light</v>
      </c>
      <c r="BC171" s="23" t="str">
        <f>_xlfn.XLOOKUP(_xlfn.XLOOKUP(B171,'Base stats'!B:B,'Base stats'!E:E),Groups!A:A,Groups!AL:AL)</f>
        <v>QuadrupedAnimalWithPawsAndTail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0.1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0.3</v>
      </c>
      <c r="BF171" s="2" t="str">
        <f>IF(J171&gt;0.3,"No",_xlfn.XLOOKUP(_xlfn.XLOOKUP(Animals!B171,'Base stats'!B:B,'Base stats'!E:E),Groups!A:A,Groups!AP:AP))</f>
        <v>No</v>
      </c>
      <c r="BG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36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true</v>
      </c>
      <c r="BK171" s="2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L171" s="2">
        <f t="shared" ref="BL171" si="41">IF(BI171&lt;&gt;"None",1,0)</f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ref="BN171" si="4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Comfort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30</v>
      </c>
      <c r="BS171" s="8">
        <f t="shared" ref="BS171" si="43">MROUND(AO171 * 0.2 + AQ171 * 0.8,0.05)</f>
        <v>0.25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true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AnimalUncommon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>AridShrubland Grasslands LavaField</v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stats'!N:N)=1,"No",MAX(0.01,MIN(MROUND(IF(OR(_xlfn.XLOOKUP(B171,'Base stats'!B:B,'Base stats'!AM:AM)=1,AND(BJ171="True",CC171="False")),POWER(10,3.47*LOG10(_xlfn.XLOOKUP(B171,'Base stats'!B:B,'Base stats'!C:C)*1000)^-0.96),POWER(10,4.15*LOG10(_xlfn.XLOOKUP(B171,'Base stats'!B:B,'Base stats'!C:C)*1000)^-0.73))*IF(OR(_xlfn.XLOOKUP(B171,'Base stats'!B:B,'Base stats'!AM:AM)=1,_xlfn.XLOOKUP(B171,'Base stats'!B:B,'Base stats'!AK:AK)=1),0.5,1)/100,0.025),0.5)))</f>
        <v>7.5000000000000011E-2</v>
      </c>
      <c r="CA171" s="25" t="str">
        <f>IF(P171="Standard","No",MAX(0.01,IF(_xlfn.XLOOKUP(B171,'Base stats'!B:B,'Base stats'!N:N)=0,MROUND(BZ171*P171,0.05),MIN(1,MAX(0.025,MROUND(IF(OR(CC171="true",AND(BJ171="false",BO171="false")),POWER(10,4.15*LOG10(_xlfn.XLOOKUP(B171,'Base stats'!B:B,'Base stats'!C:C)*1000)^-0.73),POWER(10,3.47*LOG10(_xlfn.XLOOKUP(B171,'Base stats'!B:B,'Base stats'!C:C)*1000)^-0.96))*IF(_xlfn.XLOOKUP(B171,'Base stats'!B:B,'Base stats'!AK:AK)=1,0.5,1)/100,0.025))))))</f>
        <v>No</v>
      </c>
      <c r="CB171" s="25" t="str">
        <f>IF(_xlfn.XLOOKUP(_xlfn.XLOOKUP(B171,'Base stats'!B:B,'Base stats'!E:E),Groups!A:A,Groups!AJ:AJ)="Mammal","True","False")</f>
        <v>True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44">IF(J171&gt;0.95,"True","False")</f>
        <v>False</v>
      </c>
      <c r="CE171" s="25" t="str">
        <f>IF(_xlfn.XLOOKUP(_xlfn.XLOOKUP(B171,'Base stats'!B:B,'Base stats'!E:E),Groups!A:A,Groups!AX:AX),"True","False")</f>
        <v>False</v>
      </c>
      <c r="CF171" s="25" t="str">
        <f>IF(_xlfn.XLOOKUP(_xlfn.XLOOKUP(B171,'Base stats'!B:B,'Base stats'!E:E),Groups!A:A,Groups!AY:AY),"True","False")</f>
        <v>False</v>
      </c>
      <c r="CG171" s="25" t="str">
        <f>IF(_xlfn.XLOOKUP(_xlfn.XLOOKUP(B171,'Base stats'!B:B,'Base stats'!E:E),Groups!A:A,Groups!AW:AW),"True","False")</f>
        <v>False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I171" s="25" t="str">
        <f>IF(_xlfn.XLOOKUP(_xlfn.XLOOKUP(B171,'Base stats'!B:B,'Base stats'!E:E),Groups!A:A,Groups!BB:BB),"True","False")</f>
        <v>True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">
        <v>1253</v>
      </c>
      <c r="B172" s="6" t="s">
        <v>1262</v>
      </c>
      <c r="C172" s="28" t="s">
        <v>1244</v>
      </c>
      <c r="D172" s="28" t="s">
        <v>1243</v>
      </c>
      <c r="E172" s="28" t="s">
        <v>685</v>
      </c>
      <c r="F172" s="28" t="s">
        <v>685</v>
      </c>
      <c r="G172" s="28" t="s">
        <v>685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1325</v>
      </c>
      <c r="I172" s="2">
        <f>MROUND(ROUNDDOWN(_xlfn.XLOOKUP(B172,'Base stats'!B:B,'Base stats'!L:L)/3.6/(23.3/11),1),0.5)</f>
        <v>6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-10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45</v>
      </c>
      <c r="N172" s="8" t="str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*0.025
),
0.05
),
200%
),
"No"
)</f>
        <v>No</v>
      </c>
      <c r="O172" s="8" t="str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*0.025
),
0.05
),
200%
),
"No"
)</f>
        <v>No</v>
      </c>
      <c r="P172" s="2" t="str">
        <f>_xlfn.XLOOKUP(B172,'Base stats'!B:B,'Base stats'!R:R)</f>
        <v>Standard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ref="AN172:AN180" si="45">IF(BJ172="false","No",MROUND(AO172*5+15*1,5))</f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stats'!E:E),Groups!A:A,Groups!AI:AI)*_xlfn.XLOOKUP(B172,'Base stats'!B:B,'Base stats'!Z:Z),0.05)</f>
        <v>4.2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T172" s="8">
        <f>IF(OR(A172="Queen",A172="Larva",A172="Megachicken",A172="Megatardi",A172="Toxscorpion"),"No",IFERROR(MAX(IF(_xlfn.XLOOKUP(B172,'Base stats'!B:B,'Base stats'!G:G)&lt;0.5,0.2,0.3),MROUND(_xlfn.XLOOKUP(B172,'Base stats'!B:B,'Base stats'!G:G)/(365/60),0.2)),"Unknown"))</f>
        <v>0.8</v>
      </c>
      <c r="AU172" s="8">
        <f t="shared" si="14"/>
        <v>0.4</v>
      </c>
      <c r="AV172" s="8">
        <f>IFERROR(IFERROR(MROUND(_xlfn.XLOOKUP(B172,'Base stats'!B:B,'Base stats'!J:J),0.1),"Lay eggs"),"Cannot breed")</f>
        <v>1</v>
      </c>
      <c r="AW172" s="2" t="str">
        <f t="shared" ref="AW172:AW180" si="46">IF(BT172="No","false","true")</f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IF(AND(_xlfn.XLOOKUP(B172,'Base stats'!B:B,'Base stats'!AH:AH)="&lt;li&gt;Seal&lt;/li&gt;",G172="Odyssey"),"&lt;li&gt;AEXP_Seal&lt;/li&gt;",_xlfn.XLOOKUP(B172,'Base stats'!B:B,'Base stats'!AH:AH))</f>
        <v>&lt;li&gt;Rhinoceros&lt;/li&gt;</v>
      </c>
      <c r="BB172" s="2" t="str">
        <f>_xlfn.XLOOKUP(B172,'Base stats'!B:B,'Base stats'!AG:AG)</f>
        <v>Leather_Rhinoceros</v>
      </c>
      <c r="BC172" s="23" t="str">
        <f>_xlfn.XLOOKUP(_xlfn.XLOOKUP(B172,'Base stats'!B:B,'Base stats'!E:E),Groups!A:A,Groups!AL:AL)</f>
        <v>QuadrupedAnimalWithHoovesAndHorn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0.05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0.3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None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ref="BL172:BL180" si="47">IF(BI172&lt;&gt;"None",1,0)</f>
        <v>0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ref="BN172:BN180" si="48">IF(OR(BM172&lt;&gt;"No",BQ172=1),"true","false")</f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No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370</v>
      </c>
      <c r="BS172" s="8">
        <f t="shared" ref="BS172:BS180" si="49">MROUND(AO172 * 0.2 + AQ172 * 0.8,0.05)</f>
        <v>2.1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true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AnimalUncommon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>AridShrubland Grasslands</v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stats'!N:N)=1,"No",MAX(0.01,MIN(MROUND(IF(OR(_xlfn.XLOOKUP(B172,'Base stats'!B:B,'Base stats'!AM:AM)=1,AND(BJ172="True",CC172="False")),POWER(10,3.47*LOG10(_xlfn.XLOOKUP(B172,'Base stats'!B:B,'Base stats'!C:C)*1000)^-0.96),POWER(10,4.15*LOG10(_xlfn.XLOOKUP(B172,'Base stats'!B:B,'Base stats'!C:C)*1000)^-0.73))*IF(OR(_xlfn.XLOOKUP(B172,'Base stats'!B:B,'Base stats'!AM:AM)=1,_xlfn.XLOOKUP(B172,'Base stats'!B:B,'Base stats'!AK:AK)=1),0.5,1)/100,0.025),0.5)))</f>
        <v>2.5000000000000001E-2</v>
      </c>
      <c r="CA172" s="25" t="str">
        <f>IF(P172="Standard","No",MAX(0.01,IF(_xlfn.XLOOKUP(B172,'Base stats'!B:B,'Base stats'!N:N)=0,MROUND(BZ172*P172,0.05),MIN(1,MAX(0.025,MROUND(IF(OR(CC172="true",AND(BJ172="false",BO172="false")),POWER(10,4.15*LOG10(_xlfn.XLOOKUP(B172,'Base stats'!B:B,'Base stats'!C:C)*1000)^-0.73),POWER(10,3.47*LOG10(_xlfn.XLOOKUP(B172,'Base stats'!B:B,'Base stats'!C:C)*1000)^-0.96))*IF(_xlfn.XLOOKUP(B172,'Base stats'!B:B,'Base stats'!AK:AK)=1,0.5,1)/100,0.025))))))</f>
        <v>No</v>
      </c>
      <c r="CB172" s="25" t="str">
        <f>IF(_xlfn.XLOOKUP(_xlfn.XLOOKUP(B172,'Base stats'!B:B,'Base stats'!E:E),Groups!A:A,Groups!AJ:AJ)="Mammal","True","False")</f>
        <v>True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ref="CD172:CD180" si="50">IF(J172&gt;0.95,"True","False")</f>
        <v>False</v>
      </c>
      <c r="CE172" s="25" t="str">
        <f>IF(_xlfn.XLOOKUP(_xlfn.XLOOKUP(B172,'Base stats'!B:B,'Base stats'!E:E),Groups!A:A,Groups!AX:AX),"True","False")</f>
        <v>False</v>
      </c>
      <c r="CF172" s="25" t="str">
        <f>IF(_xlfn.XLOOKUP(_xlfn.XLOOKUP(B172,'Base stats'!B:B,'Base stats'!E:E),Groups!A:A,Groups!AY:AY),"True","False")</f>
        <v>False</v>
      </c>
      <c r="CG172" s="25" t="str">
        <f>IF(_xlfn.XLOOKUP(_xlfn.XLOOKUP(B172,'Base stats'!B:B,'Base stats'!E:E),Groups!A:A,Groups!AW:AW),"True","False")</f>
        <v>False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I172" s="25" t="str">
        <f>IF(_xlfn.XLOOKUP(_xlfn.XLOOKUP(B172,'Base stats'!B:B,'Base stats'!E:E),Groups!A:A,Groups!BB:BB),"True","False")</f>
        <v>True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">
        <v>1254</v>
      </c>
      <c r="B173" s="6" t="s">
        <v>1263</v>
      </c>
      <c r="C173" s="28" t="s">
        <v>1245</v>
      </c>
      <c r="D173" s="28" t="s">
        <v>1243</v>
      </c>
      <c r="E173" s="28" t="s">
        <v>685</v>
      </c>
      <c r="F173" s="28" t="s">
        <v>685</v>
      </c>
      <c r="G173" s="28" t="s">
        <v>685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40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*0.025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*0.025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45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stats'!E:E),Groups!A:A,Groups!AI:AI)*_xlfn.XLOOKUP(B173,'Base stats'!B:B,'Base stats'!Z:Z),0.05)</f>
        <v>0.8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T173" s="8">
        <f>IF(OR(A173="Queen",A173="Larva",A173="Megachicken",A173="Megatardi",A173="Toxscorpion"),"No",IFERROR(MAX(IF(_xlfn.XLOOKUP(B173,'Base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14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46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&lt;li&gt;Monkey&lt;/li&gt;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Ape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2.5000000000000001E-2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0.1</v>
      </c>
      <c r="BF173" s="2" t="str">
        <f>IF(J173&gt;0.3,"No",_xlfn.XLOOKUP(_xlfn.XLOOKUP(Animals!B173,'Base stats'!B:B,'Base stats'!E:E),Groups!A:A,Groups!AP:AP))</f>
        <v>No</v>
      </c>
      <c r="BG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No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false</v>
      </c>
      <c r="BK173" s="2" t="str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L173" s="2">
        <f t="shared" si="4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4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Forage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75</v>
      </c>
      <c r="BS173" s="8">
        <f t="shared" si="49"/>
        <v>0.55000000000000004</v>
      </c>
      <c r="BT173" s="8" t="str">
        <f>_xlfn.XLOOKUP(B173,'Base stats'!B:B,'Base stats'!AF:AF)</f>
        <v>3~10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false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AnimalUncommon, AnimalFighter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TropicalRainforest TropicalSwamp Glowforest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stats'!N:N)=1,"No",MAX(0.01,MIN(MROUND(IF(OR(_xlfn.XLOOKUP(B173,'Base stats'!B:B,'Base stats'!AM:AM)=1,AND(BJ173="True",CC173="False")),POWER(10,3.47*LOG10(_xlfn.XLOOKUP(B173,'Base stats'!B:B,'Base stats'!C:C)*1000)^-0.96),POWER(10,4.15*LOG10(_xlfn.XLOOKUP(B173,'Base stats'!B:B,'Base stats'!C:C)*1000)^-0.73))*IF(OR(_xlfn.XLOOKUP(B173,'Base stats'!B:B,'Base stats'!AM:AM)=1,_xlfn.XLOOKUP(B173,'Base stats'!B:B,'Base stats'!AK:AK)=1),0.5,1)/100,0.025),0.5)))</f>
        <v>2.5000000000000001E-2</v>
      </c>
      <c r="CA173" s="25" t="str">
        <f>IF(P173="Standard","No",MAX(0.01,IF(_xlfn.XLOOKUP(B173,'Base stats'!B:B,'Base stats'!N:N)=0,MROUND(BZ173*P173,0.05),MIN(1,MAX(0.025,MROUND(IF(OR(CC173="true",AND(BJ173="false",BO173="false")),POWER(10,4.15*LOG10(_xlfn.XLOOKUP(B173,'Base stats'!B:B,'Base stats'!C:C)*1000)^-0.73),POWER(10,3.47*LOG10(_xlfn.XLOOKUP(B173,'Base stats'!B:B,'Base stats'!C:C)*1000)^-0.96))*IF(_xlfn.XLOOKUP(B173,'Base stats'!B:B,'Base stats'!AK:AK)=1,0.5,1)/100,0.025))))))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5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1255</v>
      </c>
      <c r="B174" s="6" t="s">
        <v>1264</v>
      </c>
      <c r="C174" s="28" t="s">
        <v>1246</v>
      </c>
      <c r="D174" s="28" t="s">
        <v>1243</v>
      </c>
      <c r="E174" s="28" t="s">
        <v>687</v>
      </c>
      <c r="F174" s="28" t="s">
        <v>688</v>
      </c>
      <c r="G174" s="28" t="s">
        <v>685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-35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35</v>
      </c>
      <c r="N174" s="8" t="str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*0.025
),
0.05
),
200%
),
"No"
)</f>
        <v>No</v>
      </c>
      <c r="O174" s="8" t="str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*0.025
),
0.05
),
200%
),
"No"
)</f>
        <v>No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45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stats'!E:E),Groups!A:A,Groups!AI:AI)*_xlfn.XLOOKUP(B174,'Base stats'!B:B,'Base stats'!Z:Z),0.05)</f>
        <v>1.6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T174" s="8">
        <f>IF(OR(A174="Queen",A174="Larva",A174="Megachicken",A174="Megatardi",A174="Toxscorpion"),"No",IFERROR(MAX(IF(_xlfn.XLOOKUP(B174,'Base stats'!B:B,'Base stats'!G:G)&lt;0.5,0.2,0.3),MROUND(_xlfn.XLOOKUP(B174,'Base stats'!B:B,'Base stats'!G:G)/(365/60),0.2)),"Unknown"))</f>
        <v>0.8</v>
      </c>
      <c r="AU174" s="8">
        <f t="shared" si="14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46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&lt;li&gt;Cassowary&lt;/li&gt;</v>
      </c>
      <c r="BB174" s="2" t="str">
        <f>_xlfn.XLOOKUP(B174,'Base stats'!B:B,'Base stats'!AG:AG)</f>
        <v>Leather_Bird</v>
      </c>
      <c r="BC174" s="23" t="str">
        <f>_xlfn.XLOOKUP(_xlfn.XLOOKUP(B174,'Base stats'!B:B,'Base stats'!E:E),Groups!A:A,Groups!AL:AL)</f>
        <v>Bird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4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4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110</v>
      </c>
      <c r="BS174" s="8">
        <f t="shared" si="49"/>
        <v>1.05</v>
      </c>
      <c r="BT174" s="8" t="str">
        <f>_xlfn.XLOOKUP(B174,'Base stats'!B:B,'Base stats'!AF:AF)</f>
        <v>2~6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false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TemperateForest TemperateSwamp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stats'!N:N)=1,"No",MAX(0.01,MIN(MROUND(IF(OR(_xlfn.XLOOKUP(B174,'Base stats'!B:B,'Base stats'!AM:AM)=1,AND(BJ174="True",CC174="False")),POWER(10,3.47*LOG10(_xlfn.XLOOKUP(B174,'Base stats'!B:B,'Base stats'!C:C)*1000)^-0.96),POWER(10,4.15*LOG10(_xlfn.XLOOKUP(B174,'Base stats'!B:B,'Base stats'!C:C)*1000)^-0.73))*IF(OR(_xlfn.XLOOKUP(B174,'Base stats'!B:B,'Base stats'!AM:AM)=1,_xlfn.XLOOKUP(B174,'Base stats'!B:B,'Base stats'!AK:AK)=1),0.5,1)/100,0.025),0.5)))</f>
        <v>2.5000000000000001E-2</v>
      </c>
      <c r="CA174" s="25" t="str">
        <f>IF(P174="Standard","No",MAX(0.01,IF(_xlfn.XLOOKUP(B174,'Base stats'!B:B,'Base stats'!N:N)=0,MROUND(BZ174*P174,0.05),MIN(1,MAX(0.025,MROUND(IF(OR(CC174="true",AND(BJ174="false",BO174="false")),POWER(10,4.15*LOG10(_xlfn.XLOOKUP(B174,'Base stats'!B:B,'Base stats'!C:C)*1000)^-0.73),POWER(10,3.47*LOG10(_xlfn.XLOOKUP(B174,'Base stats'!B:B,'Base stats'!C:C)*1000)^-0.96))*IF(_xlfn.XLOOKUP(B174,'Base stats'!B:B,'Base stats'!AK:AK)=1,0.5,1)/100,0.025))))))</f>
        <v>No</v>
      </c>
      <c r="CB174" s="25" t="str">
        <f>IF(_xlfn.XLOOKUP(_xlfn.XLOOKUP(B174,'Base stats'!B:B,'Base stats'!E:E),Groups!A:A,Groups!AJ:AJ)="Mammal","True","False")</f>
        <v>False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5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1256</v>
      </c>
      <c r="B175" s="6" t="s">
        <v>1265</v>
      </c>
      <c r="C175" s="28" t="s">
        <v>1247</v>
      </c>
      <c r="D175" s="28" t="s">
        <v>1243</v>
      </c>
      <c r="E175" s="28" t="s">
        <v>685</v>
      </c>
      <c r="F175" s="28" t="s">
        <v>685</v>
      </c>
      <c r="G175" s="28" t="s">
        <v>685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-30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50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*0.025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*0.025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45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stats'!E:E),Groups!A:A,Groups!AI:AI)*_xlfn.XLOOKUP(B175,'Base stats'!B:B,'Base stats'!Z:Z),0.05)</f>
        <v>2.25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T175" s="8">
        <f>IF(OR(A175="Queen",A175="Larva",A175="Megachicken",A175="Megatardi",A175="Toxscorpion"),"No",IFERROR(MAX(IF(_xlfn.XLOOKUP(B175,'Base stats'!B:B,'Base stats'!G:G)&lt;0.5,0.2,0.3),MROUND(_xlfn.XLOOKUP(B175,'Base stats'!B:B,'Base stats'!G:G)/(365/60),0.2)),"Unknown"))</f>
        <v>0.4</v>
      </c>
      <c r="AU175" s="8">
        <f t="shared" si="14"/>
        <v>0.2</v>
      </c>
      <c r="AV175" s="8">
        <f>IFERROR(IFERROR(MROUND(_xlfn.XLOOKUP(B175,'Base stats'!B:B,'Base stats'!J:J),0.1),"Lay eggs"),"Cannot breed")</f>
        <v>0</v>
      </c>
      <c r="AW175" s="2" t="str">
        <f t="shared" si="46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&lt;li&gt;Horse&lt;/li&gt;</v>
      </c>
      <c r="BB175" s="2" t="str">
        <f>_xlfn.XLOOKUP(B175,'Base stats'!B:B,'Base stats'!AG:AG)</f>
        <v>Leather_Plain</v>
      </c>
      <c r="BC175" s="23" t="str">
        <f>_xlfn.XLOOKUP(_xlfn.XLOOKUP(B175,'Base stats'!B:B,'Base stats'!E:E),Groups!A:A,Groups!AL:AL)</f>
        <v>QuadrupedAnimalWithHooves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0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None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47"/>
        <v>0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4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No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155</v>
      </c>
      <c r="BS175" s="8">
        <f t="shared" si="49"/>
        <v>1.2000000000000002</v>
      </c>
      <c r="BT175" s="8" t="str">
        <f>_xlfn.XLOOKUP(B175,'Base stats'!B:B,'Base stats'!AF:AF)</f>
        <v>5~15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AridShrubland Grasslands LavaField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stats'!N:N)=1,"No",MAX(0.01,MIN(MROUND(IF(OR(_xlfn.XLOOKUP(B175,'Base stats'!B:B,'Base stats'!AM:AM)=1,AND(BJ175="True",CC175="False")),POWER(10,3.47*LOG10(_xlfn.XLOOKUP(B175,'Base stats'!B:B,'Base stats'!C:C)*1000)^-0.96),POWER(10,4.15*LOG10(_xlfn.XLOOKUP(B175,'Base stats'!B:B,'Base stats'!C:C)*1000)^-0.73))*IF(OR(_xlfn.XLOOKUP(B175,'Base stats'!B:B,'Base stats'!AM:AM)=1,_xlfn.XLOOKUP(B175,'Base stats'!B:B,'Base stats'!AK:AK)=1),0.5,1)/100,0.025),0.5)))</f>
        <v>2.5000000000000001E-2</v>
      </c>
      <c r="CA175" s="25" t="str">
        <f>IF(P175="Standard","No",MAX(0.01,IF(_xlfn.XLOOKUP(B175,'Base stats'!B:B,'Base stats'!N:N)=0,MROUND(BZ175*P175,0.05),MIN(1,MAX(0.025,MROUND(IF(OR(CC175="true",AND(BJ175="false",BO175="false")),POWER(10,4.15*LOG10(_xlfn.XLOOKUP(B175,'Base stats'!B:B,'Base stats'!C:C)*1000)^-0.73),POWER(10,3.47*LOG10(_xlfn.XLOOKUP(B175,'Base stats'!B:B,'Base stats'!C:C)*1000)^-0.96))*IF(_xlfn.XLOOKUP(B175,'Base stats'!B:B,'Base stats'!AK:AK)=1,0.5,1)/100,0.025))))))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5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1257</v>
      </c>
      <c r="B176" s="6" t="s">
        <v>1266</v>
      </c>
      <c r="C176" s="28" t="s">
        <v>1248</v>
      </c>
      <c r="D176" s="28" t="s">
        <v>1243</v>
      </c>
      <c r="E176" s="28" t="s">
        <v>685</v>
      </c>
      <c r="F176" s="28" t="s">
        <v>688</v>
      </c>
      <c r="G176" s="28" t="s">
        <v>685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-55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10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*0.025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*0.025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45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stats'!E:E),Groups!A:A,Groups!AI:AI)*_xlfn.XLOOKUP(B176,'Base stats'!B:B,'Base stats'!Z:Z),0.05)</f>
        <v>0.30000000000000004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T176" s="8">
        <f>IF(OR(A176="Queen",A176="Larva",A176="Megachicken",A176="Megatardi",A176="Toxscorpion"),"No",IFERROR(MAX(IF(_xlfn.XLOOKUP(B176,'Base stats'!B:B,'Base stats'!G:G)&lt;0.5,0.2,0.3),MROUND(_xlfn.XLOOKUP(B176,'Base stats'!B:B,'Base stats'!G:G)/(365/60),0.2)),"Unknown"))</f>
        <v>0.8</v>
      </c>
      <c r="AU176" s="8">
        <f t="shared" si="14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4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No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8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47"/>
        <v>0</v>
      </c>
      <c r="BM176" s="25">
        <f>IF(_xlfn.XLOOKUP(B176,'Base stats'!B:B,'Base stats'!AN:AN)="Standard","No",MROUND((_xlfn.XLOOKUP(B176,'Base stats'!B:B,'Base stats'!AN:AN)/3.6)/I176,0.1))</f>
        <v>2</v>
      </c>
      <c r="BN176" s="25" t="str">
        <f t="shared" si="48"/>
        <v>true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1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30</v>
      </c>
      <c r="BS176" s="8">
        <f t="shared" si="49"/>
        <v>0.35000000000000003</v>
      </c>
      <c r="BT176" s="8" t="str">
        <f>_xlfn.XLOOKUP(B176,'Base stats'!B:B,'Base stats'!AF:AF)</f>
        <v>5~15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true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SeaIce IceSheet Tundra</v>
      </c>
      <c r="BY176" s="25" t="str">
        <f>IF(_xlfn.XLOOKUP(B176,'Base stats'!B:B,'Base stats'!AJ:AJ)=1,"true","false")</f>
        <v>true</v>
      </c>
      <c r="BZ176" s="25">
        <f>IF(_xlfn.XLOOKUP(B176,'Base stats'!B:B,'Base stats'!N:N)=1,"No",MAX(0.01,MIN(MROUND(IF(OR(_xlfn.XLOOKUP(B176,'Base stats'!B:B,'Base stats'!AM:AM)=1,AND(BJ176="True",CC176="False")),POWER(10,3.47*LOG10(_xlfn.XLOOKUP(B176,'Base stats'!B:B,'Base stats'!C:C)*1000)^-0.96),POWER(10,4.15*LOG10(_xlfn.XLOOKUP(B176,'Base stats'!B:B,'Base stats'!C:C)*1000)^-0.73))*IF(OR(_xlfn.XLOOKUP(B176,'Base stats'!B:B,'Base stats'!AM:AM)=1,_xlfn.XLOOKUP(B176,'Base stats'!B:B,'Base stats'!AK:AK)=1),0.5,1)/100,0.025),0.5)))</f>
        <v>0.05</v>
      </c>
      <c r="CA176" s="25" t="str">
        <f>IF(P176="Standard","No",MAX(0.01,IF(_xlfn.XLOOKUP(B176,'Base stats'!B:B,'Base stats'!N:N)=0,MROUND(BZ176*P176,0.05),MIN(1,MAX(0.025,MROUND(IF(OR(CC176="true",AND(BJ176="false",BO176="false")),POWER(10,4.15*LOG10(_xlfn.XLOOKUP(B176,'Base stats'!B:B,'Base stats'!C:C)*1000)^-0.73),POWER(10,3.47*LOG10(_xlfn.XLOOKUP(B176,'Base stats'!B:B,'Base stats'!C:C)*1000)^-0.96))*IF(_xlfn.XLOOKUP(B176,'Base stats'!B:B,'Base stats'!AK:AK)=1,0.5,1)/100,0.025))))))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5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1258</v>
      </c>
      <c r="B177" s="6" t="s">
        <v>1267</v>
      </c>
      <c r="C177" s="28" t="s">
        <v>1249</v>
      </c>
      <c r="D177" s="28" t="s">
        <v>1243</v>
      </c>
      <c r="E177" s="28" t="s">
        <v>685</v>
      </c>
      <c r="F177" s="28" t="s">
        <v>685</v>
      </c>
      <c r="G177" s="28" t="s">
        <v>685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-25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35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*0.025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*0.025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FrontRightPaw,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45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stats'!E:E),Groups!A:A,Groups!AI:AI)*_xlfn.XLOOKUP(B177,'Base stats'!B:B,'Base stats'!Z:Z),0.05)</f>
        <v>0.4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T177" s="8">
        <f>IF(OR(A177="Queen",A177="Larva",A177="Megachicken",A177="Megatardi",A177="Toxscorpion"),"No",IFERROR(MAX(IF(_xlfn.XLOOKUP(B177,'Base stats'!B:B,'Base stats'!G:G)&lt;0.5,0.2,0.3),MROUND(_xlfn.XLOOKUP(B177,'Base stats'!B:B,'Base stats'!G:G)/(365/60),0.2)),"Unknown"))</f>
        <v>0.4</v>
      </c>
      <c r="AU177" s="8">
        <f t="shared" si="14"/>
        <v>0.2</v>
      </c>
      <c r="AV177" s="8">
        <f>IFERROR(IFERROR(MROUND(_xlfn.XLOOKUP(B177,'Base stats'!B:B,'Base stats'!J:J),0.1),"Lay eggs"),"Cannot breed")</f>
        <v>3</v>
      </c>
      <c r="AW177" s="2" t="str">
        <f t="shared" si="46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IF(AND(_xlfn.XLOOKUP(B177,'Base stats'!B:B,'Base stats'!AH:AH)="&lt;li&gt;Seal&lt;/li&gt;",G177="Odyssey"),"&lt;li&gt;AEXP_Seal&lt;/li&gt;",_xlfn.XLOOKUP(B177,'Base stats'!B:B,'Base stats'!AH:AH))</f>
        <v>No</v>
      </c>
      <c r="BB177" s="2" t="str">
        <f>_xlfn.XLOOKUP(B177,'Base stats'!B:B,'Base stats'!AG:AG)</f>
        <v>Leather_Light</v>
      </c>
      <c r="BC177" s="23" t="str">
        <f>_xlfn.XLOOKUP(_xlfn.XLOOKUP(B177,'Base stats'!B:B,'Base stats'!E:E),Groups!A:A,Groups!AL:AL)</f>
        <v>QuadrupedAnimalWithPawsAndTail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0.1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0.3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true</v>
      </c>
      <c r="BK177" s="2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L177" s="2">
        <f t="shared" si="47"/>
        <v>1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4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45</v>
      </c>
      <c r="BS177" s="8">
        <f t="shared" si="49"/>
        <v>0.30000000000000004</v>
      </c>
      <c r="BT177" s="8" t="str">
        <f>_xlfn.XLOOKUP(B177,'Base stats'!B:B,'Base stats'!AF:AF)</f>
        <v>No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true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TemperateForest TemperateSwamp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stats'!N:N)=1,"No",MAX(0.01,MIN(MROUND(IF(OR(_xlfn.XLOOKUP(B177,'Base stats'!B:B,'Base stats'!AM:AM)=1,AND(BJ177="True",CC177="False")),POWER(10,3.47*LOG10(_xlfn.XLOOKUP(B177,'Base stats'!B:B,'Base stats'!C:C)*1000)^-0.96),POWER(10,4.15*LOG10(_xlfn.XLOOKUP(B177,'Base stats'!B:B,'Base stats'!C:C)*1000)^-0.73))*IF(OR(_xlfn.XLOOKUP(B177,'Base stats'!B:B,'Base stats'!AM:AM)=1,_xlfn.XLOOKUP(B177,'Base stats'!B:B,'Base stats'!AK:AK)=1),0.5,1)/100,0.025),0.5)))</f>
        <v>0.05</v>
      </c>
      <c r="CA177" s="25" t="str">
        <f>IF(P177="Standard","No",MAX(0.01,IF(_xlfn.XLOOKUP(B177,'Base stats'!B:B,'Base stats'!N:N)=0,MROUND(BZ177*P177,0.05),MIN(1,MAX(0.025,MROUND(IF(OR(CC177="true",AND(BJ177="false",BO177="false")),POWER(10,4.15*LOG10(_xlfn.XLOOKUP(B177,'Base stats'!B:B,'Base stats'!C:C)*1000)^-0.73),POWER(10,3.47*LOG10(_xlfn.XLOOKUP(B177,'Base stats'!B:B,'Base stats'!C:C)*1000)^-0.96))*IF(_xlfn.XLOOKUP(B177,'Base stats'!B:B,'Base stats'!AK:AK)=1,0.5,1)/100,0.025))))))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5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1259</v>
      </c>
      <c r="B178" s="6" t="s">
        <v>1268</v>
      </c>
      <c r="C178" s="28" t="s">
        <v>1250</v>
      </c>
      <c r="D178" s="28" t="s">
        <v>1243</v>
      </c>
      <c r="E178" s="28" t="s">
        <v>685</v>
      </c>
      <c r="F178" s="28" t="s">
        <v>685</v>
      </c>
      <c r="G178" s="28" t="s">
        <v>685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-30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50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*0.025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*0.025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45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stats'!E:E),Groups!A:A,Groups!AI:AI)*_xlfn.XLOOKUP(B178,'Base stats'!B:B,'Base stats'!Z:Z),0.05)</f>
        <v>0.65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T178" s="8">
        <f>IF(OR(A178="Queen",A178="Larva",A178="Megachicken",A178="Megatardi",A178="Toxscorpion"),"No",IFERROR(MAX(IF(_xlfn.XLOOKUP(B178,'Base stats'!B:B,'Base stats'!G:G)&lt;0.5,0.2,0.3),MROUND(_xlfn.XLOOKUP(B178,'Base stats'!B:B,'Base stats'!G:G)/(365/60),0.2)),"Unknown"))</f>
        <v>0.4</v>
      </c>
      <c r="AU178" s="8">
        <f t="shared" si="14"/>
        <v>0.2</v>
      </c>
      <c r="AV178" s="8">
        <f>IFERROR(IFERROR(MROUND(_xlfn.XLOOKUP(B178,'Base stats'!B:B,'Base stats'!J:J),0.1),"Lay eggs"),"Cannot breed")</f>
        <v>1</v>
      </c>
      <c r="AW178" s="2" t="str">
        <f t="shared" si="46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IF(AND(_xlfn.XLOOKUP(B178,'Base stats'!B:B,'Base stats'!AH:AH)="&lt;li&gt;Seal&lt;/li&gt;",G178="Odyssey"),"&lt;li&gt;AEXP_Seal&lt;/li&gt;",_xlfn.XLOOKUP(B178,'Base stats'!B:B,'Base stats'!AH:AH))</f>
        <v>No</v>
      </c>
      <c r="BB178" s="2" t="str">
        <f>_xlfn.XLOOKUP(B178,'Base stats'!B:B,'Base stats'!AG:AG)</f>
        <v>Leather_Dog</v>
      </c>
      <c r="BC178" s="23" t="str">
        <f>_xlfn.XLOOKUP(_xlfn.XLOOKUP(B178,'Base stats'!B:B,'Base stats'!E:E),Groups!A:A,Groups!AL:AL)</f>
        <v>QuadrupedAnimalWithPawsAndTail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0.1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0.3</v>
      </c>
      <c r="BF178" s="2" t="str">
        <f>IF(J178&gt;0.3,"No",_xlfn.XLOOKUP(_xlfn.XLOOKUP(Animals!B178,'Base stats'!B:B,'Base stats'!E:E),Groups!A:A,Groups!AP:AP))</f>
        <v>No</v>
      </c>
      <c r="BG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48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true</v>
      </c>
      <c r="BK178" s="2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L178" s="2">
        <f t="shared" si="47"/>
        <v>1</v>
      </c>
      <c r="BM178" s="25" t="str">
        <f>IF(_xlfn.XLOOKUP(B178,'Base stats'!B:B,'Base stats'!AN:AN)="Standard","No",MROUND((_xlfn.XLOOKUP(B178,'Base stats'!B:B,'Base stats'!AN:AN)/3.6)/I178,0.1))</f>
        <v>No</v>
      </c>
      <c r="BN178" s="25" t="str">
        <f t="shared" si="48"/>
        <v>false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AttackTarget</v>
      </c>
      <c r="BQ178" s="25" t="str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No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70</v>
      </c>
      <c r="BS178" s="8">
        <f t="shared" si="49"/>
        <v>0.45</v>
      </c>
      <c r="BT178" s="8" t="str">
        <f>_xlfn.XLOOKUP(B178,'Base stats'!B:B,'Base stats'!AF:AF)</f>
        <v>No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AnimalUncommon, AnimalFighter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TemperateForest TemperateSwamp AridShrubland Grasslands LavaField</v>
      </c>
      <c r="BY178" s="25" t="str">
        <f>IF(_xlfn.XLOOKUP(B178,'Base stats'!B:B,'Base stats'!AJ:AJ)=1,"true","false")</f>
        <v>false</v>
      </c>
      <c r="BZ178" s="25">
        <f>IF(_xlfn.XLOOKUP(B178,'Base stats'!B:B,'Base stats'!N:N)=1,"No",MAX(0.01,MIN(MROUND(IF(OR(_xlfn.XLOOKUP(B178,'Base stats'!B:B,'Base stats'!AM:AM)=1,AND(BJ178="True",CC178="False")),POWER(10,3.47*LOG10(_xlfn.XLOOKUP(B178,'Base stats'!B:B,'Base stats'!C:C)*1000)^-0.96),POWER(10,4.15*LOG10(_xlfn.XLOOKUP(B178,'Base stats'!B:B,'Base stats'!C:C)*1000)^-0.73))*IF(OR(_xlfn.XLOOKUP(B178,'Base stats'!B:B,'Base stats'!AM:AM)=1,_xlfn.XLOOKUP(B178,'Base stats'!B:B,'Base stats'!AK:AK)=1),0.5,1)/100,0.025),0.5)))</f>
        <v>2.5000000000000001E-2</v>
      </c>
      <c r="CA178" s="25" t="str">
        <f>IF(P178="Standard","No",MAX(0.01,IF(_xlfn.XLOOKUP(B178,'Base stats'!B:B,'Base stats'!N:N)=0,MROUND(BZ178*P178,0.05),MIN(1,MAX(0.025,MROUND(IF(OR(CC178="true",AND(BJ178="false",BO178="false")),POWER(10,4.15*LOG10(_xlfn.XLOOKUP(B178,'Base stats'!B:B,'Base stats'!C:C)*1000)^-0.73),POWER(10,3.47*LOG10(_xlfn.XLOOKUP(B178,'Base stats'!B:B,'Base stats'!C:C)*1000)^-0.96))*IF(_xlfn.XLOOKUP(B178,'Base stats'!B:B,'Base stats'!AK:AK)=1,0.5,1)/100,0.025))))))</f>
        <v>No</v>
      </c>
      <c r="CB178" s="25" t="str">
        <f>IF(_xlfn.XLOOKUP(_xlfn.XLOOKUP(B178,'Base stats'!B:B,'Base stats'!E:E),Groups!A:A,Groups!AJ:AJ)="Mammal","True","False")</f>
        <v>True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5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1260</v>
      </c>
      <c r="B179" s="6" t="s">
        <v>1269</v>
      </c>
      <c r="C179" s="28" t="s">
        <v>1251</v>
      </c>
      <c r="D179" s="28" t="s">
        <v>1243</v>
      </c>
      <c r="E179" s="28" t="s">
        <v>685</v>
      </c>
      <c r="F179" s="28" t="s">
        <v>685</v>
      </c>
      <c r="G179" s="28" t="s">
        <v>685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50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*0.025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*0.025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45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stats'!E:E),Groups!A:A,Groups!AI:AI)*_xlfn.XLOOKUP(B179,'Base stats'!B:B,'Base stats'!Z:Z),0.05)</f>
        <v>0.8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T179" s="8">
        <f>IF(OR(A179="Queen",A179="Larva",A179="Megachicken",A179="Megatardi",A179="Toxscorpion"),"No",IFERROR(MAX(IF(_xlfn.XLOOKUP(B179,'Base stats'!B:B,'Base stats'!G:G)&lt;0.5,0.2,0.3),MROUND(_xlfn.XLOOKUP(B179,'Base stats'!B:B,'Base stats'!G:G)/(365/60),0.2)),"Unknown"))</f>
        <v>0.3</v>
      </c>
      <c r="AU179" s="8">
        <f t="shared" si="14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46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&lt;li&gt;YorkshireTerrier&lt;/li&gt;</v>
      </c>
      <c r="BB179" s="2" t="str">
        <f>_xlfn.XLOOKUP(B179,'Base stats'!B:B,'Base stats'!AG:AG)</f>
        <v>Leather_Dog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48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L179" s="2">
        <f t="shared" si="4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4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AttackTarget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85</v>
      </c>
      <c r="BS179" s="8">
        <f t="shared" si="49"/>
        <v>0.5</v>
      </c>
      <c r="BT179" s="8" t="str">
        <f>_xlfn.XLOOKUP(B179,'Base stats'!B:B,'Base stats'!AF:AF)</f>
        <v>3~8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AnimalUncommon, AnimalFighter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AridShrubland Desert Grasslands LavaField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stats'!N:N)=1,"No",MAX(0.01,MIN(MROUND(IF(OR(_xlfn.XLOOKUP(B179,'Base stats'!B:B,'Base stats'!AM:AM)=1,AND(BJ179="True",CC179="False")),POWER(10,3.47*LOG10(_xlfn.XLOOKUP(B179,'Base stats'!B:B,'Base stats'!C:C)*1000)^-0.96),POWER(10,4.15*LOG10(_xlfn.XLOOKUP(B179,'Base stats'!B:B,'Base stats'!C:C)*1000)^-0.73))*IF(OR(_xlfn.XLOOKUP(B179,'Base stats'!B:B,'Base stats'!AM:AM)=1,_xlfn.XLOOKUP(B179,'Base stats'!B:B,'Base stats'!AK:AK)=1),0.5,1)/100,0.025),0.5)))</f>
        <v>2.5000000000000001E-2</v>
      </c>
      <c r="CA179" s="25" t="str">
        <f>IF(P179="Standard","No",MAX(0.01,IF(_xlfn.XLOOKUP(B179,'Base stats'!B:B,'Base stats'!N:N)=0,MROUND(BZ179*P179,0.05),MIN(1,MAX(0.025,MROUND(IF(OR(CC179="true",AND(BJ179="false",BO179="false")),POWER(10,4.15*LOG10(_xlfn.XLOOKUP(B179,'Base stats'!B:B,'Base stats'!C:C)*1000)^-0.73),POWER(10,3.47*LOG10(_xlfn.XLOOKUP(B179,'Base stats'!B:B,'Base stats'!C:C)*1000)^-0.96))*IF(_xlfn.XLOOKUP(B179,'Base stats'!B:B,'Base stats'!AK:AK)=1,0.5,1)/100,0.025))))))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5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1261</v>
      </c>
      <c r="B180" s="6" t="s">
        <v>1278</v>
      </c>
      <c r="C180" s="28" t="s">
        <v>1252</v>
      </c>
      <c r="D180" s="28" t="s">
        <v>1243</v>
      </c>
      <c r="E180" s="28" t="s">
        <v>685</v>
      </c>
      <c r="F180" s="28" t="s">
        <v>685</v>
      </c>
      <c r="G180" s="28" t="s">
        <v>685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5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*0.025
),
0.05
),
200%
),
"No"
)</f>
        <v>0.35000000000000003</v>
      </c>
      <c r="O180" s="8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*0.025
),
0.05
),
200%
),
"No"
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45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stats'!E:E),Groups!A:A,Groups!AI:AI)*_xlfn.XLOOKUP(B180,'Base stats'!B:B,'Base stats'!Z:Z),0.05)</f>
        <v>0.45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T180" s="8">
        <f>IF(OR(A180="Queen",A180="Larva",A180="Megachicken",A180="Megatardi",A180="Toxscorpion"),"No",IFERROR(MAX(IF(_xlfn.XLOOKUP(B180,'Base stats'!B:B,'Base stats'!G:G)&lt;0.5,0.2,0.3),MROUND(_xlfn.XLOOKUP(B180,'Base stats'!B:B,'Base stats'!G:G)/(365/60),0.2)),"Unknown"))</f>
        <v>0.4</v>
      </c>
      <c r="AU180" s="8">
        <f t="shared" si="14"/>
        <v>0.2</v>
      </c>
      <c r="AV180" s="8">
        <f>IFERROR(IFERROR(MROUND(_xlfn.XLOOKUP(B180,'Base stats'!B:B,'Base stats'!J:J),0.1),"Lay eggs"),"Cannot breed")</f>
        <v>1</v>
      </c>
      <c r="AW180" s="2" t="str">
        <f t="shared" si="4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Leather_Armadillo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</v>
      </c>
      <c r="BF180" s="2" t="str">
        <f>IF(J180&gt;0.3,"No",_xlfn.XLOOKUP(_xlfn.XLOOKUP(Animals!B180,'Base stats'!B:B,'Base stats'!E:E),Groups!A:A,Groups!AP:AP))</f>
        <v>No</v>
      </c>
      <c r="BG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No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None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false</v>
      </c>
      <c r="BK180" s="2" t="str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L180" s="2">
        <f t="shared" si="47"/>
        <v>0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4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No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65</v>
      </c>
      <c r="BS180" s="8">
        <f t="shared" si="49"/>
        <v>0.35000000000000003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stats'!N:N)=1,"No",MAX(0.01,MIN(MROUND(IF(OR(_xlfn.XLOOKUP(B180,'Base stats'!B:B,'Base stats'!AM:AM)=1,AND(BJ180="True",CC180="False")),POWER(10,3.47*LOG10(_xlfn.XLOOKUP(B180,'Base stats'!B:B,'Base stats'!C:C)*1000)^-0.96),POWER(10,4.15*LOG10(_xlfn.XLOOKUP(B180,'Base stats'!B:B,'Base stats'!C:C)*1000)^-0.73))*IF(OR(_xlfn.XLOOKUP(B180,'Base stats'!B:B,'Base stats'!AM:AM)=1,_xlfn.XLOOKUP(B180,'Base stats'!B:B,'Base stats'!AK:AK)=1),0.5,1)/100,0.025),0.5)))</f>
        <v>0.05</v>
      </c>
      <c r="CA180" s="25" t="str">
        <f>IF(P180="Standard","No",MAX(0.01,IF(_xlfn.XLOOKUP(B180,'Base stats'!B:B,'Base stats'!N:N)=0,MROUND(BZ180*P180,0.05),MIN(1,MAX(0.025,MROUND(IF(OR(CC180="true",AND(BJ180="false",BO180="false")),POWER(10,4.15*LOG10(_xlfn.XLOOKUP(B180,'Base stats'!B:B,'Base stats'!C:C)*1000)^-0.73),POWER(10,3.47*LOG10(_xlfn.XLOOKUP(B180,'Base stats'!B:B,'Base stats'!C:C)*1000)^-0.96))*IF(_xlfn.XLOOKUP(B180,'Base stats'!B:B,'Base stats'!AK:AK)=1,0.5,1)/100,0.025))))))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5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s="16" customFormat="1" ht="16.5" thickTop="1" thickBot="1" x14ac:dyDescent="0.3">
      <c r="A181" s="26" t="str">
        <f>_xlfn.XLOOKUP(B181,'Base stats'!B:B,'Base stats'!A:A)</f>
        <v>Panda</v>
      </c>
      <c r="B181" s="6" t="s">
        <v>197</v>
      </c>
      <c r="C181" s="28" t="s">
        <v>1288</v>
      </c>
      <c r="D181" s="28" t="s">
        <v>1243</v>
      </c>
      <c r="E181" s="28" t="s">
        <v>685</v>
      </c>
      <c r="F181" s="28" t="s">
        <v>685</v>
      </c>
      <c r="G181" s="28" t="s">
        <v>1282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600</v>
      </c>
      <c r="I181" s="2">
        <f>MROUND(ROUNDDOWN(_xlfn.XLOOKUP(B181,'Base stats'!B:B,'Base stats'!L:L)/3.6/(23.3/11),1),0.5)</f>
        <v>5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stats'!O:O)=2,0,1)),0.05),0.985)))</f>
        <v>0.70000000000000007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-35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35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*0.025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*0.025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9</v>
      </c>
      <c r="R181" s="7">
        <f>IF(Q181="No","No",MAX(1,MROUND(_xlfn.XLOOKUP(B181,'Base stats'!B:B,'Base stats'!C:C)^0.165,0.05)))</f>
        <v>2.2000000000000002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15.5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1.85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13.5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1.4500000000000002</v>
      </c>
      <c r="AK181" s="7" t="str">
        <f>IF(AI181="No","No",_xlfn.XLOOKUP(_xlfn.XLOOKUP(B181,'Base stats'!B:B,'Base stats'!E:E),Groups!A:A,Groups!AF:AF))</f>
        <v>FrontRightPaw,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 t="shared" ref="AN181:AN191" si="51">IF(BJ181="false","No",MROUND(AO181*5+15*1,5))</f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1.3</v>
      </c>
      <c r="AP181" s="8">
        <f>MROUND(AO181*_xlfn.XLOOKUP(_xlfn.XLOOKUP(B181,'Base stats'!B:B,'Base stats'!E:E),Groups!A:A,Groups!AI:AI)*_xlfn.XLOOKUP(B181,'Base stats'!B:B,'Base stats'!Z:Z),0.05)</f>
        <v>1.55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0.65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20</v>
      </c>
      <c r="AS181" s="35">
        <f>IFERROR(IF(_xlfn.XLOOKUP(B181,'Base stats'!B:B,'Base stats'!F:F)="Lay eggs","Lay eggs",MIN(20,MAX(5.5,ROUND(((_xlfn.XLOOKUP(B181,'Base stats'!B:B,'Base stats'!F:F)-25)*(14.5/615) + 5.5)*2,0)/2))),"Cannot breed")</f>
        <v>6</v>
      </c>
      <c r="AT181" s="8">
        <f>IF(OR(A181="Queen",A181="Larva",A181="Megachicken",A181="Megatardi",A181="Toxscorpion"),"No",IFERROR(MAX(IF(_xlfn.XLOOKUP(B181,'Base stats'!B:B,'Base stats'!G:G)&lt;0.5,0.2,0.3),MROUND(_xlfn.XLOOKUP(B181,'Base stats'!B:B,'Base stats'!G:G)/(365/60),0.2)),"Unknown"))</f>
        <v>1</v>
      </c>
      <c r="AU181" s="8">
        <f t="shared" si="14"/>
        <v>0.5</v>
      </c>
      <c r="AV181" s="8">
        <f>IFERROR(IFERROR(MROUND(_xlfn.XLOOKUP(B181,'Base stats'!B:B,'Base stats'!J:J),0.1),"Lay eggs"),"Cannot breed")</f>
        <v>1.5</v>
      </c>
      <c r="AW181" s="2" t="str">
        <f t="shared" ref="AW181:AW191" si="52">IF(BT181="No","false","true")</f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VegetarianRoughAnimal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&lt;li&gt;Bear_Grizzly&lt;/li&gt;</v>
      </c>
      <c r="BB181" s="2" t="str">
        <f>_xlfn.XLOOKUP(B181,'Base stats'!B:B,'Base stats'!AG:AG)</f>
        <v>Leather_Bear</v>
      </c>
      <c r="BC181" s="23" t="str">
        <f>_xlfn.XLOOKUP(_xlfn.XLOOKUP(B181,'Base stats'!B:B,'Base stats'!E:E),Groups!A:A,Groups!AL:AL)</f>
        <v>QuadrupedAnimalWithPaws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2.5000000000000001E-2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0.1</v>
      </c>
      <c r="BF181" s="2" t="str">
        <f>IF(J181&gt;0.3,"No",_xlfn.XLOOKUP(_xlfn.XLOOKUP(Animals!B181,'Base stats'!B:B,'Base stats'!E:E),Groups!A:A,Groups!AP:AP))</f>
        <v>No</v>
      </c>
      <c r="BG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No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false</v>
      </c>
      <c r="BK181" s="2" t="str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L181" s="2">
        <f t="shared" ref="BL181:BL191" si="53">IF(BI181&lt;&gt;"None",1,0)</f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e">
        <f t="shared" ref="BN181:BN191" si="54">IF(OR(BM181&lt;&gt;"No",BQ181=1),"true","false")</f>
        <v>#REF!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No</v>
      </c>
      <c r="BQ181" s="25" t="e">
        <f>IF(
   AND(
      'Base stats'!#REF!="Standard",_xlfn.XLOOKUP(_xlfn.XLOOKUP(B181,'Base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#REF!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140</v>
      </c>
      <c r="BS181" s="8">
        <f t="shared" ref="BS181:BS191" si="55">MROUND(AO181 * 0.2 + AQ181 * 0.8,0.05)</f>
        <v>0.8</v>
      </c>
      <c r="BT181" s="8" t="str">
        <f>_xlfn.XLOOKUP(B181,'Base stats'!B:B,'Base stats'!AF:AF)</f>
        <v>No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false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TemperateForest TemperateSwamp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stats'!N:N)=1,"No",MAX(0.01,MIN(MROUND(IF(OR(_xlfn.XLOOKUP(B181,'Base stats'!B:B,'Base stats'!AM:AM)=1,AND(BJ181="True",CC181="False")),POWER(10,3.47*LOG10(_xlfn.XLOOKUP(B181,'Base stats'!B:B,'Base stats'!C:C)*1000)^-0.96),POWER(10,4.15*LOG10(_xlfn.XLOOKUP(B181,'Base stats'!B:B,'Base stats'!C:C)*1000)^-0.73))*IF(OR(_xlfn.XLOOKUP(B181,'Base stats'!B:B,'Base stats'!AM:AM)=1,_xlfn.XLOOKUP(B181,'Base stats'!B:B,'Base stats'!AK:AK)=1),0.5,1)/100,0.025),0.5)))</f>
        <v>2.5000000000000001E-2</v>
      </c>
      <c r="CA181" s="25" t="str">
        <f>IF(P181="Standard","No",MAX(0.01,IF(_xlfn.XLOOKUP(B181,'Base stats'!B:B,'Base stats'!N:N)=0,MROUND(BZ181*P181,0.05),MIN(1,MAX(0.025,MROUND(IF(OR(CC181="true",AND(BJ181="false",BO181="false")),POWER(10,4.15*LOG10(_xlfn.XLOOKUP(B181,'Base stats'!B:B,'Base stats'!C:C)*1000)^-0.73),POWER(10,3.47*LOG10(_xlfn.XLOOKUP(B181,'Base stats'!B:B,'Base stats'!C:C)*1000)^-0.96))*IF(_xlfn.XLOOKUP(B181,'Base stats'!B:B,'Base stats'!AK:AK)=1,0.5,1)/100,0.025))))))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ref="CD181:CD191" si="56">IF(J181&gt;0.95,"True","False")</f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s="16" customFormat="1" ht="16.5" thickTop="1" thickBot="1" x14ac:dyDescent="0.3">
      <c r="A182" s="26" t="str">
        <f>_xlfn.XLOOKUP(B182,'Base stats'!B:B,'Base stats'!A:A)</f>
        <v>Quail</v>
      </c>
      <c r="B182" s="6" t="s">
        <v>224</v>
      </c>
      <c r="C182" s="28" t="s">
        <v>1290</v>
      </c>
      <c r="D182" s="28" t="s">
        <v>1162</v>
      </c>
      <c r="E182" s="28" t="s">
        <v>685</v>
      </c>
      <c r="F182" s="28" t="s">
        <v>685</v>
      </c>
      <c r="G182" s="28" t="s">
        <v>1282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100</v>
      </c>
      <c r="I182" s="2">
        <f>MROUND(ROUNDDOWN(_xlfn.XLOOKUP(B182,'Base stats'!B:B,'Base stats'!L:L)/3.6/(23.3/11),1),0.5)</f>
        <v>2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stats'!O:O)=2,0,1)),0.05),0.985)))</f>
        <v>0.5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-25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 t="str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*0.025
),
0.05
),
200%
),
"No"
)</f>
        <v>No</v>
      </c>
      <c r="O182" s="8" t="str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*0.025
),
0.05
),
200%
),
"No"
)</f>
        <v>No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1</v>
      </c>
      <c r="R182" s="7">
        <f>IF(Q182="No","No",MAX(1,MROUND(_xlfn.XLOOKUP(B182,'Base stats'!B:B,'Base stats'!C:C)^0.165,0.05)))</f>
        <v>1</v>
      </c>
      <c r="S182" s="13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1</v>
      </c>
      <c r="T182" s="7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1</v>
      </c>
      <c r="U182" s="7" t="str">
        <f>IF(S182="No","No",_xlfn.XLOOKUP(_xlfn.XLOOKUP(B182,'Base stats'!B:B,'Base stats'!E:E),Groups!A:A,Groups!R:R))</f>
        <v>Feet</v>
      </c>
      <c r="V182" s="7" t="str">
        <f>IF(S182="No","No",_xlfn.XLOOKUP(_xlfn.XLOOKUP(B182,'Base stats'!B:B,'Base stats'!E:E),Groups!A:A,Groups!S:S))</f>
        <v>rear left claw, rear  right claw</v>
      </c>
      <c r="W182" s="7" t="str">
        <f>IF(S182="No","No",_xlfn.XLOOKUP(_xlfn.XLOOKUP(B182,'Base stats'!B:B,'Base stats'!E:E),Groups!A:A,Groups!T:T))</f>
        <v>Scratch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1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</v>
      </c>
      <c r="AF182" s="7" t="str">
        <f>IF(AD182="No","No",_xlfn.XLOOKUP(_xlfn.XLOOKUP(B182,'Base stats'!B:B,'Base stats'!E:E),Groups!A:A,Groups!AA:AA))</f>
        <v>Beak</v>
      </c>
      <c r="AG182" s="7" t="str">
        <f>IF(AD182="No","No",_xlfn.XLOOKUP(_xlfn.XLOOKUP(B182,'Base stats'!B:B,'Base stats'!E:E),Groups!A:A,Groups!AB:AB))</f>
        <v>beak</v>
      </c>
      <c r="AH182" s="7" t="str">
        <f>IF(AD182="No","No",_xlfn.XLOOKUP(_xlfn.XLOOKUP(B182,'Base stats'!B:B,'Base stats'!E:E),Groups!A:A,Groups!AC:AC))</f>
        <v>Blunt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51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0.1</v>
      </c>
      <c r="AP182" s="8">
        <f>MROUND(AO182*_xlfn.XLOOKUP(_xlfn.XLOOKUP(B182,'Base stats'!B:B,'Base stats'!E:E),Groups!A:A,Groups!AI:AI)*_xlfn.XLOOKUP(B182,'Base stats'!B:B,'Base stats'!Z:Z),0.05)</f>
        <v>0.1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0.25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8</v>
      </c>
      <c r="AS182" s="35" t="str">
        <f>IFERROR(IF(_xlfn.XLOOKUP(B182,'Base stats'!B:B,'Base stats'!F:F)="Lay eggs","Lay eggs",MIN(20,MAX(5.5,ROUND(((_xlfn.XLOOKUP(B182,'Base stats'!B:B,'Base stats'!F:F)-25)*(14.5/615) + 5.5)*2,0)/2))),"Cannot breed")</f>
        <v>Lay eggs</v>
      </c>
      <c r="AT182" s="8">
        <f>IF(OR(A182="Queen",A182="Larva",A182="Megachicken",A182="Megatardi",A182="Toxscorpion"),"No",IFERROR(MAX(IF(_xlfn.XLOOKUP(B182,'Base stats'!B:B,'Base stats'!G:G)&lt;0.5,0.2,0.3),MROUND(_xlfn.XLOOKUP(B182,'Base stats'!B:B,'Base stats'!G:G)/(365/60),0.2)),"Unknown"))</f>
        <v>0.3</v>
      </c>
      <c r="AU182" s="8">
        <f t="shared" si="14"/>
        <v>0.15000000000000002</v>
      </c>
      <c r="AV182" s="8" t="str">
        <f>IFERROR(IFERROR(MROUND(_xlfn.XLOOKUP(B182,'Base stats'!B:B,'Base stats'!J:J),0.1),"Lay eggs"),"Cannot breed")</f>
        <v>Lay eggs</v>
      </c>
      <c r="AW182" s="2" t="str">
        <f t="shared" si="52"/>
        <v>true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VegetarianRoughAnimal</v>
      </c>
      <c r="AZ182" s="2">
        <f>IF(_xlfn.XLOOKUP(_xlfn.XLOOKUP(B182,'Base stats'!B:B,'Base stats'!E:E),Groups!A:A,Groups!D:D)=1,MROUND((1-J182)*5+1,2)*IF(J182&lt;=0.4,2,1),"No")</f>
        <v>4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No</v>
      </c>
      <c r="BC182" s="23" t="str">
        <f>_xlfn.XLOOKUP(_xlfn.XLOOKUP(B182,'Base stats'!B:B,'Base stats'!E:E),Groups!A:A,Groups!AL:AL)</f>
        <v>Bird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8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53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54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stats'!AN188="Standard",_xlfn.XLOOKUP(_xlfn.XLOOKUP(B182,'Base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20</v>
      </c>
      <c r="BS182" s="8">
        <f t="shared" si="55"/>
        <v>0.2</v>
      </c>
      <c r="BT182" s="8" t="str">
        <f>_xlfn.XLOOKUP(B182,'Base stats'!B:B,'Base stats'!AF:AF)</f>
        <v>3~8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false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TemperateForest TemperateSwamp 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stats'!N:N)=1,"No",MAX(0.01,MIN(MROUND(IF(OR(_xlfn.XLOOKUP(B182,'Base stats'!B:B,'Base stats'!AM:AM)=1,AND(BJ182="True",CC182="False")),POWER(10,3.47*LOG10(_xlfn.XLOOKUP(B182,'Base stats'!B:B,'Base stats'!C:C)*1000)^-0.96),POWER(10,4.15*LOG10(_xlfn.XLOOKUP(B182,'Base stats'!B:B,'Base stats'!C:C)*1000)^-0.73))*IF(OR(_xlfn.XLOOKUP(B182,'Base stats'!B:B,'Base stats'!AM:AM)=1,_xlfn.XLOOKUP(B182,'Base stats'!B:B,'Base stats'!AK:AK)=1),0.5,1)/100,0.025),0.5)))</f>
        <v>0.5</v>
      </c>
      <c r="CA182" s="25" t="str">
        <f>IF(P182="Standard","No",MAX(0.01,IF(_xlfn.XLOOKUP(B182,'Base stats'!B:B,'Base stats'!N:N)=0,MROUND(BZ182*P182,0.05),MIN(1,MAX(0.025,MROUND(IF(OR(CC182="true",AND(BJ182="false",BO182="false")),POWER(10,4.15*LOG10(_xlfn.XLOOKUP(B182,'Base stats'!B:B,'Base stats'!C:C)*1000)^-0.73),POWER(10,3.47*LOG10(_xlfn.XLOOKUP(B182,'Base stats'!B:B,'Base stats'!C:C)*1000)^-0.96))*IF(_xlfn.XLOOKUP(B182,'Base stats'!B:B,'Base stats'!AK:AK)=1,0.5,1)/100,0.025))))))</f>
        <v>No</v>
      </c>
      <c r="CB182" s="25" t="str">
        <f>IF(_xlfn.XLOOKUP(_xlfn.XLOOKUP(B182,'Base stats'!B:B,'Base stats'!E:E),Groups!A:A,Groups!AJ:AJ)="Mammal","True","False")</f>
        <v>False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56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Swan</v>
      </c>
      <c r="B183" s="6" t="s">
        <v>222</v>
      </c>
      <c r="C183" s="28" t="s">
        <v>1289</v>
      </c>
      <c r="D183" s="28" t="s">
        <v>1162</v>
      </c>
      <c r="E183" s="28" t="s">
        <v>685</v>
      </c>
      <c r="F183" s="28" t="s">
        <v>685</v>
      </c>
      <c r="G183" s="28" t="s">
        <v>1282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175</v>
      </c>
      <c r="I183" s="2">
        <f>MROUND(ROUNDDOWN(_xlfn.XLOOKUP(B183,'Base stats'!B:B,'Base stats'!L:L)/3.6/(23.3/11),1),0.5)</f>
        <v>1.5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stats'!O:O)=2,0,1)),0.05),0.985)))</f>
        <v>0.60000000000000009</v>
      </c>
      <c r="K183" s="2">
        <f>ROUNDUP(AO183*_xlfn.XLOOKUP(_xlfn.XLOOKUP(B183,'Base stats'!B:B,'Base stats'!E:E),Groups!A:A,Groups!E:E),0)</f>
        <v>5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*0.025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*0.025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3.5</v>
      </c>
      <c r="R183" s="7">
        <f>IF(Q183="No","No",MAX(1,MROUND(_xlfn.XLOOKUP(B183,'Base stats'!B:B,'Base stats'!C:C)^0.165,0.05)))</f>
        <v>1.4500000000000002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3.5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1.1500000000000001</v>
      </c>
      <c r="AF183" s="7" t="str">
        <f>IF(AD183="No","No",_xlfn.XLOOKUP(_xlfn.XLOOKUP(B183,'Base stats'!B:B,'Base stats'!E:E),Groups!A:A,Groups!AA:AA))</f>
        <v>Beak</v>
      </c>
      <c r="AG183" s="7" t="str">
        <f>IF(AD183="No","No",_xlfn.XLOOKUP(_xlfn.XLOOKUP(B183,'Base stats'!B:B,'Base stats'!E:E),Groups!A:A,Groups!AB:AB))</f>
        <v>beak</v>
      </c>
      <c r="AH183" s="7" t="str">
        <f>IF(AD183="No","No",_xlfn.XLOOKUP(_xlfn.XLOOKUP(B183,'Base stats'!B:B,'Base stats'!E:E),Groups!A:A,Groups!AC:AC))</f>
        <v>Blunt</v>
      </c>
      <c r="AI183" s="13" t="str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 t="shared" si="51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0.4</v>
      </c>
      <c r="AP183" s="8">
        <f>MROUND(AO183*_xlfn.XLOOKUP(_xlfn.XLOOKUP(B183,'Base stats'!B:B,'Base stats'!E:E),Groups!A:A,Groups!AI:AI)*_xlfn.XLOOKUP(B183,'Base stats'!B:B,'Base stats'!Z:Z),0.05)</f>
        <v>0.4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0.4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25</v>
      </c>
      <c r="AS183" s="35" t="str">
        <f>IFERROR(IF(_xlfn.XLOOKUP(B183,'Base stats'!B:B,'Base stats'!F:F)="Lay eggs","Lay eggs",MIN(20,MAX(5.5,ROUND(((_xlfn.XLOOKUP(B183,'Base stats'!B:B,'Base stats'!F:F)-25)*(14.5/615) + 5.5)*2,0)/2))),"Cannot breed")</f>
        <v>Lay eggs</v>
      </c>
      <c r="AT183" s="8">
        <f>IF(OR(A183="Queen",A183="Larva",A183="Megachicken",A183="Megatardi",A183="Toxscorpion"),"No",IFERROR(MAX(IF(_xlfn.XLOOKUP(B183,'Base stats'!B:B,'Base stats'!G:G)&lt;0.5,0.2,0.3),MROUND(_xlfn.XLOOKUP(B183,'Base stats'!B:B,'Base stats'!G:G)/(365/60),0.2)),"Unknown"))</f>
        <v>0.4</v>
      </c>
      <c r="AU183" s="8">
        <f t="shared" si="14"/>
        <v>0.2</v>
      </c>
      <c r="AV183" s="8" t="str">
        <f>IFERROR(IFERROR(MROUND(_xlfn.XLOOKUP(B183,'Base stats'!B:B,'Base stats'!J:J),0.1),"Lay eggs"),"Cannot breed")</f>
        <v>Lay eggs</v>
      </c>
      <c r="AW183" s="2" t="str">
        <f t="shared" si="52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4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&lt;li&gt;Cassowary&lt;/li&gt;</v>
      </c>
      <c r="BB183" s="2" t="str">
        <f>_xlfn.XLOOKUP(B183,'Base stats'!B:B,'Base stats'!AG:AG)</f>
        <v>No</v>
      </c>
      <c r="BC183" s="23" t="str">
        <f>_xlfn.XLOOKUP(_xlfn.XLOOKUP(B183,'Base stats'!B:B,'Base stats'!E:E),Groups!A:A,Groups!AL:AL)</f>
        <v>Bird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0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None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53"/>
        <v>0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54"/>
        <v>true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>
        <f>IF(
   AND(
      'Base stats'!AN189="Standard",_xlfn.XLOOKUP(_xlfn.XLOOKUP(B183,'Base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1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35</v>
      </c>
      <c r="BS183" s="8">
        <f t="shared" si="55"/>
        <v>0.4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ColdBog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stats'!N:N)=1,"No",MAX(0.01,MIN(MROUND(IF(OR(_xlfn.XLOOKUP(B183,'Base stats'!B:B,'Base stats'!AM:AM)=1,AND(BJ183="True",CC183="False")),POWER(10,3.47*LOG10(_xlfn.XLOOKUP(B183,'Base stats'!B:B,'Base stats'!C:C)*1000)^-0.96),POWER(10,4.15*LOG10(_xlfn.XLOOKUP(B183,'Base stats'!B:B,'Base stats'!C:C)*1000)^-0.73))*IF(OR(_xlfn.XLOOKUP(B183,'Base stats'!B:B,'Base stats'!AM:AM)=1,_xlfn.XLOOKUP(B183,'Base stats'!B:B,'Base stats'!AK:AK)=1),0.5,1)/100,0.025),0.5)))</f>
        <v>0.32500000000000001</v>
      </c>
      <c r="CA183" s="25" t="str">
        <f>IF(P183="Standard","No",MAX(0.01,IF(_xlfn.XLOOKUP(B183,'Base stats'!B:B,'Base stats'!N:N)=0,MROUND(BZ183*P183,0.05),MIN(1,MAX(0.025,MROUND(IF(OR(CC183="true",AND(BJ183="false",BO183="false")),POWER(10,4.15*LOG10(_xlfn.XLOOKUP(B183,'Base stats'!B:B,'Base stats'!C:C)*1000)^-0.73),POWER(10,3.47*LOG10(_xlfn.XLOOKUP(B183,'Base stats'!B:B,'Base stats'!C:C)*1000)^-0.96))*IF(_xlfn.XLOOKUP(B183,'Base stats'!B:B,'Base stats'!AK:AK)=1,0.5,1)/100,0.025))))))</f>
        <v>No</v>
      </c>
      <c r="CB183" s="25" t="str">
        <f>IF(_xlfn.XLOOKUP(_xlfn.XLOOKUP(B183,'Base stats'!B:B,'Base stats'!E:E),Groups!A:A,Groups!AJ:AJ)="Mammal","True","False")</f>
        <v>False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56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Peacock</v>
      </c>
      <c r="B184" s="6" t="s">
        <v>232</v>
      </c>
      <c r="C184" s="28" t="s">
        <v>1291</v>
      </c>
      <c r="D184" s="28" t="s">
        <v>1162</v>
      </c>
      <c r="E184" s="28" t="s">
        <v>685</v>
      </c>
      <c r="F184" s="28" t="s">
        <v>685</v>
      </c>
      <c r="G184" s="28" t="s">
        <v>1282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125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stats'!O:O)=2,0,1)),0.05),0.985)))</f>
        <v>0.55000000000000004</v>
      </c>
      <c r="K184" s="2">
        <f>ROUNDUP(AO184*_xlfn.XLOOKUP(_xlfn.XLOOKUP(B184,'Base stats'!B:B,'Base stats'!E:E),Groups!A:A,Groups!E:E),0)</f>
        <v>4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40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*0.025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*0.025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2.5</v>
      </c>
      <c r="R184" s="7">
        <f>IF(Q184="No","No",MAX(1,MROUND(_xlfn.XLOOKUP(B184,'Base stats'!B:B,'Base stats'!C:C)^0.165,0.05)))</f>
        <v>1.25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4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1.25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2.5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1.25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51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0.30000000000000004</v>
      </c>
      <c r="AP184" s="8">
        <f>MROUND(AO184*_xlfn.XLOOKUP(_xlfn.XLOOKUP(B184,'Base stats'!B:B,'Base stats'!E:E),Groups!A:A,Groups!AI:AI)*_xlfn.XLOOKUP(B184,'Base stats'!B:B,'Base stats'!Z:Z),0.05)</f>
        <v>0.30000000000000004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0.35000000000000003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12</v>
      </c>
      <c r="AS184" s="35" t="str">
        <f>IFERROR(IF(_xlfn.XLOOKUP(B184,'Base stats'!B:B,'Base stats'!F:F)="Lay eggs","Lay eggs",MIN(20,MAX(5.5,ROUND(((_xlfn.XLOOKUP(B184,'Base stats'!B:B,'Base stats'!F:F)-25)*(14.5/615) + 5.5)*2,0)/2))),"Cannot breed")</f>
        <v>Lay eggs</v>
      </c>
      <c r="AT184" s="8">
        <f>IF(OR(A184="Queen",A184="Larva",A184="Megachicken",A184="Megatardi",A184="Toxscorpion"),"No",IFERROR(MAX(IF(_xlfn.XLOOKUP(B184,'Base stats'!B:B,'Base stats'!G:G)&lt;0.5,0.2,0.3),MROUND(_xlfn.XLOOKUP(B184,'Base stats'!B:B,'Base stats'!G:G)/(365/60),0.2)),"Unknown"))</f>
        <v>0.4</v>
      </c>
      <c r="AU184" s="8">
        <f t="shared" si="14"/>
        <v>0.2</v>
      </c>
      <c r="AV184" s="8" t="str">
        <f>IFERROR(IFERROR(MROUND(_xlfn.XLOOKUP(B184,'Base stats'!B:B,'Base stats'!J:J),0.1),"Lay eggs"),"Cannot breed")</f>
        <v>Lay eggs</v>
      </c>
      <c r="AW184" s="2" t="str">
        <f t="shared" si="52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&lt;li&gt;Cassowary&lt;/li&gt;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8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53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54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stats'!AN193="Standard",_xlfn.XLOOKUP(_xlfn.XLOOKUP(B184,'Base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30</v>
      </c>
      <c r="BS184" s="8">
        <f t="shared" si="55"/>
        <v>0.35000000000000003</v>
      </c>
      <c r="BT184" s="8" t="str">
        <f>_xlfn.XLOOKUP(B184,'Base stats'!B:B,'Base stats'!AF:AF)</f>
        <v>2~6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TropicalRainforest TropicalSwamp Glowforest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stats'!N:N)=1,"No",MAX(0.01,MIN(MROUND(IF(OR(_xlfn.XLOOKUP(B184,'Base stats'!B:B,'Base stats'!AM:AM)=1,AND(BJ184="True",CC184="False")),POWER(10,3.47*LOG10(_xlfn.XLOOKUP(B184,'Base stats'!B:B,'Base stats'!C:C)*1000)^-0.96),POWER(10,4.15*LOG10(_xlfn.XLOOKUP(B184,'Base stats'!B:B,'Base stats'!C:C)*1000)^-0.73))*IF(OR(_xlfn.XLOOKUP(B184,'Base stats'!B:B,'Base stats'!AM:AM)=1,_xlfn.XLOOKUP(B184,'Base stats'!B:B,'Base stats'!AK:AK)=1),0.5,1)/100,0.025),0.5)))</f>
        <v>0.42500000000000004</v>
      </c>
      <c r="CA184" s="25" t="str">
        <f>IF(P184="Standard","No",MAX(0.01,IF(_xlfn.XLOOKUP(B184,'Base stats'!B:B,'Base stats'!N:N)=0,MROUND(BZ184*P184,0.05),MIN(1,MAX(0.025,MROUND(IF(OR(CC184="true",AND(BJ184="false",BO184="false")),POWER(10,4.15*LOG10(_xlfn.XLOOKUP(B184,'Base stats'!B:B,'Base stats'!C:C)*1000)^-0.73),POWER(10,3.47*LOG10(_xlfn.XLOOKUP(B184,'Base stats'!B:B,'Base stats'!C:C)*1000)^-0.96))*IF(_xlfn.XLOOKUP(B184,'Base stats'!B:B,'Base stats'!AK:AK)=1,0.5,1)/100,0.025))))))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56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Tiger</v>
      </c>
      <c r="B185" s="6" t="s">
        <v>74</v>
      </c>
      <c r="C185" s="28" t="s">
        <v>1281</v>
      </c>
      <c r="D185" s="28" t="s">
        <v>884</v>
      </c>
      <c r="E185" s="28" t="s">
        <v>685</v>
      </c>
      <c r="F185" s="28" t="s">
        <v>702</v>
      </c>
      <c r="G185" s="28" t="s">
        <v>1282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850</v>
      </c>
      <c r="I185" s="2">
        <f>MROUND(ROUNDDOWN(_xlfn.XLOOKUP(B185,'Base stats'!B:B,'Base stats'!L:L)/3.6/(23.3/11),1),0.5)</f>
        <v>7.5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stats'!O:O)=2,0,1)),0.05),0.985)))</f>
        <v>0.9</v>
      </c>
      <c r="K185" s="2">
        <f>ROUNDUP(AO185*_xlfn.XLOOKUP(_xlfn.XLOOKUP(B185,'Base stats'!B:B,'Base stats'!E:E),Groups!A:A,Groups!E:E),0)</f>
        <v>2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-30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40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*0.025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*0.025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10.5</v>
      </c>
      <c r="R185" s="7">
        <f>IF(Q185="No","No",MAX(1,MROUND(_xlfn.XLOOKUP(B185,'Base stats'!B:B,'Base stats'!C:C)^0.165,0.05)))</f>
        <v>2.35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20.5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1.6500000000000001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16.5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1.55</v>
      </c>
      <c r="AK185" s="7" t="str">
        <f>IF(AI185="No","No",_xlfn.XLOOKUP(_xlfn.XLOOKUP(B185,'Base stats'!B:B,'Base stats'!E:E),Groups!A:A,Groups!AF:AF))</f>
        <v>FrontRightPaw,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>
        <f t="shared" si="51"/>
        <v>25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1.7000000000000002</v>
      </c>
      <c r="AP185" s="8">
        <f>MROUND(AO185*_xlfn.XLOOKUP(_xlfn.XLOOKUP(B185,'Base stats'!B:B,'Base stats'!E:E),Groups!A:A,Groups!AI:AI)*_xlfn.XLOOKUP(B185,'Base stats'!B:B,'Base stats'!Z:Z),0.05)</f>
        <v>2.0500000000000003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0.8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15</v>
      </c>
      <c r="AS185" s="35">
        <f>IFERROR(IF(_xlfn.XLOOKUP(B185,'Base stats'!B:B,'Base stats'!F:F)="Lay eggs","Lay eggs",MIN(20,MAX(5.5,ROUND(((_xlfn.XLOOKUP(B185,'Base stats'!B:B,'Base stats'!F:F)-25)*(14.5/615) + 5.5)*2,0)/2))),"Cannot breed")</f>
        <v>7.5</v>
      </c>
      <c r="AT185" s="8">
        <f>IF(OR(A185="Queen",A185="Larva",A185="Megachicken",A185="Megatardi",A185="Toxscorpion"),"No",IFERROR(MAX(IF(_xlfn.XLOOKUP(B185,'Base stats'!B:B,'Base stats'!G:G)&lt;0.5,0.2,0.3),MROUND(_xlfn.XLOOKUP(B185,'Base stats'!B:B,'Base stats'!G:G)/(365/60),0.2)),"Unknown"))</f>
        <v>0.60000000000000009</v>
      </c>
      <c r="AU185" s="8">
        <f t="shared" si="14"/>
        <v>0.30000000000000004</v>
      </c>
      <c r="AV185" s="8">
        <f>IFERROR(IFERROR(MROUND(_xlfn.XLOOKUP(B185,'Base stats'!B:B,'Base stats'!J:J),0.1),"Lay eggs"),"Cannot breed")</f>
        <v>2.5</v>
      </c>
      <c r="AW185" s="2" t="str">
        <f t="shared" si="52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CarnivoreAnimal,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IF(AND(_xlfn.XLOOKUP(B185,'Base stats'!B:B,'Base stats'!AH:AH)="&lt;li&gt;Seal&lt;/li&gt;",G185="Odyssey"),"&lt;li&gt;AEXP_Seal&lt;/li&gt;",_xlfn.XLOOKUP(B185,'Base stats'!B:B,'Base stats'!AH:AH))</f>
        <v>No</v>
      </c>
      <c r="BB185" s="2" t="str">
        <f>_xlfn.XLOOKUP(B185,'Base stats'!B:B,'Base stats'!AG:AG)</f>
        <v>Leather_Panthera</v>
      </c>
      <c r="BC185" s="23" t="str">
        <f>_xlfn.XLOOKUP(_xlfn.XLOOKUP(B185,'Base stats'!B:B,'Base stats'!E:E),Groups!A:A,Groups!AL:AL)</f>
        <v>QuadrupedAnimalWithPawsAndTail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0.1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0.3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true</v>
      </c>
      <c r="BK185" s="2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3</v>
      </c>
      <c r="BL185" s="2">
        <f t="shared" si="53"/>
        <v>1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54"/>
        <v>false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true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AttackTarget</v>
      </c>
      <c r="BQ185" s="25">
        <f>IF(
   AND(
      'Base stats'!AN181="Standard",_xlfn.XLOOKUP(_xlfn.XLOOKUP(B185,'Base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10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210</v>
      </c>
      <c r="BS185" s="8">
        <f t="shared" si="55"/>
        <v>1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true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AnimalUncommon, AnimalFighter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TropicalRainforest TropicalSwamp Glowforest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stats'!N:N)=1,"No",MAX(0.01,MIN(MROUND(IF(OR(_xlfn.XLOOKUP(B185,'Base stats'!B:B,'Base stats'!AM:AM)=1,AND(BJ185="True",CC185="False")),POWER(10,3.47*LOG10(_xlfn.XLOOKUP(B185,'Base stats'!B:B,'Base stats'!C:C)*1000)^-0.96),POWER(10,4.15*LOG10(_xlfn.XLOOKUP(B185,'Base stats'!B:B,'Base stats'!C:C)*1000)^-0.73))*IF(OR(_xlfn.XLOOKUP(B185,'Base stats'!B:B,'Base stats'!AM:AM)=1,_xlfn.XLOOKUP(B185,'Base stats'!B:B,'Base stats'!AK:AK)=1),0.5,1)/100,0.025),0.5)))</f>
        <v>0.05</v>
      </c>
      <c r="CA185" s="25" t="str">
        <f>IF(P185="Standard","No",MAX(0.01,IF(_xlfn.XLOOKUP(B185,'Base stats'!B:B,'Base stats'!N:N)=0,MROUND(BZ185*P185,0.05),MIN(1,MAX(0.025,MROUND(IF(OR(CC185="true",AND(BJ185="false",BO185="false")),POWER(10,4.15*LOG10(_xlfn.XLOOKUP(B185,'Base stats'!B:B,'Base stats'!C:C)*1000)^-0.73),POWER(10,3.47*LOG10(_xlfn.XLOOKUP(B185,'Base stats'!B:B,'Base stats'!C:C)*1000)^-0.96))*IF(_xlfn.XLOOKUP(B185,'Base stats'!B:B,'Base stats'!AK:AK)=1,0.5,1)/100,0.025))))))</f>
        <v>No</v>
      </c>
      <c r="CB185" s="25" t="str">
        <f>IF(_xlfn.XLOOKUP(_xlfn.XLOOKUP(B185,'Base stats'!B:B,'Base stats'!E:E),Groups!A:A,Groups!AJ:AJ)="Mammal","True","False")</f>
        <v>True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56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Alligator</v>
      </c>
      <c r="B186" s="6" t="s">
        <v>194</v>
      </c>
      <c r="C186" s="28" t="s">
        <v>1283</v>
      </c>
      <c r="D186" s="28" t="s">
        <v>884</v>
      </c>
      <c r="E186" s="28" t="s">
        <v>685</v>
      </c>
      <c r="F186" s="28" t="s">
        <v>685</v>
      </c>
      <c r="G186" s="28" t="s">
        <v>1282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725</v>
      </c>
      <c r="I186" s="2">
        <f>MROUND(ROUNDDOWN(_xlfn.XLOOKUP(B186,'Base stats'!B:B,'Base stats'!L:L)/3.6/(23.3/11),1),0.5)</f>
        <v>1.5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stats'!O:O)=2,0,1)),0.05),0.985)))</f>
        <v>0.75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-5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*0.025
),
0.05
),
200%
),
"No"
)</f>
        <v>0.2</v>
      </c>
      <c r="O186" s="8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*0.025
),
0.05
),
200%
),
"No"
)</f>
        <v>0.25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10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17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2.2000000000000002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teeth</v>
      </c>
      <c r="AH186" s="7" t="str">
        <f>IF(AD186="No","No",_xlfn.XLOOKUP(_xlfn.XLOOKUP(B186,'Base stats'!B:B,'Base stats'!E:E),Groups!A:A,Groups!AC:AC))</f>
        <v>Bite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>
        <f t="shared" si="51"/>
        <v>25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1.6</v>
      </c>
      <c r="AP186" s="8">
        <f>MROUND(AO186*_xlfn.XLOOKUP(_xlfn.XLOOKUP(B186,'Base stats'!B:B,'Base stats'!E:E),Groups!A:A,Groups!AI:AI)*_xlfn.XLOOKUP(B186,'Base stats'!B:B,'Base stats'!Z:Z),0.05)</f>
        <v>1.9000000000000001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0.2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45</v>
      </c>
      <c r="AS186" s="35" t="str">
        <f>IFERROR(IF(_xlfn.XLOOKUP(B186,'Base stats'!B:B,'Base stats'!F:F)="Lay eggs","Lay eggs",MIN(20,MAX(5.5,ROUND(((_xlfn.XLOOKUP(B186,'Base stats'!B:B,'Base stats'!F:F)-25)*(14.5/615) + 5.5)*2,0)/2))),"Cannot breed")</f>
        <v>Lay eggs</v>
      </c>
      <c r="AT186" s="8">
        <f>IF(OR(A186="Queen",A186="Larva",A186="Megachicken",A186="Megatardi",A186="Toxscorpion"),"No",IFERROR(MAX(IF(_xlfn.XLOOKUP(B186,'Base stats'!B:B,'Base stats'!G:G)&lt;0.5,0.2,0.3),MROUND(_xlfn.XLOOKUP(B186,'Base stats'!B:B,'Base stats'!G:G)/(365/60),0.2)),"Unknown"))</f>
        <v>2</v>
      </c>
      <c r="AU186" s="8">
        <f t="shared" si="14"/>
        <v>1</v>
      </c>
      <c r="AV186" s="8" t="str">
        <f>IFERROR(IFERROR(MROUND(_xlfn.XLOOKUP(B186,'Base stats'!B:B,'Base stats'!J:J),0.1),"Lay eggs"),"Cannot breed")</f>
        <v>Lay eggs</v>
      </c>
      <c r="AW186" s="2" t="str">
        <f t="shared" si="52"/>
        <v>false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CarnivoreAnimal, OvivoreAnimal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IF(AND(_xlfn.XLOOKUP(B186,'Base stats'!B:B,'Base stats'!AH:AH)="&lt;li&gt;Seal&lt;/li&gt;",G186="Odyssey"),"&lt;li&gt;AEXP_Seal&lt;/li&gt;",_xlfn.XLOOKUP(B186,'Base stats'!B:B,'Base stats'!AH:AH))</f>
        <v>No</v>
      </c>
      <c r="BB186" s="2" t="str">
        <f>_xlfn.XLOOKUP(B186,'Base stats'!B:B,'Base stats'!AG:AG)</f>
        <v>Leather_Lizard</v>
      </c>
      <c r="BC186" s="23" t="str">
        <f>_xlfn.XLOOKUP(_xlfn.XLOOKUP(B186,'Base stats'!B:B,'Base stats'!E:E),Groups!A:A,Groups!AL:AL)</f>
        <v>QuadrupedAnimalWithClawsTailAndJowl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0.1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0.3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true</v>
      </c>
      <c r="BK186" s="2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1.5</v>
      </c>
      <c r="BL186" s="2">
        <f t="shared" si="53"/>
        <v>0</v>
      </c>
      <c r="BM186" s="25">
        <f>IF(_xlfn.XLOOKUP(B186,'Base stats'!B:B,'Base stats'!AN:AN)="Standard","No",MROUND((_xlfn.XLOOKUP(B186,'Base stats'!B:B,'Base stats'!AN:AN)/3.6)/I186,0.1))</f>
        <v>2.8000000000000003</v>
      </c>
      <c r="BN186" s="25" t="str">
        <f t="shared" si="54"/>
        <v>true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true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>
        <f>IF(
   AND(
      'Base stats'!AN182="Standard",_xlfn.XLOOKUP(_xlfn.XLOOKUP(B186,'Base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1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150</v>
      </c>
      <c r="BS186" s="8">
        <f t="shared" si="55"/>
        <v>0.5</v>
      </c>
      <c r="BT186" s="8" t="str">
        <f>_xlfn.XLOOKUP(B186,'Base stats'!B:B,'Base stats'!AF:AF)</f>
        <v>No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true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AnimalUncommon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TemperateSwamp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stats'!N:N)=1,"No",MAX(0.01,MIN(MROUND(IF(OR(_xlfn.XLOOKUP(B186,'Base stats'!B:B,'Base stats'!AM:AM)=1,AND(BJ186="True",CC186="False")),POWER(10,3.47*LOG10(_xlfn.XLOOKUP(B186,'Base stats'!B:B,'Base stats'!C:C)*1000)^-0.96),POWER(10,4.15*LOG10(_xlfn.XLOOKUP(B186,'Base stats'!B:B,'Base stats'!C:C)*1000)^-0.73))*IF(OR(_xlfn.XLOOKUP(B186,'Base stats'!B:B,'Base stats'!AM:AM)=1,_xlfn.XLOOKUP(B186,'Base stats'!B:B,'Base stats'!AK:AK)=1),0.5,1)/100,0.025),0.5)))</f>
        <v>0.17500000000000002</v>
      </c>
      <c r="CA186" s="25" t="str">
        <f>IF(P186="Standard","No",MAX(0.01,IF(_xlfn.XLOOKUP(B186,'Base stats'!B:B,'Base stats'!N:N)=0,MROUND(BZ186*P186,0.05),MIN(1,MAX(0.025,MROUND(IF(OR(CC186="true",AND(BJ186="false",BO186="false")),POWER(10,4.15*LOG10(_xlfn.XLOOKUP(B186,'Base stats'!B:B,'Base stats'!C:C)*1000)^-0.73),POWER(10,3.47*LOG10(_xlfn.XLOOKUP(B186,'Base stats'!B:B,'Base stats'!C:C)*1000)^-0.96))*IF(_xlfn.XLOOKUP(B186,'Base stats'!B:B,'Base stats'!AK:AK)=1,0.5,1)/100,0.025))))))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True</v>
      </c>
      <c r="CD186" s="25" t="str">
        <f t="shared" si="56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Bone</v>
      </c>
      <c r="CI186" s="25" t="str">
        <f>IF(_xlfn.XLOOKUP(_xlfn.XLOOKUP(B186,'Base stats'!B:B,'Base stats'!E:E),Groups!A:A,Groups!BB:BB),"True","False")</f>
        <v>False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Moose</v>
      </c>
      <c r="B187" s="6" t="s">
        <v>147</v>
      </c>
      <c r="C187" s="28" t="s">
        <v>1284</v>
      </c>
      <c r="D187" s="28" t="s">
        <v>884</v>
      </c>
      <c r="E187" s="28" t="s">
        <v>685</v>
      </c>
      <c r="F187" s="28" t="s">
        <v>685</v>
      </c>
      <c r="G187" s="28" t="s">
        <v>1282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400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stats'!O:O)=2,0,1)),0.05),0.985)))</f>
        <v>0.70000000000000007</v>
      </c>
      <c r="K187" s="2">
        <f>ROUNDUP(AO187*_xlfn.XLOOKUP(_xlfn.XLOOKUP(B187,'Base stats'!B:B,'Base stats'!E:E),Groups!A:A,Groups!E:E),0)</f>
        <v>14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-55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35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*0.025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*0.025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14.5</v>
      </c>
      <c r="R187" s="7">
        <f>IF(Q187="No","No",MAX(1,MROUND(_xlfn.XLOOKUP(B187,'Base stats'!B:B,'Base stats'!C:C)^0.165,0.05)))</f>
        <v>2.6500000000000004</v>
      </c>
      <c r="S187" s="13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18</v>
      </c>
      <c r="T187" s="7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2.6500000000000004</v>
      </c>
      <c r="U187" s="7" t="str">
        <f>IF(S187="No","No",_xlfn.XLOOKUP(_xlfn.XLOOKUP(B187,'Base stats'!B:B,'Base stats'!E:E),Groups!A:A,Groups!R:R))</f>
        <v>FrontLeftLeg, FrontRightLeg</v>
      </c>
      <c r="V187" s="7" t="str">
        <f>IF(S187="No","No",_xlfn.XLOOKUP(_xlfn.XLOOKUP(B187,'Base stats'!B:B,'Base stats'!E:E),Groups!A:A,Groups!S:S))</f>
        <v>left hoof, right hoof</v>
      </c>
      <c r="W187" s="7" t="str">
        <f>IF(S187="No","No",_xlfn.XLOOKUP(_xlfn.XLOOKUP(B187,'Base stats'!B:B,'Base stats'!E:E),Groups!A:A,Groups!T:T))</f>
        <v>Blunt</v>
      </c>
      <c r="X187" s="13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20</v>
      </c>
      <c r="Y187" s="7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2.25</v>
      </c>
      <c r="Z187" s="7" t="str">
        <f>IF(X187="No","No",_xlfn.XLOOKUP(_xlfn.XLOOKUP(B187,'Base stats'!B:B,'Base stats'!E:E),Groups!A:A,Groups!W:W))</f>
        <v>HeadAttackTool</v>
      </c>
      <c r="AA187" s="7" t="str">
        <f>IF(X187="No","No",_xlfn.XLOOKUP(_xlfn.XLOOKUP(B187,'Base stats'!B:B,'Base stats'!E:E),Groups!A:A,Groups!X:X))</f>
        <v>antler</v>
      </c>
      <c r="AB187" s="7" t="str">
        <f>IF(X187="No","No",_xlfn.XLOOKUP(_xlfn.XLOOKUP(B187,'Base stats'!B:B,'Base stats'!E:E),Groups!A:A,Groups!Y:Y))</f>
        <v>Scratch</v>
      </c>
      <c r="AC187" s="7" t="str">
        <f>_xlfn.XLOOKUP(Animals!B187,'Base stats'!B:B,'Base stats'!X:X)</f>
        <v>False</v>
      </c>
      <c r="AD187" s="13" t="str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No</v>
      </c>
      <c r="AE187" s="7" t="str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No</v>
      </c>
      <c r="AF187" s="7" t="str">
        <f>IF(AD187="No","No",_xlfn.XLOOKUP(_xlfn.XLOOKUP(B187,'Base stats'!B:B,'Base stats'!E:E),Groups!A:A,Groups!AA:AA))</f>
        <v>No</v>
      </c>
      <c r="AG187" s="7" t="str">
        <f>IF(AD187="No","No",_xlfn.XLOOKUP(_xlfn.XLOOKUP(B187,'Base stats'!B:B,'Base stats'!E:E),Groups!A:A,Groups!AB:AB))</f>
        <v>No</v>
      </c>
      <c r="AH187" s="7" t="str">
        <f>IF(AD187="No","No",_xlfn.XLOOKUP(_xlfn.XLOOKUP(B187,'Base stats'!B:B,'Base stats'!E:E),Groups!A:A,Groups!AC:AC))</f>
        <v>No</v>
      </c>
      <c r="AI187" s="13" t="str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No</v>
      </c>
      <c r="AJ187" s="7" t="str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No</v>
      </c>
      <c r="AK187" s="7" t="str">
        <f>IF(AI187="No","No",_xlfn.XLOOKUP(_xlfn.XLOOKUP(B187,'Base stats'!B:B,'Base stats'!E:E),Groups!A:A,Groups!AF:AF))</f>
        <v>No</v>
      </c>
      <c r="AL187" s="7" t="str">
        <f>IF(AI187="No","No",_xlfn.XLOOKUP(_xlfn.XLOOKUP(B187,'Base stats'!B:B,'Base stats'!E:E),Groups!A:A,Groups!AG:AG))</f>
        <v>No</v>
      </c>
      <c r="AM187" s="7" t="str">
        <f>IF(AI187="No","No",_xlfn.XLOOKUP(_xlfn.XLOOKUP(B187,'Base stats'!B:B,'Base stats'!E:E),Groups!A:A,Groups!AH:AH))</f>
        <v>No</v>
      </c>
      <c r="AN187" s="2" t="str">
        <f t="shared" si="51"/>
        <v>No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2.75</v>
      </c>
      <c r="AP187" s="8">
        <f>MROUND(AO187*_xlfn.XLOOKUP(_xlfn.XLOOKUP(B187,'Base stats'!B:B,'Base stats'!E:E),Groups!A:A,Groups!AI:AI)*_xlfn.XLOOKUP(B187,'Base stats'!B:B,'Base stats'!Z:Z),0.05)</f>
        <v>2.75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1.1000000000000001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IFERROR(IF(_xlfn.XLOOKUP(B187,'Base stats'!B:B,'Base stats'!F:F)="Lay eggs","Lay eggs",MIN(20,MAX(5.5,ROUND(((_xlfn.XLOOKUP(B187,'Base stats'!B:B,'Base stats'!F:F)-25)*(14.5/615) + 5.5)*2,0)/2))),"Cannot breed")</f>
        <v>10.5</v>
      </c>
      <c r="AT187" s="8">
        <f>IF(OR(A187="Queen",A187="Larva",A187="Megachicken",A187="Megatardi",A187="Toxscorpion"),"No",IFERROR(MAX(IF(_xlfn.XLOOKUP(B187,'Base stats'!B:B,'Base stats'!G:G)&lt;0.5,0.2,0.3),MROUND(_xlfn.XLOOKUP(B187,'Base stats'!B:B,'Base stats'!G:G)/(365/60),0.2)),"Unknown"))</f>
        <v>0.4</v>
      </c>
      <c r="AU187" s="8">
        <f t="shared" si="14"/>
        <v>0.2</v>
      </c>
      <c r="AV187" s="8">
        <f>IFERROR(IFERROR(MROUND(_xlfn.XLOOKUP(B187,'Base stats'!B:B,'Base stats'!J:J),0.1),"Lay eggs"),"Cannot breed")</f>
        <v>1.3</v>
      </c>
      <c r="AW187" s="2" t="str">
        <f t="shared" si="52"/>
        <v>false</v>
      </c>
      <c r="AX187" s="2" t="str">
        <f>IF(_xlfn.XLOOKUP(_xlfn.XLOOKUP(Animals!B187,'Base stats'!B:B,'Base stats'!E:E),Groups!A:A,Groups!AK:AK)=1,"true","false")</f>
        <v>true</v>
      </c>
      <c r="AY187" s="25" t="str">
        <f>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</f>
        <v>VegetarianRoughAnimal</v>
      </c>
      <c r="AZ187" s="2">
        <f>IF(_xlfn.XLOOKUP(_xlfn.XLOOKUP(B187,'Base stats'!B:B,'Base stats'!E:E),Groups!A:A,Groups!D:D)=1,MROUND((1-J187)*5+1,2)*IF(J187&lt;=0.4,2,1),"No")</f>
        <v>2</v>
      </c>
      <c r="BA187" s="2" t="str">
        <f>IF(AND(_xlfn.XLOOKUP(B187,'Base stats'!B:B,'Base stats'!AH:AH)="&lt;li&gt;Seal&lt;/li&gt;",G187="Odyssey"),"&lt;li&gt;AEXP_Seal&lt;/li&gt;",_xlfn.XLOOKUP(B187,'Base stats'!B:B,'Base stats'!AH:AH))</f>
        <v>&lt;li&gt;Deer&lt;/li&gt;</v>
      </c>
      <c r="BB187" s="2" t="str">
        <f>_xlfn.XLOOKUP(B187,'Base stats'!B:B,'Base stats'!AG:AG)</f>
        <v>Leather_Plain</v>
      </c>
      <c r="BC187" s="23" t="str">
        <f>_xlfn.XLOOKUP(_xlfn.XLOOKUP(B187,'Base stats'!B:B,'Base stats'!E:E),Groups!A:A,Groups!AL:AL)</f>
        <v>QuadrupedAnimalWithHooves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2.5000000000000001E-2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0.05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None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false</v>
      </c>
      <c r="BK187" s="2" t="str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No</v>
      </c>
      <c r="BL187" s="2">
        <f t="shared" si="53"/>
        <v>0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54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false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No</v>
      </c>
      <c r="BQ187" s="25" t="str">
        <f>IF(
   AND(
      'Base stats'!AN183="Standard",_xlfn.XLOOKUP(_xlfn.XLOOKUP(B187,'Base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No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190</v>
      </c>
      <c r="BS187" s="8">
        <f t="shared" si="55"/>
        <v>1.4500000000000002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false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AnimalCommon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Tundra BorealForest ColdBog TemperateForest TemperateSwamp GlacialPlain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stats'!N:N)=1,"No",MAX(0.01,MIN(MROUND(IF(OR(_xlfn.XLOOKUP(B187,'Base stats'!B:B,'Base stats'!AM:AM)=1,AND(BJ187="True",CC187="False")),POWER(10,3.47*LOG10(_xlfn.XLOOKUP(B187,'Base stats'!B:B,'Base stats'!C:C)*1000)^-0.96),POWER(10,4.15*LOG10(_xlfn.XLOOKUP(B187,'Base stats'!B:B,'Base stats'!C:C)*1000)^-0.73))*IF(OR(_xlfn.XLOOKUP(B187,'Base stats'!B:B,'Base stats'!AM:AM)=1,_xlfn.XLOOKUP(B187,'Base stats'!B:B,'Base stats'!AK:AK)=1),0.5,1)/100,0.025),0.5)))</f>
        <v>0.15000000000000002</v>
      </c>
      <c r="CA187" s="25" t="str">
        <f>IF(P187="Standard","No",MAX(0.01,IF(_xlfn.XLOOKUP(B187,'Base stats'!B:B,'Base stats'!N:N)=0,MROUND(BZ187*P187,0.05),MIN(1,MAX(0.025,MROUND(IF(OR(CC187="true",AND(BJ187="false",BO187="false")),POWER(10,4.15*LOG10(_xlfn.XLOOKUP(B187,'Base stats'!B:B,'Base stats'!C:C)*1000)^-0.73),POWER(10,3.47*LOG10(_xlfn.XLOOKUP(B187,'Base stats'!B:B,'Base stats'!C:C)*1000)^-0.96))*IF(_xlfn.XLOOKUP(B187,'Base stats'!B:B,'Base stats'!AK:AK)=1,0.5,1)/100,0.025))))))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56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Muskox</v>
      </c>
      <c r="B188" s="6" t="s">
        <v>230</v>
      </c>
      <c r="C188" s="28" t="s">
        <v>1285</v>
      </c>
      <c r="D188" s="28" t="s">
        <v>884</v>
      </c>
      <c r="E188" s="28" t="s">
        <v>685</v>
      </c>
      <c r="F188" s="28" t="s">
        <v>685</v>
      </c>
      <c r="G188" s="28" t="s">
        <v>1282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375</v>
      </c>
      <c r="I188" s="2">
        <f>MROUND(ROUNDDOWN(_xlfn.XLOOKUP(B188,'Base stats'!B:B,'Base stats'!L:L)/3.6/(23.3/11),1),0.5)</f>
        <v>7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stats'!O:O)=2,0,1)),0.05),0.985)))</f>
        <v>0.65</v>
      </c>
      <c r="K188" s="2">
        <f>ROUNDUP(AO188*_xlfn.XLOOKUP(_xlfn.XLOOKUP(B188,'Base stats'!B:B,'Base stats'!E:E),Groups!A:A,Groups!E:E),0)</f>
        <v>12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35</v>
      </c>
      <c r="N188" s="8" t="str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*0.025
),
0.05
),
200%
),
"No"
)</f>
        <v>No</v>
      </c>
      <c r="O188" s="8" t="str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*0.025
),
0.05
),
200%
),
"No"
)</f>
        <v>No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13</v>
      </c>
      <c r="R188" s="7">
        <f>IF(Q188="No","No",MAX(1,MROUND(_xlfn.XLOOKUP(B188,'Base stats'!B:B,'Base stats'!C:C)^0.165,0.05)))</f>
        <v>2.6</v>
      </c>
      <c r="S188" s="13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16</v>
      </c>
      <c r="T188" s="7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2.6</v>
      </c>
      <c r="U188" s="7" t="str">
        <f>IF(S188="No","No",_xlfn.XLOOKUP(_xlfn.XLOOKUP(B188,'Base stats'!B:B,'Base stats'!E:E),Groups!A:A,Groups!R:R))</f>
        <v>FrontLeftLeg, FrontRightLeg</v>
      </c>
      <c r="V188" s="7" t="str">
        <f>IF(S188="No","No",_xlfn.XLOOKUP(_xlfn.XLOOKUP(B188,'Base stats'!B:B,'Base stats'!E:E),Groups!A:A,Groups!S:S))</f>
        <v>left hoof, right hoof</v>
      </c>
      <c r="W188" s="7" t="str">
        <f>IF(S188="No","No",_xlfn.XLOOKUP(_xlfn.XLOOKUP(B188,'Base stats'!B:B,'Base stats'!E:E),Groups!A:A,Groups!T:T))</f>
        <v>Blunt</v>
      </c>
      <c r="X188" s="13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17.5</v>
      </c>
      <c r="Y188" s="7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2.2000000000000002</v>
      </c>
      <c r="Z188" s="7" t="str">
        <f>IF(X188="No","No",_xlfn.XLOOKUP(_xlfn.XLOOKUP(B188,'Base stats'!B:B,'Base stats'!E:E),Groups!A:A,Groups!W:W))</f>
        <v>HeadAttackTool</v>
      </c>
      <c r="AA188" s="7" t="str">
        <f>IF(X188="No","No",_xlfn.XLOOKUP(_xlfn.XLOOKUP(B188,'Base stats'!B:B,'Base stats'!E:E),Groups!A:A,Groups!X:X))</f>
        <v>horn</v>
      </c>
      <c r="AB188" s="7" t="str">
        <f>IF(X188="No","No",_xlfn.XLOOKUP(_xlfn.XLOOKUP(B188,'Base stats'!B:B,'Base stats'!E:E),Groups!A:A,Groups!Y:Y))</f>
        <v>Blunt</v>
      </c>
      <c r="AC188" s="7" t="str">
        <f>_xlfn.XLOOKUP(Animals!B188,'Base stats'!B:B,'Base stats'!X:X)</f>
        <v>False</v>
      </c>
      <c r="AD188" s="13" t="str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No</v>
      </c>
      <c r="AE188" s="7" t="str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No</v>
      </c>
      <c r="AF188" s="7" t="str">
        <f>IF(AD188="No","No",_xlfn.XLOOKUP(_xlfn.XLOOKUP(B188,'Base stats'!B:B,'Base stats'!E:E),Groups!A:A,Groups!AA:AA))</f>
        <v>No</v>
      </c>
      <c r="AG188" s="7" t="str">
        <f>IF(AD188="No","No",_xlfn.XLOOKUP(_xlfn.XLOOKUP(B188,'Base stats'!B:B,'Base stats'!E:E),Groups!A:A,Groups!AB:AB))</f>
        <v>No</v>
      </c>
      <c r="AH188" s="7" t="str">
        <f>IF(AD188="No","No",_xlfn.XLOOKUP(_xlfn.XLOOKUP(B188,'Base stats'!B:B,'Base stats'!E:E),Groups!A:A,Groups!AC:AC))</f>
        <v>No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 t="str">
        <f t="shared" si="51"/>
        <v>No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2.25</v>
      </c>
      <c r="AP188" s="8">
        <f>MROUND(AO188*_xlfn.XLOOKUP(_xlfn.XLOOKUP(B188,'Base stats'!B:B,'Base stats'!E:E),Groups!A:A,Groups!AI:AI)*_xlfn.XLOOKUP(B188,'Base stats'!B:B,'Base stats'!Z:Z),0.05)</f>
        <v>2.25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0.95000000000000007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15</v>
      </c>
      <c r="AS188" s="35">
        <f>IFERROR(IF(_xlfn.XLOOKUP(B188,'Base stats'!B:B,'Base stats'!F:F)="Lay eggs","Lay eggs",MIN(20,MAX(5.5,ROUND(((_xlfn.XLOOKUP(B188,'Base stats'!B:B,'Base stats'!F:F)-25)*(14.5/615) + 5.5)*2,0)/2))),"Cannot breed")</f>
        <v>11</v>
      </c>
      <c r="AT188" s="8">
        <f>IF(OR(A188="Queen",A188="Larva",A188="Megachicken",A188="Megatardi",A188="Toxscorpion"),"No",IFERROR(MAX(IF(_xlfn.XLOOKUP(B188,'Base stats'!B:B,'Base stats'!G:G)&lt;0.5,0.2,0.3),MROUND(_xlfn.XLOOKUP(B188,'Base stats'!B:B,'Base stats'!G:G)/(365/60),0.2)),"Unknown"))</f>
        <v>0.4</v>
      </c>
      <c r="AU188" s="8">
        <f t="shared" si="14"/>
        <v>0.2</v>
      </c>
      <c r="AV188" s="8">
        <f>IFERROR(IFERROR(MROUND(_xlfn.XLOOKUP(B188,'Base stats'!B:B,'Base stats'!J:J),0.1),"Lay eggs"),"Cannot breed")</f>
        <v>1</v>
      </c>
      <c r="AW188" s="2" t="str">
        <f t="shared" si="52"/>
        <v>true</v>
      </c>
      <c r="AX188" s="2" t="str">
        <f>IF(_xlfn.XLOOKUP(_xlfn.XLOOKUP(Animals!B188,'Base stats'!B:B,'Base stats'!E:E),Groups!A:A,Groups!AK:AK)=1,"true","false")</f>
        <v>true</v>
      </c>
      <c r="AY188" s="25" t="str">
        <f>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</f>
        <v>VegetarianRoughAnimal</v>
      </c>
      <c r="AZ188" s="2">
        <f>IF(_xlfn.XLOOKUP(_xlfn.XLOOKUP(B188,'Base stats'!B:B,'Base stats'!E:E),Groups!A:A,Groups!D:D)=1,MROUND((1-J188)*5+1,2)*IF(J188&lt;=0.4,2,1),"No")</f>
        <v>2</v>
      </c>
      <c r="BA188" s="2" t="str">
        <f>IF(AND(_xlfn.XLOOKUP(B188,'Base stats'!B:B,'Base stats'!AH:AH)="&lt;li&gt;Seal&lt;/li&gt;",G188="Odyssey"),"&lt;li&gt;AEXP_Seal&lt;/li&gt;",_xlfn.XLOOKUP(B188,'Base stats'!B:B,'Base stats'!AH:AH))</f>
        <v>&lt;li&gt;Sheep&lt;/li&gt;</v>
      </c>
      <c r="BB188" s="2" t="str">
        <f>_xlfn.XLOOKUP(B188,'Base stats'!B:B,'Base stats'!AG:AG)</f>
        <v>Leather_Plain</v>
      </c>
      <c r="BC188" s="23" t="str">
        <f>_xlfn.XLOOKUP(_xlfn.XLOOKUP(B188,'Base stats'!B:B,'Base stats'!E:E),Groups!A:A,Groups!AL:AL)</f>
        <v>QuadrupedAnimalWithHooves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2.5000000000000001E-2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0.05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false</v>
      </c>
      <c r="BK188" s="2" t="str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No</v>
      </c>
      <c r="BL188" s="2">
        <f t="shared" si="53"/>
        <v>0</v>
      </c>
      <c r="BM188" s="25" t="str">
        <f>IF(_xlfn.XLOOKUP(B188,'Base stats'!B:B,'Base stats'!AN:AN)="Standard","No",MROUND((_xlfn.XLOOKUP(B188,'Base stats'!B:B,'Base stats'!AN:AN)/3.6)/I188,0.1))</f>
        <v>No</v>
      </c>
      <c r="BN188" s="25" t="str">
        <f t="shared" si="54"/>
        <v>false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false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 t="str">
        <f>IF(
   AND(
      'Base stats'!AN184="Standard",_xlfn.XLOOKUP(_xlfn.XLOOKUP(B188,'Base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No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55"/>
        <v>1.2000000000000002</v>
      </c>
      <c r="BT188" s="8" t="str">
        <f>_xlfn.XLOOKUP(B188,'Base stats'!B:B,'Base stats'!AF:AF)</f>
        <v>3~10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false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Tundra GlacialPlain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stats'!N:N)=1,"No",MAX(0.01,MIN(MROUND(IF(OR(_xlfn.XLOOKUP(B188,'Base stats'!B:B,'Base stats'!AM:AM)=1,AND(BJ188="True",CC188="False")),POWER(10,3.47*LOG10(_xlfn.XLOOKUP(B188,'Base stats'!B:B,'Base stats'!C:C)*1000)^-0.96),POWER(10,4.15*LOG10(_xlfn.XLOOKUP(B188,'Base stats'!B:B,'Base stats'!C:C)*1000)^-0.73))*IF(OR(_xlfn.XLOOKUP(B188,'Base stats'!B:B,'Base stats'!AM:AM)=1,_xlfn.XLOOKUP(B188,'Base stats'!B:B,'Base stats'!AK:AK)=1),0.5,1)/100,0.025),0.5)))</f>
        <v>0.15000000000000002</v>
      </c>
      <c r="CA188" s="25" t="str">
        <f>IF(P188="Standard","No",MAX(0.01,IF(_xlfn.XLOOKUP(B188,'Base stats'!B:B,'Base stats'!N:N)=0,MROUND(BZ188*P188,0.05),MIN(1,MAX(0.025,MROUND(IF(OR(CC188="true",AND(BJ188="false",BO188="false")),POWER(10,4.15*LOG10(_xlfn.XLOOKUP(B188,'Base stats'!B:B,'Base stats'!C:C)*1000)^-0.73),POWER(10,3.47*LOG10(_xlfn.XLOOKUP(B188,'Base stats'!B:B,'Base stats'!C:C)*1000)^-0.96))*IF(_xlfn.XLOOKUP(B188,'Base stats'!B:B,'Base stats'!AK:AK)=1,0.5,1)/100,0.025))))))</f>
        <v>No</v>
      </c>
      <c r="CB188" s="25" t="str">
        <f>IF(_xlfn.XLOOKUP(_xlfn.XLOOKUP(B188,'Base stats'!B:B,'Base stats'!E:E),Groups!A:A,Groups!AJ:AJ)="Mammal","True","False")</f>
        <v>True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False</v>
      </c>
      <c r="CD188" s="25" t="str">
        <f t="shared" si="56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No</v>
      </c>
      <c r="CI188" s="25" t="str">
        <f>IF(_xlfn.XLOOKUP(_xlfn.XLOOKUP(B188,'Base stats'!B:B,'Base stats'!E:E),Groups!A:A,Groups!BB:BB),"True","False")</f>
        <v>True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Badger</v>
      </c>
      <c r="B189" s="6" t="s">
        <v>106</v>
      </c>
      <c r="C189" s="28" t="s">
        <v>1286</v>
      </c>
      <c r="D189" s="28" t="s">
        <v>884</v>
      </c>
      <c r="E189" s="28" t="s">
        <v>685</v>
      </c>
      <c r="F189" s="28" t="s">
        <v>685</v>
      </c>
      <c r="G189" s="28" t="s">
        <v>1282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175</v>
      </c>
      <c r="I189" s="2">
        <f>MROUND(ROUNDDOWN(_xlfn.XLOOKUP(B189,'Base stats'!B:B,'Base stats'!L:L)/3.6/(23.3/11),1),0.5)</f>
        <v>3.5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stats'!O:O)=2,0,1)),0.05),0.985)))</f>
        <v>0.75</v>
      </c>
      <c r="K189" s="2">
        <f>ROUNDUP(AO189*_xlfn.XLOOKUP(_xlfn.XLOOKUP(B189,'Base stats'!B:B,'Base stats'!E:E),Groups!A:A,Groups!E:E),0)</f>
        <v>1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-45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*0.025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*0.025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4</v>
      </c>
      <c r="R189" s="7">
        <f>IF(Q189="No","No",MAX(1,MROUND(_xlfn.XLOOKUP(B189,'Base stats'!B:B,'Base stats'!C:C)^0.165,0.05)))</f>
        <v>1.55</v>
      </c>
      <c r="S189" s="13" t="str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No</v>
      </c>
      <c r="T189" s="7" t="str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No</v>
      </c>
      <c r="U189" s="7" t="str">
        <f>IF(S189="No","No",_xlfn.XLOOKUP(_xlfn.XLOOKUP(B189,'Base stats'!B:B,'Base stats'!E:E),Groups!A:A,Groups!R:R))</f>
        <v>No</v>
      </c>
      <c r="V189" s="7" t="str">
        <f>IF(S189="No","No",_xlfn.XLOOKUP(_xlfn.XLOOKUP(B189,'Base stats'!B:B,'Base stats'!E:E),Groups!A:A,Groups!S:S))</f>
        <v>No</v>
      </c>
      <c r="W189" s="7" t="str">
        <f>IF(S189="No","No",_xlfn.XLOOKUP(_xlfn.XLOOKUP(B189,'Base stats'!B:B,'Base stats'!E:E),Groups!A:A,Groups!T:T))</f>
        <v>No</v>
      </c>
      <c r="X189" s="13" t="str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No</v>
      </c>
      <c r="Y189" s="7" t="str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No</v>
      </c>
      <c r="Z189" s="7" t="str">
        <f>IF(X189="No","No",_xlfn.XLOOKUP(_xlfn.XLOOKUP(B189,'Base stats'!B:B,'Base stats'!E:E),Groups!A:A,Groups!W:W))</f>
        <v>No</v>
      </c>
      <c r="AA189" s="7" t="str">
        <f>IF(X189="No","No",_xlfn.XLOOKUP(_xlfn.XLOOKUP(B189,'Base stats'!B:B,'Base stats'!E:E),Groups!A:A,Groups!X:X))</f>
        <v>No</v>
      </c>
      <c r="AB189" s="7" t="str">
        <f>IF(X189="No","No",_xlfn.XLOOKUP(_xlfn.XLOOKUP(B189,'Base stats'!B:B,'Base stats'!E:E),Groups!A:A,Groups!Y:Y))</f>
        <v>No</v>
      </c>
      <c r="AC189" s="7" t="str">
        <f>_xlfn.XLOOKUP(Animals!B189,'Base stats'!B:B,'Base stats'!X:X)</f>
        <v>False</v>
      </c>
      <c r="AD189" s="13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6.5</v>
      </c>
      <c r="AE189" s="7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1.2000000000000002</v>
      </c>
      <c r="AF189" s="7" t="str">
        <f>IF(AD189="No","No",_xlfn.XLOOKUP(_xlfn.XLOOKUP(B189,'Base stats'!B:B,'Base stats'!E:E),Groups!A:A,Groups!AA:AA))</f>
        <v>Teeth</v>
      </c>
      <c r="AG189" s="7" t="str">
        <f>IF(AD189="No","No",_xlfn.XLOOKUP(_xlfn.XLOOKUP(B189,'Base stats'!B:B,'Base stats'!E:E),Groups!A:A,Groups!AB:AB))</f>
        <v>canines</v>
      </c>
      <c r="AH189" s="7" t="str">
        <f>IF(AD189="No","No",_xlfn.XLOOKUP(_xlfn.XLOOKUP(B189,'Base stats'!B:B,'Base stats'!E:E),Groups!A:A,Groups!AC:AC))</f>
        <v>Bite</v>
      </c>
      <c r="AI189" s="13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6</v>
      </c>
      <c r="AJ189" s="7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1</v>
      </c>
      <c r="AK189" s="7" t="str">
        <f>IF(AI189="No","No",_xlfn.XLOOKUP(_xlfn.XLOOKUP(B189,'Base stats'!B:B,'Base stats'!E:E),Groups!A:A,Groups!AF:AF))</f>
        <v>FrontRightPaw, FrontRightPaw</v>
      </c>
      <c r="AL189" s="7" t="str">
        <f>IF(AI189="No","No",_xlfn.XLOOKUP(_xlfn.XLOOKUP(B189,'Base stats'!B:B,'Base stats'!E:E),Groups!A:A,Groups!AG:AG))</f>
        <v>left claw, right claw</v>
      </c>
      <c r="AM189" s="7" t="str">
        <f>IF(AI189="No","No",_xlfn.XLOOKUP(_xlfn.XLOOKUP(B189,'Base stats'!B:B,'Base stats'!E:E),Groups!A:A,Groups!AH:AH))</f>
        <v>Scratch</v>
      </c>
      <c r="AN189" s="2" t="str">
        <f t="shared" si="51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0.45</v>
      </c>
      <c r="AP189" s="8">
        <f>MROUND(AO189*_xlfn.XLOOKUP(_xlfn.XLOOKUP(B189,'Base stats'!B:B,'Base stats'!E:E),Groups!A:A,Groups!AI:AI)*_xlfn.XLOOKUP(B189,'Base stats'!B:B,'Base stats'!Z:Z),0.05)</f>
        <v>0.55000000000000004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0.35000000000000003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12</v>
      </c>
      <c r="AS189" s="35">
        <f>IFERROR(IF(_xlfn.XLOOKUP(B189,'Base stats'!B:B,'Base stats'!F:F)="Lay eggs","Lay eggs",MIN(20,MAX(5.5,ROUND(((_xlfn.XLOOKUP(B189,'Base stats'!B:B,'Base stats'!F:F)-25)*(14.5/615) + 5.5)*2,0)/2))),"Cannot breed")</f>
        <v>6</v>
      </c>
      <c r="AT189" s="8">
        <f>IF(OR(A189="Queen",A189="Larva",A189="Megachicken",A189="Megatardi",A189="Toxscorpion"),"No",IFERROR(MAX(IF(_xlfn.XLOOKUP(B189,'Base stats'!B:B,'Base stats'!G:G)&lt;0.5,0.2,0.3),MROUND(_xlfn.XLOOKUP(B189,'Base stats'!B:B,'Base stats'!G:G)/(365/60),0.2)),"Unknown"))</f>
        <v>0.3</v>
      </c>
      <c r="AU189" s="8">
        <f t="shared" si="14"/>
        <v>0.15000000000000002</v>
      </c>
      <c r="AV189" s="8">
        <f>IFERROR(IFERROR(MROUND(_xlfn.XLOOKUP(B189,'Base stats'!B:B,'Base stats'!J:J),0.1),"Lay eggs"),"Cannot breed")</f>
        <v>3</v>
      </c>
      <c r="AW189" s="2" t="str">
        <f t="shared" si="52"/>
        <v>false</v>
      </c>
      <c r="AX189" s="2" t="str">
        <f>IF(_xlfn.XLOOKUP(_xlfn.XLOOKUP(Animals!B189,'Base stats'!B:B,'Base stats'!E:E),Groups!A:A,Groups!AK:AK)=1,"true","false")</f>
        <v>false</v>
      </c>
      <c r="AY189" s="25" t="str">
        <f>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</f>
        <v>OmnivoreRoughAnimal, OvivoreAnimal</v>
      </c>
      <c r="AZ189" s="2" t="str">
        <f>IF(_xlfn.XLOOKUP(_xlfn.XLOOKUP(B189,'Base stats'!B:B,'Base stats'!E:E),Groups!A:A,Groups!D:D)=1,MROUND((1-J189)*5+1,2)*IF(J189&lt;=0.4,2,1),"No")</f>
        <v>No</v>
      </c>
      <c r="BA189" s="2" t="str">
        <f>IF(AND(_xlfn.XLOOKUP(B189,'Base stats'!B:B,'Base stats'!AH:AH)="&lt;li&gt;Seal&lt;/li&gt;",G189="Odyssey"),"&lt;li&gt;AEXP_Seal&lt;/li&gt;",_xlfn.XLOOKUP(B189,'Base stats'!B:B,'Base stats'!AH:AH))</f>
        <v>No</v>
      </c>
      <c r="BB189" s="2" t="str">
        <f>_xlfn.XLOOKUP(B189,'Base stats'!B:B,'Base stats'!AG:AG)</f>
        <v>Leather_Light</v>
      </c>
      <c r="BC189" s="23" t="str">
        <f>_xlfn.XLOOKUP(_xlfn.XLOOKUP(B189,'Base stats'!B:B,'Base stats'!E:E),Groups!A:A,Groups!AL:AL)</f>
        <v>QuadrupedAnimalWithPawsAndTail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0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Intermediate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53"/>
        <v>1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54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Forage</v>
      </c>
      <c r="BQ189" s="25" t="str">
        <f>IF(
   AND(
      'Base stats'!AN185="Standard",_xlfn.XLOOKUP(_xlfn.XLOOKUP(B189,'Base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60</v>
      </c>
      <c r="BS189" s="8">
        <f t="shared" si="55"/>
        <v>0.35000000000000003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AnimalUncommon, AnimalFighter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stats'!N:N)=1,"No",MAX(0.01,MIN(MROUND(IF(OR(_xlfn.XLOOKUP(B189,'Base stats'!B:B,'Base stats'!AM:AM)=1,AND(BJ189="True",CC189="False")),POWER(10,3.47*LOG10(_xlfn.XLOOKUP(B189,'Base stats'!B:B,'Base stats'!C:C)*1000)^-0.96),POWER(10,4.15*LOG10(_xlfn.XLOOKUP(B189,'Base stats'!B:B,'Base stats'!C:C)*1000)^-0.73))*IF(OR(_xlfn.XLOOKUP(B189,'Base stats'!B:B,'Base stats'!AM:AM)=1,_xlfn.XLOOKUP(B189,'Base stats'!B:B,'Base stats'!AK:AK)=1),0.5,1)/100,0.025),0.5)))</f>
        <v>0.30000000000000004</v>
      </c>
      <c r="CA189" s="25" t="str">
        <f>IF(P189="Standard","No",MAX(0.01,IF(_xlfn.XLOOKUP(B189,'Base stats'!B:B,'Base stats'!N:N)=0,MROUND(BZ189*P189,0.05),MIN(1,MAX(0.025,MROUND(IF(OR(CC189="true",AND(BJ189="false",BO189="false")),POWER(10,4.15*LOG10(_xlfn.XLOOKUP(B189,'Base stats'!B:B,'Base stats'!C:C)*1000)^-0.73),POWER(10,3.47*LOG10(_xlfn.XLOOKUP(B189,'Base stats'!B:B,'Base stats'!C:C)*1000)^-0.96))*IF(_xlfn.XLOOKUP(B189,'Base stats'!B:B,'Base stats'!AK:AK)=1,0.5,1)/100,0.025))))))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56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Gorilla</v>
      </c>
      <c r="B190" s="6" t="s">
        <v>112</v>
      </c>
      <c r="C190" s="28" t="s">
        <v>1287</v>
      </c>
      <c r="D190" s="28" t="s">
        <v>884</v>
      </c>
      <c r="E190" s="28" t="s">
        <v>685</v>
      </c>
      <c r="F190" s="28" t="s">
        <v>685</v>
      </c>
      <c r="G190" s="28" t="s">
        <v>1282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625</v>
      </c>
      <c r="I190" s="2">
        <f>MROUND(ROUNDDOWN(_xlfn.XLOOKUP(B190,'Base stats'!B:B,'Base stats'!L:L)/3.6/(23.3/11),1),0.5)</f>
        <v>4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stats'!O:O)=2,0,1)),0.05),0.985)))</f>
        <v>0.9</v>
      </c>
      <c r="K190" s="2">
        <f>ROUNDUP(AO190*_xlfn.XLOOKUP(_xlfn.XLOOKUP(B190,'Base stats'!B:B,'Base stats'!E:E),Groups!A:A,Groups!E:E),0)</f>
        <v>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40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*0.025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*0.025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9.5</v>
      </c>
      <c r="R190" s="7">
        <f>IF(Q190="No","No",MAX(1,MROUND(_xlfn.XLOOKUP(B190,'Base stats'!B:B,'Base stats'!C:C)^0.165,0.05)))</f>
        <v>2.3000000000000003</v>
      </c>
      <c r="S190" s="13" t="str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No</v>
      </c>
      <c r="T190" s="7" t="str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No</v>
      </c>
      <c r="U190" s="7" t="str">
        <f>IF(S190="No","No",_xlfn.XLOOKUP(_xlfn.XLOOKUP(B190,'Base stats'!B:B,'Base stats'!E:E),Groups!A:A,Groups!R:R))</f>
        <v>No</v>
      </c>
      <c r="V190" s="7" t="str">
        <f>IF(S190="No","No",_xlfn.XLOOKUP(_xlfn.XLOOKUP(B190,'Base stats'!B:B,'Base stats'!E:E),Groups!A:A,Groups!S:S))</f>
        <v>No</v>
      </c>
      <c r="W190" s="7" t="str">
        <f>IF(S190="No","No",_xlfn.XLOOKUP(_xlfn.XLOOKUP(B190,'Base stats'!B:B,'Base stats'!E:E),Groups!A:A,Groups!T:T))</f>
        <v>No</v>
      </c>
      <c r="X190" s="13" t="str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No</v>
      </c>
      <c r="Y190" s="7" t="str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No</v>
      </c>
      <c r="Z190" s="7" t="str">
        <f>IF(X190="No","No",_xlfn.XLOOKUP(_xlfn.XLOOKUP(B190,'Base stats'!B:B,'Base stats'!E:E),Groups!A:A,Groups!W:W))</f>
        <v>No</v>
      </c>
      <c r="AA190" s="7" t="str">
        <f>IF(X190="No","No",_xlfn.XLOOKUP(_xlfn.XLOOKUP(B190,'Base stats'!B:B,'Base stats'!E:E),Groups!A:A,Groups!X:X))</f>
        <v>No</v>
      </c>
      <c r="AB190" s="7" t="str">
        <f>IF(X190="No","No",_xlfn.XLOOKUP(_xlfn.XLOOKUP(B190,'Base stats'!B:B,'Base stats'!E:E),Groups!A:A,Groups!Y:Y))</f>
        <v>No</v>
      </c>
      <c r="AC190" s="7" t="str">
        <f>_xlfn.XLOOKUP(Animals!B190,'Base stats'!B:B,'Base stats'!X:X)</f>
        <v>False</v>
      </c>
      <c r="AD190" s="13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14.5</v>
      </c>
      <c r="AE190" s="7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1.9500000000000002</v>
      </c>
      <c r="AF190" s="7" t="str">
        <f>IF(AD190="No","No",_xlfn.XLOOKUP(_xlfn.XLOOKUP(B190,'Base stats'!B:B,'Base stats'!E:E),Groups!A:A,Groups!AA:AA))</f>
        <v>Teeth</v>
      </c>
      <c r="AG190" s="7" t="str">
        <f>IF(AD190="No","No",_xlfn.XLOOKUP(_xlfn.XLOOKUP(B190,'Base stats'!B:B,'Base stats'!E:E),Groups!A:A,Groups!AB:AB))</f>
        <v>canines</v>
      </c>
      <c r="AH190" s="7" t="str">
        <f>IF(AD190="No","No",_xlfn.XLOOKUP(_xlfn.XLOOKUP(B190,'Base stats'!B:B,'Base stats'!E:E),Groups!A:A,Groups!AC:AC))</f>
        <v>Bite</v>
      </c>
      <c r="AI190" s="13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12.5</v>
      </c>
      <c r="AJ190" s="7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1.5</v>
      </c>
      <c r="AK190" s="7" t="str">
        <f>IF(AI190="No","No",_xlfn.XLOOKUP(_xlfn.XLOOKUP(B190,'Base stats'!B:B,'Base stats'!E:E),Groups!A:A,Groups!AF:AF))</f>
        <v>LeftHand, RightHand</v>
      </c>
      <c r="AL190" s="7" t="str">
        <f>IF(AI190="No","No",_xlfn.XLOOKUP(_xlfn.XLOOKUP(B190,'Base stats'!B:B,'Base stats'!E:E),Groups!A:A,Groups!AG:AG))</f>
        <v>left fist, right fist</v>
      </c>
      <c r="AM190" s="7" t="str">
        <f>IF(AI190="No","No",_xlfn.XLOOKUP(_xlfn.XLOOKUP(B190,'Base stats'!B:B,'Base stats'!E:E),Groups!A:A,Groups!AH:AH))</f>
        <v>Blunt</v>
      </c>
      <c r="AN190" s="2" t="str">
        <f t="shared" si="51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1.5</v>
      </c>
      <c r="AP190" s="8">
        <f>MROUND(AO190*_xlfn.XLOOKUP(_xlfn.XLOOKUP(B190,'Base stats'!B:B,'Base stats'!E:E),Groups!A:A,Groups!AI:AI)*_xlfn.XLOOKUP(B190,'Base stats'!B:B,'Base stats'!Z:Z),0.05)</f>
        <v>1.5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0.75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50</v>
      </c>
      <c r="AS190" s="35">
        <f>IFERROR(IF(_xlfn.XLOOKUP(B190,'Base stats'!B:B,'Base stats'!F:F)="Lay eggs","Lay eggs",MIN(20,MAX(5.5,ROUND(((_xlfn.XLOOKUP(B190,'Base stats'!B:B,'Base stats'!F:F)-25)*(14.5/615) + 5.5)*2,0)/2))),"Cannot breed")</f>
        <v>11</v>
      </c>
      <c r="AT190" s="8">
        <f>IF(OR(A190="Queen",A190="Larva",A190="Megachicken",A190="Megatardi",A190="Toxscorpion"),"No",IFERROR(MAX(IF(_xlfn.XLOOKUP(B190,'Base stats'!B:B,'Base stats'!G:G)&lt;0.5,0.2,0.3),MROUND(_xlfn.XLOOKUP(B190,'Base stats'!B:B,'Base stats'!G:G)/(365/60),0.2)),"Unknown"))</f>
        <v>1.2000000000000002</v>
      </c>
      <c r="AU190" s="8">
        <f t="shared" si="14"/>
        <v>0.60000000000000009</v>
      </c>
      <c r="AV190" s="8">
        <f>IFERROR(IFERROR(MROUND(_xlfn.XLOOKUP(B190,'Base stats'!B:B,'Base stats'!J:J),0.1),"Lay eggs"),"Cannot breed")</f>
        <v>1</v>
      </c>
      <c r="AW190" s="2" t="str">
        <f t="shared" si="52"/>
        <v>true</v>
      </c>
      <c r="AX190" s="2" t="str">
        <f>IF(_xlfn.XLOOKUP(_xlfn.XLOOKUP(Animals!B190,'Base stats'!B:B,'Base stats'!E:E),Groups!A:A,Groups!AK:AK)=1,"true","false")</f>
        <v>false</v>
      </c>
      <c r="AY190" s="25" t="str">
        <f>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</f>
        <v>VegetarianRoughAnimal</v>
      </c>
      <c r="AZ190" s="2" t="str">
        <f>IF(_xlfn.XLOOKUP(_xlfn.XLOOKUP(B190,'Base stats'!B:B,'Base stats'!E:E),Groups!A:A,Groups!D:D)=1,MROUND((1-J190)*5+1,2)*IF(J190&lt;=0.4,2,1),"No")</f>
        <v>No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&lt;li&gt;Monkey&lt;/li&gt;</v>
      </c>
      <c r="BB190" s="2" t="str">
        <f>_xlfn.XLOOKUP(B190,'Base stats'!B:B,'Base stats'!AG:AG)</f>
        <v>Leather_Light</v>
      </c>
      <c r="BC190" s="23" t="str">
        <f>_xlfn.XLOOKUP(_xlfn.XLOOKUP(B190,'Base stats'!B:B,'Base stats'!E:E),Groups!A:A,Groups!AL:AL)</f>
        <v>Ape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0.1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Advanced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53"/>
        <v>1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54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Forage</v>
      </c>
      <c r="BQ190" s="25" t="str">
        <f>IF(
   AND(
      'Base stats'!AN187="Standard",_xlfn.XLOOKUP(_xlfn.XLOOKUP(B190,'Base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125</v>
      </c>
      <c r="BS190" s="8">
        <f t="shared" si="55"/>
        <v>0.9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AnimalUncommon, AnimalFighter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TropicalRainforest TropicalSwamp Glowforest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stats'!N:N)=1,"No",MAX(0.01,MIN(MROUND(IF(OR(_xlfn.XLOOKUP(B190,'Base stats'!B:B,'Base stats'!AM:AM)=1,AND(BJ190="True",CC190="False")),POWER(10,3.47*LOG10(_xlfn.XLOOKUP(B190,'Base stats'!B:B,'Base stats'!C:C)*1000)^-0.96),POWER(10,4.15*LOG10(_xlfn.XLOOKUP(B190,'Base stats'!B:B,'Base stats'!C:C)*1000)^-0.73))*IF(OR(_xlfn.XLOOKUP(B190,'Base stats'!B:B,'Base stats'!AM:AM)=1,_xlfn.XLOOKUP(B190,'Base stats'!B:B,'Base stats'!AK:AK)=1),0.5,1)/100,0.025),0.5)))</f>
        <v>0.17500000000000002</v>
      </c>
      <c r="CA190" s="25" t="str">
        <f>IF(P190="Standard","No",MAX(0.01,IF(_xlfn.XLOOKUP(B190,'Base stats'!B:B,'Base stats'!N:N)=0,MROUND(BZ190*P190,0.05),MIN(1,MAX(0.025,MROUND(IF(OR(CC190="true",AND(BJ190="false",BO190="false")),POWER(10,4.15*LOG10(_xlfn.XLOOKUP(B190,'Base stats'!B:B,'Base stats'!C:C)*1000)^-0.73),POWER(10,3.47*LOG10(_xlfn.XLOOKUP(B190,'Base stats'!B:B,'Base stats'!C:C)*1000)^-0.96))*IF(_xlfn.XLOOKUP(B190,'Base stats'!B:B,'Base stats'!AK:AK)=1,0.5,1)/100,0.025))))))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56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Penguin</v>
      </c>
      <c r="B191" s="6" t="s">
        <v>188</v>
      </c>
      <c r="C191" s="28" t="s">
        <v>1292</v>
      </c>
      <c r="D191" s="28" t="s">
        <v>884</v>
      </c>
      <c r="E191" s="28" t="s">
        <v>685</v>
      </c>
      <c r="F191" s="28" t="s">
        <v>688</v>
      </c>
      <c r="G191" s="28" t="s">
        <v>1282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225</v>
      </c>
      <c r="I191" s="2">
        <f>MROUND(ROUNDDOWN(_xlfn.XLOOKUP(B191,'Base stats'!B:B,'Base stats'!L:L)/3.6/(23.3/11),1),0.5)</f>
        <v>1.5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stats'!O:O)=2,0,1)),0.05),0.985)))</f>
        <v>0.70000000000000007</v>
      </c>
      <c r="K191" s="2">
        <f>ROUNDUP(AO191*_xlfn.XLOOKUP(_xlfn.XLOOKUP(B191,'Base stats'!B:B,'Base stats'!E:E),Groups!A:A,Groups!E:E),0)</f>
        <v>8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-60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10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*0.025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*0.025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5.5</v>
      </c>
      <c r="R191" s="7">
        <f>IF(Q191="No","No",MAX(1,MROUND(_xlfn.XLOOKUP(B191,'Base stats'!B:B,'Base stats'!C:C)^0.165,0.05)))</f>
        <v>1.75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5.5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1.4000000000000001</v>
      </c>
      <c r="AF191" s="7" t="str">
        <f>IF(AD191="No","No",_xlfn.XLOOKUP(_xlfn.XLOOKUP(B191,'Base stats'!B:B,'Base stats'!E:E),Groups!A:A,Groups!AA:AA))</f>
        <v>Beak</v>
      </c>
      <c r="AG191" s="7" t="str">
        <f>IF(AD191="No","No",_xlfn.XLOOKUP(_xlfn.XLOOKUP(B191,'Base stats'!B:B,'Base stats'!E:E),Groups!A:A,Groups!AB:AB))</f>
        <v>beak</v>
      </c>
      <c r="AH191" s="7" t="str">
        <f>IF(AD191="No","No",_xlfn.XLOOKUP(_xlfn.XLOOKUP(B191,'Base stats'!B:B,'Base stats'!E:E),Groups!A:A,Groups!AC:AC))</f>
        <v>Blunt</v>
      </c>
      <c r="AI191" s="13" t="str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No</v>
      </c>
      <c r="AJ191" s="7" t="str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No</v>
      </c>
      <c r="AK191" s="7" t="str">
        <f>IF(AI191="No","No",_xlfn.XLOOKUP(_xlfn.XLOOKUP(B191,'Base stats'!B:B,'Base stats'!E:E),Groups!A:A,Groups!AF:AF))</f>
        <v>No</v>
      </c>
      <c r="AL191" s="7" t="str">
        <f>IF(AI191="No","No",_xlfn.XLOOKUP(_xlfn.XLOOKUP(B191,'Base stats'!B:B,'Base stats'!E:E),Groups!A:A,Groups!AG:AG))</f>
        <v>No</v>
      </c>
      <c r="AM191" s="7" t="str">
        <f>IF(AI191="No","No",_xlfn.XLOOKUP(_xlfn.XLOOKUP(B191,'Base stats'!B:B,'Base stats'!E:E),Groups!A:A,Groups!AH:AH))</f>
        <v>No</v>
      </c>
      <c r="AN191" s="2" t="str">
        <f t="shared" si="51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0.70000000000000007</v>
      </c>
      <c r="AP191" s="8">
        <f>MROUND(AO191*_xlfn.XLOOKUP(_xlfn.XLOOKUP(B191,'Base stats'!B:B,'Base stats'!E:E),Groups!A:A,Groups!AI:AI)*_xlfn.XLOOKUP(B191,'Base stats'!B:B,'Base stats'!Z:Z),0.05)</f>
        <v>0.70000000000000007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0.55000000000000004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25</v>
      </c>
      <c r="AS191" s="35" t="str">
        <f>IFERROR(IF(_xlfn.XLOOKUP(B191,'Base stats'!B:B,'Base stats'!F:F)="Lay eggs","Lay eggs",MIN(20,MAX(5.5,ROUND(((_xlfn.XLOOKUP(B191,'Base stats'!B:B,'Base stats'!F:F)-25)*(14.5/615) + 5.5)*2,0)/2))),"Cannot breed")</f>
        <v>Lay eggs</v>
      </c>
      <c r="AT191" s="8">
        <f>IF(OR(A191="Queen",A191="Larva",A191="Megachicken",A191="Megatardi",A191="Toxscorpion"),"No",IFERROR(MAX(IF(_xlfn.XLOOKUP(B191,'Base stats'!B:B,'Base stats'!G:G)&lt;0.5,0.2,0.3),MROUND(_xlfn.XLOOKUP(B191,'Base stats'!B:B,'Base stats'!G:G)/(365/60),0.2)),"Unknown"))</f>
        <v>0.8</v>
      </c>
      <c r="AU191" s="8">
        <f t="shared" si="14"/>
        <v>0.4</v>
      </c>
      <c r="AV191" s="8" t="str">
        <f>IFERROR(IFERROR(MROUND(_xlfn.XLOOKUP(B191,'Base stats'!B:B,'Base stats'!J:J),0.1),"Lay eggs"),"Cannot breed")</f>
        <v>Lay eggs</v>
      </c>
      <c r="AW191" s="2" t="str">
        <f t="shared" si="52"/>
        <v>true</v>
      </c>
      <c r="AX191" s="2" t="str">
        <f>IF(_xlfn.XLOOKUP(_xlfn.XLOOKUP(Animals!B191,'Base stats'!B:B,'Base stats'!E:E),Groups!A:A,Groups!AK:AK)=1,"true","false")</f>
        <v>false</v>
      </c>
      <c r="AY191" s="25" t="str">
        <f>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</f>
        <v>CarnivoreAnimal, OvivoreAnimal</v>
      </c>
      <c r="AZ191" s="2">
        <f>IF(_xlfn.XLOOKUP(_xlfn.XLOOKUP(B191,'Base stats'!B:B,'Base stats'!E:E),Groups!A:A,Groups!D:D)=1,MROUND((1-J191)*5+1,2)*IF(J191&lt;=0.4,2,1),"No")</f>
        <v>2</v>
      </c>
      <c r="BA191" s="2" t="str">
        <f>IF(AND(_xlfn.XLOOKUP(B191,'Base stats'!B:B,'Base stats'!AH:AH)="&lt;li&gt;Seal&lt;/li&gt;",G191="Odyssey"),"&lt;li&gt;AEXP_Seal&lt;/li&gt;",_xlfn.XLOOKUP(B191,'Base stats'!B:B,'Base stats'!AH:AH))</f>
        <v>&lt;li&gt;Cassowary&lt;/li&gt;</v>
      </c>
      <c r="BB191" s="2" t="str">
        <f>_xlfn.XLOOKUP(B191,'Base stats'!B:B,'Base stats'!AG:AG)</f>
        <v>No</v>
      </c>
      <c r="BC191" s="23" t="str">
        <f>_xlfn.XLOOKUP(_xlfn.XLOOKUP(B191,'Base stats'!B:B,'Base stats'!E:E),Groups!A:A,Groups!AL:AL)</f>
        <v>Bird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None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53"/>
        <v>0</v>
      </c>
      <c r="BM191" s="25">
        <f>IF(_xlfn.XLOOKUP(B191,'Base stats'!B:B,'Base stats'!AN:AN)="Standard","No",MROUND((_xlfn.XLOOKUP(B191,'Base stats'!B:B,'Base stats'!AN:AN)/3.6)/I191,0.1))</f>
        <v>2</v>
      </c>
      <c r="BN191" s="25" t="str">
        <f t="shared" si="54"/>
        <v>true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true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No</v>
      </c>
      <c r="BQ191" s="25">
        <f>IF(
   AND(
      'Base stats'!AN192="Standard",_xlfn.XLOOKUP(_xlfn.XLOOKUP(B191,'Base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1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45</v>
      </c>
      <c r="BS191" s="8">
        <f t="shared" si="55"/>
        <v>0.60000000000000009</v>
      </c>
      <c r="BT191" s="8" t="str">
        <f>_xlfn.XLOOKUP(B191,'Base stats'!B:B,'Base stats'!AF:AF)</f>
        <v>5~15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true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SeaIce IceSheet Tundra</v>
      </c>
      <c r="BY191" s="25" t="str">
        <f>IF(_xlfn.XLOOKUP(B191,'Base stats'!B:B,'Base stats'!AJ:AJ)=1,"true","false")</f>
        <v>true</v>
      </c>
      <c r="BZ191" s="25">
        <f>IF(_xlfn.XLOOKUP(B191,'Base stats'!B:B,'Base stats'!N:N)=1,"No",MAX(0.01,MIN(MROUND(IF(OR(_xlfn.XLOOKUP(B191,'Base stats'!B:B,'Base stats'!AM:AM)=1,AND(BJ191="True",CC191="False")),POWER(10,3.47*LOG10(_xlfn.XLOOKUP(B191,'Base stats'!B:B,'Base stats'!C:C)*1000)^-0.96),POWER(10,4.15*LOG10(_xlfn.XLOOKUP(B191,'Base stats'!B:B,'Base stats'!C:C)*1000)^-0.73))*IF(OR(_xlfn.XLOOKUP(B191,'Base stats'!B:B,'Base stats'!AM:AM)=1,_xlfn.XLOOKUP(B191,'Base stats'!B:B,'Base stats'!AK:AK)=1),0.5,1)/100,0.025),0.5)))</f>
        <v>0.25</v>
      </c>
      <c r="CA191" s="25" t="str">
        <f>IF(P191="Standard","No",MAX(0.01,IF(_xlfn.XLOOKUP(B191,'Base stats'!B:B,'Base stats'!N:N)=0,MROUND(BZ191*P191,0.05),MIN(1,MAX(0.025,MROUND(IF(OR(CC191="true",AND(BJ191="false",BO191="false")),POWER(10,4.15*LOG10(_xlfn.XLOOKUP(B191,'Base stats'!B:B,'Base stats'!C:C)*1000)^-0.73),POWER(10,3.47*LOG10(_xlfn.XLOOKUP(B191,'Base stats'!B:B,'Base stats'!C:C)*1000)^-0.96))*IF(_xlfn.XLOOKUP(B191,'Base stats'!B:B,'Base stats'!AK:AK)=1,0.5,1)/100,0.025))))))</f>
        <v>No</v>
      </c>
      <c r="CB191" s="25" t="str">
        <f>IF(_xlfn.XLOOKUP(_xlfn.XLOOKUP(B191,'Base stats'!B:B,'Base stats'!E:E),Groups!A:A,Groups!AJ:AJ)="Mammal","True","False")</f>
        <v>False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56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Hippo</v>
      </c>
      <c r="B192" s="6" t="s">
        <v>186</v>
      </c>
      <c r="C192" s="28" t="s">
        <v>1293</v>
      </c>
      <c r="D192" s="28" t="s">
        <v>884</v>
      </c>
      <c r="E192" s="28" t="s">
        <v>685</v>
      </c>
      <c r="F192" s="28" t="s">
        <v>685</v>
      </c>
      <c r="G192" s="28" t="s">
        <v>1282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725</v>
      </c>
      <c r="I192" s="2">
        <f>MROUND(ROUNDDOWN(_xlfn.XLOOKUP(B192,'Base stats'!B:B,'Base stats'!L:L)/3.6/(23.3/11),1),0.5)</f>
        <v>3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stats'!O:O)=2,0,1)),0.05),0.985)))</f>
        <v>0.9</v>
      </c>
      <c r="K192" s="2">
        <f>ROUNDUP(AO192*_xlfn.XLOOKUP(_xlfn.XLOOKUP(B192,'Base stats'!B:B,'Base stats'!E:E),Groups!A:A,Groups!E:E),0)</f>
        <v>19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-10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*0.025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*0.025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22.5</v>
      </c>
      <c r="R192" s="7">
        <f>IF(Q192="No","No",MAX(1,MROUND(_xlfn.XLOOKUP(B192,'Base stats'!B:B,'Base stats'!C:C)^0.165,0.05)))</f>
        <v>3.3000000000000003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34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2.8000000000000003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teeth</v>
      </c>
      <c r="AH192" s="7" t="str">
        <f>IF(AD192="No","No",_xlfn.XLOOKUP(_xlfn.XLOOKUP(B192,'Base stats'!B:B,'Base stats'!E:E),Groups!A:A,Groups!AC:AC))</f>
        <v>Bite</v>
      </c>
      <c r="AI192" s="13" t="str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No</v>
      </c>
      <c r="AJ192" s="7" t="str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No</v>
      </c>
      <c r="AK192" s="7" t="str">
        <f>IF(AI192="No","No",_xlfn.XLOOKUP(_xlfn.XLOOKUP(B192,'Base stats'!B:B,'Base stats'!E:E),Groups!A:A,Groups!AF:AF))</f>
        <v>No</v>
      </c>
      <c r="AL192" s="7" t="str">
        <f>IF(AI192="No","No",_xlfn.XLOOKUP(_xlfn.XLOOKUP(B192,'Base stats'!B:B,'Base stats'!E:E),Groups!A:A,Groups!AG:AG))</f>
        <v>No</v>
      </c>
      <c r="AM192" s="7" t="str">
        <f>IF(AI192="No","No",_xlfn.XLOOKUP(_xlfn.XLOOKUP(B192,'Base stats'!B:B,'Base stats'!E:E),Groups!A:A,Groups!AH:AH))</f>
        <v>No</v>
      </c>
      <c r="AN192" s="2" t="str">
        <f t="shared" ref="AN192:AN196" si="57">IF(BJ192="false","No",MROUND(AO192*5+15*1,5))</f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3.75</v>
      </c>
      <c r="AP192" s="8">
        <f>MROUND(AO192*_xlfn.XLOOKUP(_xlfn.XLOOKUP(B192,'Base stats'!B:B,'Base stats'!E:E),Groups!A:A,Groups!AI:AI)*_xlfn.XLOOKUP(B192,'Base stats'!B:B,'Base stats'!Z:Z),0.05)</f>
        <v>4.5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2.2000000000000002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35</v>
      </c>
      <c r="AS192" s="35">
        <f>IFERROR(IF(_xlfn.XLOOKUP(B192,'Base stats'!B:B,'Base stats'!F:F)="Lay eggs","Lay eggs",MIN(20,MAX(5.5,ROUND(((_xlfn.XLOOKUP(B192,'Base stats'!B:B,'Base stats'!F:F)-25)*(14.5/615) + 5.5)*2,0)/2))),"Cannot breed")</f>
        <v>10.5</v>
      </c>
      <c r="AT192" s="8">
        <f>IF(OR(A192="Queen",A192="Larva",A192="Megachicken",A192="Megatardi",A192="Toxscorpion"),"No",IFERROR(MAX(IF(_xlfn.XLOOKUP(B192,'Base stats'!B:B,'Base stats'!G:G)&lt;0.5,0.2,0.3),MROUND(_xlfn.XLOOKUP(B192,'Base stats'!B:B,'Base stats'!G:G)/(365/60),0.2)),"Unknown"))</f>
        <v>0.60000000000000009</v>
      </c>
      <c r="AU192" s="8">
        <f t="shared" si="14"/>
        <v>0.30000000000000004</v>
      </c>
      <c r="AV192" s="8">
        <f>IFERROR(IFERROR(MROUND(_xlfn.XLOOKUP(B192,'Base stats'!B:B,'Base stats'!J:J),0.1),"Lay eggs"),"Cannot breed")</f>
        <v>1</v>
      </c>
      <c r="AW192" s="2" t="str">
        <f t="shared" ref="AW192:AW196" si="58">IF(BT192="No","false","true")</f>
        <v>true</v>
      </c>
      <c r="AX192" s="2" t="str">
        <f>IF(_xlfn.XLOOKUP(_xlfn.XLOOKUP(Animals!B192,'Base stats'!B:B,'Base stats'!E:E),Groups!A:A,Groups!AK:AK)=1,"true","false")</f>
        <v>true</v>
      </c>
      <c r="AY192" s="25" t="str">
        <f>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</f>
        <v>VegetarianRoughAnimal</v>
      </c>
      <c r="AZ192" s="2">
        <f>IF(_xlfn.XLOOKUP(_xlfn.XLOOKUP(B192,'Base stats'!B:B,'Base stats'!E:E),Groups!A:A,Groups!D:D)=1,MROUND((1-J192)*5+1,2)*IF(J192&lt;=0.4,2,1),"No")</f>
        <v>2</v>
      </c>
      <c r="BA192" s="2" t="str">
        <f>IF(AND(_xlfn.XLOOKUP(B192,'Base stats'!B:B,'Base stats'!AH:AH)="&lt;li&gt;Seal&lt;/li&gt;",G192="Odyssey"),"&lt;li&gt;AEXP_Seal&lt;/li&gt;",_xlfn.XLOOKUP(B192,'Base stats'!B:B,'Base stats'!AH:AH))</f>
        <v>No</v>
      </c>
      <c r="BB192" s="2" t="str">
        <f>_xlfn.XLOOKUP(B192,'Base stats'!B:B,'Base stats'!AG:AG)</f>
        <v>Leather_Hippo</v>
      </c>
      <c r="BC192" s="23" t="str">
        <f>_xlfn.XLOOKUP(_xlfn.XLOOKUP(B192,'Base stats'!B:B,'Base stats'!E:E),Groups!A:A,Groups!AL:AL)</f>
        <v>QuadrupedAnimalWithHooves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0.1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0.3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None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ref="BL192:BL196" si="59">IF(BI192&lt;&gt;"None",1,0)</f>
        <v>0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ref="BN192:BN196" si="60">IF(OR(BM192&lt;&gt;"No",BQ192=1),"true","false")</f>
        <v>true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No</v>
      </c>
      <c r="BQ192" s="25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1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390</v>
      </c>
      <c r="BS192" s="8">
        <f t="shared" ref="BS192:BS196" si="61">MROUND(AO192 * 0.2 + AQ192 * 0.8,0.05)</f>
        <v>2.5</v>
      </c>
      <c r="BT192" s="8" t="str">
        <f>_xlfn.XLOOKUP(B192,'Base stats'!B:B,'Base stats'!AF:AF)</f>
        <v>5~15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true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AnimalCommon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stats'!N:N)=1,"No",MAX(0.01,MIN(MROUND(IF(OR(_xlfn.XLOOKUP(B192,'Base stats'!B:B,'Base stats'!AM:AM)=1,AND(BJ192="True",CC192="False")),POWER(10,3.47*LOG10(_xlfn.XLOOKUP(B192,'Base stats'!B:B,'Base stats'!C:C)*1000)^-0.96),POWER(10,4.15*LOG10(_xlfn.XLOOKUP(B192,'Base stats'!B:B,'Base stats'!C:C)*1000)^-0.73))*IF(OR(_xlfn.XLOOKUP(B192,'Base stats'!B:B,'Base stats'!AM:AM)=1,_xlfn.XLOOKUP(B192,'Base stats'!B:B,'Base stats'!AK:AK)=1),0.5,1)/100,0.025),0.5)))</f>
        <v>0.125</v>
      </c>
      <c r="CA192" s="25" t="str">
        <f>IF(P192="Standard","No",MAX(0.01,IF(_xlfn.XLOOKUP(B192,'Base stats'!B:B,'Base stats'!N:N)=0,MROUND(BZ192*P192,0.05),MIN(1,MAX(0.025,MROUND(IF(OR(CC192="true",AND(BJ192="false",BO192="false")),POWER(10,4.15*LOG10(_xlfn.XLOOKUP(B192,'Base stats'!B:B,'Base stats'!C:C)*1000)^-0.73),POWER(10,3.47*LOG10(_xlfn.XLOOKUP(B192,'Base stats'!B:B,'Base stats'!C:C)*1000)^-0.96))*IF(_xlfn.XLOOKUP(B192,'Base stats'!B:B,'Base stats'!AK:AK)=1,0.5,1)/100,0.025))))))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ref="CD192:CD196" si="62">IF(J192&gt;0.95,"True","False")</f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Otter</v>
      </c>
      <c r="B193" s="6" t="s">
        <v>227</v>
      </c>
      <c r="C193" s="28" t="s">
        <v>1332</v>
      </c>
      <c r="D193" s="28" t="s">
        <v>884</v>
      </c>
      <c r="E193" s="28" t="s">
        <v>685</v>
      </c>
      <c r="F193" s="28" t="s">
        <v>685</v>
      </c>
      <c r="G193" s="28" t="s">
        <v>1282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150</v>
      </c>
      <c r="I193" s="2">
        <f>MROUND(ROUNDDOWN(_xlfn.XLOOKUP(B193,'Base stats'!B:B,'Base stats'!L:L)/3.6/(23.3/11),1),0.5)</f>
        <v>3.5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stats'!O:O)=2,0,1)),0.05),0.985)))</f>
        <v>0.75</v>
      </c>
      <c r="K193" s="2">
        <f>ROUNDUP(AO193*_xlfn.XLOOKUP(_xlfn.XLOOKUP(B193,'Base stats'!B:B,'Base stats'!E:E),Groups!A:A,Groups!E:E),0)</f>
        <v>1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-35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35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*0.025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*0.025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3.5</v>
      </c>
      <c r="R193" s="7">
        <f>IF(Q193="No","No",MAX(1,MROUND(_xlfn.XLOOKUP(B193,'Base stats'!B:B,'Base stats'!C:C)^0.165,0.05)))</f>
        <v>1.5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1.2000000000000002</v>
      </c>
      <c r="AF193" s="7" t="str">
        <f>IF(AD193="No","No",_xlfn.XLOOKUP(_xlfn.XLOOKUP(B193,'Base stats'!B:B,'Base stats'!E:E),Groups!A:A,Groups!AA:AA))</f>
        <v>Teeth</v>
      </c>
      <c r="AG193" s="7" t="str">
        <f>IF(AD193="No","No",_xlfn.XLOOKUP(_xlfn.XLOOKUP(B193,'Base stats'!B:B,'Base stats'!E:E),Groups!A:A,Groups!AB:AB))</f>
        <v>canines</v>
      </c>
      <c r="AH193" s="7" t="str">
        <f>IF(AD193="No","No",_xlfn.XLOOKUP(_xlfn.XLOOKUP(B193,'Base stats'!B:B,'Base stats'!E:E),Groups!A:A,Groups!AC:AC))</f>
        <v>Bite</v>
      </c>
      <c r="AI193" s="13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4.5</v>
      </c>
      <c r="AJ193" s="7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0.95000000000000007</v>
      </c>
      <c r="AK193" s="7" t="str">
        <f>IF(AI193="No","No",_xlfn.XLOOKUP(_xlfn.XLOOKUP(B193,'Base stats'!B:B,'Base stats'!E:E),Groups!A:A,Groups!AF:AF))</f>
        <v>FrontRightPaw, FrontRightPaw</v>
      </c>
      <c r="AL193" s="7" t="str">
        <f>IF(AI193="No","No",_xlfn.XLOOKUP(_xlfn.XLOOKUP(B193,'Base stats'!B:B,'Base stats'!E:E),Groups!A:A,Groups!AG:AG))</f>
        <v>left claw, right claw</v>
      </c>
      <c r="AM193" s="7" t="str">
        <f>IF(AI193="No","No",_xlfn.XLOOKUP(_xlfn.XLOOKUP(B193,'Base stats'!B:B,'Base stats'!E:E),Groups!A:A,Groups!AH:AH))</f>
        <v>Scratch</v>
      </c>
      <c r="AN193" s="2">
        <f t="shared" si="57"/>
        <v>15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0.45</v>
      </c>
      <c r="AP193" s="8">
        <f>MROUND(AO193*_xlfn.XLOOKUP(_xlfn.XLOOKUP(B193,'Base stats'!B:B,'Base stats'!E:E),Groups!A:A,Groups!AI:AI)*_xlfn.XLOOKUP(B193,'Base stats'!B:B,'Base stats'!Z:Z),0.05)</f>
        <v>0.55000000000000004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0.35000000000000003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9</v>
      </c>
      <c r="AS193" s="35">
        <f>IFERROR(IF(_xlfn.XLOOKUP(B193,'Base stats'!B:B,'Base stats'!F:F)="Lay eggs","Lay eggs",MIN(20,MAX(5.5,ROUND(((_xlfn.XLOOKUP(B193,'Base stats'!B:B,'Base stats'!F:F)-25)*(14.5/615) + 5.5)*2,0)/2))),"Cannot breed")</f>
        <v>6.5</v>
      </c>
      <c r="AT193" s="8">
        <f>IF(OR(A193="Queen",A193="Larva",A193="Megachicken",A193="Megatardi",A193="Toxscorpion"),"No",IFERROR(MAX(IF(_xlfn.XLOOKUP(B193,'Base stats'!B:B,'Base stats'!G:G)&lt;0.5,0.2,0.3),MROUND(_xlfn.XLOOKUP(B193,'Base stats'!B:B,'Base stats'!G:G)/(365/60),0.2)),"Unknown"))</f>
        <v>0.3</v>
      </c>
      <c r="AU193" s="8">
        <f t="shared" si="14"/>
        <v>0.15000000000000002</v>
      </c>
      <c r="AV193" s="8">
        <f>IFERROR(IFERROR(MROUND(_xlfn.XLOOKUP(B193,'Base stats'!B:B,'Base stats'!J:J),0.1),"Lay eggs"),"Cannot breed")</f>
        <v>2</v>
      </c>
      <c r="AW193" s="2" t="str">
        <f t="shared" si="58"/>
        <v>false</v>
      </c>
      <c r="AX193" s="2" t="str">
        <f>IF(_xlfn.XLOOKUP(_xlfn.XLOOKUP(Animals!B193,'Base stats'!B:B,'Base stats'!E:E),Groups!A:A,Groups!AK:AK)=1,"true","false")</f>
        <v>false</v>
      </c>
      <c r="AY193" s="25" t="str">
        <f>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</f>
        <v>CarnivoreAnimal, OvivoreAnimal</v>
      </c>
      <c r="AZ193" s="2" t="str">
        <f>IF(_xlfn.XLOOKUP(_xlfn.XLOOKUP(B193,'Base stats'!B:B,'Base stats'!E:E),Groups!A:A,Groups!D:D)=1,MROUND((1-J193)*5+1,2)*IF(J193&lt;=0.4,2,1),"No")</f>
        <v>No</v>
      </c>
      <c r="BA193" s="2" t="str">
        <f>IF(AND(_xlfn.XLOOKUP(B193,'Base stats'!B:B,'Base stats'!AH:AH)="&lt;li&gt;Seal&lt;/li&gt;",G193="Odyssey"),"&lt;li&gt;AEXP_Seal&lt;/li&gt;",_xlfn.XLOOKUP(B193,'Base stats'!B:B,'Base stats'!AH:AH))</f>
        <v>No</v>
      </c>
      <c r="BB193" s="2" t="str">
        <f>_xlfn.XLOOKUP(B193,'Base stats'!B:B,'Base stats'!AG:AG)</f>
        <v>Leather_Light</v>
      </c>
      <c r="BC193" s="23" t="str">
        <f>_xlfn.XLOOKUP(_xlfn.XLOOKUP(B193,'Base stats'!B:B,'Base stats'!E:E),Groups!A:A,Groups!AL:AL)</f>
        <v>QuadrupedAnimalWithPawsAndTail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Intermediate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true</v>
      </c>
      <c r="BK193" s="2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0.2</v>
      </c>
      <c r="BL193" s="2">
        <f t="shared" si="59"/>
        <v>1</v>
      </c>
      <c r="BM193" s="25">
        <f>IF(_xlfn.XLOOKUP(B193,'Base stats'!B:B,'Base stats'!AN:AN)="Standard","No",MROUND((_xlfn.XLOOKUP(B193,'Base stats'!B:B,'Base stats'!AN:AN)/3.6)/I193,0.1))</f>
        <v>1</v>
      </c>
      <c r="BN193" s="25" t="str">
        <f t="shared" si="60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50</v>
      </c>
      <c r="BS193" s="8">
        <f t="shared" si="61"/>
        <v>0.35000000000000003</v>
      </c>
      <c r="BT193" s="8" t="str">
        <f>_xlfn.XLOOKUP(B193,'Base stats'!B:B,'Base stats'!AF:AF)</f>
        <v>No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ColdBog TemperateSwamp</v>
      </c>
      <c r="BY193" s="25" t="str">
        <f>IF(_xlfn.XLOOKUP(B193,'Base stats'!B:B,'Base stats'!AJ:AJ)=1,"true","false")</f>
        <v>false</v>
      </c>
      <c r="BZ193" s="25">
        <f>IF(_xlfn.XLOOKUP(B193,'Base stats'!B:B,'Base stats'!N:N)=1,"No",MAX(0.01,MIN(MROUND(IF(OR(_xlfn.XLOOKUP(B193,'Base stats'!B:B,'Base stats'!AM:AM)=1,AND(BJ193="True",CC193="False")),POWER(10,3.47*LOG10(_xlfn.XLOOKUP(B193,'Base stats'!B:B,'Base stats'!C:C)*1000)^-0.96),POWER(10,4.15*LOG10(_xlfn.XLOOKUP(B193,'Base stats'!B:B,'Base stats'!C:C)*1000)^-0.73))*IF(OR(_xlfn.XLOOKUP(B193,'Base stats'!B:B,'Base stats'!AM:AM)=1,_xlfn.XLOOKUP(B193,'Base stats'!B:B,'Base stats'!AK:AK)=1),0.5,1)/100,0.025),0.5)))</f>
        <v>7.5000000000000011E-2</v>
      </c>
      <c r="CA193" s="25" t="str">
        <f>IF(P193="Standard","No",MAX(0.01,IF(_xlfn.XLOOKUP(B193,'Base stats'!B:B,'Base stats'!N:N)=0,MROUND(BZ193*P193,0.05),MIN(1,MAX(0.025,MROUND(IF(OR(CC193="true",AND(BJ193="false",BO193="false")),POWER(10,4.15*LOG10(_xlfn.XLOOKUP(B193,'Base stats'!B:B,'Base stats'!C:C)*1000)^-0.73),POWER(10,3.47*LOG10(_xlfn.XLOOKUP(B193,'Base stats'!B:B,'Base stats'!C:C)*1000)^-0.96))*IF(_xlfn.XLOOKUP(B193,'Base stats'!B:B,'Base stats'!AK:AK)=1,0.5,1)/100,0.025))))))</f>
        <v>No</v>
      </c>
      <c r="CB193" s="25" t="str">
        <f>IF(_xlfn.XLOOKUP(_xlfn.XLOOKUP(B193,'Base stats'!B:B,'Base stats'!E:E),Groups!A:A,Groups!AJ:AJ)="Mammal","True","False")</f>
        <v>True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62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Seal</v>
      </c>
      <c r="B194" s="6" t="s">
        <v>190</v>
      </c>
      <c r="C194" s="28" t="s">
        <v>1294</v>
      </c>
      <c r="D194" s="28" t="s">
        <v>884</v>
      </c>
      <c r="E194" s="28" t="s">
        <v>685</v>
      </c>
      <c r="F194" s="28" t="s">
        <v>685</v>
      </c>
      <c r="G194" s="28" t="s">
        <v>1282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350</v>
      </c>
      <c r="I194" s="2">
        <f>MROUND(ROUNDDOWN(_xlfn.XLOOKUP(B194,'Base stats'!B:B,'Base stats'!L:L)/3.6/(23.3/11),1),0.5)</f>
        <v>2.5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stats'!O:O)=2,0,1)),0.05),0.985)))</f>
        <v>0.65</v>
      </c>
      <c r="K194" s="2">
        <f>ROUNDUP(AO194*_xlfn.XLOOKUP(_xlfn.XLOOKUP(B194,'Base stats'!B:B,'Base stats'!E:E),Groups!A:A,Groups!E:E),0)</f>
        <v>2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-65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35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*0.025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*0.025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8.5</v>
      </c>
      <c r="R194" s="7">
        <f>IF(Q194="No","No",MAX(1,MROUND(_xlfn.XLOOKUP(B194,'Base stats'!B:B,'Base stats'!C:C)^0.165,0.05)))</f>
        <v>2.2000000000000002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14.5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1.85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canines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>
        <f t="shared" si="57"/>
        <v>20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1.3</v>
      </c>
      <c r="AP194" s="8">
        <f>MROUND(AO194*_xlfn.XLOOKUP(_xlfn.XLOOKUP(B194,'Base stats'!B:B,'Base stats'!E:E),Groups!A:A,Groups!AI:AI)*_xlfn.XLOOKUP(B194,'Base stats'!B:B,'Base stats'!Z:Z),0.05)</f>
        <v>1.55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0.65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25</v>
      </c>
      <c r="AS194" s="35">
        <f>IFERROR(IF(_xlfn.XLOOKUP(B194,'Base stats'!B:B,'Base stats'!F:F)="Lay eggs","Lay eggs",MIN(20,MAX(5.5,ROUND(((_xlfn.XLOOKUP(B194,'Base stats'!B:B,'Base stats'!F:F)-25)*(14.5/615) + 5.5)*2,0)/2))),"Cannot breed")</f>
        <v>11</v>
      </c>
      <c r="AT194" s="8">
        <f>IF(OR(A194="Queen",A194="Larva",A194="Megachicken",A194="Megatardi",A194="Toxscorpion"),"No",IFERROR(MAX(IF(_xlfn.XLOOKUP(B194,'Base stats'!B:B,'Base stats'!G:G)&lt;0.5,0.2,0.3),MROUND(_xlfn.XLOOKUP(B194,'Base stats'!B:B,'Base stats'!G:G)/(365/60),0.2)),"Unknown"))</f>
        <v>0.4</v>
      </c>
      <c r="AU194" s="8">
        <f t="shared" ref="AU194:AU197" si="63">IF(AT194="No","No",IFERROR(MROUND(AT194/2,0.05),"Unknown"))</f>
        <v>0.2</v>
      </c>
      <c r="AV194" s="8">
        <f>IFERROR(IFERROR(MROUND(_xlfn.XLOOKUP(B194,'Base stats'!B:B,'Base stats'!J:J),0.1),"Lay eggs"),"Cannot breed")</f>
        <v>1</v>
      </c>
      <c r="AW194" s="2" t="str">
        <f t="shared" si="58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</f>
        <v>CarnivoreAnimal, OvivoreAnimal</v>
      </c>
      <c r="AZ194" s="2" t="str">
        <f>IF(_xlfn.XLOOKUP(_xlfn.XLOOKUP(B194,'Base stats'!B:B,'Base stats'!E:E),Groups!A:A,Groups!D:D)=1,MROUND((1-J194)*5+1,2)*IF(J194&lt;=0.4,2,1),"No")</f>
        <v>No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Leather_Sealskin</v>
      </c>
      <c r="BC194" s="23" t="str">
        <f>_xlfn.XLOOKUP(_xlfn.XLOOKUP(B194,'Base stats'!B:B,'Base stats'!E:E),Groups!A:A,Groups!AL:AL)</f>
        <v>Pinniped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</v>
      </c>
      <c r="BF194" s="2" t="str">
        <f>IF(J194&gt;0.3,"No",_xlfn.XLOOKUP(_xlfn.XLOOKUP(Animals!B194,'Base stats'!B:B,'Base stats'!E:E),Groups!A:A,Groups!AP:AP))</f>
        <v>No</v>
      </c>
      <c r="BG194" s="2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60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Intermediate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true</v>
      </c>
      <c r="BK194" s="2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3.5</v>
      </c>
      <c r="BL194" s="2">
        <f t="shared" si="59"/>
        <v>1</v>
      </c>
      <c r="BM194" s="25">
        <f>IF(_xlfn.XLOOKUP(B194,'Base stats'!B:B,'Base stats'!AN:AN)="Standard","No",MROUND((_xlfn.XLOOKUP(B194,'Base stats'!B:B,'Base stats'!AN:AN)/3.6)/I194,0.1))</f>
        <v>2.2000000000000002</v>
      </c>
      <c r="BN194" s="25" t="str">
        <f t="shared" si="60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true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AttackTarget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115</v>
      </c>
      <c r="BS194" s="8">
        <f t="shared" si="61"/>
        <v>0.8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AnimalCommon, AnimalFighter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SeaIce IceSheet Tundra BorealForest ColdBog TemperateForest TemperateSwamp GlacialPlain</v>
      </c>
      <c r="BY194" s="25" t="str">
        <f>IF(_xlfn.XLOOKUP(B194,'Base stats'!B:B,'Base stats'!AJ:AJ)=1,"true","false")</f>
        <v>true</v>
      </c>
      <c r="BZ194" s="25">
        <f>IF(_xlfn.XLOOKUP(B194,'Base stats'!B:B,'Base stats'!N:N)=1,"No",MAX(0.01,MIN(MROUND(IF(OR(_xlfn.XLOOKUP(B194,'Base stats'!B:B,'Base stats'!AM:AM)=1,AND(BJ194="True",CC194="False")),POWER(10,3.47*LOG10(_xlfn.XLOOKUP(B194,'Base stats'!B:B,'Base stats'!C:C)*1000)^-0.96),POWER(10,4.15*LOG10(_xlfn.XLOOKUP(B194,'Base stats'!B:B,'Base stats'!C:C)*1000)^-0.73))*IF(OR(_xlfn.XLOOKUP(B194,'Base stats'!B:B,'Base stats'!AM:AM)=1,_xlfn.XLOOKUP(B194,'Base stats'!B:B,'Base stats'!AK:AK)=1),0.5,1)/100,0.025),0.5)))</f>
        <v>0.05</v>
      </c>
      <c r="CA194" s="25" t="str">
        <f>IF(P194="Standard","No",MAX(0.01,IF(_xlfn.XLOOKUP(B194,'Base stats'!B:B,'Base stats'!N:N)=0,MROUND(BZ194*P194,0.05),MIN(1,MAX(0.025,MROUND(IF(OR(CC194="true",AND(BJ194="false",BO194="false")),POWER(10,4.15*LOG10(_xlfn.XLOOKUP(B194,'Base stats'!B:B,'Base stats'!C:C)*1000)^-0.73),POWER(10,3.47*LOG10(_xlfn.XLOOKUP(B194,'Base stats'!B:B,'Base stats'!C:C)*1000)^-0.96))*IF(_xlfn.XLOOKUP(B194,'Base stats'!B:B,'Base stats'!AK:AK)=1,0.5,1)/100,0.025))))))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62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Walrus</v>
      </c>
      <c r="B195" s="6" t="s">
        <v>192</v>
      </c>
      <c r="C195" s="28" t="s">
        <v>1295</v>
      </c>
      <c r="D195" s="28" t="s">
        <v>884</v>
      </c>
      <c r="E195" s="28" t="s">
        <v>685</v>
      </c>
      <c r="F195" s="28" t="s">
        <v>685</v>
      </c>
      <c r="G195" s="28" t="s">
        <v>1282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950</v>
      </c>
      <c r="I195" s="2">
        <f>MROUND(ROUNDDOWN(_xlfn.XLOOKUP(B195,'Base stats'!B:B,'Base stats'!L:L)/3.6/(23.3/11),1),0.5)</f>
        <v>1.5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stats'!O:O)=2,0,1)),0.05),0.985)))</f>
        <v>0.85000000000000009</v>
      </c>
      <c r="K195" s="2">
        <f>ROUNDUP(AO195*_xlfn.XLOOKUP(_xlfn.XLOOKUP(B195,'Base stats'!B:B,'Base stats'!E:E),Groups!A:A,Groups!E:E),0)</f>
        <v>4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-70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10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*0.025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*0.025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20.5</v>
      </c>
      <c r="R195" s="7">
        <f>IF(Q195="No","No",MAX(1,MROUND(_xlfn.XLOOKUP(B195,'Base stats'!B:B,'Base stats'!C:C)^0.165,0.05)))</f>
        <v>3.1500000000000004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22.5</v>
      </c>
      <c r="Y195" s="7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2.35</v>
      </c>
      <c r="Z195" s="7" t="str">
        <f>IF(X195="No","No",_xlfn.XLOOKUP(_xlfn.XLOOKUP(B195,'Base stats'!B:B,'Base stats'!E:E),Groups!A:A,Groups!W:W))</f>
        <v>TuskAttackTool</v>
      </c>
      <c r="AA195" s="7" t="str">
        <f>IF(X195="No","No",_xlfn.XLOOKUP(_xlfn.XLOOKUP(B195,'Base stats'!B:B,'Base stats'!E:E),Groups!A:A,Groups!X:X))</f>
        <v>tusk</v>
      </c>
      <c r="AB195" s="7" t="str">
        <f>IF(X195="No","No",_xlfn.XLOOKUP(_xlfn.XLOOKUP(B195,'Base stats'!B:B,'Base stats'!E:E),Groups!A:A,Groups!Y:Y))</f>
        <v>Scratch</v>
      </c>
      <c r="AC195" s="7" t="str">
        <f>_xlfn.XLOOKUP(Animals!B195,'Base stats'!B:B,'Base stats'!X:X)</f>
        <v>False</v>
      </c>
      <c r="AD195" s="13" t="str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No</v>
      </c>
      <c r="AE195" s="7" t="str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No</v>
      </c>
      <c r="AF195" s="7" t="str">
        <f>IF(AD195="No","No",_xlfn.XLOOKUP(_xlfn.XLOOKUP(B195,'Base stats'!B:B,'Base stats'!E:E),Groups!A:A,Groups!AA:AA))</f>
        <v>No</v>
      </c>
      <c r="AG195" s="7" t="str">
        <f>IF(AD195="No","No",_xlfn.XLOOKUP(_xlfn.XLOOKUP(B195,'Base stats'!B:B,'Base stats'!E:E),Groups!A:A,Groups!AB:AB))</f>
        <v>No</v>
      </c>
      <c r="AH195" s="7" t="str">
        <f>IF(AD195="No","No",_xlfn.XLOOKUP(_xlfn.XLOOKUP(B195,'Base stats'!B:B,'Base stats'!E:E),Groups!A:A,Groups!AC:AC))</f>
        <v>No</v>
      </c>
      <c r="AI195" s="13" t="str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No</v>
      </c>
      <c r="AJ195" s="7" t="str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No</v>
      </c>
      <c r="AK195" s="7" t="str">
        <f>IF(AI195="No","No",_xlfn.XLOOKUP(_xlfn.XLOOKUP(B195,'Base stats'!B:B,'Base stats'!E:E),Groups!A:A,Groups!AF:AF))</f>
        <v>No</v>
      </c>
      <c r="AL195" s="7" t="str">
        <f>IF(AI195="No","No",_xlfn.XLOOKUP(_xlfn.XLOOKUP(B195,'Base stats'!B:B,'Base stats'!E:E),Groups!A:A,Groups!AG:AG))</f>
        <v>No</v>
      </c>
      <c r="AM195" s="7" t="str">
        <f>IF(AI195="No","No",_xlfn.XLOOKUP(_xlfn.XLOOKUP(B195,'Base stats'!B:B,'Base stats'!E:E),Groups!A:A,Groups!AH:AH))</f>
        <v>No</v>
      </c>
      <c r="AN195" s="2" t="str">
        <f t="shared" si="57"/>
        <v>No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3.5</v>
      </c>
      <c r="AP195" s="8">
        <f>MROUND(AO195*_xlfn.XLOOKUP(_xlfn.XLOOKUP(B195,'Base stats'!B:B,'Base stats'!E:E),Groups!A:A,Groups!AI:AI)*_xlfn.XLOOKUP(B195,'Base stats'!B:B,'Base stats'!Z:Z),0.05)</f>
        <v>4.2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1.75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25</v>
      </c>
      <c r="AS195" s="35">
        <f>IFERROR(IF(_xlfn.XLOOKUP(B195,'Base stats'!B:B,'Base stats'!F:F)="Lay eggs","Lay eggs",MIN(20,MAX(5.5,ROUND(((_xlfn.XLOOKUP(B195,'Base stats'!B:B,'Base stats'!F:F)-25)*(14.5/615) + 5.5)*2,0)/2))),"Cannot breed")</f>
        <v>12.5</v>
      </c>
      <c r="AT195" s="8">
        <f>IF(OR(A195="Queen",A195="Larva",A195="Megachicken",A195="Megatardi",A195="Toxscorpion"),"No",IFERROR(MAX(IF(_xlfn.XLOOKUP(B195,'Base stats'!B:B,'Base stats'!G:G)&lt;0.5,0.2,0.3),MROUND(_xlfn.XLOOKUP(B195,'Base stats'!B:B,'Base stats'!G:G)/(365/60),0.2)),"Unknown"))</f>
        <v>0.8</v>
      </c>
      <c r="AU195" s="8">
        <f t="shared" si="63"/>
        <v>0.4</v>
      </c>
      <c r="AV195" s="8">
        <f>IFERROR(IFERROR(MROUND(_xlfn.XLOOKUP(B195,'Base stats'!B:B,'Base stats'!J:J),0.1),"Lay eggs"),"Cannot breed")</f>
        <v>1</v>
      </c>
      <c r="AW195" s="2" t="str">
        <f t="shared" si="58"/>
        <v>true</v>
      </c>
      <c r="AX195" s="2" t="str">
        <f>IF(_xlfn.XLOOKUP(_xlfn.XLOOKUP(Animals!B195,'Base stats'!B:B,'Base stats'!E:E),Groups!A:A,Groups!AK:AK)=1,"true","false")</f>
        <v>false</v>
      </c>
      <c r="AY195" s="25" t="str">
        <f>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&lt;li&gt;AEXP_Seal&lt;/li&gt;</v>
      </c>
      <c r="BB195" s="2" t="str">
        <f>_xlfn.XLOOKUP(B195,'Base stats'!B:B,'Base stats'!AG:AG)</f>
        <v>Leather_Sealskin</v>
      </c>
      <c r="BC195" s="23" t="str">
        <f>_xlfn.XLOOKUP(_xlfn.XLOOKUP(B195,'Base stats'!B:B,'Base stats'!E:E),Groups!A:A,Groups!AL:AL)</f>
        <v>PinnipedWithTusks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false</v>
      </c>
      <c r="BK195" s="2" t="str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No</v>
      </c>
      <c r="BL195" s="2">
        <f t="shared" si="59"/>
        <v>1</v>
      </c>
      <c r="BM195" s="25">
        <f>IF(_xlfn.XLOOKUP(B195,'Base stats'!B:B,'Base stats'!AN:AN)="Standard","No",MROUND((_xlfn.XLOOKUP(B195,'Base stats'!B:B,'Base stats'!AN:AN)/3.6)/I195,0.1))</f>
        <v>2.4000000000000004</v>
      </c>
      <c r="BN195" s="25" t="str">
        <f t="shared" si="60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300</v>
      </c>
      <c r="BS195" s="8">
        <f t="shared" si="61"/>
        <v>2.1</v>
      </c>
      <c r="BT195" s="8" t="str">
        <f>_xlfn.XLOOKUP(B195,'Base stats'!B:B,'Base stats'!AF:AF)</f>
        <v>5~15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AnimalCommon, AnimalFighter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SeaIce IceSheet Tundra</v>
      </c>
      <c r="BY195" s="25" t="str">
        <f>IF(_xlfn.XLOOKUP(B195,'Base stats'!B:B,'Base stats'!AJ:AJ)=1,"true","false")</f>
        <v>true</v>
      </c>
      <c r="BZ195" s="25">
        <f>IF(_xlfn.XLOOKUP(B195,'Base stats'!B:B,'Base stats'!N:N)=1,"No",MAX(0.01,MIN(MROUND(IF(OR(_xlfn.XLOOKUP(B195,'Base stats'!B:B,'Base stats'!AM:AM)=1,AND(BJ195="True",CC195="False")),POWER(10,3.47*LOG10(_xlfn.XLOOKUP(B195,'Base stats'!B:B,'Base stats'!C:C)*1000)^-0.96),POWER(10,4.15*LOG10(_xlfn.XLOOKUP(B195,'Base stats'!B:B,'Base stats'!C:C)*1000)^-0.73))*IF(OR(_xlfn.XLOOKUP(B195,'Base stats'!B:B,'Base stats'!AM:AM)=1,_xlfn.XLOOKUP(B195,'Base stats'!B:B,'Base stats'!AK:AK)=1),0.5,1)/100,0.025),0.5)))</f>
        <v>0.125</v>
      </c>
      <c r="CA195" s="25" t="str">
        <f>IF(P195="Standard","No",MAX(0.01,IF(_xlfn.XLOOKUP(B195,'Base stats'!B:B,'Base stats'!N:N)=0,MROUND(BZ195*P195,0.05),MIN(1,MAX(0.025,MROUND(IF(OR(CC195="true",AND(BJ195="false",BO195="false")),POWER(10,4.15*LOG10(_xlfn.XLOOKUP(B195,'Base stats'!B:B,'Base stats'!C:C)*1000)^-0.73),POWER(10,3.47*LOG10(_xlfn.XLOOKUP(B195,'Base stats'!B:B,'Base stats'!C:C)*1000)^-0.96))*IF(_xlfn.XLOOKUP(B195,'Base stats'!B:B,'Base stats'!AK:AK)=1,0.5,1)/100,0.025))))))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62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Porcupine</v>
      </c>
      <c r="B196" s="6" t="s">
        <v>269</v>
      </c>
      <c r="C196" s="28" t="s">
        <v>1296</v>
      </c>
      <c r="D196" s="28" t="s">
        <v>884</v>
      </c>
      <c r="E196" s="28" t="s">
        <v>685</v>
      </c>
      <c r="F196" s="28" t="s">
        <v>685</v>
      </c>
      <c r="G196" s="28" t="s">
        <v>1282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100</v>
      </c>
      <c r="I196" s="2">
        <f>MROUND(ROUNDDOWN(_xlfn.XLOOKUP(B196,'Base stats'!B:B,'Base stats'!L:L)/3.6/(23.3/11),1),0.5)</f>
        <v>2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stats'!O:O)=2,0,1)),0.05),0.985)))</f>
        <v>0.65</v>
      </c>
      <c r="K196" s="2">
        <f>ROUNDUP(AO196*_xlfn.XLOOKUP(_xlfn.XLOOKUP(B196,'Base stats'!B:B,'Base stats'!E:E),Groups!A:A,Groups!E:E),0)</f>
        <v>1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-50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*0.025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*0.025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4</v>
      </c>
      <c r="R196" s="7">
        <f>IF(Q196="No","No",MAX(1,MROUND(_xlfn.XLOOKUP(B196,'Base stats'!B:B,'Base stats'!C:C)^0.165,0.05)))</f>
        <v>1.55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7.5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Incisors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 t="str">
        <f t="shared" si="57"/>
        <v>No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0.5</v>
      </c>
      <c r="AP196" s="8">
        <f>MROUND(AO196*_xlfn.XLOOKUP(_xlfn.XLOOKUP(B196,'Base stats'!B:B,'Base stats'!E:E),Groups!A:A,Groups!AI:AI)*_xlfn.XLOOKUP(B196,'Base stats'!B:B,'Base stats'!Z:Z),0.05)</f>
        <v>0.5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0.4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12</v>
      </c>
      <c r="AS196" s="35">
        <f>IFERROR(IF(_xlfn.XLOOKUP(B196,'Base stats'!B:B,'Base stats'!F:F)="Lay eggs","Lay eggs",MIN(20,MAX(5.5,ROUND(((_xlfn.XLOOKUP(B196,'Base stats'!B:B,'Base stats'!F:F)-25)*(14.5/615) + 5.5)*2,0)/2))),"Cannot breed")</f>
        <v>10</v>
      </c>
      <c r="AT196" s="8">
        <f>IF(OR(A196="Queen",A196="Larva",A196="Megachicken",A196="Megatardi",A196="Toxscorpion"),"No",IFERROR(MAX(IF(_xlfn.XLOOKUP(B196,'Base stats'!B:B,'Base stats'!G:G)&lt;0.5,0.2,0.3),MROUND(_xlfn.XLOOKUP(B196,'Base stats'!B:B,'Base stats'!G:G)/(365/60),0.2)),"Unknown"))</f>
        <v>0.4</v>
      </c>
      <c r="AU196" s="8">
        <f t="shared" si="63"/>
        <v>0.2</v>
      </c>
      <c r="AV196" s="8">
        <f>IFERROR(IFERROR(MROUND(_xlfn.XLOOKUP(B196,'Base stats'!B:B,'Base stats'!J:J),0.1),"Lay eggs"),"Cannot breed")</f>
        <v>1</v>
      </c>
      <c r="AW196" s="2" t="str">
        <f t="shared" si="58"/>
        <v>false</v>
      </c>
      <c r="AX196" s="2" t="str">
        <f>IF(_xlfn.XLOOKUP(_xlfn.XLOOKUP(Animals!B196,'Base stats'!B:B,'Base stats'!E:E),Groups!A:A,Groups!AK:AK)=1,"true","false")</f>
        <v>false</v>
      </c>
      <c r="AY196" s="25" t="str">
        <f>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</f>
        <v>VegetarianRoughAnimal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Leather_Light</v>
      </c>
      <c r="BC196" s="23" t="str">
        <f>_xlfn.XLOOKUP(_xlfn.XLOOKUP(B196,'Base stats'!B:B,'Base stats'!E:E),Groups!A:A,Groups!AL:AL)</f>
        <v>QuadrupedAnimalWithPawsAndTail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0.1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0.3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48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None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false</v>
      </c>
      <c r="BK196" s="2" t="str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No</v>
      </c>
      <c r="BL196" s="2">
        <f t="shared" si="59"/>
        <v>0</v>
      </c>
      <c r="BM196" s="25" t="str">
        <f>IF(_xlfn.XLOOKUP(B196,'Base stats'!B:B,'Base stats'!AN:AN)="Standard","No",MROUND((_xlfn.XLOOKUP(B196,'Base stats'!B:B,'Base stats'!AN:AN)/3.6)/I196,0.1))</f>
        <v>No</v>
      </c>
      <c r="BN196" s="25" t="str">
        <f t="shared" si="60"/>
        <v>false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false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No</v>
      </c>
      <c r="BQ196" s="25" t="str">
        <f>IF(
   AND(
      'Base stats'!AN197="Standard",_xlfn.XLOOKUP(_xlfn.XLOOKUP(B196,'Base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No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50</v>
      </c>
      <c r="BS196" s="8">
        <f t="shared" si="61"/>
        <v>0.4</v>
      </c>
      <c r="BT196" s="8" t="str">
        <f>_xlfn.XLOOKUP(B196,'Base stats'!B:B,'Base stats'!AF:AF)</f>
        <v>No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BorealForest ColdBog TemperateForest TemperateSwamp GlacialPlain</v>
      </c>
      <c r="BY196" s="25" t="str">
        <f>IF(_xlfn.XLOOKUP(B196,'Base stats'!B:B,'Base stats'!AJ:AJ)=1,"true","false")</f>
        <v>false</v>
      </c>
      <c r="BZ196" s="25">
        <f>IF(_xlfn.XLOOKUP(B196,'Base stats'!B:B,'Base stats'!N:N)=1,"No",MAX(0.01,MIN(MROUND(IF(OR(_xlfn.XLOOKUP(B196,'Base stats'!B:B,'Base stats'!AM:AM)=1,AND(BJ196="True",CC196="False")),POWER(10,3.47*LOG10(_xlfn.XLOOKUP(B196,'Base stats'!B:B,'Base stats'!C:C)*1000)^-0.96),POWER(10,4.15*LOG10(_xlfn.XLOOKUP(B196,'Base stats'!B:B,'Base stats'!C:C)*1000)^-0.73))*IF(OR(_xlfn.XLOOKUP(B196,'Base stats'!B:B,'Base stats'!AM:AM)=1,_xlfn.XLOOKUP(B196,'Base stats'!B:B,'Base stats'!AK:AK)=1),0.5,1)/100,0.025),0.5)))</f>
        <v>0.30000000000000004</v>
      </c>
      <c r="CA196" s="25" t="str">
        <f>IF(P196="Standard","No",MAX(0.01,IF(_xlfn.XLOOKUP(B196,'Base stats'!B:B,'Base stats'!N:N)=0,MROUND(BZ196*P196,0.05),MIN(1,MAX(0.025,MROUND(IF(OR(CC196="true",AND(BJ196="false",BO196="false")),POWER(10,4.15*LOG10(_xlfn.XLOOKUP(B196,'Base stats'!B:B,'Base stats'!C:C)*1000)^-0.73),POWER(10,3.47*LOG10(_xlfn.XLOOKUP(B196,'Base stats'!B:B,'Base stats'!C:C)*1000)^-0.96))*IF(_xlfn.XLOOKUP(B196,'Base stats'!B:B,'Base stats'!AK:AK)=1,0.5,1)/100,0.025))))))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62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ht="16.5" thickTop="1" thickBot="1" x14ac:dyDescent="0.3">
      <c r="A197" s="26" t="str">
        <f>_xlfn.XLOOKUP(B197,'Base stats'!B:B,'Base stats'!A:A)</f>
        <v>VasteHydra</v>
      </c>
      <c r="B197" s="6" t="s">
        <v>1336</v>
      </c>
      <c r="C197" s="28" t="s">
        <v>1334</v>
      </c>
      <c r="D197" s="28" t="s">
        <v>1335</v>
      </c>
      <c r="E197" s="28" t="s">
        <v>685</v>
      </c>
      <c r="F197" s="28" t="s">
        <v>685</v>
      </c>
      <c r="G197" s="28" t="s">
        <v>685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275</v>
      </c>
      <c r="I197" s="2">
        <f>MROUND(ROUNDDOWN(_xlfn.XLOOKUP(B197,'Base stats'!B:B,'Base stats'!L:L)/3.6/(23.3/11),1),0.5)</f>
        <v>2.5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stats'!O:O)=2,0,1)),0.05),0.985)))</f>
        <v>0.70000000000000007</v>
      </c>
      <c r="K197" s="2">
        <f>ROUNDUP(AO197*_xlfn.XLOOKUP(_xlfn.XLOOKUP(B197,'Base stats'!B:B,'Base stats'!E:E),Groups!A:A,Groups!E:E),0)</f>
        <v>1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-5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50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*0.025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*0.025
),
0.05
),
200%
),
"No"
)</f>
        <v>No</v>
      </c>
      <c r="P197" s="2">
        <f>_xlfn.XLOOKUP(B197,'Base stats'!B:B,'Base stats'!R:R)</f>
        <v>1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3</v>
      </c>
      <c r="R197" s="7">
        <f>IF(Q197="No","No",MAX(1,MROUND(_xlfn.XLOOKUP(B197,'Base stats'!B:B,'Base stats'!C:C)^0.165,0.05)))</f>
        <v>1.4000000000000001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 t="str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No</v>
      </c>
      <c r="Y197" s="7" t="str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No</v>
      </c>
      <c r="Z197" s="7" t="str">
        <f>IF(X197="No","No",_xlfn.XLOOKUP(_xlfn.XLOOKUP(B197,'Base stats'!B:B,'Base stats'!E:E),Groups!A:A,Groups!W:W))</f>
        <v>No</v>
      </c>
      <c r="AA197" s="7" t="str">
        <f>IF(X197="No","No",_xlfn.XLOOKUP(_xlfn.XLOOKUP(B197,'Base stats'!B:B,'Base stats'!E:E),Groups!A:A,Groups!X:X))</f>
        <v>No</v>
      </c>
      <c r="AB197" s="7" t="str">
        <f>IF(X197="No","No",_xlfn.XLOOKUP(_xlfn.XLOOKUP(B197,'Base stats'!B:B,'Base stats'!E:E),Groups!A:A,Groups!Y:Y))</f>
        <v>No</v>
      </c>
      <c r="AC197" s="7" t="str">
        <f>_xlfn.XLOOKUP(Animals!B197,'Base stats'!B:B,'Base stats'!X:X)</f>
        <v>False</v>
      </c>
      <c r="AD197" s="13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4.5</v>
      </c>
      <c r="AE197" s="7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0.4</v>
      </c>
      <c r="AF197" s="7" t="str">
        <f>IF(AD197="No","No",_xlfn.XLOOKUP(_xlfn.XLOOKUP(B197,'Base stats'!B:B,'Base stats'!E:E),Groups!A:A,Groups!AA:AA))</f>
        <v>Mouth</v>
      </c>
      <c r="AG197" s="7" t="str">
        <f>IF(AD197="No","No",_xlfn.XLOOKUP(_xlfn.XLOOKUP(B197,'Base stats'!B:B,'Base stats'!E:E),Groups!A:A,Groups!AB:AB))</f>
        <v>fangs</v>
      </c>
      <c r="AH197" s="7" t="str">
        <f>IF(AD197="No","No",_xlfn.XLOOKUP(_xlfn.XLOOKUP(B197,'Base stats'!B:B,'Base stats'!E:E),Groups!A:A,Groups!AC:AC))</f>
        <v>ToxicBite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>
        <f t="shared" ref="AN197:AN200" si="64">IF(BJ197="false","No",MROUND(AO197*5+15*1,5))</f>
        <v>15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0.4</v>
      </c>
      <c r="AP197" s="8">
        <f>MROUND(AO197*_xlfn.XLOOKUP(_xlfn.XLOOKUP(B197,'Base stats'!B:B,'Base stats'!E:E),Groups!A:A,Groups!AI:AI)*_xlfn.XLOOKUP(B197,'Base stats'!B:B,'Base stats'!Z:Z),0.05)</f>
        <v>0.4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0.05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12</v>
      </c>
      <c r="AS197" s="35" t="str">
        <f>IFERROR(IF(_xlfn.XLOOKUP(B197,'Base stats'!B:B,'Base stats'!F:F)="Lay eggs","Lay eggs",MIN(20,MAX(5.5,ROUND(((_xlfn.XLOOKUP(B197,'Base stats'!B:B,'Base stats'!F:F)-25)*(14.5/615) + 5.5)*2,0)/2))),"Cannot breed")</f>
        <v>Lay eggs</v>
      </c>
      <c r="AT197" s="8">
        <f>IF(OR(A197="Queen",A197="Larva",A197="Megachicken",A197="Megatardi",A197="Toxscorpion"),"No",IFERROR(MAX(IF(_xlfn.XLOOKUP(B197,'Base stats'!B:B,'Base stats'!G:G)&lt;0.5,0.2,0.3),MROUND(_xlfn.XLOOKUP(B197,'Base stats'!B:B,'Base stats'!G:G)/(365/60),0.2)),"Unknown"))</f>
        <v>0.8</v>
      </c>
      <c r="AU197" s="8">
        <f t="shared" si="63"/>
        <v>0.4</v>
      </c>
      <c r="AV197" s="8" t="str">
        <f>IFERROR(IFERROR(MROUND(_xlfn.XLOOKUP(B197,'Base stats'!B:B,'Base stats'!J:J),0.1),"Lay eggs"),"Cannot breed")</f>
        <v>Lay eggs</v>
      </c>
      <c r="AW197" s="2" t="str">
        <f t="shared" ref="AW197:AW200" si="65">IF(BT197="No","false","true")</f>
        <v>false</v>
      </c>
      <c r="AX197" s="2" t="str">
        <f>IF(_xlfn.XLOOKUP(_xlfn.XLOOKUP(Animals!B197,'Base stats'!B:B,'Base stats'!E:E),Groups!A:A,Groups!AK:AK)=1,"true","false")</f>
        <v>false</v>
      </c>
      <c r="AY197" s="25" t="str">
        <f>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No</v>
      </c>
      <c r="BB197" s="2" t="str">
        <f>_xlfn.XLOOKUP(B197,'Base stats'!B:B,'Base stats'!AG:AG)</f>
        <v>ToxicLeather</v>
      </c>
      <c r="BC197" s="23" t="str">
        <f>_xlfn.XLOOKUP(_xlfn.XLOOKUP(B197,'Base stats'!B:B,'Base stats'!E:E),Groups!A:A,Groups!AL:AL)</f>
        <v>Hydra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0.1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0.3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None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true</v>
      </c>
      <c r="BK197" s="2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0.2</v>
      </c>
      <c r="BL197" s="2">
        <f t="shared" ref="BL197:BL200" si="66">IF(BI197&lt;&gt;"None",1,0)</f>
        <v>0</v>
      </c>
      <c r="BM197" s="25" t="str">
        <f>IF(_xlfn.XLOOKUP(B197,'Base stats'!B:B,'Base stats'!AN:AN)="Standard","No",MROUND((_xlfn.XLOOKUP(B197,'Base stats'!B:B,'Base stats'!AN:AN)/3.6)/I197,0.1))</f>
        <v>No</v>
      </c>
      <c r="BN197" s="25" t="str">
        <f t="shared" ref="BN197:BN200" si="67">IF(OR(BM197&lt;&gt;"No",BQ197=1),"true","false")</f>
        <v>false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false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 t="str">
        <f>IF(
   AND(
      'Base stats'!AN198="Standard",_xlfn.XLOOKUP(_xlfn.XLOOKUP(B197,'Base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No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75</v>
      </c>
      <c r="BS197" s="8">
        <f t="shared" ref="BS197:BS200" si="68">MROUND(AO197 * 0.2 + AQ197 * 0.8,0.05)</f>
        <v>0.1</v>
      </c>
      <c r="BT197" s="8" t="str">
        <f>_xlfn.XLOOKUP(B197,'Base stats'!B:B,'Base stats'!AF:AF)</f>
        <v>No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AnimalUncommon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AridShrubland Desert ExtremeDesert TropicalRainforest TropicalSwamp Grasslands Glowforest LavaField Scarlands</v>
      </c>
      <c r="BY197" s="25" t="str">
        <f>IF(_xlfn.XLOOKUP(B197,'Base stats'!B:B,'Base stats'!AJ:AJ)=1,"true","false")</f>
        <v>false</v>
      </c>
      <c r="BZ197" s="25" t="str">
        <f>IF(_xlfn.XLOOKUP(B197,'Base stats'!B:B,'Base stats'!N:N)=1,"No",MAX(0.01,MIN(MROUND(IF(OR(_xlfn.XLOOKUP(B197,'Base stats'!B:B,'Base stats'!AM:AM)=1,AND(BJ197="True",CC197="False")),POWER(10,3.47*LOG10(_xlfn.XLOOKUP(B197,'Base stats'!B:B,'Base stats'!C:C)*1000)^-0.96),POWER(10,4.15*LOG10(_xlfn.XLOOKUP(B197,'Base stats'!B:B,'Base stats'!C:C)*1000)^-0.73))*IF(OR(_xlfn.XLOOKUP(B197,'Base stats'!B:B,'Base stats'!AM:AM)=1,_xlfn.XLOOKUP(B197,'Base stats'!B:B,'Base stats'!AK:AK)=1),0.5,1)/100,0.025),0.5)))</f>
        <v>No</v>
      </c>
      <c r="CA197" s="25">
        <f>IF(P197="Standard","No",MAX(0.01,IF(_xlfn.XLOOKUP(B197,'Base stats'!B:B,'Base stats'!N:N)=0,MROUND(BZ197*P197,0.05),MIN(1,MAX(0.025,MROUND(IF(OR(CC197="true",AND(BJ197="false",BO197="false")),POWER(10,4.15*LOG10(_xlfn.XLOOKUP(B197,'Base stats'!B:B,'Base stats'!C:C)*1000)^-0.73),POWER(10,3.47*LOG10(_xlfn.XLOOKUP(B197,'Base stats'!B:B,'Base stats'!C:C)*1000)^-0.96))*IF(_xlfn.XLOOKUP(B197,'Base stats'!B:B,'Base stats'!AK:AK)=1,0.5,1)/100,0.025))))))</f>
        <v>0.35000000000000003</v>
      </c>
      <c r="CB197" s="25" t="str">
        <f>IF(_xlfn.XLOOKUP(_xlfn.XLOOKUP(B197,'Base stats'!B:B,'Base stats'!E:E),Groups!A:A,Groups!AJ:AJ)="Mammal","True","False")</f>
        <v>False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True</v>
      </c>
      <c r="CD197" s="25" t="str">
        <f t="shared" ref="CD197:CD200" si="69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False</v>
      </c>
      <c r="CJ197" s="25" t="str">
        <f>IF(_xlfn.XLOOKUP(_xlfn.XLOOKUP(B197,'Base stats'!B:B,'Base stats'!E:E),Groups!A:A,Groups!BA:BA),"True","False")</f>
        <v>True</v>
      </c>
    </row>
    <row r="198" spans="1:88" ht="16.5" thickTop="1" thickBot="1" x14ac:dyDescent="0.3">
      <c r="A198" s="26" t="str">
        <f>_xlfn.XLOOKUP(B198,'Base stats'!B:B,'Base stats'!A:A)</f>
        <v>Megatardi</v>
      </c>
      <c r="B198" s="6" t="s">
        <v>1340</v>
      </c>
      <c r="C198" s="28" t="s">
        <v>1338</v>
      </c>
      <c r="D198" s="28" t="s">
        <v>1335</v>
      </c>
      <c r="E198" s="28" t="s">
        <v>1337</v>
      </c>
      <c r="F198" s="28" t="s">
        <v>685</v>
      </c>
      <c r="G198" s="28" t="s">
        <v>685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925</v>
      </c>
      <c r="I198" s="2">
        <f>MROUND(ROUNDDOWN(_xlfn.XLOOKUP(B198,'Base stats'!B:B,'Base stats'!L:L)/3.6/(23.3/11),1),0.5)</f>
        <v>1.5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stats'!O:O)=2,0,1)),0.05),0.985)))</f>
        <v>0.75</v>
      </c>
      <c r="K198" s="2">
        <f>ROUNDUP(AO198*_xlfn.XLOOKUP(_xlfn.XLOOKUP(B198,'Base stats'!B:B,'Base stats'!E:E),Groups!A:A,Groups!E:E),0)</f>
        <v>11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-75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80</v>
      </c>
      <c r="N198" s="8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*0.025
),
0.05
),
200%
),
"No"
)</f>
        <v>0.8</v>
      </c>
      <c r="O198" s="8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*0.025
),
0.05
),
200%
),
"No"
)</f>
        <v>0.1</v>
      </c>
      <c r="P198" s="2">
        <f>_xlfn.XLOOKUP(B198,'Base stats'!B:B,'Base stats'!R:R)</f>
        <v>1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12</v>
      </c>
      <c r="R198" s="7">
        <f>IF(Q198="No","No",MAX(1,MROUND(_xlfn.XLOOKUP(B198,'Base stats'!B:B,'Base stats'!C:C)^0.165,0.05)))</f>
        <v>2.5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27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3</v>
      </c>
      <c r="AF198" s="7" t="str">
        <f>IF(AD198="No","No",_xlfn.XLOOKUP(_xlfn.XLOOKUP(B198,'Base stats'!B:B,'Base stats'!E:E),Groups!A:A,Groups!AA:AA))</f>
        <v>Mouth</v>
      </c>
      <c r="AG198" s="7" t="str">
        <f>IF(AD198="No","No",_xlfn.XLOOKUP(_xlfn.XLOOKUP(B198,'Base stats'!B:B,'Base stats'!E:E),Groups!A:A,Groups!AB:AB))</f>
        <v>mandibles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64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2.1</v>
      </c>
      <c r="AP198" s="8">
        <f>MROUND(AO198*_xlfn.XLOOKUP(_xlfn.XLOOKUP(B198,'Base stats'!B:B,'Base stats'!E:E),Groups!A:A,Groups!AI:AI)*_xlfn.XLOOKUP(B198,'Base stats'!B:B,'Base stats'!Z:Z),0.05)</f>
        <v>2.1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0.25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10</v>
      </c>
      <c r="AS198" s="35">
        <f>IFERROR(IF(_xlfn.XLOOKUP(B198,'Base stats'!B:B,'Base stats'!F:F)="Lay eggs","Lay eggs",MIN(20,MAX(5.5,ROUND(((_xlfn.XLOOKUP(B198,'Base stats'!B:B,'Base stats'!F:F)-25)*(14.5/615) + 5.5)*2,0)/2))),"Cannot breed")</f>
        <v>11</v>
      </c>
      <c r="AT198" s="8" t="str">
        <f>IF(OR(A198="Queen",A198="Larva",A198="Megachicken",A198="Megatardi",A198="Toxscorpion"),"No",IFERROR(MAX(IF(_xlfn.XLOOKUP(B198,'Base stats'!B:B,'Base stats'!G:G)&lt;0.5,0.2,0.3),MROUND(_xlfn.XLOOKUP(B198,'Base stats'!B:B,'Base stats'!G:G)/(365/60),0.2)),"Unknown"))</f>
        <v>No</v>
      </c>
      <c r="AU198" s="8" t="str">
        <f>IF(AT198="No","No",IFERROR(MROUND(AT198/2,0.05),"Unknown"))</f>
        <v>No</v>
      </c>
      <c r="AV198" s="8">
        <f>IFERROR(IFERROR(MROUND(_xlfn.XLOOKUP(B198,'Base stats'!B:B,'Base stats'!J:J),0.1),"Lay eggs"),"Cannot breed")</f>
        <v>3</v>
      </c>
      <c r="AW198" s="2" t="str">
        <f t="shared" si="65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</f>
        <v>OmnivoreRoughAnimal, OvivoreAnimal</v>
      </c>
      <c r="AZ198" s="2">
        <f>IF(_xlfn.XLOOKUP(_xlfn.XLOOKUP(B198,'Base stats'!B:B,'Base stats'!E:E),Groups!A:A,Groups!D:D)=1,MROUND((1-J198)*5+1,2)*IF(J198&lt;=0.4,2,1),"No")</f>
        <v>2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No</v>
      </c>
      <c r="BC198" s="23" t="str">
        <f>_xlfn.XLOOKUP(_xlfn.XLOOKUP(B198,'Base stats'!B:B,'Base stats'!E:E),Groups!A:A,Groups!AL:AL)</f>
        <v>Megatardi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2.5000000000000001E-2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0.1</v>
      </c>
      <c r="BF198" s="2" t="str">
        <f>IF(J198&gt;0.3,"No",_xlfn.XLOOKUP(_xlfn.XLOOKUP(Animals!B198,'Base stats'!B:B,'Base stats'!E:E),Groups!A:A,Groups!AP:AP))</f>
        <v>No</v>
      </c>
      <c r="BG198" s="2" t="str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No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66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67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stats'!AN199="Standard",_xlfn.XLOOKUP(_xlfn.XLOOKUP(B198,'Base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255</v>
      </c>
      <c r="BS198" s="8">
        <f t="shared" si="68"/>
        <v>0.60000000000000009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true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AnimalUncommon, AnimalFighter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SeaIce IceSheet Tundra BorealForest ColdBog TemperateForest TemperateSwamp AridShrubland Desert ExtremeDesert TropicalRainforest TropicalSwamp Grasslands Glowforest LavaField GlacialPlain Scarlands</v>
      </c>
      <c r="BY198" s="25" t="str">
        <f>IF(_xlfn.XLOOKUP(B198,'Base stats'!B:B,'Base stats'!AJ:AJ)=1,"true","false")</f>
        <v>false</v>
      </c>
      <c r="BZ198" s="25" t="str">
        <f>IF(_xlfn.XLOOKUP(B198,'Base stats'!B:B,'Base stats'!N:N)=1,"No",MAX(0.01,MIN(MROUND(IF(OR(_xlfn.XLOOKUP(B198,'Base stats'!B:B,'Base stats'!AM:AM)=1,AND(BJ198="True",CC198="False")),POWER(10,3.47*LOG10(_xlfn.XLOOKUP(B198,'Base stats'!B:B,'Base stats'!C:C)*1000)^-0.96),POWER(10,4.15*LOG10(_xlfn.XLOOKUP(B198,'Base stats'!B:B,'Base stats'!C:C)*1000)^-0.73))*IF(OR(_xlfn.XLOOKUP(B198,'Base stats'!B:B,'Base stats'!AM:AM)=1,_xlfn.XLOOKUP(B198,'Base stats'!B:B,'Base stats'!AK:AK)=1),0.5,1)/100,0.025),0.5)))</f>
        <v>No</v>
      </c>
      <c r="CA198" s="25">
        <f>IF(P198="Standard","No",MAX(0.01,IF(_xlfn.XLOOKUP(B198,'Base stats'!B:B,'Base stats'!N:N)=0,MROUND(BZ198*P198,0.05),MIN(1,MAX(0.025,MROUND(IF(OR(CC198="true",AND(BJ198="false",BO198="false")),POWER(10,4.15*LOG10(_xlfn.XLOOKUP(B198,'Base stats'!B:B,'Base stats'!C:C)*1000)^-0.73),POWER(10,3.47*LOG10(_xlfn.XLOOKUP(B198,'Base stats'!B:B,'Base stats'!C:C)*1000)^-0.96))*IF(_xlfn.XLOOKUP(B198,'Base stats'!B:B,'Base stats'!AK:AK)=1,0.5,1)/100,0.025))))))</f>
        <v>7.5000000000000011E-2</v>
      </c>
      <c r="CB198" s="25" t="str">
        <f>IF(_xlfn.XLOOKUP(_xlfn.XLOOKUP(B198,'Base stats'!B:B,'Base stats'!E:E),Groups!A:A,Groups!AJ:AJ)="Mammal","True","False")</f>
        <v>False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True</v>
      </c>
      <c r="CD198" s="25" t="str">
        <f t="shared" si="69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Bone</v>
      </c>
      <c r="CI198" s="25" t="str">
        <f>IF(_xlfn.XLOOKUP(_xlfn.XLOOKUP(B198,'Base stats'!B:B,'Base stats'!E:E),Groups!A:A,Groups!BB:BB),"True","False")</f>
        <v>False</v>
      </c>
      <c r="CJ198" s="25" t="str">
        <f>IF(_xlfn.XLOOKUP(_xlfn.XLOOKUP(B198,'Base stats'!B:B,'Base stats'!E:E),Groups!A:A,Groups!BA:BA),"True","False")</f>
        <v>False</v>
      </c>
    </row>
    <row r="199" spans="1:88" s="16" customFormat="1" ht="16.5" thickTop="1" thickBot="1" x14ac:dyDescent="0.3">
      <c r="A199" s="26" t="str">
        <f>_xlfn.XLOOKUP(B199,'Base stats'!B:B,'Base stats'!A:A)</f>
        <v>Pestigator</v>
      </c>
      <c r="B199" s="6" t="s">
        <v>1342</v>
      </c>
      <c r="C199" s="28" t="s">
        <v>1341</v>
      </c>
      <c r="D199" s="28" t="s">
        <v>1335</v>
      </c>
      <c r="E199" s="28" t="s">
        <v>685</v>
      </c>
      <c r="F199" s="28" t="s">
        <v>685</v>
      </c>
      <c r="G199" s="28" t="s">
        <v>685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1450</v>
      </c>
      <c r="I199" s="2">
        <f>MROUND(ROUNDDOWN(_xlfn.XLOOKUP(B199,'Base stats'!B:B,'Base stats'!L:L)/3.6/(23.3/11),1),0.5)</f>
        <v>1.5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stats'!O:O)=2,0,1)),0.05),0.985)))</f>
        <v>1</v>
      </c>
      <c r="K199" s="2">
        <f>ROUNDUP(AO199*_xlfn.XLOOKUP(_xlfn.XLOOKUP(B199,'Base stats'!B:B,'Base stats'!E:E),Groups!A:A,Groups!E:E),0)</f>
        <v>4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-15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40</v>
      </c>
      <c r="N199" s="8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*0.025
),
0.05
),
200%
),
"No"
)</f>
        <v>0.35000000000000003</v>
      </c>
      <c r="O199" s="8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*0.025
),
0.05
),
200%
),
"No"
)</f>
        <v>0.4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20.5</v>
      </c>
      <c r="R199" s="7">
        <f>IF(Q199="No","No",MAX(1,MROUND(_xlfn.XLOOKUP(B199,'Base stats'!B:B,'Base stats'!C:C)^0.165,0.05)))</f>
        <v>3.1500000000000004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33.5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2.95</v>
      </c>
      <c r="AF199" s="7" t="str">
        <f>IF(AD199="No","No",_xlfn.XLOOKUP(_xlfn.XLOOKUP(B199,'Base stats'!B:B,'Base stats'!E:E),Groups!A:A,Groups!AA:AA))</f>
        <v>Teeth</v>
      </c>
      <c r="AG199" s="7" t="str">
        <f>IF(AD199="No","No",_xlfn.XLOOKUP(_xlfn.XLOOKUP(B199,'Base stats'!B:B,'Base stats'!E:E),Groups!A:A,Groups!AB:AB))</f>
        <v>teeth</v>
      </c>
      <c r="AH199" s="7" t="str">
        <f>IF(AD199="No","No",_xlfn.XLOOKUP(_xlfn.XLOOKUP(B199,'Base stats'!B:B,'Base stats'!E:E),Groups!A:A,Groups!AC:AC))</f>
        <v>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64"/>
        <v>35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3.5</v>
      </c>
      <c r="AP199" s="8">
        <f>MROUND(AO199*_xlfn.XLOOKUP(_xlfn.XLOOKUP(B199,'Base stats'!B:B,'Base stats'!E:E),Groups!A:A,Groups!AI:AI)*_xlfn.XLOOKUP(B199,'Base stats'!B:B,'Base stats'!Z:Z),0.05)</f>
        <v>4.2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40</v>
      </c>
      <c r="AS199" s="35" t="str">
        <f>IFERROR(IF(_xlfn.XLOOKUP(B199,'Base stats'!B:B,'Base stats'!F:F)="Lay eggs","Lay eggs",MIN(20,MAX(5.5,ROUND(((_xlfn.XLOOKUP(B199,'Base stats'!B:B,'Base stats'!F:F)-25)*(14.5/615) + 5.5)*2,0)/2))),"Cannot breed")</f>
        <v>Lay eggs</v>
      </c>
      <c r="AT199" s="8">
        <f>IF(OR(A199="Queen",A199="Larva",A199="Megachicken",A199="Megatardi",A199="Toxscorpion"),"No",IFERROR(MAX(IF(_xlfn.XLOOKUP(B199,'Base stats'!B:B,'Base stats'!G:G)&lt;0.5,0.2,0.3),MROUND(_xlfn.XLOOKUP(B199,'Base stats'!B:B,'Base stats'!G:G)/(365/60),0.2)),"Unknown"))</f>
        <v>2.4000000000000004</v>
      </c>
      <c r="AU199" s="8">
        <f t="shared" ref="AU199:AU207" si="70">IF(AT199="No","No",IFERROR(MROUND(AT199/2,0.05),"Unknown"))</f>
        <v>1.2000000000000002</v>
      </c>
      <c r="AV199" s="8" t="str">
        <f>IFERROR(IFERROR(MROUND(_xlfn.XLOOKUP(B199,'Base stats'!B:B,'Base stats'!J:J),0.1),"Lay eggs"),"Cannot breed")</f>
        <v>Lay eggs</v>
      </c>
      <c r="AW199" s="2" t="str">
        <f t="shared" si="65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ToxicLeather</v>
      </c>
      <c r="BC199" s="23" t="str">
        <f>_xlfn.XLOOKUP(_xlfn.XLOOKUP(B199,'Base stats'!B:B,'Base stats'!E:E),Groups!A:A,Groups!AL:AL)</f>
        <v>QuadrupedAnimalWithClawsTailAndJowl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3.5</v>
      </c>
      <c r="BL199" s="2">
        <f t="shared" si="66"/>
        <v>0</v>
      </c>
      <c r="BM199" s="25">
        <f>IF(_xlfn.XLOOKUP(B199,'Base stats'!B:B,'Base stats'!AN:AN)="Standard","No",MROUND((_xlfn.XLOOKUP(B199,'Base stats'!B:B,'Base stats'!AN:AN)/3.6)/I199,0.1))</f>
        <v>2.8000000000000003</v>
      </c>
      <c r="BN199" s="25" t="str">
        <f t="shared" si="67"/>
        <v>true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true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1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390</v>
      </c>
      <c r="BS199" s="8">
        <f t="shared" si="68"/>
        <v>1.1000000000000001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false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AnimalExotic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TemperateSwamp TropicalSwamp Glowforest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stats'!N:N)=1,"No",MAX(0.01,MIN(MROUND(IF(OR(_xlfn.XLOOKUP(B199,'Base stats'!B:B,'Base stats'!AM:AM)=1,AND(BJ199="True",CC199="False")),POWER(10,3.47*LOG10(_xlfn.XLOOKUP(B199,'Base stats'!B:B,'Base stats'!C:C)*1000)^-0.96),POWER(10,4.15*LOG10(_xlfn.XLOOKUP(B199,'Base stats'!B:B,'Base stats'!C:C)*1000)^-0.73))*IF(OR(_xlfn.XLOOKUP(B199,'Base stats'!B:B,'Base stats'!AM:AM)=1,_xlfn.XLOOKUP(B199,'Base stats'!B:B,'Base stats'!AK:AK)=1),0.5,1)/100,0.025),0.5)))</f>
        <v>No</v>
      </c>
      <c r="CA199" s="25">
        <f>IF(P199="Standard","No",MAX(0.01,IF(_xlfn.XLOOKUP(B199,'Base stats'!B:B,'Base stats'!N:N)=0,MROUND(BZ199*P199,0.05),MIN(1,MAX(0.025,MROUND(IF(OR(CC199="true",AND(BJ199="false",BO199="false")),POWER(10,4.15*LOG10(_xlfn.XLOOKUP(B199,'Base stats'!B:B,'Base stats'!C:C)*1000)^-0.73),POWER(10,3.47*LOG10(_xlfn.XLOOKUP(B199,'Base stats'!B:B,'Base stats'!C:C)*1000)^-0.96))*IF(_xlfn.XLOOKUP(B199,'Base stats'!B:B,'Base stats'!AK:AK)=1,0.5,1)/100,0.025))))))</f>
        <v>0.125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69"/>
        <v>True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Bone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False</v>
      </c>
    </row>
    <row r="200" spans="1:88" s="16" customFormat="1" ht="16.5" thickTop="1" thickBot="1" x14ac:dyDescent="0.3">
      <c r="A200" s="26" t="str">
        <f>_xlfn.XLOOKUP(B200,'Base stats'!B:B,'Base stats'!A:A)</f>
        <v>Toxafox</v>
      </c>
      <c r="B200" s="6" t="s">
        <v>1344</v>
      </c>
      <c r="C200" s="28" t="s">
        <v>1345</v>
      </c>
      <c r="D200" s="28" t="s">
        <v>1335</v>
      </c>
      <c r="E200" s="28" t="s">
        <v>685</v>
      </c>
      <c r="F200" s="28" t="s">
        <v>685</v>
      </c>
      <c r="G200" s="28" t="s">
        <v>685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150</v>
      </c>
      <c r="I200" s="2">
        <f>MROUND(ROUNDDOWN(_xlfn.XLOOKUP(B200,'Base stats'!B:B,'Base stats'!L:L)/3.6/(23.3/11),1),0.5)</f>
        <v>5.5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stats'!O:O)=2,0,1)),0.05),0.985)))</f>
        <v>0.60000000000000009</v>
      </c>
      <c r="K200" s="2">
        <f>ROUNDUP(AO200*_xlfn.XLOOKUP(_xlfn.XLOOKUP(B200,'Base stats'!B:B,'Base stats'!E:E),Groups!A:A,Groups!E:E),0)</f>
        <v>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-45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35</v>
      </c>
      <c r="N200" s="8" t="str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*0.025
),
0.05
),
200%
),
"No"
)</f>
        <v>No</v>
      </c>
      <c r="O200" s="8" t="str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*0.025
),
0.05
),
200%
),
"No"
)</f>
        <v>No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3</v>
      </c>
      <c r="R200" s="7">
        <f>IF(Q200="No","No",MAX(1,MROUND(_xlfn.XLOOKUP(B200,'Base stats'!B:B,'Base stats'!C:C)^0.165,0.05)))</f>
        <v>1.35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5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1.1000000000000001</v>
      </c>
      <c r="AF200" s="7" t="str">
        <f>IF(AD200="No","No",_xlfn.XLOOKUP(_xlfn.XLOOKUP(B200,'Base stats'!B:B,'Base stats'!E:E),Groups!A:A,Groups!AA:AA))</f>
        <v>Teeth</v>
      </c>
      <c r="AG200" s="7" t="str">
        <f>IF(AD200="No","No",_xlfn.XLOOKUP(_xlfn.XLOOKUP(B200,'Base stats'!B:B,'Base stats'!E:E),Groups!A:A,Groups!AB:AB))</f>
        <v>canines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>
        <f t="shared" si="64"/>
        <v>15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0.35000000000000003</v>
      </c>
      <c r="AP200" s="8">
        <f>MROUND(AO200*_xlfn.XLOOKUP(_xlfn.XLOOKUP(B200,'Base stats'!B:B,'Base stats'!E:E),Groups!A:A,Groups!AI:AI)*_xlfn.XLOOKUP(B200,'Base stats'!B:B,'Base stats'!Z:Z),0.05)</f>
        <v>0.4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0.30000000000000004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12</v>
      </c>
      <c r="AS200" s="35">
        <f>IFERROR(IF(_xlfn.XLOOKUP(B200,'Base stats'!B:B,'Base stats'!F:F)="Lay eggs","Lay eggs",MIN(20,MAX(5.5,ROUND(((_xlfn.XLOOKUP(B200,'Base stats'!B:B,'Base stats'!F:F)-25)*(14.5/615) + 5.5)*2,0)/2))),"Cannot breed")</f>
        <v>6</v>
      </c>
      <c r="AT200" s="8">
        <f>IF(OR(A200="Queen",A200="Larva",A200="Megachicken",A200="Megatardi",A200="Toxscorpion"),"No",IFERROR(MAX(IF(_xlfn.XLOOKUP(B200,'Base stats'!B:B,'Base stats'!G:G)&lt;0.5,0.2,0.3),MROUND(_xlfn.XLOOKUP(B200,'Base stats'!B:B,'Base stats'!G:G)/(365/60),0.2)),"Unknown"))</f>
        <v>0.3</v>
      </c>
      <c r="AU200" s="8">
        <f t="shared" si="70"/>
        <v>0.15000000000000002</v>
      </c>
      <c r="AV200" s="8">
        <f>IFERROR(IFERROR(MROUND(_xlfn.XLOOKUP(B200,'Base stats'!B:B,'Base stats'!J:J),0.1),"Lay eggs"),"Cannot breed")</f>
        <v>5</v>
      </c>
      <c r="AW200" s="2" t="str">
        <f t="shared" si="65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</f>
        <v>CarnivoreAnimal, OvivoreAnimal</v>
      </c>
      <c r="AZ200" s="2" t="str">
        <f>IF(_xlfn.XLOOKUP(_xlfn.XLOOKUP(B200,'Base stats'!B:B,'Base stats'!E:E),Groups!A:A,Groups!D:D)=1,MROUND((1-J200)*5+1,2)*IF(J200&lt;=0.4,2,1),"No")</f>
        <v>No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ToxicLeather</v>
      </c>
      <c r="BC200" s="23" t="str">
        <f>_xlfn.XLOOKUP(_xlfn.XLOOKUP(B200,'Base stats'!B:B,'Base stats'!E:E),Groups!A:A,Groups!AL:AL)</f>
        <v>QuadrupedAnimalWithPawsAndTail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0.1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0.3</v>
      </c>
      <c r="BF200" s="2" t="str">
        <f>IF(J200&gt;0.3,"No",_xlfn.XLOOKUP(_xlfn.XLOOKUP(Animals!B200,'Base stats'!B:B,'Base stats'!E:E),Groups!A:A,Groups!AP:AP))</f>
        <v>No</v>
      </c>
      <c r="BG200" s="2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36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Advanced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true</v>
      </c>
      <c r="BK200" s="2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0.2</v>
      </c>
      <c r="BL200" s="2">
        <f t="shared" si="66"/>
        <v>1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67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Comfort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50</v>
      </c>
      <c r="BS200" s="8">
        <f t="shared" si="68"/>
        <v>0.30000000000000004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false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AnimalCommon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Tundra BorealForest ColdBog TemperateForest TemperateSwamp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stats'!N:N)=1,"No",MAX(0.01,MIN(MROUND(IF(OR(_xlfn.XLOOKUP(B200,'Base stats'!B:B,'Base stats'!AM:AM)=1,AND(BJ200="True",CC200="False")),POWER(10,3.47*LOG10(_xlfn.XLOOKUP(B200,'Base stats'!B:B,'Base stats'!C:C)*1000)^-0.96),POWER(10,4.15*LOG10(_xlfn.XLOOKUP(B200,'Base stats'!B:B,'Base stats'!C:C)*1000)^-0.73))*IF(OR(_xlfn.XLOOKUP(B200,'Base stats'!B:B,'Base stats'!AM:AM)=1,_xlfn.XLOOKUP(B200,'Base stats'!B:B,'Base stats'!AK:AK)=1),0.5,1)/100,0.025),0.5)))</f>
        <v>No</v>
      </c>
      <c r="CA200" s="25">
        <f>IF(P200="Standard","No",MAX(0.01,IF(_xlfn.XLOOKUP(B200,'Base stats'!B:B,'Base stats'!N:N)=0,MROUND(BZ200*P200,0.05),MIN(1,MAX(0.025,MROUND(IF(OR(CC200="true",AND(BJ200="false",BO200="false")),POWER(10,4.15*LOG10(_xlfn.XLOOKUP(B200,'Base stats'!B:B,'Base stats'!C:C)*1000)^-0.73),POWER(10,3.47*LOG10(_xlfn.XLOOKUP(B200,'Base stats'!B:B,'Base stats'!C:C)*1000)^-0.96))*IF(_xlfn.XLOOKUP(B200,'Base stats'!B:B,'Base stats'!AK:AK)=1,0.5,1)/100,0.025))))))</f>
        <v>0.1</v>
      </c>
      <c r="CB200" s="25" t="str">
        <f>IF(_xlfn.XLOOKUP(_xlfn.XLOOKUP(B200,'Base stats'!B:B,'Base stats'!E:E),Groups!A:A,Groups!AJ:AJ)="Mammal","True","False")</f>
        <v>True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False</v>
      </c>
      <c r="CD200" s="25" t="str">
        <f t="shared" si="69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No</v>
      </c>
      <c r="CI200" s="25" t="str">
        <f>IF(_xlfn.XLOOKUP(_xlfn.XLOOKUP(B200,'Base stats'!B:B,'Base stats'!E:E),Groups!A:A,Groups!BB:BB),"True","False")</f>
        <v>True</v>
      </c>
      <c r="CJ200" s="25" t="str">
        <f>IF(_xlfn.XLOOKUP(_xlfn.XLOOKUP(B200,'Base stats'!B:B,'Base stats'!E:E),Groups!A:A,Groups!BA:BA),"True","False")</f>
        <v>False</v>
      </c>
    </row>
    <row r="201" spans="1:88" ht="16.5" thickTop="1" thickBot="1" x14ac:dyDescent="0.3">
      <c r="A201" s="26" t="str">
        <f>_xlfn.XLOOKUP(B201,'Base stats'!B:B,'Base stats'!A:A)</f>
        <v>Toxbear</v>
      </c>
      <c r="B201" s="6" t="s">
        <v>1349</v>
      </c>
      <c r="C201" s="28" t="s">
        <v>1348</v>
      </c>
      <c r="D201" s="28" t="s">
        <v>1335</v>
      </c>
      <c r="E201" s="28" t="s">
        <v>685</v>
      </c>
      <c r="F201" s="28" t="s">
        <v>685</v>
      </c>
      <c r="G201" s="28" t="s">
        <v>685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1825</v>
      </c>
      <c r="I201" s="2">
        <f>MROUND(ROUNDDOWN(_xlfn.XLOOKUP(B201,'Base stats'!B:B,'Base stats'!L:L)/3.6/(23.3/11),1),0.5)</f>
        <v>6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stats'!O:O)=2,0,1)),0.05),0.985)))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-60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35</v>
      </c>
      <c r="N201" s="8" t="str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*0.025
),
0.05
),
200%
),
"No"
)</f>
        <v>No</v>
      </c>
      <c r="O201" s="8" t="str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*0.025
),
0.05
),
200%
),
"No"
)</f>
        <v>No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26</v>
      </c>
      <c r="R201" s="7">
        <f>IF(Q201="No","No",MAX(1,MROUND(_xlfn.XLOOKUP(B201,'Base stats'!B:B,'Base stats'!C:C)^0.165,0.05)))</f>
        <v>3.5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39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3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canines</v>
      </c>
      <c r="AH201" s="7" t="str">
        <f>IF(AD201="No","No",_xlfn.XLOOKUP(_xlfn.XLOOKUP(B201,'Base stats'!B:B,'Base stats'!E:E),Groups!A:A,Groups!AC:AC))</f>
        <v>Bite</v>
      </c>
      <c r="AI201" s="13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38</v>
      </c>
      <c r="AJ201" s="7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2.3000000000000003</v>
      </c>
      <c r="AK201" s="7" t="str">
        <f>IF(AI201="No","No",_xlfn.XLOOKUP(_xlfn.XLOOKUP(B201,'Base stats'!B:B,'Base stats'!E:E),Groups!A:A,Groups!AF:AF))</f>
        <v>FrontRightPaw, FrontRightPaw</v>
      </c>
      <c r="AL201" s="7" t="str">
        <f>IF(AI201="No","No",_xlfn.XLOOKUP(_xlfn.XLOOKUP(B201,'Base stats'!B:B,'Base stats'!E:E),Groups!A:A,Groups!AG:AG))</f>
        <v>left claw, right claw</v>
      </c>
      <c r="AM201" s="7" t="str">
        <f>IF(AI201="No","No",_xlfn.XLOOKUP(_xlfn.XLOOKUP(B201,'Base stats'!B:B,'Base stats'!E:E),Groups!A:A,Groups!AH:AH))</f>
        <v>Scratch</v>
      </c>
      <c r="AN201" s="2">
        <f t="shared" ref="AN201:AN205" si="71">IF(BJ201="false","No",MROUND(AO201*5+15*1,5))</f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4</v>
      </c>
      <c r="AP201" s="8">
        <f>MROUND(AO201*_xlfn.XLOOKUP(_xlfn.XLOOKUP(B201,'Base stats'!B:B,'Base stats'!E:E),Groups!A:A,Groups!AI:AI)*_xlfn.XLOOKUP(B201,'Base stats'!B:B,'Base stats'!Z:Z),0.05)</f>
        <v>4.8000000000000007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2.3000000000000003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25</v>
      </c>
      <c r="AS201" s="35">
        <f>IFERROR(IF(_xlfn.XLOOKUP(B201,'Base stats'!B:B,'Base stats'!F:F)="Lay eggs","Lay eggs",MIN(20,MAX(5.5,ROUND(((_xlfn.XLOOKUP(B201,'Base stats'!B:B,'Base stats'!F:F)-25)*(14.5/615) + 5.5)*2,0)/2))),"Cannot breed")</f>
        <v>7.5</v>
      </c>
      <c r="AT201" s="8">
        <f>IF(OR(A201="Queen",A201="Larva",A201="Megachicken",A201="Megatardi",A201="Toxscorpion"),"No",IFERROR(MAX(IF(_xlfn.XLOOKUP(B201,'Base stats'!B:B,'Base stats'!G:G)&lt;0.5,0.2,0.3),MROUND(_xlfn.XLOOKUP(B201,'Base stats'!B:B,'Base stats'!G:G)/(365/60),0.2)),"Unknown"))</f>
        <v>0.8</v>
      </c>
      <c r="AU201" s="8">
        <f t="shared" si="70"/>
        <v>0.4</v>
      </c>
      <c r="AV201" s="8">
        <f>IFERROR(IFERROR(MROUND(_xlfn.XLOOKUP(B201,'Base stats'!B:B,'Base stats'!J:J),0.1),"Lay eggs"),"Cannot breed")</f>
        <v>2</v>
      </c>
      <c r="AW201" s="2" t="str">
        <f t="shared" ref="AW201:AW205" si="72">IF(BT201="No","false","true")</f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</f>
        <v>OmnivoreAnimal,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ToxicLeather</v>
      </c>
      <c r="BC201" s="23" t="str">
        <f>_xlfn.XLOOKUP(_xlfn.XLOOKUP(B201,'Base stats'!B:B,'Base stats'!E:E),Groups!A:A,Groups!AL:AL)</f>
        <v>QuadrupedAnimalWithPaws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Advanced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7</v>
      </c>
      <c r="BL201" s="2">
        <f t="shared" ref="BL201:BL205" si="73">IF(BI201&lt;&gt;"None",1,0)</f>
        <v>1</v>
      </c>
      <c r="BM201" s="25" t="str">
        <f>IF(_xlfn.XLOOKUP(B201,'Base stats'!B:B,'Base stats'!AN:AN)="Standard","No",MROUND((_xlfn.XLOOKUP(B201,'Base stats'!B:B,'Base stats'!AN:AN)/3.6)/I201,0.1))</f>
        <v>No</v>
      </c>
      <c r="BN201" s="25" t="str">
        <f t="shared" ref="BN201:BN205" si="74">IF(OR(BM201&lt;&gt;"No",BQ201=1),"true","false")</f>
        <v>false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AttackTarget, Forage</v>
      </c>
      <c r="BQ201" s="25" t="str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No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535</v>
      </c>
      <c r="BS201" s="8">
        <f t="shared" ref="BS201:BS205" si="75">MROUND(AO201 * 0.2 + AQ201 * 0.8,0.05)</f>
        <v>2.6500000000000004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Tundra BorealForest ColdBog TemperateForest TemperateSwamp GlacialPlain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stats'!N:N)=1,"No",MAX(0.01,MIN(MROUND(IF(OR(_xlfn.XLOOKUP(B201,'Base stats'!B:B,'Base stats'!AM:AM)=1,AND(BJ201="True",CC201="False")),POWER(10,3.47*LOG10(_xlfn.XLOOKUP(B201,'Base stats'!B:B,'Base stats'!C:C)*1000)^-0.96),POWER(10,4.15*LOG10(_xlfn.XLOOKUP(B201,'Base stats'!B:B,'Base stats'!C:C)*1000)^-0.73))*IF(OR(_xlfn.XLOOKUP(B201,'Base stats'!B:B,'Base stats'!AM:AM)=1,_xlfn.XLOOKUP(B201,'Base stats'!B:B,'Base stats'!AK:AK)=1),0.5,1)/100,0.025),0.5)))</f>
        <v>No</v>
      </c>
      <c r="CA201" s="25">
        <f>IF(P201="Standard","No",MAX(0.01,IF(_xlfn.XLOOKUP(B201,'Base stats'!B:B,'Base stats'!N:N)=0,MROUND(BZ201*P201,0.05),MIN(1,MAX(0.025,MROUND(IF(OR(CC201="true",AND(BJ201="false",BO201="false")),POWER(10,4.15*LOG10(_xlfn.XLOOKUP(B201,'Base stats'!B:B,'Base stats'!C:C)*1000)^-0.73),POWER(10,3.47*LOG10(_xlfn.XLOOKUP(B201,'Base stats'!B:B,'Base stats'!C:C)*1000)^-0.96))*IF(_xlfn.XLOOKUP(B201,'Base stats'!B:B,'Base stats'!AK:AK)=1,0.5,1)/100,0.025))))))</f>
        <v>0.05</v>
      </c>
      <c r="CB201" s="25" t="str">
        <f>IF(_xlfn.XLOOKUP(_xlfn.XLOOKUP(B201,'Base stats'!B:B,'Base stats'!E:E),Groups!A:A,Groups!AJ:AJ)="Mammal","True","False")</f>
        <v>True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False</v>
      </c>
      <c r="CD201" s="25" t="str">
        <f t="shared" ref="CD201:CD205" si="76">IF(J201&gt;0.95,"True","False")</f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True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Toxiguana</v>
      </c>
      <c r="B202" s="6" t="s">
        <v>1351</v>
      </c>
      <c r="C202" s="28" t="s">
        <v>1350</v>
      </c>
      <c r="D202" s="28" t="s">
        <v>1335</v>
      </c>
      <c r="E202" s="28" t="s">
        <v>685</v>
      </c>
      <c r="F202" s="28" t="s">
        <v>685</v>
      </c>
      <c r="G202" s="28" t="s">
        <v>685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175</v>
      </c>
      <c r="I202" s="2">
        <f>MROUND(ROUNDDOWN(_xlfn.XLOOKUP(B202,'Base stats'!B:B,'Base stats'!L:L)/3.6/(23.3/11),1),0.5)</f>
        <v>3.5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stats'!O:O)=2,0,1)),0.05),0.985)))</f>
        <v>0.55000000000000004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15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40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*0.025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*0.025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2.5</v>
      </c>
      <c r="R202" s="7">
        <f>IF(Q202="No","No",MAX(1,MROUND(_xlfn.XLOOKUP(B202,'Base stats'!B:B,'Base stats'!C:C)^0.165,0.05)))</f>
        <v>1.2000000000000002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3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1.1000000000000001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teeth</v>
      </c>
      <c r="AH202" s="7" t="str">
        <f>IF(AD202="No","No",_xlfn.XLOOKUP(_xlfn.XLOOKUP(B202,'Base stats'!B:B,'Base stats'!E:E),Groups!A:A,Groups!AC:AC))</f>
        <v>Bite</v>
      </c>
      <c r="AI202" s="13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3</v>
      </c>
      <c r="AJ202" s="7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0.85000000000000009</v>
      </c>
      <c r="AK202" s="7" t="str">
        <f>IF(AI202="No","No",_xlfn.XLOOKUP(_xlfn.XLOOKUP(B202,'Base stats'!B:B,'Base stats'!E:E),Groups!A:A,Groups!AF:AF))</f>
        <v>FrontLeftClaws, FrontRightClaws</v>
      </c>
      <c r="AL202" s="7" t="str">
        <f>IF(AI202="No","No",_xlfn.XLOOKUP(_xlfn.XLOOKUP(B202,'Base stats'!B:B,'Base stats'!E:E),Groups!A:A,Groups!AG:AG))</f>
        <v>left claw, right claw</v>
      </c>
      <c r="AM202" s="7" t="str">
        <f>IF(AI202="No","No",_xlfn.XLOOKUP(_xlfn.XLOOKUP(B202,'Base stats'!B:B,'Base stats'!E:E),Groups!A:A,Groups!AH:AH))</f>
        <v>Scratch</v>
      </c>
      <c r="AN202" s="2" t="str">
        <f t="shared" si="71"/>
        <v>No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0.25</v>
      </c>
      <c r="AP202" s="8">
        <f>MROUND(AO202*_xlfn.XLOOKUP(_xlfn.XLOOKUP(B202,'Base stats'!B:B,'Base stats'!E:E),Groups!A:A,Groups!AI:AI)*_xlfn.XLOOKUP(B202,'Base stats'!B:B,'Base stats'!Z:Z),0.05)</f>
        <v>0.30000000000000004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0.05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 t="str">
        <f>IFERROR(IF(_xlfn.XLOOKUP(B202,'Base stats'!B:B,'Base stats'!F:F)="Lay eggs","Lay eggs",MIN(20,MAX(5.5,ROUND(((_xlfn.XLOOKUP(B202,'Base stats'!B:B,'Base stats'!F:F)-25)*(14.5/615) + 5.5)*2,0)/2))),"Cannot breed")</f>
        <v>Lay eggs</v>
      </c>
      <c r="AT202" s="8">
        <f>IF(OR(A202="Queen",A202="Larva",A202="Megachicken",A202="Megatardi",A202="Toxscorpion"),"No",IFERROR(MAX(IF(_xlfn.XLOOKUP(B202,'Base stats'!B:B,'Base stats'!G:G)&lt;0.5,0.2,0.3),MROUND(_xlfn.XLOOKUP(B202,'Base stats'!B:B,'Base stats'!G:G)/(365/60),0.2)),"Unknown"))</f>
        <v>0.8</v>
      </c>
      <c r="AU202" s="8">
        <f t="shared" si="70"/>
        <v>0.4</v>
      </c>
      <c r="AV202" s="8" t="str">
        <f>IFERROR(IFERROR(MROUND(_xlfn.XLOOKUP(B202,'Base stats'!B:B,'Base stats'!J:J),0.1),"Lay eggs"),"Cannot breed")</f>
        <v>Lay eggs</v>
      </c>
      <c r="AW202" s="2" t="str">
        <f t="shared" si="72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</f>
        <v>VegetarianRoughAnimal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ToxicLeather</v>
      </c>
      <c r="BC202" s="23" t="str">
        <f>_xlfn.XLOOKUP(_xlfn.XLOOKUP(B202,'Base stats'!B:B,'Base stats'!E:E),Groups!A:A,Groups!AL:AL)</f>
        <v>QuadrupedAnimalWithClawsTailAndJowl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</v>
      </c>
      <c r="BF202" s="2" t="str">
        <f>IF(J202&gt;0.3,"No",_xlfn.XLOOKUP(_xlfn.XLOOKUP(Animals!B202,'Base stats'!B:B,'Base stats'!E:E),Groups!A:A,Groups!AP:AP))</f>
        <v>No</v>
      </c>
      <c r="BG202" s="2" t="str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No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None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false</v>
      </c>
      <c r="BK202" s="2" t="str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No</v>
      </c>
      <c r="BL202" s="2">
        <f t="shared" si="73"/>
        <v>0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74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No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35</v>
      </c>
      <c r="BS202" s="8">
        <f t="shared" si="75"/>
        <v>0.1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false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AnimalUncommon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TropicalRainforest TropicalSwamp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stats'!N:N)=1,"No",MAX(0.01,MIN(MROUND(IF(OR(_xlfn.XLOOKUP(B202,'Base stats'!B:B,'Base stats'!AM:AM)=1,AND(BJ202="True",CC202="False")),POWER(10,3.47*LOG10(_xlfn.XLOOKUP(B202,'Base stats'!B:B,'Base stats'!C:C)*1000)^-0.96),POWER(10,4.15*LOG10(_xlfn.XLOOKUP(B202,'Base stats'!B:B,'Base stats'!C:C)*1000)^-0.73))*IF(OR(_xlfn.XLOOKUP(B202,'Base stats'!B:B,'Base stats'!AM:AM)=1,_xlfn.XLOOKUP(B202,'Base stats'!B:B,'Base stats'!AK:AK)=1),0.5,1)/100,0.025),0.5)))</f>
        <v>No</v>
      </c>
      <c r="CA202" s="25">
        <f>IF(P202="Standard","No",MAX(0.01,IF(_xlfn.XLOOKUP(B202,'Base stats'!B:B,'Base stats'!N:N)=0,MROUND(BZ202*P202,0.05),MIN(1,MAX(0.025,MROUND(IF(OR(CC202="true",AND(BJ202="false",BO202="false")),POWER(10,4.15*LOG10(_xlfn.XLOOKUP(B202,'Base stats'!B:B,'Base stats'!C:C)*1000)^-0.73),POWER(10,3.47*LOG10(_xlfn.XLOOKUP(B202,'Base stats'!B:B,'Base stats'!C:C)*1000)^-0.96))*IF(_xlfn.XLOOKUP(B202,'Base stats'!B:B,'Base stats'!AK:AK)=1,0.5,1)/100,0.025))))))</f>
        <v>0.47500000000000003</v>
      </c>
      <c r="CB202" s="25" t="str">
        <f>IF(_xlfn.XLOOKUP(_xlfn.XLOOKUP(B202,'Base stats'!B:B,'Base stats'!E:E),Groups!A:A,Groups!AJ:AJ)="Mammal","True","False")</f>
        <v>False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True</v>
      </c>
      <c r="CD202" s="25" t="str">
        <f t="shared" si="76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False</v>
      </c>
      <c r="CJ202" s="25" t="str">
        <f>IF(_xlfn.XLOOKUP(_xlfn.XLOOKUP(B202,'Base stats'!B:B,'Base stats'!E:E),Groups!A:A,Groups!BA:BA),"True","False")</f>
        <v>False</v>
      </c>
    </row>
    <row r="203" spans="1:88" s="16" customFormat="1" ht="16.5" thickTop="1" thickBot="1" x14ac:dyDescent="0.3">
      <c r="A203" s="26" t="str">
        <f>_xlfn.XLOOKUP(B203,'Base stats'!B:B,'Base stats'!A:A)</f>
        <v>Toxlion</v>
      </c>
      <c r="B203" s="6" t="s">
        <v>1352</v>
      </c>
      <c r="C203" s="28" t="s">
        <v>1353</v>
      </c>
      <c r="D203" s="28" t="s">
        <v>1335</v>
      </c>
      <c r="E203" s="28" t="s">
        <v>685</v>
      </c>
      <c r="F203" s="28" t="s">
        <v>685</v>
      </c>
      <c r="G203" s="28" t="s">
        <v>685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775</v>
      </c>
      <c r="I203" s="2">
        <f>MROUND(ROUNDDOWN(_xlfn.XLOOKUP(B203,'Base stats'!B:B,'Base stats'!L:L)/3.6/(23.3/11),1),0.5)</f>
        <v>7.5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stats'!O:O)=2,0,1)),0.05),0.985)))</f>
        <v>0.85000000000000009</v>
      </c>
      <c r="K203" s="2">
        <f>ROUNDUP(AO203*_xlfn.XLOOKUP(_xlfn.XLOOKUP(B203,'Base stats'!B:B,'Base stats'!E:E),Groups!A:A,Groups!E:E),0)</f>
        <v>2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-30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50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*0.025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*0.025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10</v>
      </c>
      <c r="R203" s="7">
        <f>IF(Q203="No","No",MAX(1,MROUND(_xlfn.XLOOKUP(B203,'Base stats'!B:B,'Base stats'!C:C)^0.165,0.05)))</f>
        <v>2.3000000000000003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18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1.6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VAEWaste_FluBite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15.5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1.5</v>
      </c>
      <c r="AK203" s="7" t="str">
        <f>IF(AI203="No","No",_xlfn.XLOOKUP(_xlfn.XLOOKUP(B203,'Base stats'!B:B,'Base stats'!E:E),Groups!A:A,Groups!AF:AF))</f>
        <v>FrontRightPaw,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VAEWaste_FluClaws</v>
      </c>
      <c r="AN203" s="2">
        <f t="shared" si="71"/>
        <v>25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1.6</v>
      </c>
      <c r="AP203" s="8">
        <f>MROUND(AO203*_xlfn.XLOOKUP(_xlfn.XLOOKUP(B203,'Base stats'!B:B,'Base stats'!E:E),Groups!A:A,Groups!AI:AI)*_xlfn.XLOOKUP(B203,'Base stats'!B:B,'Base stats'!Z:Z),0.05)</f>
        <v>1.9000000000000001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0.75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15</v>
      </c>
      <c r="AS203" s="35">
        <f>IFERROR(IF(_xlfn.XLOOKUP(B203,'Base stats'!B:B,'Base stats'!F:F)="Lay eggs","Lay eggs",MIN(20,MAX(5.5,ROUND(((_xlfn.XLOOKUP(B203,'Base stats'!B:B,'Base stats'!F:F)-25)*(14.5/615) + 5.5)*2,0)/2))),"Cannot breed")</f>
        <v>7.5</v>
      </c>
      <c r="AT203" s="8">
        <f>IF(OR(A203="Queen",A203="Larva",A203="Megachicken",A203="Megatardi",A203="Toxscorpion"),"No",IFERROR(MAX(IF(_xlfn.XLOOKUP(B203,'Base stats'!B:B,'Base stats'!G:G)&lt;0.5,0.2,0.3),MROUND(_xlfn.XLOOKUP(B203,'Base stats'!B:B,'Base stats'!G:G)/(365/60),0.2)),"Unknown"))</f>
        <v>0.4</v>
      </c>
      <c r="AU203" s="8">
        <f t="shared" si="70"/>
        <v>0.2</v>
      </c>
      <c r="AV203" s="8">
        <f>IFERROR(IFERROR(MROUND(_xlfn.XLOOKUP(B203,'Base stats'!B:B,'Base stats'!J:J),0.1),"Lay eggs"),"Cannot breed")</f>
        <v>3</v>
      </c>
      <c r="AW203" s="2" t="str">
        <f t="shared" si="72"/>
        <v>true</v>
      </c>
      <c r="AX203" s="2" t="str">
        <f>IF(_xlfn.XLOOKUP(_xlfn.XLOOKUP(Animals!B203,'Base stats'!B:B,'Base stats'!E:E),Groups!A:A,Groups!AK:AK)=1,"true","false")</f>
        <v>false</v>
      </c>
      <c r="AY203" s="25" t="str">
        <f>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</f>
        <v>CarnivoreAnimal,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ToxicLeather</v>
      </c>
      <c r="BC203" s="23" t="str">
        <f>_xlfn.XLOOKUP(_xlfn.XLOOKUP(B203,'Base stats'!B:B,'Base stats'!E:E),Groups!A:A,Groups!AL:AL)</f>
        <v>QuadrupedAnimalWithPawsAndTail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Intermediate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4.25</v>
      </c>
      <c r="BL203" s="2">
        <f t="shared" si="73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74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false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</v>
      </c>
      <c r="BQ203" s="25" t="str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No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190</v>
      </c>
      <c r="BS203" s="8">
        <f t="shared" si="75"/>
        <v>0.9</v>
      </c>
      <c r="BT203" s="8" t="str">
        <f>_xlfn.XLOOKUP(B203,'Base stats'!B:B,'Base stats'!AF:AF)</f>
        <v>2~6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true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AnimalUncommon, AnimalFighter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AridShrubland Desert Grasslands LavaField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stats'!N:N)=1,"No",MAX(0.01,MIN(MROUND(IF(OR(_xlfn.XLOOKUP(B203,'Base stats'!B:B,'Base stats'!AM:AM)=1,AND(BJ203="True",CC203="False")),POWER(10,3.47*LOG10(_xlfn.XLOOKUP(B203,'Base stats'!B:B,'Base stats'!C:C)*1000)^-0.96),POWER(10,4.15*LOG10(_xlfn.XLOOKUP(B203,'Base stats'!B:B,'Base stats'!C:C)*1000)^-0.73))*IF(OR(_xlfn.XLOOKUP(B203,'Base stats'!B:B,'Base stats'!AM:AM)=1,_xlfn.XLOOKUP(B203,'Base stats'!B:B,'Base stats'!AK:AK)=1),0.5,1)/100,0.025),0.5)))</f>
        <v>No</v>
      </c>
      <c r="CA203" s="25">
        <f>IF(P203="Standard","No",MAX(0.01,IF(_xlfn.XLOOKUP(B203,'Base stats'!B:B,'Base stats'!N:N)=0,MROUND(BZ203*P203,0.05),MIN(1,MAX(0.025,MROUND(IF(OR(CC203="true",AND(BJ203="false",BO203="false")),POWER(10,4.15*LOG10(_xlfn.XLOOKUP(B203,'Base stats'!B:B,'Base stats'!C:C)*1000)^-0.73),POWER(10,3.47*LOG10(_xlfn.XLOOKUP(B203,'Base stats'!B:B,'Base stats'!C:C)*1000)^-0.96))*IF(_xlfn.XLOOKUP(B203,'Base stats'!B:B,'Base stats'!AK:AK)=1,0.5,1)/100,0.025))))))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76"/>
        <v>False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No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Toxscorpion</v>
      </c>
      <c r="B204" s="6" t="s">
        <v>1355</v>
      </c>
      <c r="C204" s="28" t="s">
        <v>1354</v>
      </c>
      <c r="D204" s="28" t="s">
        <v>1335</v>
      </c>
      <c r="E204" s="28" t="s">
        <v>1337</v>
      </c>
      <c r="F204" s="28" t="s">
        <v>685</v>
      </c>
      <c r="G204" s="28" t="s">
        <v>685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1175</v>
      </c>
      <c r="I204" s="2">
        <f>MROUND(ROUNDDOWN(_xlfn.XLOOKUP(B204,'Base stats'!B:B,'Base stats'!L:L)/3.6/(23.3/11),1),0.5)</f>
        <v>2.5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stats'!O:O)=2,0,1)),0.05),0.985)))</f>
        <v>0.9</v>
      </c>
      <c r="K204" s="2">
        <f>ROUNDUP(AO204*_xlfn.XLOOKUP(_xlfn.XLOOKUP(B204,'Base stats'!B:B,'Base stats'!E:E),Groups!A:A,Groups!E:E),0)</f>
        <v>3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-5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50</v>
      </c>
      <c r="N204" s="8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*0.025
),
0.05
),
200%
),
"No"
)</f>
        <v>0.8</v>
      </c>
      <c r="O204" s="8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*0.025
),
0.05
),
200%
),
"No"
)</f>
        <v>0.15000000000000002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14.5</v>
      </c>
      <c r="R204" s="7">
        <f>IF(Q204="No","No",MAX(1,MROUND(_xlfn.XLOOKUP(B204,'Base stats'!B:B,'Base stats'!C:C)^0.165,0.05)))</f>
        <v>2.7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27</v>
      </c>
      <c r="Y204" s="7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3.5</v>
      </c>
      <c r="Z204" s="7" t="str">
        <f>IF(X204="No","No",_xlfn.XLOOKUP(_xlfn.XLOOKUP(B204,'Base stats'!B:B,'Base stats'!E:E),Groups!A:A,Groups!W:W))</f>
        <v>Sting</v>
      </c>
      <c r="AA204" s="7" t="str">
        <f>IF(X204="No","No",_xlfn.XLOOKUP(_xlfn.XLOOKUP(B204,'Base stats'!B:B,'Base stats'!E:E),Groups!A:A,Groups!X:X))</f>
        <v>stinger</v>
      </c>
      <c r="AB204" s="7" t="str">
        <f>IF(X204="No","No",_xlfn.XLOOKUP(_xlfn.XLOOKUP(B204,'Base stats'!B:B,'Base stats'!E:E),Groups!A:A,Groups!Y:Y))</f>
        <v>VAEWaste_Sting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37.5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3.2</v>
      </c>
      <c r="AF204" s="7" t="str">
        <f>IF(AD204="No","No",_xlfn.XLOOKUP(_xlfn.XLOOKUP(B204,'Base stats'!B:B,'Base stats'!E:E),Groups!A:A,Groups!AA:AA))</f>
        <v>Mouth</v>
      </c>
      <c r="AG204" s="7" t="str">
        <f>IF(AD204="No","No",_xlfn.XLOOKUP(_xlfn.XLOOKUP(B204,'Base stats'!B:B,'Base stats'!E:E),Groups!A:A,Groups!AB:AB))</f>
        <v>chelicerae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37.5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2.95</v>
      </c>
      <c r="AK204" s="7" t="str">
        <f>IF(AI204="No","No",_xlfn.XLOOKUP(_xlfn.XLOOKUP(B204,'Base stats'!B:B,'Base stats'!E:E),Groups!A:A,Groups!AF:AF))</f>
        <v>LeftPincer, RightPincer</v>
      </c>
      <c r="AL204" s="7" t="str">
        <f>IF(AI204="No","No",_xlfn.XLOOKUP(_xlfn.XLOOKUP(B204,'Base stats'!B:B,'Base stats'!E:E),Groups!A:A,Groups!AG:AG))</f>
        <v>left pincer, right pincer</v>
      </c>
      <c r="AM204" s="7" t="str">
        <f>IF(AI204="No","No",_xlfn.XLOOKUP(_xlfn.XLOOKUP(B204,'Base stats'!B:B,'Base stats'!E:E),Groups!A:A,Groups!AH:AH))</f>
        <v>Scratch</v>
      </c>
      <c r="AN204" s="2">
        <f t="shared" si="71"/>
        <v>30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2.75</v>
      </c>
      <c r="AP204" s="8">
        <f>MROUND(AO204*_xlfn.XLOOKUP(_xlfn.XLOOKUP(B204,'Base stats'!B:B,'Base stats'!E:E),Groups!A:A,Groups!AI:AI)*_xlfn.XLOOKUP(B204,'Base stats'!B:B,'Base stats'!Z:Z),0.05)</f>
        <v>2.75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0.30000000000000004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IFERROR(IF(_xlfn.XLOOKUP(B204,'Base stats'!B:B,'Base stats'!F:F)="Lay eggs","Lay eggs",MIN(20,MAX(5.5,ROUND(((_xlfn.XLOOKUP(B204,'Base stats'!B:B,'Base stats'!F:F)-25)*(14.5/615) + 5.5)*2,0)/2))),"Cannot breed")</f>
        <v>Lay eggs</v>
      </c>
      <c r="AT204" s="8" t="str">
        <f>IF(OR(A204="Queen",A204="Larva",A204="Megachicken",A204="Megatardi",A204="Toxscorpion"),"No",IFERROR(MAX(IF(_xlfn.XLOOKUP(B204,'Base stats'!B:B,'Base stats'!G:G)&lt;0.5,0.2,0.3),MROUND(_xlfn.XLOOKUP(B204,'Base stats'!B:B,'Base stats'!G:G)/(365/60),0.2)),"Unknown"))</f>
        <v>No</v>
      </c>
      <c r="AU204" s="8" t="str">
        <f t="shared" si="70"/>
        <v>No</v>
      </c>
      <c r="AV204" s="8" t="str">
        <f>IFERROR(IFERROR(MROUND(_xlfn.XLOOKUP(B204,'Base stats'!B:B,'Base stats'!J:J),0.1),"Lay eggs"),"Cannot breed")</f>
        <v>Lay eggs</v>
      </c>
      <c r="AW204" s="2" t="str">
        <f t="shared" si="72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</f>
        <v>OmnivoreAnimal, OvivoreAnimal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&lt;li&gt;Megaspider&lt;/li&gt;</v>
      </c>
      <c r="BB204" s="2" t="str">
        <f>_xlfn.XLOOKUP(B204,'Base stats'!B:B,'Base stats'!AG:AG)</f>
        <v>No</v>
      </c>
      <c r="BC204" s="23" t="str">
        <f>_xlfn.XLOOKUP(_xlfn.XLOOKUP(B204,'Base stats'!B:B,'Base stats'!E:E),Groups!A:A,Groups!AL:AL)</f>
        <v>ScorpionLike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1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1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Advanced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true</v>
      </c>
      <c r="BK204" s="2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3</v>
      </c>
      <c r="BL204" s="2">
        <f t="shared" si="73"/>
        <v>1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74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AttackTarget, AttackTarget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315</v>
      </c>
      <c r="BS204" s="8">
        <f t="shared" si="75"/>
        <v>0.8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true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AnimalUncommon, AnimalFighter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AridShrubland Desert ExtremeDesert TropicalRainforest TropicalSwamp Grasslands Glowforest LavaField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stats'!N:N)=1,"No",MAX(0.01,MIN(MROUND(IF(OR(_xlfn.XLOOKUP(B204,'Base stats'!B:B,'Base stats'!AM:AM)=1,AND(BJ204="True",CC204="False")),POWER(10,3.47*LOG10(_xlfn.XLOOKUP(B204,'Base stats'!B:B,'Base stats'!C:C)*1000)^-0.96),POWER(10,4.15*LOG10(_xlfn.XLOOKUP(B204,'Base stats'!B:B,'Base stats'!C:C)*1000)^-0.73))*IF(OR(_xlfn.XLOOKUP(B204,'Base stats'!B:B,'Base stats'!AM:AM)=1,_xlfn.XLOOKUP(B204,'Base stats'!B:B,'Base stats'!AK:AK)=1),0.5,1)/100,0.025),0.5)))</f>
        <v>No</v>
      </c>
      <c r="CA204" s="25">
        <f>IF(P204="Standard","No",MAX(0.01,IF(_xlfn.XLOOKUP(B204,'Base stats'!B:B,'Base stats'!N:N)=0,MROUND(BZ204*P204,0.05),MIN(1,MAX(0.025,MROUND(IF(OR(CC204="true",AND(BJ204="false",BO204="false")),POWER(10,4.15*LOG10(_xlfn.XLOOKUP(B204,'Base stats'!B:B,'Base stats'!C:C)*1000)^-0.73),POWER(10,3.47*LOG10(_xlfn.XLOOKUP(B204,'Base stats'!B:B,'Base stats'!C:C)*1000)^-0.96))*IF(_xlfn.XLOOKUP(B204,'Base stats'!B:B,'Base stats'!AK:AK)=1,0.5,1)/100,0.025))))))</f>
        <v>0.15000000000000002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76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Bone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Wasteboar</v>
      </c>
      <c r="B205" s="6" t="s">
        <v>1356</v>
      </c>
      <c r="C205" s="28" t="s">
        <v>1361</v>
      </c>
      <c r="D205" s="28" t="s">
        <v>1335</v>
      </c>
      <c r="E205" s="28" t="s">
        <v>685</v>
      </c>
      <c r="F205" s="28" t="s">
        <v>685</v>
      </c>
      <c r="G205" s="28" t="s">
        <v>685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250</v>
      </c>
      <c r="I205" s="2">
        <f>MROUND(ROUNDDOWN(_xlfn.XLOOKUP(B205,'Base stats'!B:B,'Base stats'!L:L)/3.6/(23.3/11),1),0.5)</f>
        <v>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stats'!O:O)=2,0,1)),0.05),0.985)))</f>
        <v>0.70000000000000007</v>
      </c>
      <c r="K205" s="2">
        <f>ROUNDUP(AO205*_xlfn.XLOOKUP(_xlfn.XLOOKUP(B205,'Base stats'!B:B,'Base stats'!E:E),Groups!A:A,Groups!E:E),0)</f>
        <v>8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-45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40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*0.025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*0.025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9.5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17</v>
      </c>
      <c r="Y205" s="7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1.85</v>
      </c>
      <c r="Z205" s="7" t="str">
        <f>IF(X205="No","No",_xlfn.XLOOKUP(_xlfn.XLOOKUP(B205,'Base stats'!B:B,'Base stats'!E:E),Groups!A:A,Groups!W:W))</f>
        <v>TuskAttackTool</v>
      </c>
      <c r="AA205" s="7" t="str">
        <f>IF(X205="No","No",_xlfn.XLOOKUP(_xlfn.XLOOKUP(B205,'Base stats'!B:B,'Base stats'!E:E),Groups!A:A,Groups!X:X))</f>
        <v>tusk</v>
      </c>
      <c r="AB205" s="7" t="str">
        <f>IF(X205="No","No",_xlfn.XLOOKUP(_xlfn.XLOOKUP(B205,'Base stats'!B:B,'Base stats'!E:E),Groups!A:A,Groups!Y:Y))</f>
        <v>Scratch</v>
      </c>
      <c r="AC205" s="7" t="str">
        <f>_xlfn.XLOOKUP(Animals!B205,'Base stats'!B:B,'Base stats'!X:X)</f>
        <v>True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19.5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2.15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teeth</v>
      </c>
      <c r="AH205" s="7" t="str">
        <f>IF(AD205="No","No",_xlfn.XLOOKUP(_xlfn.XLOOKUP(B205,'Base stats'!B:B,'Base stats'!E:E),Groups!A:A,Groups!AC:AC))</f>
        <v>Bite</v>
      </c>
      <c r="AI205" s="13" t="str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No</v>
      </c>
      <c r="AJ205" s="7" t="str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No</v>
      </c>
      <c r="AK205" s="7" t="str">
        <f>IF(AI205="No","No",_xlfn.XLOOKUP(_xlfn.XLOOKUP(B205,'Base stats'!B:B,'Base stats'!E:E),Groups!A:A,Groups!AF:AF))</f>
        <v>No</v>
      </c>
      <c r="AL205" s="7" t="str">
        <f>IF(AI205="No","No",_xlfn.XLOOKUP(_xlfn.XLOOKUP(B205,'Base stats'!B:B,'Base stats'!E:E),Groups!A:A,Groups!AG:AG))</f>
        <v>No</v>
      </c>
      <c r="AM205" s="7" t="str">
        <f>IF(AI205="No","No",_xlfn.XLOOKUP(_xlfn.XLOOKUP(B205,'Base stats'!B:B,'Base stats'!E:E),Groups!A:A,Groups!AH:AH))</f>
        <v>No</v>
      </c>
      <c r="AN205" s="2" t="str">
        <f t="shared" si="71"/>
        <v>No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1.5</v>
      </c>
      <c r="AP205" s="8">
        <f>MROUND(AO205*_xlfn.XLOOKUP(_xlfn.XLOOKUP(B205,'Base stats'!B:B,'Base stats'!E:E),Groups!A:A,Groups!AI:AI)*_xlfn.XLOOKUP(B205,'Base stats'!B:B,'Base stats'!Z:Z),0.05)</f>
        <v>1.5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IFERROR(IF(_xlfn.XLOOKUP(B205,'Base stats'!B:B,'Base stats'!F:F)="Lay eggs","Lay eggs",MIN(20,MAX(5.5,ROUND(((_xlfn.XLOOKUP(B205,'Base stats'!B:B,'Base stats'!F:F)-25)*(14.5/615) + 5.5)*2,0)/2))),"Cannot breed")</f>
        <v>7.5</v>
      </c>
      <c r="AT205" s="8">
        <f>IF(OR(A205="Queen",A205="Larva",A205="Megachicken",A205="Megatardi",A205="Toxscorpion"),"No",IFERROR(MAX(IF(_xlfn.XLOOKUP(B205,'Base stats'!B:B,'Base stats'!G:G)&lt;0.5,0.2,0.3),MROUND(_xlfn.XLOOKUP(B205,'Base stats'!B:B,'Base stats'!G:G)/(365/60),0.2)),"Unknown"))</f>
        <v>0.3</v>
      </c>
      <c r="AU205" s="8">
        <f t="shared" si="70"/>
        <v>0.15000000000000002</v>
      </c>
      <c r="AV205" s="8">
        <f>IFERROR(IFERROR(MROUND(_xlfn.XLOOKUP(B205,'Base stats'!B:B,'Base stats'!J:J),0.1),"Lay eggs"),"Cannot breed")</f>
        <v>7</v>
      </c>
      <c r="AW205" s="2" t="str">
        <f t="shared" si="72"/>
        <v>true</v>
      </c>
      <c r="AX205" s="2" t="str">
        <f>IF(_xlfn.XLOOKUP(_xlfn.XLOOKUP(Animals!B205,'Base stats'!B:B,'Base stats'!E:E),Groups!A:A,Groups!AK:AK)=1,"true","false")</f>
        <v>true</v>
      </c>
      <c r="AY205" s="25" t="str">
        <f>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</f>
        <v>OmnivoreRoughAnimal, OvivoreAnimal</v>
      </c>
      <c r="AZ205" s="2">
        <f>IF(_xlfn.XLOOKUP(_xlfn.XLOOKUP(B205,'Base stats'!B:B,'Base stats'!E:E),Groups!A:A,Groups!D:D)=1,MROUND((1-J205)*5+1,2)*IF(J205&lt;=0.4,2,1),"No")</f>
        <v>2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ToxicLeather</v>
      </c>
      <c r="BC205" s="23" t="str">
        <f>_xlfn.XLOOKUP(_xlfn.XLOOKUP(B205,'Base stats'!B:B,'Base stats'!E:E),Groups!A:A,Groups!AL:AL)</f>
        <v>QuadrupedAnimalWithHoovesAndTusks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2.5000000000000001E-2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0.1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None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false</v>
      </c>
      <c r="BK205" s="2" t="str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No</v>
      </c>
      <c r="BL205" s="2">
        <f t="shared" si="73"/>
        <v>0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74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Forage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140</v>
      </c>
      <c r="BS205" s="8">
        <f t="shared" si="75"/>
        <v>0.9</v>
      </c>
      <c r="BT205" s="8" t="str">
        <f>_xlfn.XLOOKUP(B205,'Base stats'!B:B,'Base stats'!AF:AF)</f>
        <v>3~10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false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AnimalCommon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BorealForest ColdBog TemperateForest TemperateSwamp TropicalRainforest TropicalSwamp Glowforest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stats'!N:N)=1,"No",MAX(0.01,MIN(MROUND(IF(OR(_xlfn.XLOOKUP(B205,'Base stats'!B:B,'Base stats'!AM:AM)=1,AND(BJ205="True",CC205="False")),POWER(10,3.47*LOG10(_xlfn.XLOOKUP(B205,'Base stats'!B:B,'Base stats'!C:C)*1000)^-0.96),POWER(10,4.15*LOG10(_xlfn.XLOOKUP(B205,'Base stats'!B:B,'Base stats'!C:C)*1000)^-0.73))*IF(OR(_xlfn.XLOOKUP(B205,'Base stats'!B:B,'Base stats'!AM:AM)=1,_xlfn.XLOOKUP(B205,'Base stats'!B:B,'Base stats'!AK:AK)=1),0.5,1)/100,0.025),0.5)))</f>
        <v>No</v>
      </c>
      <c r="CA205" s="25">
        <f>IF(P205="Standard","No",MAX(0.01,IF(_xlfn.XLOOKUP(B205,'Base stats'!B:B,'Base stats'!N:N)=0,MROUND(BZ205*P205,0.05),MIN(1,MAX(0.025,MROUND(IF(OR(CC205="true",AND(BJ205="false",BO205="false")),POWER(10,4.15*LOG10(_xlfn.XLOOKUP(B205,'Base stats'!B:B,'Base stats'!C:C)*1000)^-0.73),POWER(10,3.47*LOG10(_xlfn.XLOOKUP(B205,'Base stats'!B:B,'Base stats'!C:C)*1000)^-0.96))*IF(_xlfn.XLOOKUP(B205,'Base stats'!B:B,'Base stats'!AK:AK)=1,0.5,1)/100,0.025))))))</f>
        <v>0.17500000000000002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76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Bone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Wastedeer</v>
      </c>
      <c r="B206" s="6" t="s">
        <v>1357</v>
      </c>
      <c r="C206" s="28" t="s">
        <v>1360</v>
      </c>
      <c r="D206" s="28" t="s">
        <v>1335</v>
      </c>
      <c r="E206" s="28" t="s">
        <v>685</v>
      </c>
      <c r="F206" s="28" t="s">
        <v>685</v>
      </c>
      <c r="G206" s="28" t="s">
        <v>685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150</v>
      </c>
      <c r="I206" s="2">
        <f>MROUND(ROUNDDOWN(_xlfn.XLOOKUP(B206,'Base stats'!B:B,'Base stats'!L:L)/3.6/(23.3/11),1),0.5)</f>
        <v>8.5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stats'!O:O)=2,0,1)),0.05),0.985)))</f>
        <v>0.5</v>
      </c>
      <c r="K206" s="2">
        <f>ROUNDUP(AO206*_xlfn.XLOOKUP(_xlfn.XLOOKUP(B206,'Base stats'!B:B,'Base stats'!E:E),Groups!A:A,Groups!E:E),0)</f>
        <v>5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-50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35</v>
      </c>
      <c r="N206" s="8" t="str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*0.025
),
0.05
),
200%
),
"No"
)</f>
        <v>No</v>
      </c>
      <c r="O206" s="8" t="str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*0.025
),
0.05
),
200%
),
"No"
)</f>
        <v>No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7</v>
      </c>
      <c r="R206" s="7">
        <f>IF(Q206="No","No",MAX(1,MROUND(_xlfn.XLOOKUP(B206,'Base stats'!B:B,'Base stats'!C:C)^0.165,0.05)))</f>
        <v>2</v>
      </c>
      <c r="S206" s="13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9</v>
      </c>
      <c r="T206" s="7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2</v>
      </c>
      <c r="U206" s="7" t="str">
        <f>IF(S206="No","No",_xlfn.XLOOKUP(_xlfn.XLOOKUP(B206,'Base stats'!B:B,'Base stats'!E:E),Groups!A:A,Groups!R:R))</f>
        <v>FrontLeftLeg, FrontRightLeg</v>
      </c>
      <c r="V206" s="7" t="str">
        <f>IF(S206="No","No",_xlfn.XLOOKUP(_xlfn.XLOOKUP(B206,'Base stats'!B:B,'Base stats'!E:E),Groups!A:A,Groups!S:S))</f>
        <v>left hoof, right hoof</v>
      </c>
      <c r="W206" s="7" t="str">
        <f>IF(S206="No","No",_xlfn.XLOOKUP(_xlfn.XLOOKUP(B206,'Base stats'!B:B,'Base stats'!E:E),Groups!A:A,Groups!T:T))</f>
        <v>Blunt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12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1.7000000000000002</v>
      </c>
      <c r="Z206" s="7" t="str">
        <f>IF(X206="No","No",_xlfn.XLOOKUP(_xlfn.XLOOKUP(B206,'Base stats'!B:B,'Base stats'!E:E),Groups!A:A,Groups!W:W))</f>
        <v>HeadAttackTool</v>
      </c>
      <c r="AA206" s="7" t="str">
        <f>IF(X206="No","No",_xlfn.XLOOKUP(_xlfn.XLOOKUP(B206,'Base stats'!B:B,'Base stats'!E:E),Groups!A:A,Groups!X:X))</f>
        <v>antler</v>
      </c>
      <c r="AB206" s="7" t="str">
        <f>IF(X206="No","No",_xlfn.XLOOKUP(_xlfn.XLOOKUP(B206,'Base stats'!B:B,'Base stats'!E:E),Groups!A:A,Groups!Y:Y))</f>
        <v>Scratch</v>
      </c>
      <c r="AC206" s="7" t="str">
        <f>_xlfn.XLOOKUP(Animals!B206,'Base stats'!B:B,'Base stats'!X:X)</f>
        <v>True</v>
      </c>
      <c r="AD206" s="13" t="str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No</v>
      </c>
      <c r="AE206" s="7" t="str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No</v>
      </c>
      <c r="AF206" s="7" t="str">
        <f>IF(AD206="No","No",_xlfn.XLOOKUP(_xlfn.XLOOKUP(B206,'Base stats'!B:B,'Base stats'!E:E),Groups!A:A,Groups!AA:AA))</f>
        <v>No</v>
      </c>
      <c r="AG206" s="7" t="str">
        <f>IF(AD206="No","No",_xlfn.XLOOKUP(_xlfn.XLOOKUP(B206,'Base stats'!B:B,'Base stats'!E:E),Groups!A:A,Groups!AB:AB))</f>
        <v>No</v>
      </c>
      <c r="AH206" s="7" t="str">
        <f>IF(AD206="No","No",_xlfn.XLOOKUP(_xlfn.XLOOKUP(B206,'Base stats'!B:B,'Base stats'!E:E),Groups!A:A,Groups!AC:AC))</f>
        <v>No</v>
      </c>
      <c r="AI206" s="13" t="str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No</v>
      </c>
      <c r="AJ206" s="7" t="str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No</v>
      </c>
      <c r="AK206" s="7" t="str">
        <f>IF(AI206="No","No",_xlfn.XLOOKUP(_xlfn.XLOOKUP(B206,'Base stats'!B:B,'Base stats'!E:E),Groups!A:A,Groups!AF:AF))</f>
        <v>No</v>
      </c>
      <c r="AL206" s="7" t="str">
        <f>IF(AI206="No","No",_xlfn.XLOOKUP(_xlfn.XLOOKUP(B206,'Base stats'!B:B,'Base stats'!E:E),Groups!A:A,Groups!AG:AG))</f>
        <v>No</v>
      </c>
      <c r="AM206" s="7" t="str">
        <f>IF(AI206="No","No",_xlfn.XLOOKUP(_xlfn.XLOOKUP(B206,'Base stats'!B:B,'Base stats'!E:E),Groups!A:A,Groups!AH:AH))</f>
        <v>No</v>
      </c>
      <c r="AN206" s="2" t="str">
        <f t="shared" ref="AN206:AN207" si="77">IF(BJ206="false","No",MROUND(AO206*5+15*1,5))</f>
        <v>No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1</v>
      </c>
      <c r="AP206" s="8">
        <f>MROUND(AO206*_xlfn.XLOOKUP(_xlfn.XLOOKUP(B206,'Base stats'!B:B,'Base stats'!E:E),Groups!A:A,Groups!AI:AI)*_xlfn.XLOOKUP(B206,'Base stats'!B:B,'Base stats'!Z:Z),0.05)</f>
        <v>1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0.55000000000000004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>
        <f>IFERROR(IF(_xlfn.XLOOKUP(B206,'Base stats'!B:B,'Base stats'!F:F)="Lay eggs","Lay eggs",MIN(20,MAX(5.5,ROUND(((_xlfn.XLOOKUP(B206,'Base stats'!B:B,'Base stats'!F:F)-25)*(14.5/615) + 5.5)*2,0)/2))),"Cannot breed")</f>
        <v>8.5</v>
      </c>
      <c r="AT206" s="8">
        <f>IF(OR(A206="Queen",A206="Larva",A206="Megachicken",A206="Megatardi",A206="Toxscorpion"),"No",IFERROR(MAX(IF(_xlfn.XLOOKUP(B206,'Base stats'!B:B,'Base stats'!G:G)&lt;0.5,0.2,0.3),MROUND(_xlfn.XLOOKUP(B206,'Base stats'!B:B,'Base stats'!G:G)/(365/60),0.2)),"Unknown"))</f>
        <v>0.3</v>
      </c>
      <c r="AU206" s="8">
        <f t="shared" si="70"/>
        <v>0.15000000000000002</v>
      </c>
      <c r="AV206" s="8">
        <f>IFERROR(IFERROR(MROUND(_xlfn.XLOOKUP(B206,'Base stats'!B:B,'Base stats'!J:J),0.1),"Lay eggs"),"Cannot breed")</f>
        <v>1</v>
      </c>
      <c r="AW206" s="2" t="str">
        <f t="shared" ref="AW206:AW207" si="78">IF(BT206="No","false","true")</f>
        <v>true</v>
      </c>
      <c r="AX206" s="2" t="str">
        <f>IF(_xlfn.XLOOKUP(_xlfn.XLOOKUP(Animals!B206,'Base stats'!B:B,'Base stats'!E:E),Groups!A:A,Groups!AK:AK)=1,"true","false")</f>
        <v>true</v>
      </c>
      <c r="AY206" s="25" t="str">
        <f>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</f>
        <v>VegetarianRoughAnimal</v>
      </c>
      <c r="AZ206" s="2">
        <f>IF(_xlfn.XLOOKUP(_xlfn.XLOOKUP(B206,'Base stats'!B:B,'Base stats'!E:E),Groups!A:A,Groups!D:D)=1,MROUND((1-J206)*5+1,2)*IF(J206&lt;=0.4,2,1),"No")</f>
        <v>4</v>
      </c>
      <c r="BA206" s="2" t="str">
        <f>IF(AND(_xlfn.XLOOKUP(B206,'Base stats'!B:B,'Base stats'!AH:AH)="&lt;li&gt;Seal&lt;/li&gt;",G206="Odyssey"),"&lt;li&gt;AEXP_Seal&lt;/li&gt;",_xlfn.XLOOKUP(B206,'Base stats'!B:B,'Base stats'!AH:AH))</f>
        <v>No</v>
      </c>
      <c r="BB206" s="2" t="str">
        <f>_xlfn.XLOOKUP(B206,'Base stats'!B:B,'Base stats'!AG:AG)</f>
        <v>ToxicLeather</v>
      </c>
      <c r="BC206" s="23" t="str">
        <f>_xlfn.XLOOKUP(_xlfn.XLOOKUP(B206,'Base stats'!B:B,'Base stats'!E:E),Groups!A:A,Groups!AL:AL)</f>
        <v>Wasteffalo_Body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0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0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None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false</v>
      </c>
      <c r="BK206" s="2" t="str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No</v>
      </c>
      <c r="BL206" s="2">
        <f t="shared" ref="BL206:BL207" si="79">IF(BI206&lt;&gt;"None",1,0)</f>
        <v>0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ref="BN206:BN207" si="80">IF(OR(BM206&lt;&gt;"No",BQ206=1),"true","false")</f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No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85</v>
      </c>
      <c r="BS206" s="8">
        <f t="shared" ref="BS206:BS207" si="81">MROUND(AO206 * 0.2 + AQ206 * 0.8,0.05)</f>
        <v>0.65</v>
      </c>
      <c r="BT206" s="8" t="str">
        <f>_xlfn.XLOOKUP(B206,'Base stats'!B:B,'Base stats'!AF:AF)</f>
        <v>3~10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false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AnimalCommon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BorealForest ColdBog TemperateForest TemperateSwamp GlacialPlain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stats'!N:N)=1,"No",MAX(0.01,MIN(MROUND(IF(OR(_xlfn.XLOOKUP(B206,'Base stats'!B:B,'Base stats'!AM:AM)=1,AND(BJ206="True",CC206="False")),POWER(10,3.47*LOG10(_xlfn.XLOOKUP(B206,'Base stats'!B:B,'Base stats'!C:C)*1000)^-0.96),POWER(10,4.15*LOG10(_xlfn.XLOOKUP(B206,'Base stats'!B:B,'Base stats'!C:C)*1000)^-0.73))*IF(OR(_xlfn.XLOOKUP(B206,'Base stats'!B:B,'Base stats'!AM:AM)=1,_xlfn.XLOOKUP(B206,'Base stats'!B:B,'Base stats'!AK:AK)=1),0.5,1)/100,0.025),0.5)))</f>
        <v>No</v>
      </c>
      <c r="CA206" s="25">
        <f>IF(P206="Standard","No",MAX(0.01,IF(_xlfn.XLOOKUP(B206,'Base stats'!B:B,'Base stats'!N:N)=0,MROUND(BZ206*P206,0.05),MIN(1,MAX(0.025,MROUND(IF(OR(CC206="true",AND(BJ206="false",BO206="false")),POWER(10,4.15*LOG10(_xlfn.XLOOKUP(B206,'Base stats'!B:B,'Base stats'!C:C)*1000)^-0.73),POWER(10,3.47*LOG10(_xlfn.XLOOKUP(B206,'Base stats'!B:B,'Base stats'!C:C)*1000)^-0.96))*IF(_xlfn.XLOOKUP(B206,'Base stats'!B:B,'Base stats'!AK:AK)=1,0.5,1)/100,0.025))))))</f>
        <v>0.2</v>
      </c>
      <c r="CB206" s="25" t="str">
        <f>IF(_xlfn.XLOOKUP(_xlfn.XLOOKUP(B206,'Base stats'!B:B,'Base stats'!E:E),Groups!A:A,Groups!AJ:AJ)="Mammal","True","False")</f>
        <v>True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False</v>
      </c>
      <c r="CD206" s="25" t="str">
        <f t="shared" ref="CD206:CD207" si="82">IF(J206&gt;0.95,"True","False")</f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True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Wasteffalo</v>
      </c>
      <c r="B207" s="6" t="s">
        <v>1358</v>
      </c>
      <c r="C207" s="28" t="s">
        <v>1359</v>
      </c>
      <c r="D207" s="28" t="s">
        <v>1335</v>
      </c>
      <c r="E207" s="28" t="s">
        <v>685</v>
      </c>
      <c r="F207" s="28" t="s">
        <v>685</v>
      </c>
      <c r="G207" s="28" t="s">
        <v>685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375</v>
      </c>
      <c r="I207" s="2">
        <f>MROUND(ROUNDDOWN(_xlfn.XLOOKUP(B207,'Base stats'!B:B,'Base stats'!L:L)/3.6/(23.3/11),1),0.5)</f>
        <v>7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stats'!O:O)=2,0,1)),0.05),0.985)))</f>
        <v>0.70000000000000007</v>
      </c>
      <c r="K207" s="2">
        <f>ROUNDUP(AO207*_xlfn.XLOOKUP(_xlfn.XLOOKUP(B207,'Base stats'!B:B,'Base stats'!E:E),Groups!A:A,Groups!E:E),0)</f>
        <v>14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-55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35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*0.025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*0.025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14.5</v>
      </c>
      <c r="R207" s="7">
        <f>IF(Q207="No","No",MAX(1,MROUND(_xlfn.XLOOKUP(B207,'Base stats'!B:B,'Base stats'!C:C)^0.165,0.05)))</f>
        <v>2.7</v>
      </c>
      <c r="S207" s="13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18</v>
      </c>
      <c r="T207" s="7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2.7</v>
      </c>
      <c r="U207" s="7" t="str">
        <f>IF(S207="No","No",_xlfn.XLOOKUP(_xlfn.XLOOKUP(B207,'Base stats'!B:B,'Base stats'!E:E),Groups!A:A,Groups!R:R))</f>
        <v>FrontLeftLeg, FrontRightLeg</v>
      </c>
      <c r="V207" s="7" t="str">
        <f>IF(S207="No","No",_xlfn.XLOOKUP(_xlfn.XLOOKUP(B207,'Base stats'!B:B,'Base stats'!E:E),Groups!A:A,Groups!S:S))</f>
        <v>left hoof, right hoof</v>
      </c>
      <c r="W207" s="7" t="str">
        <f>IF(S207="No","No",_xlfn.XLOOKUP(_xlfn.XLOOKUP(B207,'Base stats'!B:B,'Base stats'!E:E),Groups!A:A,Groups!T:T))</f>
        <v>Blunt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16.5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2.3000000000000003</v>
      </c>
      <c r="Z207" s="7" t="str">
        <f>IF(X207="No","No",_xlfn.XLOOKUP(_xlfn.XLOOKUP(B207,'Base stats'!B:B,'Base stats'!E:E),Groups!A:A,Groups!W:W))</f>
        <v>HeadAttackTool</v>
      </c>
      <c r="AA207" s="7" t="str">
        <f>IF(X207="No","No",_xlfn.XLOOKUP(_xlfn.XLOOKUP(B207,'Base stats'!B:B,'Base stats'!E:E),Groups!A:A,Groups!X:X))</f>
        <v>horn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False</v>
      </c>
      <c r="AD207" s="13" t="str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No</v>
      </c>
      <c r="AE207" s="7" t="str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No</v>
      </c>
      <c r="AF207" s="7" t="str">
        <f>IF(AD207="No","No",_xlfn.XLOOKUP(_xlfn.XLOOKUP(B207,'Base stats'!B:B,'Base stats'!E:E),Groups!A:A,Groups!AA:AA))</f>
        <v>No</v>
      </c>
      <c r="AG207" s="7" t="str">
        <f>IF(AD207="No","No",_xlfn.XLOOKUP(_xlfn.XLOOKUP(B207,'Base stats'!B:B,'Base stats'!E:E),Groups!A:A,Groups!AB:AB))</f>
        <v>No</v>
      </c>
      <c r="AH207" s="7" t="str">
        <f>IF(AD207="No","No",_xlfn.XLOOKUP(_xlfn.XLOOKUP(B207,'Base stats'!B:B,'Base stats'!E:E),Groups!A:A,Groups!AC:AC))</f>
        <v>No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77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2.75</v>
      </c>
      <c r="AP207" s="8">
        <f>MROUND(AO207*_xlfn.XLOOKUP(_xlfn.XLOOKUP(B207,'Base stats'!B:B,'Base stats'!E:E),Groups!A:A,Groups!AI:AI)*_xlfn.XLOOKUP(B207,'Base stats'!B:B,'Base stats'!Z:Z),0.05)</f>
        <v>2.75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1.1000000000000001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IFERROR(IF(_xlfn.XLOOKUP(B207,'Base stats'!B:B,'Base stats'!F:F)="Lay eggs","Lay eggs",MIN(20,MAX(5.5,ROUND(((_xlfn.XLOOKUP(B207,'Base stats'!B:B,'Base stats'!F:F)-25)*(14.5/615) + 5.5)*2,0)/2))),"Cannot breed")</f>
        <v>10.5</v>
      </c>
      <c r="AT207" s="8">
        <f>IF(OR(A207="Queen",A207="Larva",A207="Megachicken",A207="Megatardi",A207="Toxscorpion"),"No",IFERROR(MAX(IF(_xlfn.XLOOKUP(B207,'Base stats'!B:B,'Base stats'!G:G)&lt;0.5,0.2,0.3),MROUND(_xlfn.XLOOKUP(B207,'Base stats'!B:B,'Base stats'!G:G)/(365/60),0.2)),"Unknown"))</f>
        <v>0.4</v>
      </c>
      <c r="AU207" s="8">
        <f t="shared" si="70"/>
        <v>0.2</v>
      </c>
      <c r="AV207" s="8">
        <f>IFERROR(IFERROR(MROUND(_xlfn.XLOOKUP(B207,'Base stats'!B:B,'Base stats'!J:J),0.1),"Lay eggs"),"Cannot breed")</f>
        <v>1</v>
      </c>
      <c r="AW207" s="2" t="str">
        <f t="shared" si="78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</f>
        <v>VegetarianRoughAnimal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ToxicLeather</v>
      </c>
      <c r="BC207" s="23" t="str">
        <f>_xlfn.XLOOKUP(_xlfn.XLOOKUP(B207,'Base stats'!B:B,'Base stats'!E:E),Groups!A:A,Groups!AL:AL)</f>
        <v>QuadrupedAnimalWithHooves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79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80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No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175</v>
      </c>
      <c r="BS207" s="8">
        <f t="shared" si="81"/>
        <v>1.4500000000000002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true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GlacialPlain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stats'!N:N)=1,"No",MAX(0.01,MIN(MROUND(IF(OR(_xlfn.XLOOKUP(B207,'Base stats'!B:B,'Base stats'!AM:AM)=1,AND(BJ207="True",CC207="False")),POWER(10,3.47*LOG10(_xlfn.XLOOKUP(B207,'Base stats'!B:B,'Base stats'!C:C)*1000)^-0.96),POWER(10,4.15*LOG10(_xlfn.XLOOKUP(B207,'Base stats'!B:B,'Base stats'!C:C)*1000)^-0.73))*IF(OR(_xlfn.XLOOKUP(B207,'Base stats'!B:B,'Base stats'!AM:AM)=1,_xlfn.XLOOKUP(B207,'Base stats'!B:B,'Base stats'!AK:AK)=1),0.5,1)/100,0.025),0.5)))</f>
        <v>No</v>
      </c>
      <c r="CA207" s="25">
        <f>IF(P207="Standard","No",MAX(0.01,IF(_xlfn.XLOOKUP(B207,'Base stats'!B:B,'Base stats'!N:N)=0,MROUND(BZ207*P207,0.05),MIN(1,MAX(0.025,MROUND(IF(OR(CC207="true",AND(BJ207="false",BO207="false")),POWER(10,4.15*LOG10(_xlfn.XLOOKUP(B207,'Base stats'!B:B,'Base stats'!C:C)*1000)^-0.73),POWER(10,3.47*LOG10(_xlfn.XLOOKUP(B207,'Base stats'!B:B,'Base stats'!C:C)*1000)^-0.96))*IF(_xlfn.XLOOKUP(B207,'Base stats'!B:B,'Base stats'!AK:AK)=1,0.5,1)/100,0.025))))))</f>
        <v>0.15000000000000002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82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No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ht="15.75" thickTop="1" x14ac:dyDescent="0.25">
      <c r="A208" s="26"/>
      <c r="B208" s="6"/>
      <c r="C208" s="28"/>
      <c r="D208" s="28"/>
      <c r="E208" s="28"/>
      <c r="F208" s="28"/>
    </row>
    <row r="209" spans="1:6" x14ac:dyDescent="0.25">
      <c r="A209" s="26"/>
      <c r="B209" s="6"/>
      <c r="C209" s="28"/>
      <c r="D209" s="28"/>
      <c r="E209" s="28"/>
      <c r="F209" s="28"/>
    </row>
    <row r="210" spans="1:6" x14ac:dyDescent="0.25">
      <c r="A210" s="26"/>
      <c r="B210" s="6"/>
      <c r="C210" s="28"/>
      <c r="D210" s="28"/>
      <c r="E210" s="28"/>
      <c r="F210" s="28"/>
    </row>
    <row r="211" spans="1:6" x14ac:dyDescent="0.25">
      <c r="A211" s="26"/>
      <c r="B211" s="6"/>
      <c r="C211" s="28"/>
      <c r="D211" s="28"/>
      <c r="E211" s="28"/>
      <c r="F211" s="28"/>
    </row>
    <row r="212" spans="1:6" x14ac:dyDescent="0.25">
      <c r="A212" s="26"/>
      <c r="B212" s="6"/>
      <c r="C212" s="28"/>
      <c r="D212" s="28"/>
      <c r="E212" s="28"/>
      <c r="F212" s="28"/>
    </row>
    <row r="213" spans="1:6" x14ac:dyDescent="0.25">
      <c r="A213" s="26"/>
      <c r="B213" s="6"/>
      <c r="C213" s="28"/>
      <c r="D213" s="28"/>
      <c r="E213" s="28"/>
      <c r="F213" s="28"/>
    </row>
    <row r="214" spans="1:6" x14ac:dyDescent="0.25">
      <c r="A214" s="26"/>
      <c r="B214" s="6"/>
      <c r="C214" s="28"/>
      <c r="D214" s="28"/>
      <c r="E214" s="28"/>
      <c r="F214" s="28"/>
    </row>
    <row r="215" spans="1:6" x14ac:dyDescent="0.25">
      <c r="A215" s="26"/>
      <c r="B215" s="6"/>
      <c r="C215" s="28"/>
      <c r="D215" s="28"/>
      <c r="E215" s="28"/>
      <c r="F215" s="28"/>
    </row>
    <row r="216" spans="1:6" x14ac:dyDescent="0.25">
      <c r="A216" s="26"/>
      <c r="B216" s="6"/>
      <c r="C216" s="28"/>
      <c r="D216" s="28"/>
      <c r="E216" s="28"/>
      <c r="F216" s="28"/>
    </row>
    <row r="217" spans="1:6" x14ac:dyDescent="0.25">
      <c r="A217" s="26"/>
      <c r="B217" s="6"/>
      <c r="C217" s="28"/>
      <c r="D217" s="28"/>
      <c r="E217" s="28"/>
      <c r="F217" s="28"/>
    </row>
    <row r="218" spans="1:6" x14ac:dyDescent="0.25">
      <c r="A218" s="26"/>
      <c r="B218" s="6"/>
      <c r="C218" s="28"/>
      <c r="D218" s="28"/>
      <c r="E218" s="28"/>
      <c r="F218" s="28"/>
    </row>
    <row r="219" spans="1:6" x14ac:dyDescent="0.25">
      <c r="A219" s="26"/>
      <c r="B219" s="6"/>
      <c r="C219" s="28"/>
      <c r="D219" s="28"/>
      <c r="E219" s="28"/>
      <c r="F219" s="28"/>
    </row>
    <row r="220" spans="1:6" x14ac:dyDescent="0.25">
      <c r="A220" s="26"/>
      <c r="B220" s="6"/>
      <c r="C220" s="28"/>
      <c r="D220" s="28"/>
      <c r="E220" s="28"/>
      <c r="F220" s="28"/>
    </row>
    <row r="221" spans="1:6" x14ac:dyDescent="0.25">
      <c r="A221" s="26"/>
      <c r="B221" s="6"/>
      <c r="C221" s="28"/>
      <c r="D221" s="28"/>
      <c r="E221" s="28"/>
      <c r="F221" s="28"/>
    </row>
    <row r="222" spans="1:6" x14ac:dyDescent="0.25">
      <c r="A222" s="26"/>
      <c r="B222" s="6"/>
      <c r="C222" s="28"/>
      <c r="D222" s="28"/>
      <c r="E222" s="28"/>
      <c r="F222" s="28"/>
    </row>
    <row r="223" spans="1:6" x14ac:dyDescent="0.25">
      <c r="A223" s="26"/>
      <c r="B223" s="6"/>
      <c r="C223" s="28"/>
      <c r="D223" s="28"/>
      <c r="E223" s="28"/>
      <c r="F223" s="28"/>
    </row>
    <row r="224" spans="1:6" x14ac:dyDescent="0.25">
      <c r="A224" s="26"/>
      <c r="B224" s="6"/>
      <c r="C224" s="28"/>
      <c r="D224" s="28"/>
      <c r="E224" s="28"/>
      <c r="F224" s="28"/>
    </row>
    <row r="225" spans="1:6" x14ac:dyDescent="0.25">
      <c r="A225" s="26"/>
      <c r="B225" s="6"/>
      <c r="C225" s="28"/>
      <c r="D225" s="28"/>
      <c r="E225" s="28"/>
      <c r="F225" s="28"/>
    </row>
    <row r="226" spans="1:6" x14ac:dyDescent="0.25">
      <c r="A226" s="26"/>
      <c r="B226" s="6"/>
      <c r="C226" s="28"/>
      <c r="D226" s="28"/>
      <c r="E226" s="28"/>
      <c r="F226" s="28"/>
    </row>
    <row r="227" spans="1:6" x14ac:dyDescent="0.25">
      <c r="A227" s="26"/>
      <c r="B227" s="6"/>
      <c r="C227" s="28"/>
      <c r="D227" s="28"/>
      <c r="E227" s="28"/>
      <c r="F227" s="28"/>
    </row>
    <row r="228" spans="1:6" x14ac:dyDescent="0.25">
      <c r="A228" s="26"/>
      <c r="B228" s="6"/>
      <c r="C228" s="28"/>
      <c r="D228" s="28"/>
      <c r="E228" s="28"/>
      <c r="F228" s="28"/>
    </row>
    <row r="229" spans="1:6" x14ac:dyDescent="0.25">
      <c r="A229" s="26"/>
      <c r="B229" s="6"/>
      <c r="C229" s="28"/>
      <c r="D229" s="28"/>
      <c r="E229" s="28"/>
      <c r="F229" s="28"/>
    </row>
    <row r="230" spans="1:6" x14ac:dyDescent="0.25">
      <c r="A230" s="26"/>
      <c r="B230" s="6"/>
      <c r="C230" s="28"/>
      <c r="D230" s="28"/>
      <c r="E230" s="28"/>
      <c r="F230" s="28"/>
    </row>
    <row r="231" spans="1:6" x14ac:dyDescent="0.25">
      <c r="A231" s="26"/>
      <c r="B231" s="6"/>
      <c r="C231" s="28"/>
      <c r="D231" s="28"/>
      <c r="E231" s="28"/>
      <c r="F231" s="28"/>
    </row>
    <row r="232" spans="1:6" x14ac:dyDescent="0.25">
      <c r="A232" s="26"/>
      <c r="B232" s="6"/>
      <c r="C232" s="28"/>
      <c r="D232" s="28"/>
      <c r="E232" s="28"/>
      <c r="F232" s="28"/>
    </row>
    <row r="233" spans="1:6" x14ac:dyDescent="0.25">
      <c r="A233" s="26"/>
      <c r="B233" s="6"/>
      <c r="C233" s="28"/>
      <c r="D233" s="28"/>
      <c r="E233" s="28"/>
      <c r="F233" s="28"/>
    </row>
    <row r="234" spans="1:6" x14ac:dyDescent="0.25">
      <c r="A234" s="26"/>
      <c r="B234" s="6"/>
      <c r="C234" s="28"/>
      <c r="D234" s="28"/>
      <c r="E234" s="28"/>
      <c r="F234" s="28"/>
    </row>
    <row r="235" spans="1:6" x14ac:dyDescent="0.25">
      <c r="A235" s="26"/>
      <c r="B235" s="6"/>
      <c r="C235" s="28"/>
      <c r="D235" s="28"/>
      <c r="E235" s="28"/>
      <c r="F235" s="28"/>
    </row>
    <row r="236" spans="1:6" x14ac:dyDescent="0.25">
      <c r="A236" s="26"/>
      <c r="B236" s="6"/>
      <c r="C236" s="28"/>
      <c r="D236" s="28"/>
      <c r="E236" s="28"/>
      <c r="F236" s="28"/>
    </row>
    <row r="237" spans="1:6" x14ac:dyDescent="0.25">
      <c r="A237" s="26"/>
      <c r="B237" s="6"/>
      <c r="C237" s="28"/>
      <c r="D237" s="28"/>
      <c r="E237" s="28"/>
      <c r="F237" s="28"/>
    </row>
    <row r="238" spans="1:6" x14ac:dyDescent="0.25">
      <c r="A238" s="26"/>
      <c r="B238" s="6"/>
      <c r="C238" s="28"/>
      <c r="D238" s="28"/>
      <c r="E238" s="28"/>
      <c r="F238" s="28"/>
    </row>
    <row r="239" spans="1:6" x14ac:dyDescent="0.25">
      <c r="A239" s="26"/>
      <c r="B239" s="6"/>
      <c r="C239" s="28"/>
      <c r="D239" s="28"/>
      <c r="E239" s="28"/>
      <c r="F239" s="28"/>
    </row>
    <row r="240" spans="1:6" x14ac:dyDescent="0.25">
      <c r="A240" s="26"/>
      <c r="B240" s="6"/>
      <c r="C240" s="28"/>
      <c r="D240" s="28"/>
      <c r="E240" s="28"/>
      <c r="F240" s="28"/>
    </row>
    <row r="241" spans="1:6" x14ac:dyDescent="0.25">
      <c r="A241" s="26"/>
      <c r="B241" s="6"/>
      <c r="C241" s="28"/>
      <c r="D241" s="28"/>
      <c r="E241" s="28"/>
      <c r="F241" s="28"/>
    </row>
    <row r="242" spans="1:6" x14ac:dyDescent="0.25">
      <c r="A242" s="26"/>
      <c r="B242" s="6"/>
      <c r="C242" s="28"/>
      <c r="D242" s="28"/>
      <c r="E242" s="28"/>
      <c r="F242" s="28"/>
    </row>
    <row r="243" spans="1:6" x14ac:dyDescent="0.25">
      <c r="A243" s="26"/>
      <c r="B243" s="6"/>
      <c r="C243" s="28"/>
      <c r="D243" s="28"/>
      <c r="E243" s="28"/>
      <c r="F243" s="28"/>
    </row>
    <row r="244" spans="1:6" x14ac:dyDescent="0.25">
      <c r="A244" s="26"/>
      <c r="B244" s="6"/>
      <c r="C244" s="28"/>
      <c r="D244" s="28"/>
      <c r="E244" s="28"/>
      <c r="F244" s="28"/>
    </row>
    <row r="245" spans="1:6" x14ac:dyDescent="0.25">
      <c r="A245" s="26"/>
      <c r="B245" s="6"/>
      <c r="C245" s="28"/>
      <c r="D245" s="28"/>
      <c r="E245" s="28"/>
      <c r="F245" s="28"/>
    </row>
    <row r="246" spans="1:6" x14ac:dyDescent="0.25">
      <c r="A246" s="26"/>
      <c r="B246" s="6"/>
      <c r="C246" s="28"/>
      <c r="D246" s="28"/>
      <c r="E246" s="28"/>
      <c r="F246" s="28"/>
    </row>
    <row r="247" spans="1:6" x14ac:dyDescent="0.25">
      <c r="A247" s="26"/>
      <c r="B247" s="6"/>
      <c r="C247" s="28"/>
      <c r="D247" s="28"/>
      <c r="E247" s="28"/>
      <c r="F247" s="28"/>
    </row>
    <row r="248" spans="1:6" x14ac:dyDescent="0.25">
      <c r="A248" s="26"/>
      <c r="B248" s="6"/>
      <c r="C248" s="28"/>
      <c r="D248" s="28"/>
      <c r="E248" s="28"/>
      <c r="F248" s="28"/>
    </row>
    <row r="249" spans="1:6" x14ac:dyDescent="0.25">
      <c r="A249" s="26"/>
      <c r="B249" s="6"/>
      <c r="C249" s="28"/>
      <c r="D249" s="28"/>
      <c r="E249" s="28"/>
      <c r="F249" s="28"/>
    </row>
    <row r="250" spans="1:6" x14ac:dyDescent="0.25">
      <c r="A250" s="26"/>
      <c r="B250" s="6"/>
      <c r="C250" s="28"/>
      <c r="D250" s="28"/>
      <c r="E250" s="28"/>
      <c r="F250" s="28"/>
    </row>
    <row r="251" spans="1:6" x14ac:dyDescent="0.25">
      <c r="A251" s="26"/>
      <c r="B251" s="6"/>
      <c r="C251" s="28"/>
      <c r="D251" s="28"/>
      <c r="E251" s="28"/>
      <c r="F251" s="28"/>
    </row>
    <row r="252" spans="1:6" x14ac:dyDescent="0.25">
      <c r="A252" s="26"/>
      <c r="B252" s="6"/>
      <c r="C252" s="28"/>
      <c r="D252" s="28"/>
      <c r="E252" s="28"/>
      <c r="F252" s="28"/>
    </row>
    <row r="253" spans="1:6" x14ac:dyDescent="0.25">
      <c r="A253" s="26"/>
      <c r="B253" s="6"/>
      <c r="C253" s="28"/>
      <c r="D253" s="28"/>
      <c r="E253" s="28"/>
      <c r="F253" s="28"/>
    </row>
    <row r="254" spans="1:6" x14ac:dyDescent="0.25">
      <c r="A254" s="26"/>
      <c r="B254" s="6"/>
      <c r="C254" s="28"/>
      <c r="D254" s="28"/>
      <c r="E254" s="28"/>
      <c r="F254" s="28"/>
    </row>
    <row r="255" spans="1:6" x14ac:dyDescent="0.25">
      <c r="A255" s="26"/>
      <c r="B255" s="6"/>
      <c r="C255" s="28"/>
      <c r="D255" s="28"/>
      <c r="E255" s="28"/>
      <c r="F255" s="28"/>
    </row>
    <row r="256" spans="1:6" x14ac:dyDescent="0.25">
      <c r="A256" s="26"/>
      <c r="B256" s="6"/>
      <c r="C256" s="28"/>
      <c r="D256" s="28"/>
      <c r="E256" s="28"/>
      <c r="F256" s="28"/>
    </row>
    <row r="257" spans="1:6" x14ac:dyDescent="0.25">
      <c r="A257" s="26"/>
      <c r="B257" s="6"/>
      <c r="C257" s="28"/>
      <c r="D257" s="28"/>
      <c r="E257" s="28"/>
      <c r="F257" s="28"/>
    </row>
    <row r="258" spans="1:6" x14ac:dyDescent="0.25">
      <c r="A258" s="26"/>
      <c r="B258" s="6"/>
      <c r="C258" s="28"/>
      <c r="D258" s="28"/>
      <c r="E258" s="28"/>
      <c r="F258" s="28"/>
    </row>
    <row r="259" spans="1:6" x14ac:dyDescent="0.25">
      <c r="A259" s="26"/>
      <c r="B259" s="6"/>
      <c r="C259" s="28"/>
      <c r="D259" s="28"/>
      <c r="E259" s="28"/>
      <c r="F259" s="28"/>
    </row>
    <row r="260" spans="1:6" x14ac:dyDescent="0.25">
      <c r="A260" s="26"/>
      <c r="B260" s="6"/>
      <c r="C260" s="28"/>
      <c r="D260" s="28"/>
      <c r="E260" s="28"/>
      <c r="F260" s="28"/>
    </row>
    <row r="261" spans="1:6" x14ac:dyDescent="0.25">
      <c r="A261" s="26"/>
      <c r="B261" s="6"/>
      <c r="C261" s="28"/>
      <c r="D261" s="28"/>
      <c r="E261" s="28"/>
      <c r="F261" s="28"/>
    </row>
    <row r="262" spans="1:6" x14ac:dyDescent="0.25">
      <c r="A262" s="26"/>
      <c r="B262" s="6"/>
      <c r="C262" s="28"/>
      <c r="D262" s="28"/>
      <c r="E262" s="28"/>
      <c r="F262" s="28"/>
    </row>
    <row r="263" spans="1:6" x14ac:dyDescent="0.25">
      <c r="A263" s="26"/>
      <c r="B263" s="6"/>
      <c r="C263" s="28"/>
      <c r="D263" s="28"/>
      <c r="E263" s="28"/>
      <c r="F263" s="28"/>
    </row>
    <row r="264" spans="1:6" x14ac:dyDescent="0.25">
      <c r="A264" s="26"/>
      <c r="B264" s="6"/>
      <c r="C264" s="28"/>
      <c r="D264" s="28"/>
      <c r="E264" s="28"/>
      <c r="F264" s="28"/>
    </row>
    <row r="265" spans="1:6" x14ac:dyDescent="0.25">
      <c r="A265" s="26"/>
      <c r="B265" s="6"/>
      <c r="C265" s="28"/>
      <c r="D265" s="28"/>
      <c r="E265" s="28"/>
      <c r="F265" s="28"/>
    </row>
    <row r="266" spans="1:6" x14ac:dyDescent="0.25">
      <c r="A266" s="26"/>
      <c r="B266" s="6"/>
      <c r="C266" s="28"/>
      <c r="D266" s="28"/>
      <c r="E266" s="28"/>
      <c r="F266" s="28"/>
    </row>
    <row r="267" spans="1:6" x14ac:dyDescent="0.25">
      <c r="A267" s="26"/>
      <c r="B267" s="6"/>
      <c r="C267" s="28"/>
      <c r="D267" s="28"/>
      <c r="E267" s="28"/>
      <c r="F267" s="28"/>
    </row>
    <row r="268" spans="1:6" x14ac:dyDescent="0.25">
      <c r="A268" s="26"/>
      <c r="B268" s="6"/>
      <c r="C268" s="28"/>
      <c r="D268" s="28"/>
      <c r="E268" s="28"/>
      <c r="F268" s="28"/>
    </row>
    <row r="269" spans="1:6" x14ac:dyDescent="0.25">
      <c r="A269" s="26"/>
      <c r="B269" s="6"/>
      <c r="C269" s="28"/>
      <c r="D269" s="28"/>
      <c r="E269" s="28"/>
      <c r="F269" s="28"/>
    </row>
    <row r="270" spans="1:6" x14ac:dyDescent="0.25">
      <c r="A270" s="26"/>
      <c r="B270" s="6"/>
      <c r="C270" s="28"/>
      <c r="D270" s="28"/>
      <c r="E270" s="28"/>
      <c r="F270" s="28"/>
    </row>
    <row r="271" spans="1:6" x14ac:dyDescent="0.25">
      <c r="A271" s="26"/>
      <c r="B271" s="6"/>
      <c r="C271" s="28"/>
      <c r="D271" s="28"/>
      <c r="E271" s="28"/>
      <c r="F271" s="28"/>
    </row>
    <row r="272" spans="1:6" x14ac:dyDescent="0.25">
      <c r="A272" s="26"/>
      <c r="B272" s="6"/>
      <c r="C272" s="28"/>
      <c r="D272" s="28"/>
      <c r="E272" s="28"/>
      <c r="F272" s="28"/>
    </row>
    <row r="273" spans="1:6" x14ac:dyDescent="0.25">
      <c r="A273" s="26"/>
      <c r="B273" s="6"/>
      <c r="C273" s="28"/>
      <c r="D273" s="28"/>
      <c r="E273" s="28"/>
      <c r="F273" s="28"/>
    </row>
    <row r="274" spans="1:6" x14ac:dyDescent="0.25">
      <c r="A274" s="26"/>
      <c r="B274" s="6"/>
      <c r="C274" s="28"/>
      <c r="D274" s="28"/>
      <c r="E274" s="28"/>
      <c r="F274" s="28"/>
    </row>
    <row r="275" spans="1:6" x14ac:dyDescent="0.25">
      <c r="A275" s="26"/>
      <c r="B275" s="6"/>
      <c r="C275" s="28"/>
      <c r="D275" s="28"/>
      <c r="E275" s="28"/>
      <c r="F275" s="28"/>
    </row>
    <row r="276" spans="1:6" x14ac:dyDescent="0.25">
      <c r="A276" s="26"/>
      <c r="B276" s="6"/>
      <c r="C276" s="28"/>
      <c r="D276" s="28"/>
      <c r="E276" s="28"/>
      <c r="F276" s="28"/>
    </row>
    <row r="277" spans="1:6" x14ac:dyDescent="0.25">
      <c r="A277" s="26"/>
      <c r="B277" s="6"/>
      <c r="C277" s="28"/>
      <c r="D277" s="28"/>
      <c r="E277" s="28"/>
      <c r="F277" s="28"/>
    </row>
    <row r="278" spans="1:6" x14ac:dyDescent="0.25">
      <c r="A278" s="26"/>
      <c r="B278" s="6"/>
      <c r="C278" s="28"/>
      <c r="D278" s="28"/>
      <c r="E278" s="28"/>
      <c r="F278" s="28"/>
    </row>
    <row r="279" spans="1:6" x14ac:dyDescent="0.25">
      <c r="A279" s="26"/>
      <c r="B279" s="6"/>
      <c r="C279" s="28"/>
      <c r="D279" s="28"/>
      <c r="E279" s="28"/>
      <c r="F279" s="28"/>
    </row>
    <row r="280" spans="1:6" x14ac:dyDescent="0.25">
      <c r="A280" s="26"/>
      <c r="B280" s="6"/>
      <c r="C280" s="28"/>
      <c r="D280" s="28"/>
      <c r="E280" s="28"/>
      <c r="F280" s="28"/>
    </row>
    <row r="281" spans="1:6" x14ac:dyDescent="0.25">
      <c r="A281" s="26"/>
      <c r="B281" s="6"/>
      <c r="C281" s="28"/>
      <c r="D281" s="28"/>
      <c r="E281" s="28"/>
      <c r="F281" s="28"/>
    </row>
    <row r="282" spans="1:6" x14ac:dyDescent="0.25">
      <c r="A282" s="26"/>
      <c r="B282" s="6"/>
      <c r="C282" s="28"/>
      <c r="D282" s="28"/>
      <c r="E282" s="28"/>
      <c r="F282" s="28"/>
    </row>
    <row r="283" spans="1:6" x14ac:dyDescent="0.25">
      <c r="A283" s="26"/>
      <c r="B283" s="6"/>
      <c r="C283" s="28"/>
      <c r="D283" s="28"/>
      <c r="E283" s="28"/>
      <c r="F283" s="28"/>
    </row>
    <row r="284" spans="1:6" x14ac:dyDescent="0.25">
      <c r="A284" s="26"/>
      <c r="B284" s="6"/>
      <c r="C284" s="28"/>
      <c r="D284" s="28"/>
      <c r="E284" s="28"/>
      <c r="F284" s="28"/>
    </row>
    <row r="285" spans="1:6" x14ac:dyDescent="0.25">
      <c r="A285" s="26"/>
      <c r="B285" s="6"/>
      <c r="C285" s="28"/>
      <c r="D285" s="28"/>
      <c r="E285" s="28"/>
      <c r="F285" s="28"/>
    </row>
    <row r="286" spans="1:6" x14ac:dyDescent="0.25">
      <c r="A286" s="26"/>
      <c r="B286" s="6"/>
      <c r="C286" s="28"/>
      <c r="D286" s="28"/>
      <c r="E286" s="28"/>
      <c r="F286" s="28"/>
    </row>
    <row r="287" spans="1:6" x14ac:dyDescent="0.25">
      <c r="A287" s="26"/>
      <c r="B287" s="6"/>
      <c r="C287" s="28"/>
      <c r="D287" s="28"/>
      <c r="E287" s="28"/>
      <c r="F287" s="28"/>
    </row>
    <row r="288" spans="1:6" x14ac:dyDescent="0.25">
      <c r="A288" s="26"/>
      <c r="B288" s="6"/>
      <c r="C288" s="28"/>
      <c r="D288" s="28"/>
      <c r="E288" s="28"/>
      <c r="F288" s="28"/>
    </row>
    <row r="289" spans="1:6" x14ac:dyDescent="0.25">
      <c r="A289" s="26"/>
      <c r="B289" s="6"/>
      <c r="C289" s="28"/>
      <c r="D289" s="28"/>
      <c r="E289" s="28"/>
      <c r="F289" s="28"/>
    </row>
    <row r="290" spans="1:6" x14ac:dyDescent="0.25">
      <c r="A290" s="26"/>
      <c r="B290" s="6"/>
      <c r="C290" s="28"/>
      <c r="D290" s="28"/>
      <c r="E290" s="28"/>
      <c r="F290" s="28"/>
    </row>
    <row r="291" spans="1:6" x14ac:dyDescent="0.25">
      <c r="A291" s="26"/>
      <c r="B291" s="6"/>
      <c r="C291" s="28"/>
      <c r="D291" s="28"/>
      <c r="E291" s="28"/>
      <c r="F291" s="28"/>
    </row>
    <row r="292" spans="1:6" x14ac:dyDescent="0.25">
      <c r="A292" s="26"/>
      <c r="B292" s="6"/>
      <c r="C292" s="28"/>
      <c r="D292" s="28"/>
      <c r="E292" s="28"/>
      <c r="F292" s="28"/>
    </row>
    <row r="293" spans="1:6" x14ac:dyDescent="0.25">
      <c r="A293" s="26"/>
      <c r="B293" s="6"/>
      <c r="C293" s="28"/>
      <c r="D293" s="28"/>
      <c r="E293" s="28"/>
      <c r="F293" s="28"/>
    </row>
    <row r="294" spans="1:6" x14ac:dyDescent="0.25">
      <c r="A294" s="26"/>
      <c r="B294" s="6"/>
      <c r="C294" s="28"/>
      <c r="D294" s="28"/>
      <c r="E294" s="28"/>
      <c r="F294" s="28"/>
    </row>
    <row r="295" spans="1:6" x14ac:dyDescent="0.25">
      <c r="A295" s="26"/>
      <c r="B295" s="6"/>
      <c r="C295" s="28"/>
      <c r="D295" s="28"/>
      <c r="E295" s="28"/>
      <c r="F295" s="28"/>
    </row>
    <row r="296" spans="1:6" x14ac:dyDescent="0.25">
      <c r="A296" s="26"/>
      <c r="B296" s="6"/>
      <c r="C296" s="28"/>
      <c r="D296" s="28"/>
      <c r="E296" s="28"/>
      <c r="F296" s="28"/>
    </row>
    <row r="297" spans="1:6" x14ac:dyDescent="0.25">
      <c r="A297" s="26"/>
      <c r="B297" s="6"/>
      <c r="C297" s="28"/>
      <c r="D297" s="28"/>
      <c r="E297" s="28"/>
      <c r="F297" s="28"/>
    </row>
    <row r="298" spans="1:6" x14ac:dyDescent="0.25">
      <c r="A298" s="26"/>
      <c r="B298" s="6"/>
      <c r="C298" s="28"/>
      <c r="D298" s="28"/>
      <c r="E298" s="28"/>
      <c r="F298" s="28"/>
    </row>
    <row r="299" spans="1:6" x14ac:dyDescent="0.25">
      <c r="A299" s="26"/>
      <c r="B299" s="6"/>
      <c r="C299" s="28"/>
      <c r="D299" s="28"/>
      <c r="E299" s="28"/>
      <c r="F299" s="28"/>
    </row>
    <row r="300" spans="1:6" x14ac:dyDescent="0.25">
      <c r="A300" s="26"/>
      <c r="B300" s="6"/>
      <c r="C300" s="28"/>
      <c r="D300" s="28"/>
      <c r="E300" s="28"/>
      <c r="F300" s="28"/>
    </row>
    <row r="301" spans="1:6" x14ac:dyDescent="0.25">
      <c r="A301" s="26"/>
      <c r="B301" s="6"/>
      <c r="C301" s="28"/>
      <c r="D301" s="28"/>
      <c r="E301" s="28"/>
      <c r="F301" s="28"/>
    </row>
    <row r="302" spans="1:6" x14ac:dyDescent="0.25">
      <c r="A302" s="26"/>
      <c r="B302" s="6"/>
      <c r="C302" s="28"/>
      <c r="D302" s="28"/>
      <c r="E302" s="28"/>
      <c r="F302" s="28"/>
    </row>
    <row r="303" spans="1:6" x14ac:dyDescent="0.25">
      <c r="A303" s="26"/>
      <c r="B303" s="6"/>
      <c r="C303" s="28"/>
      <c r="D303" s="28"/>
      <c r="E303" s="28"/>
      <c r="F303" s="28"/>
    </row>
    <row r="304" spans="1:6" x14ac:dyDescent="0.25">
      <c r="A304" s="26"/>
      <c r="B304" s="6"/>
      <c r="C304" s="28"/>
      <c r="D304" s="28"/>
      <c r="E304" s="28"/>
      <c r="F304" s="28"/>
    </row>
    <row r="305" spans="1:6" x14ac:dyDescent="0.25">
      <c r="A305" s="26"/>
      <c r="B305" s="6"/>
      <c r="C305" s="28"/>
      <c r="D305" s="28"/>
      <c r="E305" s="28"/>
      <c r="F305" s="28"/>
    </row>
    <row r="306" spans="1:6" x14ac:dyDescent="0.25">
      <c r="A306" s="26"/>
      <c r="B306" s="6"/>
      <c r="C306" s="28"/>
      <c r="D306" s="28"/>
      <c r="E306" s="28"/>
      <c r="F306" s="28"/>
    </row>
    <row r="307" spans="1:6" x14ac:dyDescent="0.25">
      <c r="A307" s="26"/>
      <c r="B307" s="6"/>
      <c r="C307" s="28"/>
      <c r="D307" s="28"/>
      <c r="E307" s="28"/>
      <c r="F307" s="28"/>
    </row>
    <row r="308" spans="1:6" x14ac:dyDescent="0.25">
      <c r="A308" s="26"/>
      <c r="B308" s="6"/>
      <c r="C308" s="28"/>
      <c r="D308" s="28"/>
      <c r="E308" s="28"/>
      <c r="F308" s="28"/>
    </row>
    <row r="309" spans="1:6" x14ac:dyDescent="0.25">
      <c r="A309" s="26"/>
      <c r="B309" s="6"/>
      <c r="C309" s="28"/>
      <c r="D309" s="28"/>
      <c r="E309" s="28"/>
      <c r="F309" s="28"/>
    </row>
    <row r="310" spans="1:6" x14ac:dyDescent="0.25">
      <c r="A310" s="26"/>
      <c r="B310" s="6"/>
      <c r="C310" s="28"/>
      <c r="D310" s="28"/>
      <c r="E310" s="28"/>
      <c r="F310" s="28"/>
    </row>
    <row r="311" spans="1:6" x14ac:dyDescent="0.25">
      <c r="A311" s="26"/>
      <c r="B311" s="6"/>
      <c r="C311" s="28"/>
      <c r="D311" s="28"/>
      <c r="E311" s="28"/>
      <c r="F311" s="28"/>
    </row>
    <row r="312" spans="1:6" x14ac:dyDescent="0.25">
      <c r="A312" s="26"/>
      <c r="B312" s="6"/>
      <c r="C312" s="28"/>
      <c r="D312" s="28"/>
      <c r="E312" s="28"/>
      <c r="F312" s="28"/>
    </row>
    <row r="313" spans="1:6" x14ac:dyDescent="0.25">
      <c r="A313" s="26"/>
      <c r="B313" s="6"/>
      <c r="C313" s="28"/>
      <c r="D313" s="28"/>
      <c r="E313" s="28"/>
      <c r="F313" s="28"/>
    </row>
    <row r="314" spans="1:6" x14ac:dyDescent="0.25">
      <c r="A314" s="26"/>
      <c r="B314" s="6"/>
      <c r="C314" s="28"/>
      <c r="D314" s="28"/>
      <c r="E314" s="28"/>
      <c r="F314" s="28"/>
    </row>
    <row r="315" spans="1:6" x14ac:dyDescent="0.25">
      <c r="A315" s="26"/>
      <c r="B315" s="6"/>
      <c r="C315" s="28"/>
      <c r="D315" s="28"/>
      <c r="E315" s="28"/>
      <c r="F315" s="28"/>
    </row>
    <row r="316" spans="1:6" x14ac:dyDescent="0.25">
      <c r="A316" s="26"/>
      <c r="B316" s="6"/>
      <c r="C316" s="28"/>
      <c r="D316" s="28"/>
      <c r="E316" s="28"/>
      <c r="F316" s="28"/>
    </row>
    <row r="317" spans="1:6" x14ac:dyDescent="0.25">
      <c r="A317" s="26"/>
      <c r="B317" s="6"/>
      <c r="C317" s="28"/>
      <c r="D317" s="28"/>
      <c r="E317" s="28"/>
      <c r="F317" s="28"/>
    </row>
    <row r="318" spans="1:6" x14ac:dyDescent="0.25">
      <c r="A318" s="26"/>
      <c r="B318" s="6"/>
      <c r="C318" s="28"/>
      <c r="D318" s="28"/>
      <c r="E318" s="28"/>
      <c r="F318" s="28"/>
    </row>
    <row r="319" spans="1:6" x14ac:dyDescent="0.25">
      <c r="A319" s="26"/>
      <c r="B319" s="6"/>
      <c r="C319" s="28"/>
      <c r="D319" s="28"/>
      <c r="E319" s="28"/>
      <c r="F319" s="28"/>
    </row>
    <row r="320" spans="1:6" x14ac:dyDescent="0.25">
      <c r="A320" s="26"/>
      <c r="B320" s="6"/>
      <c r="C320" s="28"/>
      <c r="D320" s="28"/>
      <c r="E320" s="28"/>
      <c r="F320" s="28"/>
    </row>
    <row r="321" spans="1:6" x14ac:dyDescent="0.25">
      <c r="A321" s="26"/>
      <c r="B321" s="6"/>
      <c r="C321" s="28"/>
      <c r="D321" s="28"/>
      <c r="E321" s="28"/>
      <c r="F321" s="28"/>
    </row>
    <row r="322" spans="1:6" x14ac:dyDescent="0.25">
      <c r="A322" s="26"/>
      <c r="B322" s="6"/>
      <c r="C322" s="28"/>
      <c r="D322" s="28"/>
      <c r="E322" s="28"/>
      <c r="F322" s="28"/>
    </row>
    <row r="323" spans="1:6" x14ac:dyDescent="0.25">
      <c r="A323" s="26"/>
      <c r="B323" s="6"/>
      <c r="C323" s="28"/>
      <c r="D323" s="28"/>
      <c r="E323" s="28"/>
      <c r="F323" s="28"/>
    </row>
    <row r="324" spans="1:6" x14ac:dyDescent="0.25">
      <c r="A324" s="26"/>
      <c r="B324" s="6"/>
      <c r="C324" s="28"/>
      <c r="D324" s="28"/>
      <c r="E324" s="28"/>
      <c r="F324" s="28"/>
    </row>
    <row r="325" spans="1:6" x14ac:dyDescent="0.25">
      <c r="A325" s="26"/>
      <c r="B325" s="6"/>
      <c r="C325" s="28"/>
      <c r="D325" s="28"/>
      <c r="E325" s="28"/>
      <c r="F325" s="28"/>
    </row>
    <row r="326" spans="1:6" x14ac:dyDescent="0.25">
      <c r="A326" s="26"/>
      <c r="B326" s="6"/>
      <c r="C326" s="28"/>
      <c r="D326" s="28"/>
      <c r="E326" s="28"/>
      <c r="F326" s="28"/>
    </row>
    <row r="327" spans="1:6" x14ac:dyDescent="0.25">
      <c r="A327" s="26"/>
      <c r="B327" s="6"/>
      <c r="C327" s="28"/>
      <c r="D327" s="28"/>
      <c r="E327" s="28"/>
      <c r="F327" s="28"/>
    </row>
    <row r="328" spans="1:6" x14ac:dyDescent="0.25">
      <c r="A328" s="26"/>
      <c r="B328" s="6"/>
      <c r="C328" s="28"/>
      <c r="D328" s="28"/>
      <c r="E328" s="28"/>
      <c r="F328" s="28"/>
    </row>
    <row r="329" spans="1:6" x14ac:dyDescent="0.25">
      <c r="A329" s="26"/>
      <c r="B329" s="6"/>
      <c r="C329" s="28"/>
      <c r="D329" s="28"/>
      <c r="E329" s="28"/>
      <c r="F329" s="28"/>
    </row>
    <row r="330" spans="1:6" x14ac:dyDescent="0.25">
      <c r="A330" s="26"/>
      <c r="B330" s="6"/>
      <c r="C330" s="28"/>
      <c r="D330" s="28"/>
      <c r="E330" s="28"/>
      <c r="F330" s="28"/>
    </row>
    <row r="331" spans="1:6" x14ac:dyDescent="0.25">
      <c r="A331" s="26"/>
      <c r="B331" s="6"/>
      <c r="C331" s="28"/>
      <c r="D331" s="28"/>
      <c r="E331" s="28"/>
      <c r="F331" s="28"/>
    </row>
    <row r="332" spans="1:6" x14ac:dyDescent="0.25">
      <c r="A332" s="26"/>
      <c r="B332" s="6"/>
      <c r="C332" s="28"/>
      <c r="D332" s="28"/>
      <c r="E332" s="28"/>
      <c r="F332" s="28"/>
    </row>
    <row r="333" spans="1:6" x14ac:dyDescent="0.25">
      <c r="A333" s="26"/>
      <c r="B333" s="6"/>
      <c r="C333" s="28"/>
      <c r="D333" s="28"/>
      <c r="E333" s="28"/>
      <c r="F333" s="28"/>
    </row>
    <row r="334" spans="1:6" x14ac:dyDescent="0.25">
      <c r="A334" s="26"/>
      <c r="B334" s="6"/>
      <c r="C334" s="28"/>
      <c r="D334" s="28"/>
      <c r="E334" s="28"/>
      <c r="F334" s="28"/>
    </row>
    <row r="335" spans="1:6" x14ac:dyDescent="0.25">
      <c r="A335" s="26"/>
      <c r="B335" s="6"/>
      <c r="C335" s="28"/>
      <c r="D335" s="28"/>
      <c r="E335" s="28"/>
      <c r="F335" s="28"/>
    </row>
    <row r="336" spans="1:6" x14ac:dyDescent="0.25">
      <c r="A336" s="26"/>
      <c r="B336" s="6"/>
      <c r="C336" s="28"/>
      <c r="D336" s="28"/>
      <c r="E336" s="28"/>
      <c r="F336" s="28"/>
    </row>
    <row r="337" spans="1:6" x14ac:dyDescent="0.25">
      <c r="A337" s="26"/>
      <c r="B337" s="6"/>
      <c r="C337" s="28"/>
      <c r="D337" s="28"/>
      <c r="E337" s="28"/>
      <c r="F337" s="28"/>
    </row>
    <row r="338" spans="1:6" x14ac:dyDescent="0.25">
      <c r="A338" s="26"/>
      <c r="B338" s="6"/>
      <c r="C338" s="28"/>
      <c r="D338" s="28"/>
      <c r="E338" s="28"/>
      <c r="F338" s="28"/>
    </row>
    <row r="339" spans="1:6" x14ac:dyDescent="0.25">
      <c r="A339" s="26"/>
      <c r="B339" s="6"/>
      <c r="C339" s="28"/>
      <c r="D339" s="28"/>
      <c r="E339" s="28"/>
      <c r="F339" s="28"/>
    </row>
    <row r="340" spans="1:6" x14ac:dyDescent="0.25">
      <c r="A340" s="26"/>
      <c r="B340" s="6"/>
      <c r="C340" s="28"/>
      <c r="D340" s="28"/>
      <c r="E340" s="28"/>
      <c r="F340" s="28"/>
    </row>
    <row r="341" spans="1:6" x14ac:dyDescent="0.25">
      <c r="A341" s="26"/>
      <c r="B341" s="6"/>
      <c r="C341" s="28"/>
      <c r="D341" s="28"/>
      <c r="E341" s="28"/>
      <c r="F341" s="28"/>
    </row>
    <row r="342" spans="1:6" x14ac:dyDescent="0.25">
      <c r="A342" s="26"/>
      <c r="B342" s="6"/>
      <c r="C342" s="28"/>
      <c r="D342" s="28"/>
      <c r="E342" s="28"/>
      <c r="F342" s="28"/>
    </row>
    <row r="343" spans="1:6" x14ac:dyDescent="0.25">
      <c r="A343" s="26"/>
      <c r="B343" s="6"/>
      <c r="C343" s="28"/>
      <c r="D343" s="28"/>
      <c r="E343" s="28"/>
      <c r="F343" s="28"/>
    </row>
    <row r="344" spans="1:6" x14ac:dyDescent="0.25">
      <c r="A344" s="26"/>
      <c r="B344" s="6"/>
      <c r="C344" s="28"/>
      <c r="D344" s="28"/>
      <c r="E344" s="28"/>
      <c r="F344" s="28"/>
    </row>
    <row r="345" spans="1:6" x14ac:dyDescent="0.25">
      <c r="A345" s="26"/>
      <c r="B345" s="6"/>
      <c r="C345" s="28"/>
      <c r="D345" s="28"/>
      <c r="E345" s="28"/>
      <c r="F345" s="28"/>
    </row>
    <row r="346" spans="1:6" x14ac:dyDescent="0.25">
      <c r="A346" s="26"/>
      <c r="B346" s="6"/>
      <c r="C346" s="28"/>
      <c r="D346" s="28"/>
      <c r="E346" s="28"/>
      <c r="F346" s="28"/>
    </row>
    <row r="347" spans="1:6" x14ac:dyDescent="0.25">
      <c r="A347" s="26"/>
      <c r="B347" s="6"/>
      <c r="C347" s="28"/>
      <c r="D347" s="28"/>
      <c r="E347" s="28"/>
      <c r="F347" s="28"/>
    </row>
    <row r="348" spans="1:6" x14ac:dyDescent="0.25">
      <c r="A348" s="26"/>
      <c r="B348" s="6"/>
      <c r="C348" s="28"/>
      <c r="D348" s="28"/>
      <c r="E348" s="28"/>
      <c r="F348" s="28"/>
    </row>
    <row r="349" spans="1:6" x14ac:dyDescent="0.25">
      <c r="A349" s="26"/>
      <c r="B349" s="6"/>
      <c r="C349" s="28"/>
      <c r="D349" s="28"/>
      <c r="E349" s="28"/>
      <c r="F349" s="28"/>
    </row>
    <row r="350" spans="1:6" x14ac:dyDescent="0.25">
      <c r="A350" s="26"/>
      <c r="B350" s="6"/>
      <c r="C350" s="28"/>
      <c r="D350" s="28"/>
      <c r="E350" s="28"/>
      <c r="F350" s="28"/>
    </row>
    <row r="351" spans="1:6" x14ac:dyDescent="0.25">
      <c r="A351" s="26"/>
      <c r="B351" s="6"/>
      <c r="C351" s="28"/>
      <c r="D351" s="28"/>
      <c r="E351" s="28"/>
      <c r="F351" s="28"/>
    </row>
    <row r="352" spans="1:6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BB2:BB207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208"/>
  <sheetViews>
    <sheetView topLeftCell="A175" zoomScaleNormal="100" workbookViewId="0">
      <pane xSplit="1" topLeftCell="B1" activePane="topRight" state="frozen"/>
      <selection pane="topRight" activeCell="C193" sqref="C193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651</v>
      </c>
      <c r="F1" s="4" t="str">
        <f>Animals!R1</f>
        <v>Head attack interval</v>
      </c>
      <c r="G1" s="3" t="str">
        <f>Animals!S1</f>
        <v>Poke/leg claws damage</v>
      </c>
      <c r="H1" s="1" t="s">
        <v>652</v>
      </c>
      <c r="I1" s="1" t="s">
        <v>653</v>
      </c>
      <c r="J1" s="4" t="str">
        <f>Animals!T1</f>
        <v>Poke/leg claws attack interval</v>
      </c>
      <c r="K1" s="3" t="str">
        <f>Animals!X1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Animals!AD1</f>
        <v>Bite damage</v>
      </c>
      <c r="P1" s="1" t="s">
        <v>656</v>
      </c>
      <c r="Q1" s="1" t="s">
        <v>657</v>
      </c>
      <c r="R1" s="4" t="str">
        <f>Animals!AE1</f>
        <v>Bite attack interval</v>
      </c>
      <c r="S1" s="3" t="str">
        <f>Animals!AI1</f>
        <v>Paw claw/punch damage</v>
      </c>
      <c r="T1" s="1" t="s">
        <v>658</v>
      </c>
      <c r="U1" s="1" t="s">
        <v>659</v>
      </c>
      <c r="V1" s="4" t="str">
        <f>Animals!AJ1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MAX(0.01,MROUND(_xlfn.XLOOKUP(B2,'Base stats'!B:B,'Base stats'!BG:BG) * 0.01 * 2, 0.01))</f>
        <v>7.38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MAX(0.01,MROUND(_xlfn.XLOOKUP(B2,'Base stats'!B:B,'Base stats'!BH:BH) * 0.01 * 2, 0.01))
)</f>
        <v>No</v>
      </c>
      <c r="I2" s="11" t="str">
        <f>IF(G2="No","No",IF(_xlfn.XLOOKUP(B2,'Base stats'!B:B,'Base stats'!U:U)="No","No",
MAX(0.01,MROUND(_xlfn.XLOOKUP(B2,'Base stats'!B:B,'Base stats'!BT:BT)/10000,0.01))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MAX(0.01,MROUND(_xlfn.XLOOKUP(B2,'Base stats'!B:B,'Base stats'!BI:BI) * 0.01 *2, 0.01))
)</f>
        <v>No</v>
      </c>
      <c r="M2" s="5" t="str">
        <f>IF(K2="No","No",IF(_xlfn.XLOOKUP(_xlfn.XLOOKUP(B2,'Base stats'!B:B,'Base stats'!E:E),Groups!A:A,Groups!BD:BD)=1,"No",
MAX(0.01,MROUND(_xlfn.XLOOKUP(B2,'Base stats'!B:B,'Base stats'!BU:BU)/10000,0.01))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MAX(0.01,MROUND(_xlfn.XLOOKUP(B2,'Base stats'!B:B,'Base stats'!BJ:BJ) * 0.01 * 2, 0.01))
)</f>
        <v>7.18</v>
      </c>
      <c r="Q2" s="5">
        <f>IF(O2="No","No",
MAX(0.01,MROUND(_xlfn.XLOOKUP(B2,'Base stats'!B:B,'Base stats'!BV:BV)/10000,0.01))
)</f>
        <v>0.23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MAX(0.01,MROUND(_xlfn.XLOOKUP(B2,'Base stats'!B:B,'Base stats'!BH:BH) * 0.01 * 2, 0.01))
)</f>
        <v>8.7100000000000009</v>
      </c>
      <c r="U2" s="5">
        <f>IF(S2="No","No",IF(_xlfn.XLOOKUP(B2,'Base stats'!B:B,'Base stats'!U:U)="No","No",
MAX(0.01,MROUND(_xlfn.XLOOKUP(B2,'Base stats'!B:B,'Base stats'!BT:BT)/10000,0.01))
))</f>
        <v>0.28000000000000003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stats'!AQ:AQ)*_xlfn.XLOOKUP(_xlfn.XLOOKUP(B2,'Base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stats'!AQ:AQ)*0.01,2)</f>
        <v>1.25</v>
      </c>
      <c r="AB2" s="18">
        <f>250*(Animals!AO2+Animals!AP2)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MAX(0.01,MROUND(_xlfn.XLOOKUP(B3,'Base stats'!B:B,'Base stats'!BG:BG) * 0.01 * 2, 0.01))</f>
        <v>6.0600000000000005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MAX(0.01,MROUND(_xlfn.XLOOKUP(B3,'Base stats'!B:B,'Base stats'!BH:BH) * 0.01 * 2, 0.01))
)</f>
        <v>No</v>
      </c>
      <c r="I3" s="11" t="str">
        <f>IF(G3="No","No",IF(_xlfn.XLOOKUP(B3,'Base stats'!B:B,'Base stats'!U:U)="No","No",
MAX(0.01,MROUND(_xlfn.XLOOKUP(B3,'Base stats'!B:B,'Base stats'!BT:BT)/10000,0.01))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MAX(0.01,MROUND(_xlfn.XLOOKUP(B3,'Base stats'!B:B,'Base stats'!BI:BI) * 0.01 *2, 0.01))
)</f>
        <v>No</v>
      </c>
      <c r="M3" s="5" t="str">
        <f>IF(K3="No","No",IF(_xlfn.XLOOKUP(_xlfn.XLOOKUP(B3,'Base stats'!B:B,'Base stats'!E:E),Groups!A:A,Groups!BD:BD)=1,"No",
MAX(0.01,MROUND(_xlfn.XLOOKUP(B3,'Base stats'!B:B,'Base stats'!BU:BU)/10000,0.01))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MAX(0.01,MROUND(_xlfn.XLOOKUP(B3,'Base stats'!B:B,'Base stats'!BJ:BJ) * 0.01 * 2, 0.01))
)</f>
        <v>6.49</v>
      </c>
      <c r="Q3" s="5">
        <f>IF(O3="No","No",
MAX(0.01,MROUND(_xlfn.XLOOKUP(B3,'Base stats'!B:B,'Base stats'!BV:BV)/10000,0.01))
)</f>
        <v>0.23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MAX(0.01,MROUND(_xlfn.XLOOKUP(B3,'Base stats'!B:B,'Base stats'!BH:BH) * 0.01 * 2, 0.01))
)</f>
        <v>7.24</v>
      </c>
      <c r="U3" s="5">
        <f>IF(S3="No","No",IF(_xlfn.XLOOKUP(B3,'Base stats'!B:B,'Base stats'!U:U)="No","No",
MAX(0.01,MROUND(_xlfn.XLOOKUP(B3,'Base stats'!B:B,'Base stats'!BT:BT)/10000,0.01))
))</f>
        <v>0.26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stats'!AQ:AQ)*_xlfn.XLOOKUP(_xlfn.XLOOKUP(B3,'Base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stats'!AQ:AQ)*0.01,2)</f>
        <v>1.1599999999999999</v>
      </c>
      <c r="AB3" s="18">
        <f>250*(Animals!AO3+Animals!AP3)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MAX(0.01,MROUND(_xlfn.XLOOKUP(B4,'Base stats'!B:B,'Base stats'!BG:BG) * 0.01 * 2, 0.01))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MAX(0.01,MROUND(_xlfn.XLOOKUP(B4,'Base stats'!B:B,'Base stats'!BH:BH) * 0.01 * 2, 0.01))
)</f>
        <v>No</v>
      </c>
      <c r="I4" s="11" t="str">
        <f>IF(G4="No","No",IF(_xlfn.XLOOKUP(B4,'Base stats'!B:B,'Base stats'!U:U)="No","No",
MAX(0.01,MROUND(_xlfn.XLOOKUP(B4,'Base stats'!B:B,'Base stats'!BT:BT)/10000,0.01))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MAX(0.01,MROUND(_xlfn.XLOOKUP(B4,'Base stats'!B:B,'Base stats'!BI:BI) * 0.01 *2, 0.01))
)</f>
        <v>No</v>
      </c>
      <c r="M4" s="5" t="str">
        <f>IF(K4="No","No",IF(_xlfn.XLOOKUP(_xlfn.XLOOKUP(B4,'Base stats'!B:B,'Base stats'!E:E),Groups!A:A,Groups!BD:BD)=1,"No",
MAX(0.01,MROUND(_xlfn.XLOOKUP(B4,'Base stats'!B:B,'Base stats'!BU:BU)/10000,0.01))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MAX(0.01,MROUND(_xlfn.XLOOKUP(B4,'Base stats'!B:B,'Base stats'!BJ:BJ) * 0.01 * 2, 0.01))
)</f>
        <v>0.21</v>
      </c>
      <c r="Q4" s="5">
        <f>IF(O4="No","No",
MAX(0.01,MROUND(_xlfn.XLOOKUP(B4,'Base stats'!B:B,'Base stats'!BV:BV)/10000,0.01))
)</f>
        <v>0.04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MAX(0.01,MROUND(_xlfn.XLOOKUP(B4,'Base stats'!B:B,'Base stats'!BH:BH) * 0.01 * 2, 0.01))
)</f>
        <v>0.3</v>
      </c>
      <c r="U4" s="5">
        <f>IF(S4="No","No",IF(_xlfn.XLOOKUP(B4,'Base stats'!B:B,'Base stats'!U:U)="No","No",
MAX(0.01,MROUND(_xlfn.XLOOKUP(B4,'Base stats'!B:B,'Base stats'!BT:BT)/10000,0.01))
))</f>
        <v>0.05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stats'!AQ:AQ)*_xlfn.XLOOKUP(_xlfn.XLOOKUP(B4,'Base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stats'!AQ:AQ)*0.01,2)</f>
        <v>0.31</v>
      </c>
      <c r="AB4" s="18">
        <f>250*(Animals!AO4+Animals!AP4)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MAX(0.01,MROUND(_xlfn.XLOOKUP(B5,'Base stats'!B:B,'Base stats'!BG:BG) * 0.01 * 2, 0.01))</f>
        <v>2.84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MAX(0.01,MROUND(_xlfn.XLOOKUP(B5,'Base stats'!B:B,'Base stats'!BH:BH) * 0.01 * 2, 0.01))
)</f>
        <v>3.56</v>
      </c>
      <c r="I5" s="11">
        <f>IF(G5="No","No",IF(_xlfn.XLOOKUP(B5,'Base stats'!B:B,'Base stats'!U:U)="No","No",
MAX(0.01,MROUND(_xlfn.XLOOKUP(B5,'Base stats'!B:B,'Base stats'!BT:BT)/10000,0.01))
))</f>
        <v>0.18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MAX(0.01,MROUND(_xlfn.XLOOKUP(B5,'Base stats'!B:B,'Base stats'!BI:BI) * 0.01 *2, 0.01))
)</f>
        <v>No</v>
      </c>
      <c r="M5" s="5" t="str">
        <f>IF(K5="No","No",IF(_xlfn.XLOOKUP(_xlfn.XLOOKUP(B5,'Base stats'!B:B,'Base stats'!E:E),Groups!A:A,Groups!BD:BD)=1,"No",
MAX(0.01,MROUND(_xlfn.XLOOKUP(B5,'Base stats'!B:B,'Base stats'!BU:BU)/10000,0.01))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MAX(0.01,MROUND(_xlfn.XLOOKUP(B5,'Base stats'!B:B,'Base stats'!BJ:BJ) * 0.01 * 2, 0.01))
)</f>
        <v>0.46</v>
      </c>
      <c r="Q5" s="5">
        <f>IF(O5="No","No",
MAX(0.01,MROUND(_xlfn.XLOOKUP(B5,'Base stats'!B:B,'Base stats'!BV:BV)/10000,0.01))
)</f>
        <v>0.02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MAX(0.01,MROUND(_xlfn.XLOOKUP(B5,'Base stats'!B:B,'Base stats'!BH:BH) * 0.01 * 2, 0.01))
)</f>
        <v>No</v>
      </c>
      <c r="U5" s="5" t="str">
        <f>IF(S5="No","No",IF(_xlfn.XLOOKUP(B5,'Base stats'!B:B,'Base stats'!U:U)="No","No",
MAX(0.01,MROUND(_xlfn.XLOOKUP(B5,'Base stats'!B:B,'Base stats'!BT:BT)/10000,0.01))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stats'!AQ:AQ)*_xlfn.XLOOKUP(_xlfn.XLOOKUP(B5,'Base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stats'!AQ:AQ)*0.01,2)</f>
        <v>0.02</v>
      </c>
      <c r="AB5" s="18">
        <f>250*(Animals!AO5+Animals!AP5)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MAX(0.01,MROUND(_xlfn.XLOOKUP(B6,'Base stats'!B:B,'Base stats'!BG:BG) * 0.01 * 2, 0.01))</f>
        <v>1.23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MAX(0.01,MROUND(_xlfn.XLOOKUP(B6,'Base stats'!B:B,'Base stats'!BH:BH) * 0.01 * 2, 0.01))
)</f>
        <v>1.62</v>
      </c>
      <c r="I6" s="11">
        <f>IF(G6="No","No",IF(_xlfn.XLOOKUP(B6,'Base stats'!B:B,'Base stats'!U:U)="No","No",
MAX(0.01,MROUND(_xlfn.XLOOKUP(B6,'Base stats'!B:B,'Base stats'!BT:BT)/10000,0.01))
))</f>
        <v>0.12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MAX(0.01,MROUND(_xlfn.XLOOKUP(B6,'Base stats'!B:B,'Base stats'!BI:BI) * 0.01 *2, 0.01))
)</f>
        <v>No</v>
      </c>
      <c r="M6" s="5" t="str">
        <f>IF(K6="No","No",IF(_xlfn.XLOOKUP(_xlfn.XLOOKUP(B6,'Base stats'!B:B,'Base stats'!E:E),Groups!A:A,Groups!BD:BD)=1,"No",
MAX(0.01,MROUND(_xlfn.XLOOKUP(B6,'Base stats'!B:B,'Base stats'!BU:BU)/10000,0.01))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MAX(0.01,MROUND(_xlfn.XLOOKUP(B6,'Base stats'!B:B,'Base stats'!BJ:BJ) * 0.01 * 2, 0.01))
)</f>
        <v>0.23</v>
      </c>
      <c r="Q6" s="5">
        <f>IF(O6="No","No",
MAX(0.01,MROUND(_xlfn.XLOOKUP(B6,'Base stats'!B:B,'Base stats'!BV:BV)/10000,0.01))
)</f>
        <v>0.02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MAX(0.01,MROUND(_xlfn.XLOOKUP(B6,'Base stats'!B:B,'Base stats'!BH:BH) * 0.01 * 2, 0.01))
)</f>
        <v>No</v>
      </c>
      <c r="U6" s="5" t="str">
        <f>IF(S6="No","No",IF(_xlfn.XLOOKUP(B6,'Base stats'!B:B,'Base stats'!U:U)="No","No",
MAX(0.01,MROUND(_xlfn.XLOOKUP(B6,'Base stats'!B:B,'Base stats'!BT:BT)/10000,0.01))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stats'!AQ:AQ)*_xlfn.XLOOKUP(_xlfn.XLOOKUP(B6,'Base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stats'!AQ:AQ)*0.01,2)</f>
        <v>0.01</v>
      </c>
      <c r="AB6" s="18">
        <f>250*(Animals!AO6+Animals!AP6)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MAX(0.01,MROUND(_xlfn.XLOOKUP(B7,'Base stats'!B:B,'Base stats'!BG:BG) * 0.01 * 2, 0.01))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MAX(0.01,MROUND(_xlfn.XLOOKUP(B7,'Base stats'!B:B,'Base stats'!BH:BH) * 0.01 * 2, 0.01))
)</f>
        <v>1.46</v>
      </c>
      <c r="I7" s="11">
        <f>IF(G7="No","No",IF(_xlfn.XLOOKUP(B7,'Base stats'!B:B,'Base stats'!U:U)="No","No",
MAX(0.01,MROUND(_xlfn.XLOOKUP(B7,'Base stats'!B:B,'Base stats'!BT:BT)/10000,0.01))
))</f>
        <v>0.11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MAX(0.01,MROUND(_xlfn.XLOOKUP(B7,'Base stats'!B:B,'Base stats'!BI:BI) * 0.01 *2, 0.01))
)</f>
        <v>No</v>
      </c>
      <c r="M7" s="5" t="str">
        <f>IF(K7="No","No",IF(_xlfn.XLOOKUP(_xlfn.XLOOKUP(B7,'Base stats'!B:B,'Base stats'!E:E),Groups!A:A,Groups!BD:BD)=1,"No",
MAX(0.01,MROUND(_xlfn.XLOOKUP(B7,'Base stats'!B:B,'Base stats'!BU:BU)/10000,0.01))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MAX(0.01,MROUND(_xlfn.XLOOKUP(B7,'Base stats'!B:B,'Base stats'!BJ:BJ) * 0.01 * 2, 0.01))
)</f>
        <v>0.21</v>
      </c>
      <c r="Q7" s="5">
        <f>IF(O7="No","No",
MAX(0.01,MROUND(_xlfn.XLOOKUP(B7,'Base stats'!B:B,'Base stats'!BV:BV)/10000,0.01))
)</f>
        <v>0.02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MAX(0.01,MROUND(_xlfn.XLOOKUP(B7,'Base stats'!B:B,'Base stats'!BH:BH) * 0.01 * 2, 0.01))
)</f>
        <v>No</v>
      </c>
      <c r="U7" s="5" t="str">
        <f>IF(S7="No","No",IF(_xlfn.XLOOKUP(B7,'Base stats'!B:B,'Base stats'!U:U)="No","No",
MAX(0.01,MROUND(_xlfn.XLOOKUP(B7,'Base stats'!B:B,'Base stats'!BT:BT)/10000,0.01))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stats'!AQ:AQ)*_xlfn.XLOOKUP(_xlfn.XLOOKUP(B7,'Base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stats'!AQ:AQ)*0.01,2)</f>
        <v>0.01</v>
      </c>
      <c r="AB7" s="18">
        <f>250*(Animals!AO7+Animals!AP7)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MAX(0.01,MROUND(_xlfn.XLOOKUP(B8,'Base stats'!B:B,'Base stats'!BG:BG) * 0.01 * 2, 0.01))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MAX(0.01,MROUND(_xlfn.XLOOKUP(B8,'Base stats'!B:B,'Base stats'!BH:BH) * 0.01 * 2, 0.01))
)</f>
        <v>0.3</v>
      </c>
      <c r="I8" s="11">
        <f>IF(G8="No","No",IF(_xlfn.XLOOKUP(B8,'Base stats'!B:B,'Base stats'!U:U)="No","No",
MAX(0.01,MROUND(_xlfn.XLOOKUP(B8,'Base stats'!B:B,'Base stats'!BT:BT)/10000,0.01))
))</f>
        <v>0.05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MAX(0.01,MROUND(_xlfn.XLOOKUP(B8,'Base stats'!B:B,'Base stats'!BI:BI) * 0.01 *2, 0.01))
)</f>
        <v>No</v>
      </c>
      <c r="M8" s="5" t="str">
        <f>IF(K8="No","No",IF(_xlfn.XLOOKUP(_xlfn.XLOOKUP(B8,'Base stats'!B:B,'Base stats'!E:E),Groups!A:A,Groups!BD:BD)=1,"No",
MAX(0.01,MROUND(_xlfn.XLOOKUP(B8,'Base stats'!B:B,'Base stats'!BU:BU)/10000,0.01))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MAX(0.01,MROUND(_xlfn.XLOOKUP(B8,'Base stats'!B:B,'Base stats'!BJ:BJ) * 0.01 * 2, 0.01))
)</f>
        <v>0.05</v>
      </c>
      <c r="Q8" s="5">
        <f>IF(O8="No","No",
MAX(0.01,MROUND(_xlfn.XLOOKUP(B8,'Base stats'!B:B,'Base stats'!BV:BV)/10000,0.01))
)</f>
        <v>0.01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MAX(0.01,MROUND(_xlfn.XLOOKUP(B8,'Base stats'!B:B,'Base stats'!BH:BH) * 0.01 * 2, 0.01))
)</f>
        <v>No</v>
      </c>
      <c r="U8" s="5" t="str">
        <f>IF(S8="No","No",IF(_xlfn.XLOOKUP(B8,'Base stats'!B:B,'Base stats'!U:U)="No","No",
MAX(0.01,MROUND(_xlfn.XLOOKUP(B8,'Base stats'!B:B,'Base stats'!BT:BT)/10000,0.01))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stats'!AQ:AQ)*_xlfn.XLOOKUP(_xlfn.XLOOKUP(B8,'Base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stats'!AQ:AQ)*0.01,2)</f>
        <v>0.01</v>
      </c>
      <c r="AB8" s="18">
        <f>250*(Animals!AO8+Animals!AP8)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MAX(0.01,MROUND(_xlfn.XLOOKUP(B9,'Base stats'!B:B,'Base stats'!BG:BG) * 0.01 * 2, 0.01))</f>
        <v>0.23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MAX(0.01,MROUND(_xlfn.XLOOKUP(B9,'Base stats'!B:B,'Base stats'!BH:BH) * 0.01 * 2, 0.01))
)</f>
        <v>No</v>
      </c>
      <c r="I9" s="11" t="str">
        <f>IF(G9="No","No",IF(_xlfn.XLOOKUP(B9,'Base stats'!B:B,'Base stats'!U:U)="No","No",
MAX(0.01,MROUND(_xlfn.XLOOKUP(B9,'Base stats'!B:B,'Base stats'!BT:BT)/10000,0.01))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MAX(0.01,MROUND(_xlfn.XLOOKUP(B9,'Base stats'!B:B,'Base stats'!BI:BI) * 0.01 *2, 0.01))
)</f>
        <v>No</v>
      </c>
      <c r="M9" s="5" t="str">
        <f>IF(K9="No","No",IF(_xlfn.XLOOKUP(_xlfn.XLOOKUP(B9,'Base stats'!B:B,'Base stats'!E:E),Groups!A:A,Groups!BD:BD)=1,"No",
MAX(0.01,MROUND(_xlfn.XLOOKUP(B9,'Base stats'!B:B,'Base stats'!BU:BU)/10000,0.01))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MAX(0.01,MROUND(_xlfn.XLOOKUP(B9,'Base stats'!B:B,'Base stats'!BJ:BJ) * 0.01 * 2, 0.01))
)</f>
        <v>0.06</v>
      </c>
      <c r="Q9" s="5">
        <f>IF(O9="No","No",
MAX(0.01,MROUND(_xlfn.XLOOKUP(B9,'Base stats'!B:B,'Base stats'!BV:BV)/10000,0.01))
)</f>
        <v>0.01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MAX(0.01,MROUND(_xlfn.XLOOKUP(B9,'Base stats'!B:B,'Base stats'!BH:BH) * 0.01 * 2, 0.01))
)</f>
        <v>No</v>
      </c>
      <c r="U9" s="5" t="str">
        <f>IF(S9="No","No",IF(_xlfn.XLOOKUP(B9,'Base stats'!B:B,'Base stats'!U:U)="No","No",
MAX(0.01,MROUND(_xlfn.XLOOKUP(B9,'Base stats'!B:B,'Base stats'!BT:BT)/10000,0.01))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stats'!AQ:AQ)*_xlfn.XLOOKUP(_xlfn.XLOOKUP(B9,'Base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stats'!AQ:AQ)*0.01,2)</f>
        <v>0.01</v>
      </c>
      <c r="AB9" s="18">
        <f>250*(Animals!AO9+Animals!AP9)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MAX(0.01,MROUND(_xlfn.XLOOKUP(B10,'Base stats'!B:B,'Base stats'!BG:BG) * 0.01 * 2, 0.01))</f>
        <v>0.04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MAX(0.01,MROUND(_xlfn.XLOOKUP(B10,'Base stats'!B:B,'Base stats'!BH:BH) * 0.01 * 2, 0.01))
)</f>
        <v>No</v>
      </c>
      <c r="I10" s="11" t="str">
        <f>IF(G10="No","No",IF(_xlfn.XLOOKUP(B10,'Base stats'!B:B,'Base stats'!U:U)="No","No",
MAX(0.01,MROUND(_xlfn.XLOOKUP(B10,'Base stats'!B:B,'Base stats'!BT:BT)/10000,0.01))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MAX(0.01,MROUND(_xlfn.XLOOKUP(B10,'Base stats'!B:B,'Base stats'!BI:BI)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stats'!BU:BU)/10000,0.01))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MAX(0.01,MROUND(_xlfn.XLOOKUP(B10,'Base stats'!B:B,'Base stats'!BJ:BJ) * 0.01 * 2, 0.01))
)</f>
        <v>0.01</v>
      </c>
      <c r="Q10" s="5">
        <f>IF(O10="No","No",
MAX(0.01,MROUND(_xlfn.XLOOKUP(B10,'Base stats'!B:B,'Base stats'!BV:BV)/10000,0.01))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MAX(0.01,MROUND(_xlfn.XLOOKUP(B10,'Base stats'!B:B,'Base stats'!BH:BH) * 0.01 * 2, 0.01))
)</f>
        <v>No</v>
      </c>
      <c r="U10" s="5" t="str">
        <f>IF(S10="No","No",IF(_xlfn.XLOOKUP(B10,'Base stats'!B:B,'Base stats'!U:U)="No","No",
MAX(0.01,MROUND(_xlfn.XLOOKUP(B10,'Base stats'!B:B,'Base stats'!BT:BT)/10000,0.01))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stats'!AQ:AQ)*_xlfn.XLOOKUP(_xlfn.XLOOKUP(B10,'Base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stats'!AQ:AQ)*0.01,2)</f>
        <v>0</v>
      </c>
      <c r="AB10" s="18">
        <f>250*(Animals!AO10+Animals!AP10)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MAX(0.01,MROUND(_xlfn.XLOOKUP(B11,'Base stats'!B:B,'Base stats'!BG:BG) * 0.01 * 2, 0.01))</f>
        <v>0.09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MAX(0.01,MROUND(_xlfn.XLOOKUP(B11,'Base stats'!B:B,'Base stats'!BH:BH) * 0.01 * 2, 0.01))
)</f>
        <v>0.13</v>
      </c>
      <c r="I11" s="11">
        <f>IF(G11="No","No",IF(_xlfn.XLOOKUP(B11,'Base stats'!B:B,'Base stats'!U:U)="No","No",
MAX(0.01,MROUND(_xlfn.XLOOKUP(B11,'Base stats'!B:B,'Base stats'!BT:BT)/10000,0.01))
))</f>
        <v>0.03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MAX(0.01,MROUND(_xlfn.XLOOKUP(B11,'Base stats'!B:B,'Base stats'!BI:BI)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stats'!BU:BU)/10000,0.01))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MAX(0.01,MROUND(_xlfn.XLOOKUP(B11,'Base stats'!B:B,'Base stats'!BJ:BJ) * 0.01 * 2, 0.01))
)</f>
        <v>0.03</v>
      </c>
      <c r="Q11" s="5">
        <f>IF(O11="No","No",
MAX(0.01,MROUND(_xlfn.XLOOKUP(B11,'Base stats'!B:B,'Base stats'!BV:BV)/10000,0.01))
)</f>
        <v>0.01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MAX(0.01,MROUND(_xlfn.XLOOKUP(B11,'Base stats'!B:B,'Base stats'!BH:BH) * 0.01 * 2, 0.01))
)</f>
        <v>No</v>
      </c>
      <c r="U11" s="5" t="str">
        <f>IF(S11="No","No",IF(_xlfn.XLOOKUP(B11,'Base stats'!B:B,'Base stats'!U:U)="No","No",
MAX(0.01,MROUND(_xlfn.XLOOKUP(B11,'Base stats'!B:B,'Base stats'!BT:BT)/10000,0.01))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stats'!AQ:AQ)*_xlfn.XLOOKUP(_xlfn.XLOOKUP(B11,'Base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stats'!AQ:AQ)*0.01,2)</f>
        <v>0.01</v>
      </c>
      <c r="AB11" s="18">
        <f>250*(Animals!AO11+Animals!AP11)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MAX(0.01,MROUND(_xlfn.XLOOKUP(B12,'Base stats'!B:B,'Base stats'!BG:BG) * 0.01 * 2, 0.01))</f>
        <v>9.82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MAX(0.01,MROUND(_xlfn.XLOOKUP(B12,'Base stats'!B:B,'Base stats'!BH:BH) * 0.01 * 2, 0.01))
)</f>
        <v>11.38</v>
      </c>
      <c r="I12" s="11" t="str">
        <f>IF(G12="No","No",IF(_xlfn.XLOOKUP(B12,'Base stats'!B:B,'Base stats'!U:U)="No","No",
MAX(0.01,MROUND(_xlfn.XLOOKUP(B12,'Base stats'!B:B,'Base stats'!BT:BT)/10000,0.01))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MAX(0.01,MROUND(_xlfn.XLOOKUP(B12,'Base stats'!B:B,'Base stats'!BI:BI)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stats'!BU:BU)/10000,0.01))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MAX(0.01,MROUND(_xlfn.XLOOKUP(B12,'Base stats'!B:B,'Base stats'!BJ:BJ) * 0.01 * 2, 0.01))
)</f>
        <v>7.13</v>
      </c>
      <c r="Q12" s="5">
        <f>IF(O12="No","No",
MAX(0.01,MROUND(_xlfn.XLOOKUP(B12,'Base stats'!B:B,'Base stats'!BV:BV)/10000,0.01))
)</f>
        <v>0.11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MAX(0.01,MROUND(_xlfn.XLOOKUP(B12,'Base stats'!B:B,'Base stats'!BH:BH) * 0.01 * 2, 0.01))
)</f>
        <v>No</v>
      </c>
      <c r="U12" s="5" t="str">
        <f>IF(S12="No","No",IF(_xlfn.XLOOKUP(B12,'Base stats'!B:B,'Base stats'!U:U)="No","No",
MAX(0.01,MROUND(_xlfn.XLOOKUP(B12,'Base stats'!B:B,'Base stats'!BT:BT)/10000,0.01))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stats'!AQ:AQ)*_xlfn.XLOOKUP(_xlfn.XLOOKUP(B12,'Base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stats'!AQ:AQ)*0.01,2)</f>
        <v>0.4</v>
      </c>
      <c r="AB12" s="18">
        <f>250*(Animals!AO12+Animals!AP12)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MAX(0.01,MROUND(_xlfn.XLOOKUP(B13,'Base stats'!B:B,'Base stats'!BG:BG) * 0.01 * 2, 0.01))</f>
        <v>2.0499999999999998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MAX(0.01,MROUND(_xlfn.XLOOKUP(B13,'Base stats'!B:B,'Base stats'!BH:BH) * 0.01 * 2, 0.01))
)</f>
        <v>2.62</v>
      </c>
      <c r="I13" s="11" t="str">
        <f>IF(G13="No","No",IF(_xlfn.XLOOKUP(B13,'Base stats'!B:B,'Base stats'!U:U)="No","No",
MAX(0.01,MROUND(_xlfn.XLOOKUP(B13,'Base stats'!B:B,'Base stats'!BT:BT)/10000,0.01))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MAX(0.01,MROUND(_xlfn.XLOOKUP(B13,'Base stats'!B:B,'Base stats'!BI:BI)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stats'!BU:BU)/10000,0.01))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MAX(0.01,MROUND(_xlfn.XLOOKUP(B13,'Base stats'!B:B,'Base stats'!BJ:BJ) * 0.01 * 2, 0.01))
)</f>
        <v>2.0699999999999998</v>
      </c>
      <c r="Q13" s="5">
        <f>IF(O13="No","No",
MAX(0.01,MROUND(_xlfn.XLOOKUP(B13,'Base stats'!B:B,'Base stats'!BV:BV)/10000,0.01))
)</f>
        <v>0.11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MAX(0.01,MROUND(_xlfn.XLOOKUP(B13,'Base stats'!B:B,'Base stats'!BH:BH) * 0.01 * 2, 0.01))
)</f>
        <v>No</v>
      </c>
      <c r="U13" s="5" t="str">
        <f>IF(S13="No","No",IF(_xlfn.XLOOKUP(B13,'Base stats'!B:B,'Base stats'!U:U)="No","No",
MAX(0.01,MROUND(_xlfn.XLOOKUP(B13,'Base stats'!B:B,'Base stats'!BT:BT)/10000,0.01))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stats'!AQ:AQ)*_xlfn.XLOOKUP(_xlfn.XLOOKUP(B13,'Base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stats'!AQ:AQ)*0.01,2)</f>
        <v>0.24</v>
      </c>
      <c r="AB13" s="18">
        <f>250*(Animals!AO13+Animals!AP13)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MAX(0.01,MROUND(_xlfn.XLOOKUP(B14,'Base stats'!B:B,'Base stats'!BG:BG) * 0.01 * 2, 0.01))</f>
        <v>0.08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MAX(0.01,MROUND(_xlfn.XLOOKUP(B14,'Base stats'!B:B,'Base stats'!BH:BH) * 0.01 * 2, 0.01))
)</f>
        <v>No</v>
      </c>
      <c r="I14" s="11" t="str">
        <f>IF(G14="No","No",IF(_xlfn.XLOOKUP(B14,'Base stats'!B:B,'Base stats'!U:U)="No","No",
MAX(0.01,MROUND(_xlfn.XLOOKUP(B14,'Base stats'!B:B,'Base stats'!BT:BT)/10000,0.01))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MAX(0.01,MROUND(_xlfn.XLOOKUP(B14,'Base stats'!B:B,'Base stats'!BI:BI)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stats'!BU:BU)/10000,0.01))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MAX(0.01,MROUND(_xlfn.XLOOKUP(B14,'Base stats'!B:B,'Base stats'!BJ:BJ) * 0.01 * 2, 0.01))
)</f>
        <v>0.22</v>
      </c>
      <c r="Q14" s="5">
        <f>IF(O14="No","No",
MAX(0.01,MROUND(_xlfn.XLOOKUP(B14,'Base stats'!B:B,'Base stats'!BV:BV)/10000,0.01))
)</f>
        <v>0.05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MAX(0.01,MROUND(_xlfn.XLOOKUP(B14,'Base stats'!B:B,'Base stats'!BH:BH) * 0.01 * 2, 0.01))
)</f>
        <v>No</v>
      </c>
      <c r="U14" s="5" t="str">
        <f>IF(S14="No","No",IF(_xlfn.XLOOKUP(B14,'Base stats'!B:B,'Base stats'!U:U)="No","No",
MAX(0.01,MROUND(_xlfn.XLOOKUP(B14,'Base stats'!B:B,'Base stats'!BT:BT)/10000,0.01))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stats'!AQ:AQ)*_xlfn.XLOOKUP(_xlfn.XLOOKUP(B14,'Base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stats'!AQ:AQ)*0.01,2)</f>
        <v>0.22</v>
      </c>
      <c r="AB14" s="18">
        <f>250*(Animals!AO14+Animals!AP14)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MAX(0.01,MROUND(_xlfn.XLOOKUP(B15,'Base stats'!B:B,'Base stats'!BG:BG) * 0.01 * 2, 0.01))</f>
        <v>0.88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MAX(0.01,MROUND(_xlfn.XLOOKUP(B15,'Base stats'!B:B,'Base stats'!BH:BH) * 0.01 * 2, 0.01))
)</f>
        <v>No</v>
      </c>
      <c r="I15" s="11" t="str">
        <f>IF(G15="No","No",IF(_xlfn.XLOOKUP(B15,'Base stats'!B:B,'Base stats'!U:U)="No","No",
MAX(0.01,MROUND(_xlfn.XLOOKUP(B15,'Base stats'!B:B,'Base stats'!BT:BT)/10000,0.01))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MAX(0.01,MROUND(_xlfn.XLOOKUP(B15,'Base stats'!B:B,'Base stats'!BI:BI)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stats'!BU:BU)/10000,0.01))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MAX(0.01,MROUND(_xlfn.XLOOKUP(B15,'Base stats'!B:B,'Base stats'!BJ:BJ) * 0.01 * 2, 0.01))
)</f>
        <v>2.3000000000000003</v>
      </c>
      <c r="Q15" s="5">
        <f>IF(O15="No","No",
MAX(0.01,MROUND(_xlfn.XLOOKUP(B15,'Base stats'!B:B,'Base stats'!BV:BV)/10000,0.01))
)</f>
        <v>0.19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MAX(0.01,MROUND(_xlfn.XLOOKUP(B15,'Base stats'!B:B,'Base stats'!BH:BH) * 0.01 * 2, 0.01))
)</f>
        <v>No</v>
      </c>
      <c r="U15" s="5" t="str">
        <f>IF(S15="No","No",IF(_xlfn.XLOOKUP(B15,'Base stats'!B:B,'Base stats'!U:U)="No","No",
MAX(0.01,MROUND(_xlfn.XLOOKUP(B15,'Base stats'!B:B,'Base stats'!BT:BT)/10000,0.01))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stats'!AQ:AQ)*_xlfn.XLOOKUP(_xlfn.XLOOKUP(B15,'Base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stats'!AQ:AQ)*0.01,2)</f>
        <v>0.55000000000000004</v>
      </c>
      <c r="AB15" s="18">
        <f>250*(Animals!AO15+Animals!AP15)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MAX(0.01,MROUND(_xlfn.XLOOKUP(B16,'Base stats'!B:B,'Base stats'!BG:BG) * 0.01 * 2, 0.01))</f>
        <v>1.02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MAX(0.01,MROUND(_xlfn.XLOOKUP(B16,'Base stats'!B:B,'Base stats'!BH:BH) * 0.01 * 2, 0.01))
)</f>
        <v>No</v>
      </c>
      <c r="I16" s="11" t="str">
        <f>IF(G16="No","No",IF(_xlfn.XLOOKUP(B16,'Base stats'!B:B,'Base stats'!U:U)="No","No",
MAX(0.01,MROUND(_xlfn.XLOOKUP(B16,'Base stats'!B:B,'Base stats'!BT:BT)/10000,0.01))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MAX(0.01,MROUND(_xlfn.XLOOKUP(B16,'Base stats'!B:B,'Base stats'!BI:BI)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stats'!BU:BU)/10000,0.01))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MAX(0.01,MROUND(_xlfn.XLOOKUP(B16,'Base stats'!B:B,'Base stats'!BJ:BJ) * 0.01 * 2, 0.01))
)</f>
        <v>2.67</v>
      </c>
      <c r="Q16" s="5">
        <f>IF(O16="No","No",
MAX(0.01,MROUND(_xlfn.XLOOKUP(B16,'Base stats'!B:B,'Base stats'!BV:BV)/10000,0.01))
)</f>
        <v>0.21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MAX(0.01,MROUND(_xlfn.XLOOKUP(B16,'Base stats'!B:B,'Base stats'!BH:BH) * 0.01 * 2, 0.01))
)</f>
        <v>No</v>
      </c>
      <c r="U16" s="5" t="str">
        <f>IF(S16="No","No",IF(_xlfn.XLOOKUP(B16,'Base stats'!B:B,'Base stats'!U:U)="No","No",
MAX(0.01,MROUND(_xlfn.XLOOKUP(B16,'Base stats'!B:B,'Base stats'!BT:BT)/10000,0.01))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stats'!AQ:AQ)*_xlfn.XLOOKUP(_xlfn.XLOOKUP(B16,'Base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stats'!AQ:AQ)*0.01,2)</f>
        <v>0.59</v>
      </c>
      <c r="AB16" s="18">
        <f>250*(Animals!AO16+Animals!AP16)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MAX(0.01,MROUND(_xlfn.XLOOKUP(B17,'Base stats'!B:B,'Base stats'!BG:BG) * 0.01 * 2, 0.01))</f>
        <v>1.7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MAX(0.01,MROUND(_xlfn.XLOOKUP(B17,'Base stats'!B:B,'Base stats'!BH:BH) * 0.01 * 2, 0.01))
)</f>
        <v>No</v>
      </c>
      <c r="I17" s="11" t="str">
        <f>IF(G17="No","No",IF(_xlfn.XLOOKUP(B17,'Base stats'!B:B,'Base stats'!U:U)="No","No",
MAX(0.01,MROUND(_xlfn.XLOOKUP(B17,'Base stats'!B:B,'Base stats'!BT:BT)/10000,0.01))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MAX(0.01,MROUND(_xlfn.XLOOKUP(B17,'Base stats'!B:B,'Base stats'!BI:BI)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stats'!BU:BU)/10000,0.01))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MAX(0.01,MROUND(_xlfn.XLOOKUP(B17,'Base stats'!B:B,'Base stats'!BJ:BJ) * 0.01 * 2, 0.01))
)</f>
        <v>3.5300000000000002</v>
      </c>
      <c r="Q17" s="5">
        <f>IF(O17="No","No",
MAX(0.01,MROUND(_xlfn.XLOOKUP(B17,'Base stats'!B:B,'Base stats'!BV:BV)/10000,0.01))
)</f>
        <v>0.22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MAX(0.01,MROUND(_xlfn.XLOOKUP(B17,'Base stats'!B:B,'Base stats'!BH:BH) * 0.01 * 2, 0.01))
)</f>
        <v>2.19</v>
      </c>
      <c r="U17" s="5">
        <f>IF(S17="No","No",IF(_xlfn.XLOOKUP(B17,'Base stats'!B:B,'Base stats'!U:U)="No","No",
MAX(0.01,MROUND(_xlfn.XLOOKUP(B17,'Base stats'!B:B,'Base stats'!BT:BT)/10000,0.01))
))</f>
        <v>0.14000000000000001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stats'!AQ:AQ)*_xlfn.XLOOKUP(_xlfn.XLOOKUP(B17,'Base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stats'!AQ:AQ)*0.01,2)</f>
        <v>0.71</v>
      </c>
      <c r="AB17" s="18">
        <f>250*(Animals!AO17+Animals!AP17)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MAX(0.01,MROUND(_xlfn.XLOOKUP(B18,'Base stats'!B:B,'Base stats'!BG:BG) * 0.01 * 2, 0.01))</f>
        <v>1.47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MAX(0.01,MROUND(_xlfn.XLOOKUP(B18,'Base stats'!B:B,'Base stats'!BH:BH) * 0.01 * 2, 0.01))
)</f>
        <v>No</v>
      </c>
      <c r="I18" s="11" t="str">
        <f>IF(G18="No","No",IF(_xlfn.XLOOKUP(B18,'Base stats'!B:B,'Base stats'!U:U)="No","No",
MAX(0.01,MROUND(_xlfn.XLOOKUP(B18,'Base stats'!B:B,'Base stats'!BT:BT)/10000,0.01))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MAX(0.01,MROUND(_xlfn.XLOOKUP(B18,'Base stats'!B:B,'Base stats'!BI:BI)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stats'!BU:BU)/10000,0.01))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MAX(0.01,MROUND(_xlfn.XLOOKUP(B18,'Base stats'!B:B,'Base stats'!BJ:BJ) * 0.01 * 2, 0.01))
)</f>
        <v>4.79</v>
      </c>
      <c r="Q18" s="5">
        <f>IF(O18="No","No",
MAX(0.01,MROUND(_xlfn.XLOOKUP(B18,'Base stats'!B:B,'Base stats'!BV:BV)/10000,0.01))
)</f>
        <v>0.32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MAX(0.01,MROUND(_xlfn.XLOOKUP(B18,'Base stats'!B:B,'Base stats'!BH:BH) * 0.01 * 2, 0.01))
)</f>
        <v>1.92</v>
      </c>
      <c r="U18" s="5">
        <f>IF(S18="No","No",IF(_xlfn.XLOOKUP(B18,'Base stats'!B:B,'Base stats'!U:U)="No","No",
MAX(0.01,MROUND(_xlfn.XLOOKUP(B18,'Base stats'!B:B,'Base stats'!BT:BT)/10000,0.01))
))</f>
        <v>0.13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stats'!AQ:AQ)*_xlfn.XLOOKUP(_xlfn.XLOOKUP(B18,'Base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stats'!AQ:AQ)*0.01,2)</f>
        <v>0.67</v>
      </c>
      <c r="AB18" s="18">
        <f>250*(Animals!AO18+Animals!AP18)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MAX(0.01,MROUND(_xlfn.XLOOKUP(B19,'Base stats'!B:B,'Base stats'!BG:BG) * 0.01 * 2, 0.01))</f>
        <v>0.68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MAX(0.01,MROUND(_xlfn.XLOOKUP(B19,'Base stats'!B:B,'Base stats'!BH:BH) * 0.01 * 2, 0.01))
)</f>
        <v>No</v>
      </c>
      <c r="I19" s="11" t="str">
        <f>IF(G19="No","No",IF(_xlfn.XLOOKUP(B19,'Base stats'!B:B,'Base stats'!U:U)="No","No",
MAX(0.01,MROUND(_xlfn.XLOOKUP(B19,'Base stats'!B:B,'Base stats'!BT:BT)/10000,0.01))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MAX(0.01,MROUND(_xlfn.XLOOKUP(B19,'Base stats'!B:B,'Base stats'!BI:BI)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stats'!BU:BU)/10000,0.01))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MAX(0.01,MROUND(_xlfn.XLOOKUP(B19,'Base stats'!B:B,'Base stats'!BJ:BJ) * 0.01 * 2, 0.01))
)</f>
        <v>1.37</v>
      </c>
      <c r="Q19" s="5">
        <f>IF(O19="No","No",
MAX(0.01,MROUND(_xlfn.XLOOKUP(B19,'Base stats'!B:B,'Base stats'!BV:BV)/10000,0.01))
)</f>
        <v>0.13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MAX(0.01,MROUND(_xlfn.XLOOKUP(B19,'Base stats'!B:B,'Base stats'!BH:BH) * 0.01 * 2, 0.01))
)</f>
        <v>0.93</v>
      </c>
      <c r="U19" s="5">
        <f>IF(S19="No","No",IF(_xlfn.XLOOKUP(B19,'Base stats'!B:B,'Base stats'!U:U)="No","No",
MAX(0.01,MROUND(_xlfn.XLOOKUP(B19,'Base stats'!B:B,'Base stats'!BT:BT)/10000,0.01))
))</f>
        <v>0.09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stats'!AQ:AQ)*_xlfn.XLOOKUP(_xlfn.XLOOKUP(B19,'Base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stats'!AQ:AQ)*0.01,2)</f>
        <v>0.5</v>
      </c>
      <c r="AB19" s="18">
        <f>250*(Animals!AO19+Animals!AP19)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MAX(0.01,MROUND(_xlfn.XLOOKUP(B20,'Base stats'!B:B,'Base stats'!BG:BG) * 0.01 * 2, 0.01))</f>
        <v>0.14000000000000001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MAX(0.01,MROUND(_xlfn.XLOOKUP(B20,'Base stats'!B:B,'Base stats'!BH:BH) * 0.01 * 2, 0.01))
)</f>
        <v>No</v>
      </c>
      <c r="I20" s="11" t="str">
        <f>IF(G20="No","No",IF(_xlfn.XLOOKUP(B20,'Base stats'!B:B,'Base stats'!U:U)="No","No",
MAX(0.01,MROUND(_xlfn.XLOOKUP(B20,'Base stats'!B:B,'Base stats'!BT:BT)/10000,0.01))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MAX(0.01,MROUND(_xlfn.XLOOKUP(B20,'Base stats'!B:B,'Base stats'!BI:BI)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stats'!BU:BU)/10000,0.01))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MAX(0.01,MROUND(_xlfn.XLOOKUP(B20,'Base stats'!B:B,'Base stats'!BJ:BJ) * 0.01 * 2, 0.01))
)</f>
        <v>0.37</v>
      </c>
      <c r="Q20" s="5">
        <f>IF(O20="No","No",
MAX(0.01,MROUND(_xlfn.XLOOKUP(B20,'Base stats'!B:B,'Base stats'!BV:BV)/10000,0.01))
)</f>
        <v>7.0000000000000007E-2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MAX(0.01,MROUND(_xlfn.XLOOKUP(B20,'Base stats'!B:B,'Base stats'!BH:BH) * 0.01 * 2, 0.01))
)</f>
        <v>0.2</v>
      </c>
      <c r="U20" s="5">
        <f>IF(S20="No","No",IF(_xlfn.XLOOKUP(B20,'Base stats'!B:B,'Base stats'!U:U)="No","No",
MAX(0.01,MROUND(_xlfn.XLOOKUP(B20,'Base stats'!B:B,'Base stats'!BT:BT)/10000,0.01))
))</f>
        <v>0.04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stats'!AQ:AQ)*_xlfn.XLOOKUP(_xlfn.XLOOKUP(B20,'Base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stats'!AQ:AQ)*0.01,2)</f>
        <v>0.27</v>
      </c>
      <c r="AB20" s="18">
        <f>250*(Animals!AO20+Animals!AP20)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MAX(0.01,MROUND(_xlfn.XLOOKUP(B21,'Base stats'!B:B,'Base stats'!BG:BG) * 0.01 * 2, 0.01))</f>
        <v>9.33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MAX(0.01,MROUND(_xlfn.XLOOKUP(B21,'Base stats'!B:B,'Base stats'!BH:BH) * 0.01 * 2, 0.01))
)</f>
        <v>10.85</v>
      </c>
      <c r="I21" s="11" t="str">
        <f>IF(G21="No","No",IF(_xlfn.XLOOKUP(B21,'Base stats'!B:B,'Base stats'!U:U)="No","No",
MAX(0.01,MROUND(_xlfn.XLOOKUP(B21,'Base stats'!B:B,'Base stats'!BT:BT)/10000,0.01))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MAX(0.01,MROUND(_xlfn.XLOOKUP(B21,'Base stats'!B:B,'Base stats'!BI:BI)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stats'!BU:BU)/10000,0.01))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MAX(0.01,MROUND(_xlfn.XLOOKUP(B21,'Base stats'!B:B,'Base stats'!BJ:BJ) * 0.01 * 2, 0.01))
)</f>
        <v>6.8500000000000005</v>
      </c>
      <c r="Q21" s="5">
        <f>IF(O21="No","No",
MAX(0.01,MROUND(_xlfn.XLOOKUP(B21,'Base stats'!B:B,'Base stats'!BV:BV)/10000,0.01))
)</f>
        <v>0.11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MAX(0.01,MROUND(_xlfn.XLOOKUP(B21,'Base stats'!B:B,'Base stats'!BH:BH) * 0.01 * 2, 0.01))
)</f>
        <v>No</v>
      </c>
      <c r="U21" s="5" t="str">
        <f>IF(S21="No","No",IF(_xlfn.XLOOKUP(B21,'Base stats'!B:B,'Base stats'!U:U)="No","No",
MAX(0.01,MROUND(_xlfn.XLOOKUP(B21,'Base stats'!B:B,'Base stats'!BT:BT)/10000,0.01))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stats'!AQ:AQ)*_xlfn.XLOOKUP(_xlfn.XLOOKUP(B21,'Base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stats'!AQ:AQ)*0.01,2)</f>
        <v>0.39</v>
      </c>
      <c r="AB21" s="18">
        <f>250*(Animals!AO21+Animals!AP21)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MAX(0.01,MROUND(_xlfn.XLOOKUP(B22,'Base stats'!B:B,'Base stats'!BG:BG) * 0.01 * 2, 0.01))</f>
        <v>4.08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MAX(0.01,MROUND(_xlfn.XLOOKUP(B22,'Base stats'!B:B,'Base stats'!BH:BH) * 0.01 * 2, 0.01))
)</f>
        <v>4.99</v>
      </c>
      <c r="I22" s="11" t="str">
        <f>IF(G22="No","No",IF(_xlfn.XLOOKUP(B22,'Base stats'!B:B,'Base stats'!U:U)="No","No",
MAX(0.01,MROUND(_xlfn.XLOOKUP(B22,'Base stats'!B:B,'Base stats'!BT:BT)/10000,0.01))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MAX(0.01,MROUND(_xlfn.XLOOKUP(B22,'Base stats'!B:B,'Base stats'!BI:BI)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stats'!BU:BU)/10000,0.01))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MAX(0.01,MROUND(_xlfn.XLOOKUP(B22,'Base stats'!B:B,'Base stats'!BJ:BJ) * 0.01 * 2, 0.01))
)</f>
        <v>3.56</v>
      </c>
      <c r="Q22" s="5">
        <f>IF(O22="No","No",
MAX(0.01,MROUND(_xlfn.XLOOKUP(B22,'Base stats'!B:B,'Base stats'!BV:BV)/10000,0.01))
)</f>
        <v>0.12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MAX(0.01,MROUND(_xlfn.XLOOKUP(B22,'Base stats'!B:B,'Base stats'!BH:BH) * 0.01 * 2, 0.01))
)</f>
        <v>No</v>
      </c>
      <c r="U22" s="5" t="str">
        <f>IF(S22="No","No",IF(_xlfn.XLOOKUP(B22,'Base stats'!B:B,'Base stats'!U:U)="No","No",
MAX(0.01,MROUND(_xlfn.XLOOKUP(B22,'Base stats'!B:B,'Base stats'!BT:BT)/10000,0.01))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stats'!AQ:AQ)*_xlfn.XLOOKUP(_xlfn.XLOOKUP(B22,'Base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stats'!AQ:AQ)*0.01,2)</f>
        <v>0.3</v>
      </c>
      <c r="AB22" s="18">
        <f>250*(Animals!AO22+Animals!AP22)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MAX(0.01,MROUND(_xlfn.XLOOKUP(B23,'Base stats'!B:B,'Base stats'!BG:BG) * 0.01 * 2, 0.01))</f>
        <v>0.14000000000000001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MAX(0.01,MROUND(_xlfn.XLOOKUP(B23,'Base stats'!B:B,'Base stats'!BH:BH) * 0.01 * 2, 0.01))
)</f>
        <v>No</v>
      </c>
      <c r="I23" s="11" t="str">
        <f>IF(G23="No","No",IF(_xlfn.XLOOKUP(B23,'Base stats'!B:B,'Base stats'!U:U)="No","No",
MAX(0.01,MROUND(_xlfn.XLOOKUP(B23,'Base stats'!B:B,'Base stats'!BT:BT)/10000,0.01))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MAX(0.01,MROUND(_xlfn.XLOOKUP(B23,'Base stats'!B:B,'Base stats'!BI:BI)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stats'!BU:BU)/10000,0.01))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MAX(0.01,MROUND(_xlfn.XLOOKUP(B23,'Base stats'!B:B,'Base stats'!BJ:BJ) * 0.01 * 2, 0.01))
)</f>
        <v>0.19</v>
      </c>
      <c r="Q23" s="5">
        <f>IF(O23="No","No",
MAX(0.01,MROUND(_xlfn.XLOOKUP(B23,'Base stats'!B:B,'Base stats'!BV:BV)/10000,0.01))
)</f>
        <v>0.04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MAX(0.01,MROUND(_xlfn.XLOOKUP(B23,'Base stats'!B:B,'Base stats'!BH:BH) * 0.01 * 2, 0.01))
)</f>
        <v>No</v>
      </c>
      <c r="U23" s="5" t="str">
        <f>IF(S23="No","No",IF(_xlfn.XLOOKUP(B23,'Base stats'!B:B,'Base stats'!U:U)="No","No",
MAX(0.01,MROUND(_xlfn.XLOOKUP(B23,'Base stats'!B:B,'Base stats'!BT:BT)/10000,0.01))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stats'!AQ:AQ)*_xlfn.XLOOKUP(_xlfn.XLOOKUP(B23,'Base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stats'!AQ:AQ)*0.01,2)</f>
        <v>0.1</v>
      </c>
      <c r="AB23" s="18">
        <f>250*(Animals!AO23+Animals!AP23)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MAX(0.01,MROUND(_xlfn.XLOOKUP(B24,'Base stats'!B:B,'Base stats'!BG:BG) * 0.01 * 2, 0.01))</f>
        <v>0.14000000000000001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MAX(0.01,MROUND(_xlfn.XLOOKUP(B24,'Base stats'!B:B,'Base stats'!BH:BH) * 0.01 * 2, 0.01))
)</f>
        <v>No</v>
      </c>
      <c r="I24" s="11" t="str">
        <f>IF(G24="No","No",IF(_xlfn.XLOOKUP(B24,'Base stats'!B:B,'Base stats'!U:U)="No","No",
MAX(0.01,MROUND(_xlfn.XLOOKUP(B24,'Base stats'!B:B,'Base stats'!BT:BT)/10000,0.01))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MAX(0.01,MROUND(_xlfn.XLOOKUP(B24,'Base stats'!B:B,'Base stats'!BI:BI)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stats'!BU:BU)/10000,0.01))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MAX(0.01,MROUND(_xlfn.XLOOKUP(B24,'Base stats'!B:B,'Base stats'!BJ:BJ) * 0.01 * 2, 0.01))
)</f>
        <v>0.19</v>
      </c>
      <c r="Q24" s="5">
        <f>IF(O24="No","No",
MAX(0.01,MROUND(_xlfn.XLOOKUP(B24,'Base stats'!B:B,'Base stats'!BV:BV)/10000,0.01))
)</f>
        <v>0.04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MAX(0.01,MROUND(_xlfn.XLOOKUP(B24,'Base stats'!B:B,'Base stats'!BH:BH) * 0.01 * 2, 0.01))
)</f>
        <v>No</v>
      </c>
      <c r="U24" s="5" t="str">
        <f>IF(S24="No","No",IF(_xlfn.XLOOKUP(B24,'Base stats'!B:B,'Base stats'!U:U)="No","No",
MAX(0.01,MROUND(_xlfn.XLOOKUP(B24,'Base stats'!B:B,'Base stats'!BT:BT)/10000,0.01))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stats'!AQ:AQ)*_xlfn.XLOOKUP(_xlfn.XLOOKUP(B24,'Base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stats'!AQ:AQ)*0.01,2)</f>
        <v>0.1</v>
      </c>
      <c r="AB24" s="18">
        <f>250*(Animals!AO24+Animals!AP24)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MAX(0.01,MROUND(_xlfn.XLOOKUP(B25,'Base stats'!B:B,'Base stats'!BG:BG) * 0.01 * 2, 0.01))</f>
        <v>42.480000000000004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MAX(0.01,MROUND(_xlfn.XLOOKUP(B25,'Base stats'!B:B,'Base stats'!BH:BH) * 0.01 * 2, 0.01))
)</f>
        <v>No</v>
      </c>
      <c r="I25" s="11" t="str">
        <f>IF(G25="No","No",IF(_xlfn.XLOOKUP(B25,'Base stats'!B:B,'Base stats'!U:U)="No","No",
MAX(0.01,MROUND(_xlfn.XLOOKUP(B25,'Base stats'!B:B,'Base stats'!BT:BT)/10000,0.01))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MAX(0.01,MROUND(_xlfn.XLOOKUP(B25,'Base stats'!B:B,'Base stats'!BI:BI) * 0.01 *2, 0.01))
)</f>
        <v>50.97</v>
      </c>
      <c r="M25" s="5">
        <f>IF(K25="No","No",IF(_xlfn.XLOOKUP(_xlfn.XLOOKUP(B25,'Base stats'!B:B,'Base stats'!E:E),Groups!A:A,Groups!BD:BD)=1,"No",
MAX(0.01,MROUND(_xlfn.XLOOKUP(B25,'Base stats'!B:B,'Base stats'!BU:BU)/10000,0.01))
))</f>
        <v>2.35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MAX(0.01,MROUND(_xlfn.XLOOKUP(B25,'Base stats'!B:B,'Base stats'!BJ:BJ) * 0.01 * 2, 0.01))
)</f>
        <v>22.650000000000002</v>
      </c>
      <c r="Q25" s="5">
        <f>IF(O25="No","No",
MAX(0.01,MROUND(_xlfn.XLOOKUP(B25,'Base stats'!B:B,'Base stats'!BV:BV)/10000,0.01))
)</f>
        <v>0.34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MAX(0.01,MROUND(_xlfn.XLOOKUP(B25,'Base stats'!B:B,'Base stats'!BH:BH) * 0.01 * 2, 0.01))
)</f>
        <v>No</v>
      </c>
      <c r="U25" s="5" t="str">
        <f>IF(S25="No","No",IF(_xlfn.XLOOKUP(B25,'Base stats'!B:B,'Base stats'!U:U)="No","No",
MAX(0.01,MROUND(_xlfn.XLOOKUP(B25,'Base stats'!B:B,'Base stats'!BT:BT)/10000,0.01))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stats'!AQ:AQ)*_xlfn.XLOOKUP(_xlfn.XLOOKUP(B25,'Base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stats'!AQ:AQ)*0.01,2)</f>
        <v>0.3</v>
      </c>
      <c r="AB25" s="18">
        <f>250*(Animals!AO25+Animals!AP25)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MAX(0.01,MROUND(_xlfn.XLOOKUP(B26,'Base stats'!B:B,'Base stats'!BG:BG) * 0.01 * 2, 0.01))</f>
        <v>41.12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MAX(0.01,MROUND(_xlfn.XLOOKUP(B26,'Base stats'!B:B,'Base stats'!BH:BH) * 0.01 * 2, 0.01))
)</f>
        <v>36.26</v>
      </c>
      <c r="I26" s="11" t="str">
        <f>IF(G26="No","No",IF(_xlfn.XLOOKUP(B26,'Base stats'!B:B,'Base stats'!U:U)="No","No",
MAX(0.01,MROUND(_xlfn.XLOOKUP(B26,'Base stats'!B:B,'Base stats'!BT:BT)/10000,0.01))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MAX(0.01,MROUND(_xlfn.XLOOKUP(B26,'Base stats'!B:B,'Base stats'!BI:BI) * 0.01 *2, 0.01))
)</f>
        <v>43.51</v>
      </c>
      <c r="M26" s="5">
        <f>IF(K26="No","No",IF(_xlfn.XLOOKUP(_xlfn.XLOOKUP(B26,'Base stats'!B:B,'Base stats'!E:E),Groups!A:A,Groups!BD:BD)=1,"No",
MAX(0.01,MROUND(_xlfn.XLOOKUP(B26,'Base stats'!B:B,'Base stats'!BU:BU)/10000,0.01))
))</f>
        <v>1.8900000000000001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MAX(0.01,MROUND(_xlfn.XLOOKUP(B26,'Base stats'!B:B,'Base stats'!BJ:BJ) * 0.01 * 2, 0.01))
)</f>
        <v>No</v>
      </c>
      <c r="Q26" s="5" t="str">
        <f>IF(O26="No","No",
MAX(0.01,MROUND(_xlfn.XLOOKUP(B26,'Base stats'!B:B,'Base stats'!BV:BV)/10000,0.01))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MAX(0.01,MROUND(_xlfn.XLOOKUP(B26,'Base stats'!B:B,'Base stats'!BH:BH) * 0.01 * 2, 0.01))
)</f>
        <v>No</v>
      </c>
      <c r="U26" s="5" t="str">
        <f>IF(S26="No","No",IF(_xlfn.XLOOKUP(B26,'Base stats'!B:B,'Base stats'!U:U)="No","No",
MAX(0.01,MROUND(_xlfn.XLOOKUP(B26,'Base stats'!B:B,'Base stats'!BT:BT)/10000,0.01))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stats'!AQ:AQ)*_xlfn.XLOOKUP(_xlfn.XLOOKUP(B26,'Base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stats'!AQ:AQ)*0.01,2)</f>
        <v>0.98</v>
      </c>
      <c r="AB26" s="18">
        <f>250*(Animals!AO26+Animals!AP26)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MAX(0.01,MROUND(_xlfn.XLOOKUP(B27,'Base stats'!B:B,'Base stats'!BG:BG) * 0.01 * 2, 0.01))</f>
        <v>53.410000000000004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MAX(0.01,MROUND(_xlfn.XLOOKUP(B27,'Base stats'!B:B,'Base stats'!BH:BH) * 0.01 * 2, 0.01))
)</f>
        <v>46.35</v>
      </c>
      <c r="I27" s="11" t="str">
        <f>IF(G27="No","No",IF(_xlfn.XLOOKUP(B27,'Base stats'!B:B,'Base stats'!U:U)="No","No",
MAX(0.01,MROUND(_xlfn.XLOOKUP(B27,'Base stats'!B:B,'Base stats'!BT:BT)/10000,0.01))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MAX(0.01,MROUND(_xlfn.XLOOKUP(B27,'Base stats'!B:B,'Base stats'!BI:BI)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stats'!BU:BU)/10000,0.01))
))</f>
        <v>27.11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MAX(0.01,MROUND(_xlfn.XLOOKUP(B27,'Base stats'!B:B,'Base stats'!BJ:BJ) * 0.01 * 2, 0.01))
)</f>
        <v>No</v>
      </c>
      <c r="Q27" s="5" t="str">
        <f>IF(O27="No","No",
MAX(0.01,MROUND(_xlfn.XLOOKUP(B27,'Base stats'!B:B,'Base stats'!BV:BV)/10000,0.01))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MAX(0.01,MROUND(_xlfn.XLOOKUP(B27,'Base stats'!B:B,'Base stats'!BH:BH) * 0.01 * 2, 0.01))
)</f>
        <v>No</v>
      </c>
      <c r="U27" s="5" t="str">
        <f>IF(S27="No","No",IF(_xlfn.XLOOKUP(B27,'Base stats'!B:B,'Base stats'!U:U)="No","No",
MAX(0.01,MROUND(_xlfn.XLOOKUP(B27,'Base stats'!B:B,'Base stats'!BT:BT)/10000,0.01))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stats'!AQ:AQ)*_xlfn.XLOOKUP(_xlfn.XLOOKUP(B27,'Base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stats'!AQ:AQ)*0.01,2)</f>
        <v>2.1800000000000002</v>
      </c>
      <c r="AB27" s="18">
        <f>250*(Animals!AO27+Animals!AP27)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MAX(0.01,MROUND(_xlfn.XLOOKUP(B28,'Base stats'!B:B,'Base stats'!BG:BG) * 0.01 * 2, 0.01))</f>
        <v>34.47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MAX(0.01,MROUND(_xlfn.XLOOKUP(B28,'Base stats'!B:B,'Base stats'!BH:BH) * 0.01 * 2, 0.01))
)</f>
        <v>No</v>
      </c>
      <c r="I28" s="11" t="str">
        <f>IF(G28="No","No",IF(_xlfn.XLOOKUP(B28,'Base stats'!B:B,'Base stats'!U:U)="No","No",
MAX(0.01,MROUND(_xlfn.XLOOKUP(B28,'Base stats'!B:B,'Base stats'!BT:BT)/10000,0.01))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MAX(0.01,MROUND(_xlfn.XLOOKUP(B28,'Base stats'!B:B,'Base stats'!BI:BI)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stats'!BU:BU)/10000,0.01))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MAX(0.01,MROUND(_xlfn.XLOOKUP(B28,'Base stats'!B:B,'Base stats'!BJ:BJ) * 0.01 * 2, 0.01))
)</f>
        <v>33.200000000000003</v>
      </c>
      <c r="Q28" s="5">
        <f>IF(O28="No","No",
MAX(0.01,MROUND(_xlfn.XLOOKUP(B28,'Base stats'!B:B,'Base stats'!BV:BV)/10000,0.01))
)</f>
        <v>7.0000000000000007E-2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MAX(0.01,MROUND(_xlfn.XLOOKUP(B28,'Base stats'!B:B,'Base stats'!BH:BH) * 0.01 * 2, 0.01))
)</f>
        <v>30.73</v>
      </c>
      <c r="U28" s="5">
        <f>IF(S28="No","No",IF(_xlfn.XLOOKUP(B28,'Base stats'!B:B,'Base stats'!U:U)="No","No",
MAX(0.01,MROUND(_xlfn.XLOOKUP(B28,'Base stats'!B:B,'Base stats'!BT:BT)/10000,0.01))
))</f>
        <v>0.37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stats'!AQ:AQ)*_xlfn.XLOOKUP(_xlfn.XLOOKUP(B28,'Base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stats'!AQ:AQ)*0.01,2)</f>
        <v>0.35</v>
      </c>
      <c r="AB28" s="18">
        <f>250*(Animals!AO28+Animals!AP28)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MAX(0.01,MROUND(_xlfn.XLOOKUP(B29,'Base stats'!B:B,'Base stats'!BG:BG) * 0.01 * 2, 0.01))</f>
        <v>3.74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MAX(0.01,MROUND(_xlfn.XLOOKUP(B29,'Base stats'!B:B,'Base stats'!BH:BH) * 0.01 * 2, 0.01))
)</f>
        <v>No</v>
      </c>
      <c r="I29" s="11" t="str">
        <f>IF(G29="No","No",IF(_xlfn.XLOOKUP(B29,'Base stats'!B:B,'Base stats'!U:U)="No","No",
MAX(0.01,MROUND(_xlfn.XLOOKUP(B29,'Base stats'!B:B,'Base stats'!BT:BT)/10000,0.01))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MAX(0.01,MROUND(_xlfn.XLOOKUP(B29,'Base stats'!B:B,'Base stats'!BI:BI) * 0.01 *2, 0.01))
)</f>
        <v>10.36</v>
      </c>
      <c r="M29" s="5">
        <f>IF(K29="No","No",IF(_xlfn.XLOOKUP(_xlfn.XLOOKUP(B29,'Base stats'!B:B,'Base stats'!E:E),Groups!A:A,Groups!BD:BD)=1,"No",
MAX(0.01,MROUND(_xlfn.XLOOKUP(B29,'Base stats'!B:B,'Base stats'!BU:BU)/10000,0.01))
))</f>
        <v>0.63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MAX(0.01,MROUND(_xlfn.XLOOKUP(B29,'Base stats'!B:B,'Base stats'!BJ:BJ) * 0.01 * 2, 0.01))
)</f>
        <v>8.6300000000000008</v>
      </c>
      <c r="Q29" s="5">
        <f>IF(O29="No","No",
MAX(0.01,MROUND(_xlfn.XLOOKUP(B29,'Base stats'!B:B,'Base stats'!BV:BV)/10000,0.01))
)</f>
        <v>0.38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MAX(0.01,MROUND(_xlfn.XLOOKUP(B29,'Base stats'!B:B,'Base stats'!BH:BH) * 0.01 * 2, 0.01))
)</f>
        <v>No</v>
      </c>
      <c r="U29" s="5" t="str">
        <f>IF(S29="No","No",IF(_xlfn.XLOOKUP(B29,'Base stats'!B:B,'Base stats'!U:U)="No","No",
MAX(0.01,MROUND(_xlfn.XLOOKUP(B29,'Base stats'!B:B,'Base stats'!BT:BT)/10000,0.01))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stats'!AQ:AQ)*_xlfn.XLOOKUP(_xlfn.XLOOKUP(B29,'Base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stats'!AQ:AQ)*0.01,2)</f>
        <v>0.28999999999999998</v>
      </c>
      <c r="AB29" s="18">
        <f>250*(Animals!AO29+Animals!AP29)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MAX(0.01,MROUND(_xlfn.XLOOKUP(B30,'Base stats'!B:B,'Base stats'!BG:BG) * 0.01 * 2, 0.01))</f>
        <v>6.67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MAX(0.01,MROUND(_xlfn.XLOOKUP(B30,'Base stats'!B:B,'Base stats'!BH:BH) * 0.01 * 2, 0.01))
)</f>
        <v>No</v>
      </c>
      <c r="I30" s="11" t="str">
        <f>IF(G30="No","No",IF(_xlfn.XLOOKUP(B30,'Base stats'!B:B,'Base stats'!U:U)="No","No",
MAX(0.01,MROUND(_xlfn.XLOOKUP(B30,'Base stats'!B:B,'Base stats'!BT:BT)/10000,0.01))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MAX(0.01,MROUND(_xlfn.XLOOKUP(B30,'Base stats'!B:B,'Base stats'!BI:BI)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stats'!BU:BU)/10000,0.01))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16.2</v>
      </c>
      <c r="P30" s="11">
        <f>IF(O30="No","No",
MAX(0.01,MROUND(_xlfn.XLOOKUP(B30,'Base stats'!B:B,'Base stats'!BJ:BJ) * 0.01 * 2, 0.01))
)</f>
        <v>9.31</v>
      </c>
      <c r="Q30" s="5">
        <f>IF(O30="No","No",
MAX(0.01,MROUND(_xlfn.XLOOKUP(B30,'Base stats'!B:B,'Base stats'!BV:BV)/10000,0.01))
)</f>
        <v>0.21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MAX(0.01,MROUND(_xlfn.XLOOKUP(B30,'Base stats'!B:B,'Base stats'!BH:BH) * 0.01 * 2, 0.01))
)</f>
        <v>No</v>
      </c>
      <c r="U30" s="5" t="str">
        <f>IF(S30="No","No",IF(_xlfn.XLOOKUP(B30,'Base stats'!B:B,'Base stats'!U:U)="No","No",
MAX(0.01,MROUND(_xlfn.XLOOKUP(B30,'Base stats'!B:B,'Base stats'!BT:BT)/10000,0.01))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stats'!AQ:AQ)*_xlfn.XLOOKUP(_xlfn.XLOOKUP(B30,'Base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stats'!AQ:AQ)*0.01,2)</f>
        <v>0.35</v>
      </c>
      <c r="AB30" s="18">
        <f>250*(Animals!AO30+Animals!AP30)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MAX(0.01,MROUND(_xlfn.XLOOKUP(B31,'Base stats'!B:B,'Base stats'!BG:BG) * 0.01 * 2, 0.01))</f>
        <v>0.22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MAX(0.01,MROUND(_xlfn.XLOOKUP(B31,'Base stats'!B:B,'Base stats'!BH:BH) * 0.01 * 2, 0.01))
)</f>
        <v>No</v>
      </c>
      <c r="I31" s="11" t="str">
        <f>IF(G31="No","No",IF(_xlfn.XLOOKUP(B31,'Base stats'!B:B,'Base stats'!U:U)="No","No",
MAX(0.01,MROUND(_xlfn.XLOOKUP(B31,'Base stats'!B:B,'Base stats'!BT:BT)/10000,0.01))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MAX(0.01,MROUND(_xlfn.XLOOKUP(B31,'Base stats'!B:B,'Base stats'!BI:BI)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stats'!BU:BU)/10000,0.01))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MAX(0.01,MROUND(_xlfn.XLOOKUP(B31,'Base stats'!B:B,'Base stats'!BJ:BJ) * 0.01 * 2, 0.01))
)</f>
        <v>0.42</v>
      </c>
      <c r="Q31" s="5">
        <f>IF(O31="No","No",
MAX(0.01,MROUND(_xlfn.XLOOKUP(B31,'Base stats'!B:B,'Base stats'!BV:BV)/10000,0.01))
)</f>
        <v>7.0000000000000007E-2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MAX(0.01,MROUND(_xlfn.XLOOKUP(B31,'Base stats'!B:B,'Base stats'!BH:BH) * 0.01 * 2, 0.01))
)</f>
        <v>0.32</v>
      </c>
      <c r="U31" s="5" t="str">
        <f>IF(S31="No","No",IF(_xlfn.XLOOKUP(B31,'Base stats'!B:B,'Base stats'!U:U)="No","No",
MAX(0.01,MROUND(_xlfn.XLOOKUP(B31,'Base stats'!B:B,'Base stats'!BT:BT)/10000,0.01))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stats'!AQ:AQ)*_xlfn.XLOOKUP(_xlfn.XLOOKUP(B31,'Base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stats'!AQ:AQ)*0.01,2)</f>
        <v>0.12</v>
      </c>
      <c r="AB31" s="18">
        <f>250*(Animals!AO31+Animals!AP31)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MAX(0.01,MROUND(_xlfn.XLOOKUP(B32,'Base stats'!B:B,'Base stats'!BG:BG) * 0.01 * 2, 0.01))</f>
        <v>0.06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MAX(0.01,MROUND(_xlfn.XLOOKUP(B32,'Base stats'!B:B,'Base stats'!BH:BH) * 0.01 * 2, 0.01))
)</f>
        <v>No</v>
      </c>
      <c r="I32" s="11" t="str">
        <f>IF(G32="No","No",IF(_xlfn.XLOOKUP(B32,'Base stats'!B:B,'Base stats'!U:U)="No","No",
MAX(0.01,MROUND(_xlfn.XLOOKUP(B32,'Base stats'!B:B,'Base stats'!BT:BT)/10000,0.01))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MAX(0.01,MROUND(_xlfn.XLOOKUP(B32,'Base stats'!B:B,'Base stats'!BI:BI)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stats'!BU:BU)/10000,0.01))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MAX(0.01,MROUND(_xlfn.XLOOKUP(B32,'Base stats'!B:B,'Base stats'!BJ:BJ) * 0.01 * 2, 0.01))
)</f>
        <v>0.44</v>
      </c>
      <c r="Q32" s="5">
        <f>IF(O32="No","No",
MAX(0.01,MROUND(_xlfn.XLOOKUP(B32,'Base stats'!B:B,'Base stats'!BV:BV)/10000,0.01))
)</f>
        <v>0.13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MAX(0.01,MROUND(_xlfn.XLOOKUP(B32,'Base stats'!B:B,'Base stats'!BH:BH) * 0.01 * 2, 0.01))
)</f>
        <v>0.09</v>
      </c>
      <c r="U32" s="5">
        <f>IF(S32="No","No",IF(_xlfn.XLOOKUP(B32,'Base stats'!B:B,'Base stats'!U:U)="No","No",
MAX(0.01,MROUND(_xlfn.XLOOKUP(B32,'Base stats'!B:B,'Base stats'!BT:BT)/10000,0.01))
))</f>
        <v>0.03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stats'!AQ:AQ)*_xlfn.XLOOKUP(_xlfn.XLOOKUP(B32,'Base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stats'!AQ:AQ)*0.01,2)</f>
        <v>0.09</v>
      </c>
      <c r="AB32" s="18">
        <f>250*(Animals!AO32+Animals!AP32)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MAX(0.01,MROUND(_xlfn.XLOOKUP(B33,'Base stats'!B:B,'Base stats'!BG:BG) * 0.01 * 2, 0.01))</f>
        <v>0.26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MAX(0.01,MROUND(_xlfn.XLOOKUP(B33,'Base stats'!B:B,'Base stats'!BH:BH) * 0.01 * 2, 0.01))
)</f>
        <v>No</v>
      </c>
      <c r="I33" s="11" t="str">
        <f>IF(G33="No","No",IF(_xlfn.XLOOKUP(B33,'Base stats'!B:B,'Base stats'!U:U)="No","No",
MAX(0.01,MROUND(_xlfn.XLOOKUP(B33,'Base stats'!B:B,'Base stats'!BT:BT)/10000,0.01))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MAX(0.01,MROUND(_xlfn.XLOOKUP(B33,'Base stats'!B:B,'Base stats'!BI:BI)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stats'!BU:BU)/10000,0.01))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MAX(0.01,MROUND(_xlfn.XLOOKUP(B33,'Base stats'!B:B,'Base stats'!BJ:BJ) * 0.01 * 2, 0.01))
)</f>
        <v>0.24</v>
      </c>
      <c r="Q33" s="5">
        <f>IF(O33="No","No",
MAX(0.01,MROUND(_xlfn.XLOOKUP(B33,'Base stats'!B:B,'Base stats'!BV:BV)/10000,0.01))
)</f>
        <v>0.03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MAX(0.01,MROUND(_xlfn.XLOOKUP(B33,'Base stats'!B:B,'Base stats'!BH:BH) * 0.01 * 2, 0.01))
)</f>
        <v>No</v>
      </c>
      <c r="U33" s="5" t="str">
        <f>IF(S33="No","No",IF(_xlfn.XLOOKUP(B33,'Base stats'!B:B,'Base stats'!U:U)="No","No",
MAX(0.01,MROUND(_xlfn.XLOOKUP(B33,'Base stats'!B:B,'Base stats'!BT:BT)/10000,0.01))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stats'!AQ:AQ)*_xlfn.XLOOKUP(_xlfn.XLOOKUP(B33,'Base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stats'!AQ:AQ)*0.01,2)</f>
        <v>0.14000000000000001</v>
      </c>
      <c r="AB33" s="18">
        <f>250*(Animals!AO33+Animals!AP33)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MAX(0.01,MROUND(_xlfn.XLOOKUP(B34,'Base stats'!B:B,'Base stats'!BG:BG) * 0.01 * 2, 0.01))</f>
        <v>0.38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MAX(0.01,MROUND(_xlfn.XLOOKUP(B34,'Base stats'!B:B,'Base stats'!BH:BH) * 0.01 * 2, 0.01))
)</f>
        <v>No</v>
      </c>
      <c r="I34" s="11" t="str">
        <f>IF(G34="No","No",IF(_xlfn.XLOOKUP(B34,'Base stats'!B:B,'Base stats'!U:U)="No","No",
MAX(0.01,MROUND(_xlfn.XLOOKUP(B34,'Base stats'!B:B,'Base stats'!BT:BT)/10000,0.01))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MAX(0.01,MROUND(_xlfn.XLOOKUP(B34,'Base stats'!B:B,'Base stats'!BI:BI)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stats'!BU:BU)/10000,0.01))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MAX(0.01,MROUND(_xlfn.XLOOKUP(B34,'Base stats'!B:B,'Base stats'!BJ:BJ) * 0.01 * 2, 0.01))
)</f>
        <v>0.67</v>
      </c>
      <c r="Q34" s="5">
        <f>IF(O34="No","No",
MAX(0.01,MROUND(_xlfn.XLOOKUP(B34,'Base stats'!B:B,'Base stats'!BV:BV)/10000,0.01))
)</f>
        <v>0.06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MAX(0.01,MROUND(_xlfn.XLOOKUP(B34,'Base stats'!B:B,'Base stats'!BH:BH) * 0.01 * 2, 0.01))
)</f>
        <v>No</v>
      </c>
      <c r="U34" s="5" t="str">
        <f>IF(S34="No","No",IF(_xlfn.XLOOKUP(B34,'Base stats'!B:B,'Base stats'!U:U)="No","No",
MAX(0.01,MROUND(_xlfn.XLOOKUP(B34,'Base stats'!B:B,'Base stats'!BT:BT)/10000,0.01))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stats'!AQ:AQ)*_xlfn.XLOOKUP(_xlfn.XLOOKUP(B34,'Base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stats'!AQ:AQ)*0.01,2)</f>
        <v>1.97</v>
      </c>
      <c r="AB34" s="18">
        <f>250*(Animals!AO34+Animals!AP34)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MAX(0.01,MROUND(_xlfn.XLOOKUP(B35,'Base stats'!B:B,'Base stats'!BG:BG) * 0.01 * 2, 0.01))</f>
        <v>0.01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MAX(0.01,MROUND(_xlfn.XLOOKUP(B35,'Base stats'!B:B,'Base stats'!BH:BH) * 0.01 * 2, 0.01))
)</f>
        <v>No</v>
      </c>
      <c r="I35" s="11" t="str">
        <f>IF(G35="No","No",IF(_xlfn.XLOOKUP(B35,'Base stats'!B:B,'Base stats'!U:U)="No","No",
MAX(0.01,MROUND(_xlfn.XLOOKUP(B35,'Base stats'!B:B,'Base stats'!BT:BT)/10000,0.01))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MAX(0.01,MROUND(_xlfn.XLOOKUP(B35,'Base stats'!B:B,'Base stats'!BI:BI)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stats'!BU:BU)/10000,0.01))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MAX(0.01,MROUND(_xlfn.XLOOKUP(B35,'Base stats'!B:B,'Base stats'!BJ:BJ) * 0.01 * 2, 0.01))
)</f>
        <v>0.05</v>
      </c>
      <c r="Q35" s="5">
        <f>IF(O35="No","No",
MAX(0.01,MROUND(_xlfn.XLOOKUP(B35,'Base stats'!B:B,'Base stats'!BV:BV)/10000,0.01))
)</f>
        <v>0.03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MAX(0.01,MROUND(_xlfn.XLOOKUP(B35,'Base stats'!B:B,'Base stats'!BH:BH) * 0.01 * 2, 0.01))
)</f>
        <v>No</v>
      </c>
      <c r="U35" s="5" t="str">
        <f>IF(S35="No","No",IF(_xlfn.XLOOKUP(B35,'Base stats'!B:B,'Base stats'!U:U)="No","No",
MAX(0.01,MROUND(_xlfn.XLOOKUP(B35,'Base stats'!B:B,'Base stats'!BT:BT)/10000,0.01))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stats'!AQ:AQ)*_xlfn.XLOOKUP(_xlfn.XLOOKUP(B35,'Base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stats'!AQ:AQ)*0.01,2)</f>
        <v>0.05</v>
      </c>
      <c r="AB35" s="18">
        <f>250*(Animals!AO35+Animals!AP35)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MAX(0.01,MROUND(_xlfn.XLOOKUP(B36,'Base stats'!B:B,'Base stats'!BG:BG) * 0.01 * 2, 0.01))</f>
        <v>0.02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MAX(0.01,MROUND(_xlfn.XLOOKUP(B36,'Base stats'!B:B,'Base stats'!BH:BH) * 0.01 * 2, 0.01))
)</f>
        <v>No</v>
      </c>
      <c r="I36" s="11" t="str">
        <f>IF(G36="No","No",IF(_xlfn.XLOOKUP(B36,'Base stats'!B:B,'Base stats'!U:U)="No","No",
MAX(0.01,MROUND(_xlfn.XLOOKUP(B36,'Base stats'!B:B,'Base stats'!BT:BT)/10000,0.01))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MAX(0.01,MROUND(_xlfn.XLOOKUP(B36,'Base stats'!B:B,'Base stats'!BI:BI)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stats'!BU:BU)/10000,0.01))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MAX(0.01,MROUND(_xlfn.XLOOKUP(B36,'Base stats'!B:B,'Base stats'!BJ:BJ) * 0.01 * 2, 0.01))
)</f>
        <v>0.08</v>
      </c>
      <c r="Q36" s="5">
        <f>IF(O36="No","No",
MAX(0.01,MROUND(_xlfn.XLOOKUP(B36,'Base stats'!B:B,'Base stats'!BV:BV)/10000,0.01))
)</f>
        <v>0.03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MAX(0.01,MROUND(_xlfn.XLOOKUP(B36,'Base stats'!B:B,'Base stats'!BH:BH) * 0.01 * 2, 0.01))
)</f>
        <v>No</v>
      </c>
      <c r="U36" s="5" t="str">
        <f>IF(S36="No","No",IF(_xlfn.XLOOKUP(B36,'Base stats'!B:B,'Base stats'!U:U)="No","No",
MAX(0.01,MROUND(_xlfn.XLOOKUP(B36,'Base stats'!B:B,'Base stats'!BT:BT)/10000,0.01))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stats'!AQ:AQ)*_xlfn.XLOOKUP(_xlfn.XLOOKUP(B36,'Base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stats'!AQ:AQ)*0.01,2)</f>
        <v>0.06</v>
      </c>
      <c r="AB36" s="18">
        <f>250*(Animals!AO36+Animals!AP36)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MAX(0.01,MROUND(_xlfn.XLOOKUP(B37,'Base stats'!B:B,'Base stats'!BG:BG) * 0.01 * 2, 0.01))</f>
        <v>0.03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MAX(0.01,MROUND(_xlfn.XLOOKUP(B37,'Base stats'!B:B,'Base stats'!BH:BH) * 0.01 * 2, 0.01))
)</f>
        <v>No</v>
      </c>
      <c r="I37" s="11" t="str">
        <f>IF(G37="No","No",IF(_xlfn.XLOOKUP(B37,'Base stats'!B:B,'Base stats'!U:U)="No","No",
MAX(0.01,MROUND(_xlfn.XLOOKUP(B37,'Base stats'!B:B,'Base stats'!BT:BT)/10000,0.01))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MAX(0.01,MROUND(_xlfn.XLOOKUP(B37,'Base stats'!B:B,'Base stats'!BI:BI)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stats'!BU:BU)/10000,0.01))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MAX(0.01,MROUND(_xlfn.XLOOKUP(B37,'Base stats'!B:B,'Base stats'!BJ:BJ) * 0.01 * 2, 0.01))
)</f>
        <v>7.0000000000000007E-2</v>
      </c>
      <c r="Q37" s="5">
        <f>IF(O37="No","No",
MAX(0.01,MROUND(_xlfn.XLOOKUP(B37,'Base stats'!B:B,'Base stats'!BV:BV)/10000,0.01))
)</f>
        <v>0.03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MAX(0.01,MROUND(_xlfn.XLOOKUP(B37,'Base stats'!B:B,'Base stats'!BH:BH) * 0.01 * 2, 0.01))
)</f>
        <v>No</v>
      </c>
      <c r="U37" s="5" t="str">
        <f>IF(S37="No","No",IF(_xlfn.XLOOKUP(B37,'Base stats'!B:B,'Base stats'!U:U)="No","No",
MAX(0.01,MROUND(_xlfn.XLOOKUP(B37,'Base stats'!B:B,'Base stats'!BT:BT)/10000,0.01))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stats'!AQ:AQ)*_xlfn.XLOOKUP(_xlfn.XLOOKUP(B37,'Base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stats'!AQ:AQ)*0.01,2)</f>
        <v>0.06</v>
      </c>
      <c r="AB37" s="18">
        <f>250*(Animals!AO37+Animals!AP37)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MAX(0.01,MROUND(_xlfn.XLOOKUP(B38,'Base stats'!B:B,'Base stats'!BG:BG) * 0.01 * 2, 0.01))</f>
        <v>0.03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MAX(0.01,MROUND(_xlfn.XLOOKUP(B38,'Base stats'!B:B,'Base stats'!BH:BH) * 0.01 * 2, 0.01))
)</f>
        <v>No</v>
      </c>
      <c r="I38" s="11" t="str">
        <f>IF(G38="No","No",IF(_xlfn.XLOOKUP(B38,'Base stats'!B:B,'Base stats'!U:U)="No","No",
MAX(0.01,MROUND(_xlfn.XLOOKUP(B38,'Base stats'!B:B,'Base stats'!BT:BT)/10000,0.01))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MAX(0.01,MROUND(_xlfn.XLOOKUP(B38,'Base stats'!B:B,'Base stats'!BI:BI)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stats'!BU:BU)/10000,0.01))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MAX(0.01,MROUND(_xlfn.XLOOKUP(B38,'Base stats'!B:B,'Base stats'!BJ:BJ) * 0.01 * 2, 0.01))
)</f>
        <v>0.06</v>
      </c>
      <c r="Q38" s="5">
        <f>IF(O38="No","No",
MAX(0.01,MROUND(_xlfn.XLOOKUP(B38,'Base stats'!B:B,'Base stats'!BV:BV)/10000,0.01))
)</f>
        <v>0.03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MAX(0.01,MROUND(_xlfn.XLOOKUP(B38,'Base stats'!B:B,'Base stats'!BH:BH) * 0.01 * 2, 0.01))
)</f>
        <v>No</v>
      </c>
      <c r="U38" s="5" t="str">
        <f>IF(S38="No","No",IF(_xlfn.XLOOKUP(B38,'Base stats'!B:B,'Base stats'!U:U)="No","No",
MAX(0.01,MROUND(_xlfn.XLOOKUP(B38,'Base stats'!B:B,'Base stats'!BT:BT)/10000,0.01))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stats'!AQ:AQ)*_xlfn.XLOOKUP(_xlfn.XLOOKUP(B38,'Base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stats'!AQ:AQ)*0.01,2)</f>
        <v>0.06</v>
      </c>
      <c r="AB38" s="18">
        <f>250*(Animals!AO38+Animals!AP38)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MAX(0.01,MROUND(_xlfn.XLOOKUP(B39,'Base stats'!B:B,'Base stats'!BG:BG) * 0.01 * 2, 0.01))</f>
        <v>1.57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MAX(0.01,MROUND(_xlfn.XLOOKUP(B39,'Base stats'!B:B,'Base stats'!BH:BH) * 0.01 * 2, 0.01))
)</f>
        <v>No</v>
      </c>
      <c r="I39" s="11" t="str">
        <f>IF(G39="No","No",IF(_xlfn.XLOOKUP(B39,'Base stats'!B:B,'Base stats'!U:U)="No","No",
MAX(0.01,MROUND(_xlfn.XLOOKUP(B39,'Base stats'!B:B,'Base stats'!BT:BT)/10000,0.01))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MAX(0.01,MROUND(_xlfn.XLOOKUP(B39,'Base stats'!B:B,'Base stats'!BI:BI)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stats'!BU:BU)/10000,0.01))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MAX(0.01,MROUND(_xlfn.XLOOKUP(B39,'Base stats'!B:B,'Base stats'!BJ:BJ) * 0.01 * 2, 0.01))
)</f>
        <v>0.95000000000000007</v>
      </c>
      <c r="Q39" s="5">
        <f>IF(O39="No","No",
MAX(0.01,MROUND(_xlfn.XLOOKUP(B39,'Base stats'!B:B,'Base stats'!BV:BV)/10000,0.01))
)</f>
        <v>0.06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MAX(0.01,MROUND(_xlfn.XLOOKUP(B39,'Base stats'!B:B,'Base stats'!BH:BH) * 0.01 * 2, 0.01))
)</f>
        <v>No</v>
      </c>
      <c r="U39" s="5" t="str">
        <f>IF(S39="No","No",IF(_xlfn.XLOOKUP(B39,'Base stats'!B:B,'Base stats'!U:U)="No","No",
MAX(0.01,MROUND(_xlfn.XLOOKUP(B39,'Base stats'!B:B,'Base stats'!BT:BT)/10000,0.01))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stats'!AQ:AQ)*_xlfn.XLOOKUP(_xlfn.XLOOKUP(B39,'Base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stats'!AQ:AQ)*0.01,2)</f>
        <v>0.22</v>
      </c>
      <c r="AB39" s="18">
        <f>250*(Animals!AO39+Animals!AP39)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MAX(0.01,MROUND(_xlfn.XLOOKUP(B40,'Base stats'!B:B,'Base stats'!BG:BG) * 0.01 * 2, 0.01))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MAX(0.01,MROUND(_xlfn.XLOOKUP(B40,'Base stats'!B:B,'Base stats'!BH:BH) * 0.01 * 2, 0.01))
)</f>
        <v>No</v>
      </c>
      <c r="I40" s="11" t="str">
        <f>IF(G40="No","No",IF(_xlfn.XLOOKUP(B40,'Base stats'!B:B,'Base stats'!U:U)="No","No",
MAX(0.01,MROUND(_xlfn.XLOOKUP(B40,'Base stats'!B:B,'Base stats'!BT:BT)/10000,0.01))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MAX(0.01,MROUND(_xlfn.XLOOKUP(B40,'Base stats'!B:B,'Base stats'!BI:BI)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stats'!BU:BU)/10000,0.01))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MAX(0.01,MROUND(_xlfn.XLOOKUP(B40,'Base stats'!B:B,'Base stats'!BJ:BJ) * 0.01 * 2, 0.01))
)</f>
        <v>1.1500000000000001</v>
      </c>
      <c r="Q40" s="5">
        <f>IF(O40="No","No",
MAX(0.01,MROUND(_xlfn.XLOOKUP(B40,'Base stats'!B:B,'Base stats'!BV:BV)/10000,0.01))
)</f>
        <v>0.09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MAX(0.01,MROUND(_xlfn.XLOOKUP(B40,'Base stats'!B:B,'Base stats'!BH:BH) * 0.01 * 2, 0.01))
)</f>
        <v>No</v>
      </c>
      <c r="U40" s="5" t="str">
        <f>IF(S40="No","No",IF(_xlfn.XLOOKUP(B40,'Base stats'!B:B,'Base stats'!U:U)="No","No",
MAX(0.01,MROUND(_xlfn.XLOOKUP(B40,'Base stats'!B:B,'Base stats'!BT:BT)/10000,0.01))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stats'!AQ:AQ)*_xlfn.XLOOKUP(_xlfn.XLOOKUP(B40,'Base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stats'!AQ:AQ)*0.01,2)</f>
        <v>0.19</v>
      </c>
      <c r="AB40" s="18">
        <f>250*(Animals!AO40+Animals!AP40)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MAX(0.01,MROUND(_xlfn.XLOOKUP(B41,'Base stats'!B:B,'Base stats'!BG:BG) * 0.01 * 2, 0.01))</f>
        <v>0.32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MAX(0.01,MROUND(_xlfn.XLOOKUP(B41,'Base stats'!B:B,'Base stats'!BH:BH) * 0.01 * 2, 0.01))
)</f>
        <v>No</v>
      </c>
      <c r="I41" s="11" t="str">
        <f>IF(G41="No","No",IF(_xlfn.XLOOKUP(B41,'Base stats'!B:B,'Base stats'!U:U)="No","No",
MAX(0.01,MROUND(_xlfn.XLOOKUP(B41,'Base stats'!B:B,'Base stats'!BT:BT)/10000,0.01))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MAX(0.01,MROUND(_xlfn.XLOOKUP(B41,'Base stats'!B:B,'Base stats'!BI:BI)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stats'!BU:BU)/10000,0.01))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MAX(0.01,MROUND(_xlfn.XLOOKUP(B41,'Base stats'!B:B,'Base stats'!BJ:BJ) * 0.01 * 2, 0.01))
)</f>
        <v>0.33</v>
      </c>
      <c r="Q41" s="5">
        <f>IF(O41="No","No",
MAX(0.01,MROUND(_xlfn.XLOOKUP(B41,'Base stats'!B:B,'Base stats'!BV:BV)/10000,0.01))
)</f>
        <v>0.04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MAX(0.01,MROUND(_xlfn.XLOOKUP(B41,'Base stats'!B:B,'Base stats'!BH:BH) * 0.01 * 2, 0.01))
)</f>
        <v>No</v>
      </c>
      <c r="U41" s="5" t="str">
        <f>IF(S41="No","No",IF(_xlfn.XLOOKUP(B41,'Base stats'!B:B,'Base stats'!U:U)="No","No",
MAX(0.01,MROUND(_xlfn.XLOOKUP(B41,'Base stats'!B:B,'Base stats'!BT:BT)/10000,0.01))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stats'!AQ:AQ)*_xlfn.XLOOKUP(_xlfn.XLOOKUP(B41,'Base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stats'!AQ:AQ)*0.01,2)</f>
        <v>0.13</v>
      </c>
      <c r="AB41" s="18">
        <f>250*(Animals!AO41+Animals!AP41)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MAX(0.01,MROUND(_xlfn.XLOOKUP(B42,'Base stats'!B:B,'Base stats'!BG:BG) * 0.01 * 2, 0.01))</f>
        <v>13.77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MAX(0.01,MROUND(_xlfn.XLOOKUP(B42,'Base stats'!B:B,'Base stats'!BH:BH) * 0.01 * 2, 0.01))
)</f>
        <v>15.64</v>
      </c>
      <c r="I42" s="11" t="str">
        <f>IF(G42="No","No",IF(_xlfn.XLOOKUP(B42,'Base stats'!B:B,'Base stats'!U:U)="No","No",
MAX(0.01,MROUND(_xlfn.XLOOKUP(B42,'Base stats'!B:B,'Base stats'!BT:BT)/10000,0.01))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MAX(0.01,MROUND(_xlfn.XLOOKUP(B42,'Base stats'!B:B,'Base stats'!BI:BI) * 0.01 *2, 0.01))
)</f>
        <v>18.77</v>
      </c>
      <c r="M42" s="5">
        <f>IF(K42="No","No",IF(_xlfn.XLOOKUP(_xlfn.XLOOKUP(B42,'Base stats'!B:B,'Base stats'!E:E),Groups!A:A,Groups!BD:BD)=1,"No",
MAX(0.01,MROUND(_xlfn.XLOOKUP(B42,'Base stats'!B:B,'Base stats'!BU:BU)/10000,0.01))
))</f>
        <v>0.97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MAX(0.01,MROUND(_xlfn.XLOOKUP(B42,'Base stats'!B:B,'Base stats'!BJ:BJ) * 0.01 * 2, 0.01))
)</f>
        <v>No</v>
      </c>
      <c r="Q42" s="5" t="str">
        <f>IF(O42="No","No",
MAX(0.01,MROUND(_xlfn.XLOOKUP(B42,'Base stats'!B:B,'Base stats'!BV:BV)/10000,0.01))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MAX(0.01,MROUND(_xlfn.XLOOKUP(B42,'Base stats'!B:B,'Base stats'!BH:BH) * 0.01 * 2, 0.01))
)</f>
        <v>No</v>
      </c>
      <c r="U42" s="5" t="str">
        <f>IF(S42="No","No",IF(_xlfn.XLOOKUP(B42,'Base stats'!B:B,'Base stats'!U:U)="No","No",
MAX(0.01,MROUND(_xlfn.XLOOKUP(B42,'Base stats'!B:B,'Base stats'!BT:BT)/10000,0.01))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stats'!AQ:AQ)*_xlfn.XLOOKUP(_xlfn.XLOOKUP(B42,'Base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stats'!AQ:AQ)*0.01,2)</f>
        <v>0.44</v>
      </c>
      <c r="AB42" s="18">
        <f>250*(Animals!AO42+Animals!AP42)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MAX(0.01,MROUND(_xlfn.XLOOKUP(B43,'Base stats'!B:B,'Base stats'!BG:BG) * 0.01 * 2, 0.01))</f>
        <v>15.06</v>
      </c>
      <c r="F43" s="7">
        <f>MROUND(_xlfn.XLOOKUP(B43,'Base stats'!B:B,'Base stats'!BD:BD)^0.25 / (_xlfn.XLOOKUP(B43,'Base stats'!B:B,'Base stats'!BK:BK) * 10) * 150 + 0.5 + _xlfn.XLOOKUP(B43,'Base stats'!B:B,'Base stats'!BW:BW), 0.05)</f>
        <v>2.2000000000000002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18.8</v>
      </c>
      <c r="H43" s="11">
        <f>IF(G43="No","No",
MAX(0.01,MROUND(_xlfn.XLOOKUP(B43,'Base stats'!B:B,'Base stats'!BH:BH) * 0.01 * 2, 0.01))
)</f>
        <v>17.010000000000002</v>
      </c>
      <c r="I43" s="11" t="str">
        <f>IF(G43="No","No",IF(_xlfn.XLOOKUP(B43,'Base stats'!B:B,'Base stats'!U:U)="No","No",
MAX(0.01,MROUND(_xlfn.XLOOKUP(B43,'Base stats'!B:B,'Base stats'!BT:BT)/10000,0.01))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3.0500000000000003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27.1</v>
      </c>
      <c r="L43" s="11">
        <f>IF(K43="No","No",
MAX(0.01,MROUND(_xlfn.XLOOKUP(B43,'Base stats'!B:B,'Base stats'!BI:BI) * 0.01 *2, 0.01))
)</f>
        <v>20.41</v>
      </c>
      <c r="M43" s="5">
        <f>IF(K43="No","No",IF(_xlfn.XLOOKUP(_xlfn.XLOOKUP(B43,'Base stats'!B:B,'Base stats'!E:E),Groups!A:A,Groups!BD:BD)=1,"No",
MAX(0.01,MROUND(_xlfn.XLOOKUP(B43,'Base stats'!B:B,'Base stats'!BU:BU)/10000,0.01))
))</f>
        <v>1.05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MAX(0.01,MROUND(_xlfn.XLOOKUP(B43,'Base stats'!B:B,'Base stats'!BJ:BJ) * 0.01 * 2, 0.01))
)</f>
        <v>No</v>
      </c>
      <c r="Q43" s="5" t="str">
        <f>IF(O43="No","No",
MAX(0.01,MROUND(_xlfn.XLOOKUP(B43,'Base stats'!B:B,'Base stats'!BV:BV)/10000,0.01))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MAX(0.01,MROUND(_xlfn.XLOOKUP(B43,'Base stats'!B:B,'Base stats'!BH:BH) * 0.01 * 2, 0.01))
)</f>
        <v>No</v>
      </c>
      <c r="U43" s="5" t="str">
        <f>IF(S43="No","No",IF(_xlfn.XLOOKUP(B43,'Base stats'!B:B,'Base stats'!U:U)="No","No",
MAX(0.01,MROUND(_xlfn.XLOOKUP(B43,'Base stats'!B:B,'Base stats'!BT:BT)/10000,0.01))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stats'!AQ:AQ)*_xlfn.XLOOKUP(_xlfn.XLOOKUP(B43,'Base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stats'!AQ:AQ)*0.01,2)</f>
        <v>0.46</v>
      </c>
      <c r="AB43" s="18">
        <f>250*(Animals!AO43+Animals!AP43)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MAX(0.01,MROUND(_xlfn.XLOOKUP(B44,'Base stats'!B:B,'Base stats'!BG:BG) * 0.01 * 2, 0.01))</f>
        <v>8.07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MAX(0.01,MROUND(_xlfn.XLOOKUP(B44,'Base stats'!B:B,'Base stats'!BH:BH) * 0.01 * 2, 0.01))
)</f>
        <v>9.48</v>
      </c>
      <c r="I44" s="11" t="str">
        <f>IF(G44="No","No",IF(_xlfn.XLOOKUP(B44,'Base stats'!B:B,'Base stats'!U:U)="No","No",
MAX(0.01,MROUND(_xlfn.XLOOKUP(B44,'Base stats'!B:B,'Base stats'!BT:BT)/10000,0.01))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MAX(0.01,MROUND(_xlfn.XLOOKUP(B44,'Base stats'!B:B,'Base stats'!BI:BI)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stats'!BU:BU)/10000,0.01))
))</f>
        <v>0.63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MAX(0.01,MROUND(_xlfn.XLOOKUP(B44,'Base stats'!B:B,'Base stats'!BJ:BJ) * 0.01 * 2, 0.01))
)</f>
        <v>No</v>
      </c>
      <c r="Q44" s="5" t="str">
        <f>IF(O44="No","No",
MAX(0.01,MROUND(_xlfn.XLOOKUP(B44,'Base stats'!B:B,'Base stats'!BV:BV)/10000,0.01))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MAX(0.01,MROUND(_xlfn.XLOOKUP(B44,'Base stats'!B:B,'Base stats'!BH:BH) * 0.01 * 2, 0.01))
)</f>
        <v>No</v>
      </c>
      <c r="U44" s="5" t="str">
        <f>IF(S44="No","No",IF(_xlfn.XLOOKUP(B44,'Base stats'!B:B,'Base stats'!U:U)="No","No",
MAX(0.01,MROUND(_xlfn.XLOOKUP(B44,'Base stats'!B:B,'Base stats'!BT:BT)/10000,0.01))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stats'!AQ:AQ)*_xlfn.XLOOKUP(_xlfn.XLOOKUP(B44,'Base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stats'!AQ:AQ)*0.01,2)</f>
        <v>0.37</v>
      </c>
      <c r="AB44" s="18">
        <f>250*(Animals!AO44+Animals!AP44)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MAX(0.01,MROUND(_xlfn.XLOOKUP(B45,'Base stats'!B:B,'Base stats'!BG:BG) * 0.01 * 2, 0.01))</f>
        <v>14.51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MAX(0.01,MROUND(_xlfn.XLOOKUP(B45,'Base stats'!B:B,'Base stats'!BH:BH) * 0.01 * 2, 0.01))
)</f>
        <v>16.420000000000002</v>
      </c>
      <c r="I45" s="11" t="str">
        <f>IF(G45="No","No",IF(_xlfn.XLOOKUP(B45,'Base stats'!B:B,'Base stats'!U:U)="No","No",
MAX(0.01,MROUND(_xlfn.XLOOKUP(B45,'Base stats'!B:B,'Base stats'!BT:BT)/10000,0.01))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MAX(0.01,MROUND(_xlfn.XLOOKUP(B45,'Base stats'!B:B,'Base stats'!BI:BI) * 0.01 *2, 0.01))
)</f>
        <v>19.71</v>
      </c>
      <c r="M45" s="5">
        <f>IF(K45="No","No",IF(_xlfn.XLOOKUP(_xlfn.XLOOKUP(B45,'Base stats'!B:B,'Base stats'!E:E),Groups!A:A,Groups!BD:BD)=1,"No",
MAX(0.01,MROUND(_xlfn.XLOOKUP(B45,'Base stats'!B:B,'Base stats'!BU:BU)/10000,0.01))
))</f>
        <v>1.02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MAX(0.01,MROUND(_xlfn.XLOOKUP(B45,'Base stats'!B:B,'Base stats'!BJ:BJ) * 0.01 * 2, 0.01))
)</f>
        <v>No</v>
      </c>
      <c r="Q45" s="5" t="str">
        <f>IF(O45="No","No",
MAX(0.01,MROUND(_xlfn.XLOOKUP(B45,'Base stats'!B:B,'Base stats'!BV:BV)/10000,0.01))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MAX(0.01,MROUND(_xlfn.XLOOKUP(B45,'Base stats'!B:B,'Base stats'!BH:BH) * 0.01 * 2, 0.01))
)</f>
        <v>No</v>
      </c>
      <c r="U45" s="5" t="str">
        <f>IF(S45="No","No",IF(_xlfn.XLOOKUP(B45,'Base stats'!B:B,'Base stats'!U:U)="No","No",
MAX(0.01,MROUND(_xlfn.XLOOKUP(B45,'Base stats'!B:B,'Base stats'!BT:BT)/10000,0.01))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stats'!AQ:AQ)*_xlfn.XLOOKUP(_xlfn.XLOOKUP(B45,'Base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stats'!AQ:AQ)*0.01,2)</f>
        <v>0.45</v>
      </c>
      <c r="AB45" s="18">
        <f>250*(Animals!AO45+Animals!AP45)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MAX(0.01,MROUND(_xlfn.XLOOKUP(B46,'Base stats'!B:B,'Base stats'!BG:BG) * 0.01 * 2, 0.01))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MAX(0.01,MROUND(_xlfn.XLOOKUP(B46,'Base stats'!B:B,'Base stats'!BH:BH) * 0.01 * 2, 0.01))
)</f>
        <v>5.88</v>
      </c>
      <c r="I46" s="11" t="str">
        <f>IF(G46="No","No",IF(_xlfn.XLOOKUP(B46,'Base stats'!B:B,'Base stats'!U:U)="No","No",
MAX(0.01,MROUND(_xlfn.XLOOKUP(B46,'Base stats'!B:B,'Base stats'!BT:BT)/10000,0.01))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MAX(0.01,MROUND(_xlfn.XLOOKUP(B46,'Base stats'!B:B,'Base stats'!BI:BI) * 0.01 *2, 0.01))
)</f>
        <v>7.05</v>
      </c>
      <c r="M46" s="5">
        <f>IF(K46="No","No",IF(_xlfn.XLOOKUP(_xlfn.XLOOKUP(B46,'Base stats'!B:B,'Base stats'!E:E),Groups!A:A,Groups!BD:BD)=1,"No",
MAX(0.01,MROUND(_xlfn.XLOOKUP(B46,'Base stats'!B:B,'Base stats'!BU:BU)/10000,0.01))
))</f>
        <v>0.41000000000000003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MAX(0.01,MROUND(_xlfn.XLOOKUP(B46,'Base stats'!B:B,'Base stats'!BJ:BJ) * 0.01 * 2, 0.01))
)</f>
        <v>No</v>
      </c>
      <c r="Q46" s="5" t="str">
        <f>IF(O46="No","No",
MAX(0.01,MROUND(_xlfn.XLOOKUP(B46,'Base stats'!B:B,'Base stats'!BV:BV)/10000,0.01))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MAX(0.01,MROUND(_xlfn.XLOOKUP(B46,'Base stats'!B:B,'Base stats'!BH:BH) * 0.01 * 2, 0.01))
)</f>
        <v>No</v>
      </c>
      <c r="U46" s="5" t="str">
        <f>IF(S46="No","No",IF(_xlfn.XLOOKUP(B46,'Base stats'!B:B,'Base stats'!U:U)="No","No",
MAX(0.01,MROUND(_xlfn.XLOOKUP(B46,'Base stats'!B:B,'Base stats'!BT:BT)/10000,0.01))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stats'!AQ:AQ)*_xlfn.XLOOKUP(_xlfn.XLOOKUP(B46,'Base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stats'!AQ:AQ)*0.01,2)</f>
        <v>0.32</v>
      </c>
      <c r="AB46" s="18">
        <f>250*(Animals!AO46+Animals!AP46)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MAX(0.01,MROUND(_xlfn.XLOOKUP(B47,'Base stats'!B:B,'Base stats'!BG:BG) * 0.01 * 2, 0.01))</f>
        <v>3.74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MAX(0.01,MROUND(_xlfn.XLOOKUP(B47,'Base stats'!B:B,'Base stats'!BH:BH) * 0.01 * 2, 0.01))
)</f>
        <v>4.6000000000000005</v>
      </c>
      <c r="I47" s="11" t="str">
        <f>IF(G47="No","No",IF(_xlfn.XLOOKUP(B47,'Base stats'!B:B,'Base stats'!U:U)="No","No",
MAX(0.01,MROUND(_xlfn.XLOOKUP(B47,'Base stats'!B:B,'Base stats'!BT:BT)/10000,0.01))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MAX(0.01,MROUND(_xlfn.XLOOKUP(B47,'Base stats'!B:B,'Base stats'!BI:BI)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stats'!BU:BU)/10000,0.01))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MAX(0.01,MROUND(_xlfn.XLOOKUP(B47,'Base stats'!B:B,'Base stats'!BJ:BJ) * 0.01 * 2, 0.01))
)</f>
        <v>3.33</v>
      </c>
      <c r="Q47" s="5">
        <f>IF(O47="No","No",
MAX(0.01,MROUND(_xlfn.XLOOKUP(B47,'Base stats'!B:B,'Base stats'!BV:BV)/10000,0.01))
)</f>
        <v>0.12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MAX(0.01,MROUND(_xlfn.XLOOKUP(B47,'Base stats'!B:B,'Base stats'!BH:BH) * 0.01 * 2, 0.01))
)</f>
        <v>No</v>
      </c>
      <c r="U47" s="5" t="str">
        <f>IF(S47="No","No",IF(_xlfn.XLOOKUP(B47,'Base stats'!B:B,'Base stats'!U:U)="No","No",
MAX(0.01,MROUND(_xlfn.XLOOKUP(B47,'Base stats'!B:B,'Base stats'!BT:BT)/10000,0.01))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stats'!AQ:AQ)*_xlfn.XLOOKUP(_xlfn.XLOOKUP(B47,'Base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stats'!AQ:AQ)*0.01,2)</f>
        <v>0.28999999999999998</v>
      </c>
      <c r="AB47" s="18">
        <f>250*(Animals!AO47+Animals!AP47)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MAX(0.01,MROUND(_xlfn.XLOOKUP(B48,'Base stats'!B:B,'Base stats'!BG:BG) * 0.01 * 2, 0.01))</f>
        <v>3.74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MAX(0.01,MROUND(_xlfn.XLOOKUP(B48,'Base stats'!B:B,'Base stats'!BH:BH) * 0.01 * 2, 0.01))
)</f>
        <v>4.6000000000000005</v>
      </c>
      <c r="I48" s="11" t="str">
        <f>IF(G48="No","No",IF(_xlfn.XLOOKUP(B48,'Base stats'!B:B,'Base stats'!U:U)="No","No",
MAX(0.01,MROUND(_xlfn.XLOOKUP(B48,'Base stats'!B:B,'Base stats'!BT:BT)/10000,0.01))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MAX(0.01,MROUND(_xlfn.XLOOKUP(B48,'Base stats'!B:B,'Base stats'!BI:BI)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stats'!BU:BU)/10000,0.01))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MAX(0.01,MROUND(_xlfn.XLOOKUP(B48,'Base stats'!B:B,'Base stats'!BJ:BJ) * 0.01 * 2, 0.01))
)</f>
        <v>3.33</v>
      </c>
      <c r="Q48" s="5">
        <f>IF(O48="No","No",
MAX(0.01,MROUND(_xlfn.XLOOKUP(B48,'Base stats'!B:B,'Base stats'!BV:BV)/10000,0.01))
)</f>
        <v>0.12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MAX(0.01,MROUND(_xlfn.XLOOKUP(B48,'Base stats'!B:B,'Base stats'!BH:BH) * 0.01 * 2, 0.01))
)</f>
        <v>No</v>
      </c>
      <c r="U48" s="5" t="str">
        <f>IF(S48="No","No",IF(_xlfn.XLOOKUP(B48,'Base stats'!B:B,'Base stats'!U:U)="No","No",
MAX(0.01,MROUND(_xlfn.XLOOKUP(B48,'Base stats'!B:B,'Base stats'!BT:BT)/10000,0.01))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stats'!AQ:AQ)*_xlfn.XLOOKUP(_xlfn.XLOOKUP(B48,'Base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stats'!AQ:AQ)*0.01,2)</f>
        <v>0.28999999999999998</v>
      </c>
      <c r="AB48" s="18">
        <f>250*(Animals!AO48+Animals!AP48)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MAX(0.01,MROUND(_xlfn.XLOOKUP(B49,'Base stats'!B:B,'Base stats'!BG:BG) * 0.01 * 2, 0.01))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MAX(0.01,MROUND(_xlfn.XLOOKUP(B49,'Base stats'!B:B,'Base stats'!BH:BH) * 0.01 * 2, 0.01))
)</f>
        <v>3.68</v>
      </c>
      <c r="I49" s="11" t="str">
        <f>IF(G49="No","No",IF(_xlfn.XLOOKUP(B49,'Base stats'!B:B,'Base stats'!U:U)="No","No",
MAX(0.01,MROUND(_xlfn.XLOOKUP(B49,'Base stats'!B:B,'Base stats'!BT:BT)/10000,0.01))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MAX(0.01,MROUND(_xlfn.XLOOKUP(B49,'Base stats'!B:B,'Base stats'!BI:BI) * 0.01 *2, 0.01))
)</f>
        <v>4.42</v>
      </c>
      <c r="M49" s="5">
        <f>IF(K49="No","No",IF(_xlfn.XLOOKUP(_xlfn.XLOOKUP(B49,'Base stats'!B:B,'Base stats'!E:E),Groups!A:A,Groups!BD:BD)=1,"No",
MAX(0.01,MROUND(_xlfn.XLOOKUP(B49,'Base stats'!B:B,'Base stats'!BU:BU)/10000,0.01))
))</f>
        <v>0.28000000000000003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MAX(0.01,MROUND(_xlfn.XLOOKUP(B49,'Base stats'!B:B,'Base stats'!BJ:BJ) * 0.01 * 2, 0.01))
)</f>
        <v>No</v>
      </c>
      <c r="Q49" s="5" t="str">
        <f>IF(O49="No","No",
MAX(0.01,MROUND(_xlfn.XLOOKUP(B49,'Base stats'!B:B,'Base stats'!BV:BV)/10000,0.01))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MAX(0.01,MROUND(_xlfn.XLOOKUP(B49,'Base stats'!B:B,'Base stats'!BH:BH) * 0.01 * 2, 0.01))
)</f>
        <v>No</v>
      </c>
      <c r="U49" s="5" t="str">
        <f>IF(S49="No","No",IF(_xlfn.XLOOKUP(B49,'Base stats'!B:B,'Base stats'!U:U)="No","No",
MAX(0.01,MROUND(_xlfn.XLOOKUP(B49,'Base stats'!B:B,'Base stats'!BT:BT)/10000,0.01))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stats'!AQ:AQ)*_xlfn.XLOOKUP(_xlfn.XLOOKUP(B49,'Base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stats'!AQ:AQ)*0.01,2)</f>
        <v>0.27</v>
      </c>
      <c r="AB49" s="18">
        <f>250*(Animals!AO49+Animals!AP49)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MAX(0.01,MROUND(_xlfn.XLOOKUP(B50,'Base stats'!B:B,'Base stats'!BG:BG) * 0.01 * 2, 0.01))</f>
        <v>3.04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MAX(0.01,MROUND(_xlfn.XLOOKUP(B50,'Base stats'!B:B,'Base stats'!BH:BH) * 0.01 * 2, 0.01))
)</f>
        <v>2.7600000000000002</v>
      </c>
      <c r="I50" s="11" t="str">
        <f>IF(G50="No","No",IF(_xlfn.XLOOKUP(B50,'Base stats'!B:B,'Base stats'!U:U)="No","No",
MAX(0.01,MROUND(_xlfn.XLOOKUP(B50,'Base stats'!B:B,'Base stats'!BT:BT)/10000,0.01))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MAX(0.01,MROUND(_xlfn.XLOOKUP(B50,'Base stats'!B:B,'Base stats'!BI:BI)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stats'!BU:BU)/10000,0.01))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MAX(0.01,MROUND(_xlfn.XLOOKUP(B50,'Base stats'!B:B,'Base stats'!BJ:BJ) * 0.01 * 2, 0.01))
)</f>
        <v>No</v>
      </c>
      <c r="Q50" s="5" t="str">
        <f>IF(O50="No","No",
MAX(0.01,MROUND(_xlfn.XLOOKUP(B50,'Base stats'!B:B,'Base stats'!BV:BV)/10000,0.01))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MAX(0.01,MROUND(_xlfn.XLOOKUP(B50,'Base stats'!B:B,'Base stats'!BH:BH) * 0.01 * 2, 0.01))
)</f>
        <v>No</v>
      </c>
      <c r="U50" s="5" t="str">
        <f>IF(S50="No","No",IF(_xlfn.XLOOKUP(B50,'Base stats'!B:B,'Base stats'!U:U)="No","No",
MAX(0.01,MROUND(_xlfn.XLOOKUP(B50,'Base stats'!B:B,'Base stats'!BT:BT)/10000,0.01))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stats'!AQ:AQ)*_xlfn.XLOOKUP(_xlfn.XLOOKUP(B50,'Base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stats'!AQ:AQ)*0.01,2)</f>
        <v>0.25</v>
      </c>
      <c r="AB50" s="18">
        <f>250*(Animals!AO50+Animals!AP50)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MAX(0.01,MROUND(_xlfn.XLOOKUP(B51,'Base stats'!B:B,'Base stats'!BG:BG) * 0.01 * 2, 0.01))</f>
        <v>1.74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MAX(0.01,MROUND(_xlfn.XLOOKUP(B51,'Base stats'!B:B,'Base stats'!BH:BH) * 0.01 * 2, 0.01))
)</f>
        <v>2.2400000000000002</v>
      </c>
      <c r="I51" s="11" t="str">
        <f>IF(G51="No","No",IF(_xlfn.XLOOKUP(B51,'Base stats'!B:B,'Base stats'!U:U)="No","No",
MAX(0.01,MROUND(_xlfn.XLOOKUP(B51,'Base stats'!B:B,'Base stats'!BT:BT)/10000,0.01))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MAX(0.01,MROUND(_xlfn.XLOOKUP(B51,'Base stats'!B:B,'Base stats'!BI:BI) * 0.01 *2, 0.01))
)</f>
        <v>2.69</v>
      </c>
      <c r="M51" s="5">
        <f>IF(K51="No","No",IF(_xlfn.XLOOKUP(_xlfn.XLOOKUP(B51,'Base stats'!B:B,'Base stats'!E:E),Groups!A:A,Groups!BD:BD)=1,"No",
MAX(0.01,MROUND(_xlfn.XLOOKUP(B51,'Base stats'!B:B,'Base stats'!BU:BU)/10000,0.01))
))</f>
        <v>0.18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MAX(0.01,MROUND(_xlfn.XLOOKUP(B51,'Base stats'!B:B,'Base stats'!BJ:BJ) * 0.01 * 2, 0.01))
)</f>
        <v>No</v>
      </c>
      <c r="Q51" s="5" t="str">
        <f>IF(O51="No","No",
MAX(0.01,MROUND(_xlfn.XLOOKUP(B51,'Base stats'!B:B,'Base stats'!BV:BV)/10000,0.01))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MAX(0.01,MROUND(_xlfn.XLOOKUP(B51,'Base stats'!B:B,'Base stats'!BH:BH) * 0.01 * 2, 0.01))
)</f>
        <v>No</v>
      </c>
      <c r="U51" s="5" t="str">
        <f>IF(S51="No","No",IF(_xlfn.XLOOKUP(B51,'Base stats'!B:B,'Base stats'!U:U)="No","No",
MAX(0.01,MROUND(_xlfn.XLOOKUP(B51,'Base stats'!B:B,'Base stats'!BT:BT)/10000,0.01))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stats'!AQ:AQ)*_xlfn.XLOOKUP(_xlfn.XLOOKUP(B51,'Base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stats'!AQ:AQ)*0.01,2)</f>
        <v>0.23</v>
      </c>
      <c r="AB51" s="18">
        <f>250*(Animals!AO51+Animals!AP51)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MAX(0.01,MROUND(_xlfn.XLOOKUP(B52,'Base stats'!B:B,'Base stats'!BG:BG) * 0.01 * 2, 0.01))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MAX(0.01,MROUND(_xlfn.XLOOKUP(B52,'Base stats'!B:B,'Base stats'!BH:BH) * 0.01 * 2, 0.01))
)</f>
        <v>2.25</v>
      </c>
      <c r="I52" s="11" t="str">
        <f>IF(G52="No","No",IF(_xlfn.XLOOKUP(B52,'Base stats'!B:B,'Base stats'!U:U)="No","No",
MAX(0.01,MROUND(_xlfn.XLOOKUP(B52,'Base stats'!B:B,'Base stats'!BT:BT)/10000,0.01))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MAX(0.01,MROUND(_xlfn.XLOOKUP(B52,'Base stats'!B:B,'Base stats'!BI:BI)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stats'!BU:BU)/10000,0.01))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MAX(0.01,MROUND(_xlfn.XLOOKUP(B52,'Base stats'!B:B,'Base stats'!BJ:BJ) * 0.01 * 2, 0.01))
)</f>
        <v>No</v>
      </c>
      <c r="Q52" s="5" t="str">
        <f>IF(O52="No","No",
MAX(0.01,MROUND(_xlfn.XLOOKUP(B52,'Base stats'!B:B,'Base stats'!BV:BV)/10000,0.01))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MAX(0.01,MROUND(_xlfn.XLOOKUP(B52,'Base stats'!B:B,'Base stats'!BH:BH) * 0.01 * 2, 0.01))
)</f>
        <v>No</v>
      </c>
      <c r="U52" s="5" t="str">
        <f>IF(S52="No","No",IF(_xlfn.XLOOKUP(B52,'Base stats'!B:B,'Base stats'!U:U)="No","No",
MAX(0.01,MROUND(_xlfn.XLOOKUP(B52,'Base stats'!B:B,'Base stats'!BT:BT)/10000,0.01))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stats'!AQ:AQ)*_xlfn.XLOOKUP(_xlfn.XLOOKUP(B52,'Base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stats'!AQ:AQ)*0.01,2)</f>
        <v>0.23</v>
      </c>
      <c r="AB52" s="18">
        <f>250*(Animals!AO52+Animals!AP52)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MAX(0.01,MROUND(_xlfn.XLOOKUP(B53,'Base stats'!B:B,'Base stats'!BG:BG) * 0.01 * 2, 0.01))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MAX(0.01,MROUND(_xlfn.XLOOKUP(B53,'Base stats'!B:B,'Base stats'!BH:BH) * 0.01 * 2, 0.01))
)</f>
        <v>2.02</v>
      </c>
      <c r="I53" s="11" t="str">
        <f>IF(G53="No","No",IF(_xlfn.XLOOKUP(B53,'Base stats'!B:B,'Base stats'!U:U)="No","No",
MAX(0.01,MROUND(_xlfn.XLOOKUP(B53,'Base stats'!B:B,'Base stats'!BT:BT)/10000,0.01))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MAX(0.01,MROUND(_xlfn.XLOOKUP(B53,'Base stats'!B:B,'Base stats'!BI:BI) * 0.01 *2, 0.01))
)</f>
        <v>2.42</v>
      </c>
      <c r="M53" s="5">
        <f>IF(K53="No","No",IF(_xlfn.XLOOKUP(_xlfn.XLOOKUP(B53,'Base stats'!B:B,'Base stats'!E:E),Groups!A:A,Groups!BD:BD)=1,"No",
MAX(0.01,MROUND(_xlfn.XLOOKUP(B53,'Base stats'!B:B,'Base stats'!BU:BU)/10000,0.01))
))</f>
        <v>0.16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MAX(0.01,MROUND(_xlfn.XLOOKUP(B53,'Base stats'!B:B,'Base stats'!BJ:BJ) * 0.01 * 2, 0.01))
)</f>
        <v>No</v>
      </c>
      <c r="Q53" s="5" t="str">
        <f>IF(O53="No","No",
MAX(0.01,MROUND(_xlfn.XLOOKUP(B53,'Base stats'!B:B,'Base stats'!BV:BV)/10000,0.01))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MAX(0.01,MROUND(_xlfn.XLOOKUP(B53,'Base stats'!B:B,'Base stats'!BH:BH) * 0.01 * 2, 0.01))
)</f>
        <v>No</v>
      </c>
      <c r="U53" s="5" t="str">
        <f>IF(S53="No","No",IF(_xlfn.XLOOKUP(B53,'Base stats'!B:B,'Base stats'!U:U)="No","No",
MAX(0.01,MROUND(_xlfn.XLOOKUP(B53,'Base stats'!B:B,'Base stats'!BT:BT)/10000,0.01))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stats'!AQ:AQ)*_xlfn.XLOOKUP(_xlfn.XLOOKUP(B53,'Base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stats'!AQ:AQ)*0.01,2)</f>
        <v>0.22</v>
      </c>
      <c r="AB53" s="18">
        <f>250*(Animals!AO53+Animals!AP53)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MAX(0.01,MROUND(_xlfn.XLOOKUP(B54,'Base stats'!B:B,'Base stats'!BG:BG) * 0.01 * 2, 0.01))</f>
        <v>0.69000000000000006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MAX(0.01,MROUND(_xlfn.XLOOKUP(B54,'Base stats'!B:B,'Base stats'!BH:BH) * 0.01 * 2, 0.01))
)</f>
        <v>0.94000000000000006</v>
      </c>
      <c r="I54" s="11" t="str">
        <f>IF(G54="No","No",IF(_xlfn.XLOOKUP(B54,'Base stats'!B:B,'Base stats'!U:U)="No","No",
MAX(0.01,MROUND(_xlfn.XLOOKUP(B54,'Base stats'!B:B,'Base stats'!BT:BT)/10000,0.01))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MAX(0.01,MROUND(_xlfn.XLOOKUP(B54,'Base stats'!B:B,'Base stats'!BI:BI)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stats'!BU:BU)/10000,0.01))
))</f>
        <v>0.09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MAX(0.01,MROUND(_xlfn.XLOOKUP(B54,'Base stats'!B:B,'Base stats'!BJ:BJ) * 0.01 * 2, 0.01))
)</f>
        <v>No</v>
      </c>
      <c r="Q54" s="5" t="str">
        <f>IF(O54="No","No",
MAX(0.01,MROUND(_xlfn.XLOOKUP(B54,'Base stats'!B:B,'Base stats'!BV:BV)/10000,0.01))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MAX(0.01,MROUND(_xlfn.XLOOKUP(B54,'Base stats'!B:B,'Base stats'!BH:BH) * 0.01 * 2, 0.01))
)</f>
        <v>No</v>
      </c>
      <c r="U54" s="5" t="str">
        <f>IF(S54="No","No",IF(_xlfn.XLOOKUP(B54,'Base stats'!B:B,'Base stats'!U:U)="No","No",
MAX(0.01,MROUND(_xlfn.XLOOKUP(B54,'Base stats'!B:B,'Base stats'!BT:BT)/10000,0.01))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stats'!AQ:AQ)*_xlfn.XLOOKUP(_xlfn.XLOOKUP(B54,'Base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stats'!AQ:AQ)*0.01,2)</f>
        <v>0.17</v>
      </c>
      <c r="AB54" s="18">
        <f>250*(Animals!AO54+Animals!AP54)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MAX(0.01,MROUND(_xlfn.XLOOKUP(B55,'Base stats'!B:B,'Base stats'!BG:BG) * 0.01 * 2, 0.01))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MAX(0.01,MROUND(_xlfn.XLOOKUP(B55,'Base stats'!B:B,'Base stats'!BH:BH) * 0.01 * 2, 0.01))
)</f>
        <v>No</v>
      </c>
      <c r="I55" s="11" t="str">
        <f>IF(G55="No","No",IF(_xlfn.XLOOKUP(B55,'Base stats'!B:B,'Base stats'!U:U)="No","No",
MAX(0.01,MROUND(_xlfn.XLOOKUP(B55,'Base stats'!B:B,'Base stats'!BT:BT)/10000,0.01))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MAX(0.01,MROUND(_xlfn.XLOOKUP(B55,'Base stats'!B:B,'Base stats'!BI:BI)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stats'!BU:BU)/10000,0.01))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MAX(0.01,MROUND(_xlfn.XLOOKUP(B55,'Base stats'!B:B,'Base stats'!BJ:BJ) * 0.01 * 2, 0.01))
)</f>
        <v>18.760000000000002</v>
      </c>
      <c r="Q55" s="5">
        <f>IF(O55="No","No",
MAX(0.01,MROUND(_xlfn.XLOOKUP(B55,'Base stats'!B:B,'Base stats'!BV:BV)/10000,0.01))
)</f>
        <v>0.74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MAX(0.01,MROUND(_xlfn.XLOOKUP(B55,'Base stats'!B:B,'Base stats'!BH:BH) * 0.01 * 2, 0.01))
)</f>
        <v>No</v>
      </c>
      <c r="U55" s="5" t="str">
        <f>IF(S55="No","No",IF(_xlfn.XLOOKUP(B55,'Base stats'!B:B,'Base stats'!U:U)="No","No",
MAX(0.01,MROUND(_xlfn.XLOOKUP(B55,'Base stats'!B:B,'Base stats'!BT:BT)/10000,0.01))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stats'!AQ:AQ)*_xlfn.XLOOKUP(_xlfn.XLOOKUP(B55,'Base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stats'!AQ:AQ)*0.01,2)</f>
        <v>1.07</v>
      </c>
      <c r="AB55" s="18">
        <f>250*(Animals!AO55+Animals!AP55)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MAX(0.01,MROUND(_xlfn.XLOOKUP(B56,'Base stats'!B:B,'Base stats'!BG:BG) * 0.01 * 2, 0.01))</f>
        <v>1.1200000000000001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MAX(0.01,MROUND(_xlfn.XLOOKUP(B56,'Base stats'!B:B,'Base stats'!BH:BH) * 0.01 * 2, 0.01))
)</f>
        <v>No</v>
      </c>
      <c r="I56" s="11" t="str">
        <f>IF(G56="No","No",IF(_xlfn.XLOOKUP(B56,'Base stats'!B:B,'Base stats'!U:U)="No","No",
MAX(0.01,MROUND(_xlfn.XLOOKUP(B56,'Base stats'!B:B,'Base stats'!BT:BT)/10000,0.01))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MAX(0.01,MROUND(_xlfn.XLOOKUP(B56,'Base stats'!B:B,'Base stats'!BI:BI)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stats'!BU:BU)/10000,0.01))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MAX(0.01,MROUND(_xlfn.XLOOKUP(B56,'Base stats'!B:B,'Base stats'!BJ:BJ) * 0.01 * 2, 0.01))
)</f>
        <v>3.85</v>
      </c>
      <c r="Q56" s="5">
        <f>IF(O56="No","No",
MAX(0.01,MROUND(_xlfn.XLOOKUP(B56,'Base stats'!B:B,'Base stats'!BV:BV)/10000,0.01))
)</f>
        <v>0.28999999999999998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MAX(0.01,MROUND(_xlfn.XLOOKUP(B56,'Base stats'!B:B,'Base stats'!BH:BH) * 0.01 * 2, 0.01))
)</f>
        <v>No</v>
      </c>
      <c r="U56" s="5" t="str">
        <f>IF(S56="No","No",IF(_xlfn.XLOOKUP(B56,'Base stats'!B:B,'Base stats'!U:U)="No","No",
MAX(0.01,MROUND(_xlfn.XLOOKUP(B56,'Base stats'!B:B,'Base stats'!BT:BT)/10000,0.01))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stats'!AQ:AQ)*_xlfn.XLOOKUP(_xlfn.XLOOKUP(B56,'Base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stats'!AQ:AQ)*0.01,2)</f>
        <v>0.61</v>
      </c>
      <c r="AB56" s="18">
        <f>250*(Animals!AO56+Animals!AP56)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MAX(0.01,MROUND(_xlfn.XLOOKUP(B57,'Base stats'!B:B,'Base stats'!BG:BG) * 0.01 * 2, 0.01))</f>
        <v>1.1200000000000001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MAX(0.01,MROUND(_xlfn.XLOOKUP(B57,'Base stats'!B:B,'Base stats'!BH:BH) * 0.01 * 2, 0.01))
)</f>
        <v>No</v>
      </c>
      <c r="I57" s="11" t="str">
        <f>IF(G57="No","No",IF(_xlfn.XLOOKUP(B57,'Base stats'!B:B,'Base stats'!U:U)="No","No",
MAX(0.01,MROUND(_xlfn.XLOOKUP(B57,'Base stats'!B:B,'Base stats'!BT:BT)/10000,0.01))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MAX(0.01,MROUND(_xlfn.XLOOKUP(B57,'Base stats'!B:B,'Base stats'!BI:BI)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stats'!BU:BU)/10000,0.01))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MAX(0.01,MROUND(_xlfn.XLOOKUP(B57,'Base stats'!B:B,'Base stats'!BJ:BJ) * 0.01 * 2, 0.01))
)</f>
        <v>3.85</v>
      </c>
      <c r="Q57" s="5">
        <f>IF(O57="No","No",
MAX(0.01,MROUND(_xlfn.XLOOKUP(B57,'Base stats'!B:B,'Base stats'!BV:BV)/10000,0.01))
)</f>
        <v>0.28999999999999998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MAX(0.01,MROUND(_xlfn.XLOOKUP(B57,'Base stats'!B:B,'Base stats'!BH:BH) * 0.01 * 2, 0.01))
)</f>
        <v>No</v>
      </c>
      <c r="U57" s="5" t="str">
        <f>IF(S57="No","No",IF(_xlfn.XLOOKUP(B57,'Base stats'!B:B,'Base stats'!U:U)="No","No",
MAX(0.01,MROUND(_xlfn.XLOOKUP(B57,'Base stats'!B:B,'Base stats'!BT:BT)/10000,0.01))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stats'!AQ:AQ)*_xlfn.XLOOKUP(_xlfn.XLOOKUP(B57,'Base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stats'!AQ:AQ)*0.01,2)</f>
        <v>0.61</v>
      </c>
      <c r="AB57" s="18">
        <f>250*(Animals!AO57+Animals!AP57)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0.30000000000000004</v>
      </c>
      <c r="E58" s="11">
        <f>MAX(0.01,MROUND(_xlfn.XLOOKUP(B58,'Base stats'!B:B,'Base stats'!BG:BG) * 0.01 * 2, 0.01))</f>
        <v>0.21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MAX(0.01,MROUND(_xlfn.XLOOKUP(B58,'Base stats'!B:B,'Base stats'!BH:BH) * 0.01 * 2, 0.01))
)</f>
        <v>No</v>
      </c>
      <c r="I58" s="11" t="str">
        <f>IF(G58="No","No",IF(_xlfn.XLOOKUP(B58,'Base stats'!B:B,'Base stats'!U:U)="No","No",
MAX(0.01,MROUND(_xlfn.XLOOKUP(B58,'Base stats'!B:B,'Base stats'!BT:BT)/10000,0.01))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MAX(0.01,MROUND(_xlfn.XLOOKUP(B58,'Base stats'!B:B,'Base stats'!BI:BI)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stats'!BU:BU)/10000,0.01))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6.5</v>
      </c>
      <c r="P58" s="11">
        <f>IF(O58="No","No",
MAX(0.01,MROUND(_xlfn.XLOOKUP(B58,'Base stats'!B:B,'Base stats'!BJ:BJ) * 0.01 * 2, 0.01))
)</f>
        <v>0.93</v>
      </c>
      <c r="Q58" s="5">
        <f>IF(O58="No","No",
MAX(0.01,MROUND(_xlfn.XLOOKUP(B58,'Base stats'!B:B,'Base stats'!BV:BV)/10000,0.01))
)</f>
        <v>0.15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2.0500000000000003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MAX(0.01,MROUND(_xlfn.XLOOKUP(B58,'Base stats'!B:B,'Base stats'!BH:BH) * 0.01 * 2, 0.01))
)</f>
        <v>No</v>
      </c>
      <c r="U58" s="5" t="str">
        <f>IF(S58="No","No",IF(_xlfn.XLOOKUP(B58,'Base stats'!B:B,'Base stats'!U:U)="No","No",
MAX(0.01,MROUND(_xlfn.XLOOKUP(B58,'Base stats'!B:B,'Base stats'!BT:BT)/10000,0.01))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stats'!AQ:AQ)*_xlfn.XLOOKUP(_xlfn.XLOOKUP(B58,'Base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stats'!AQ:AQ)*0.01,2)</f>
        <v>0.32</v>
      </c>
      <c r="AB58" s="18">
        <f>250*(Animals!AO58+Animals!AP58)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0.2</v>
      </c>
      <c r="E59" s="11">
        <f>MAX(0.01,MROUND(_xlfn.XLOOKUP(B59,'Base stats'!B:B,'Base stats'!BG:BG) * 0.01 * 2, 0.01))</f>
        <v>0.12</v>
      </c>
      <c r="F59" s="7">
        <f>MROUND(_xlfn.XLOOKUP(B59,'Base stats'!B:B,'Base stats'!BD:BD)^0.25 / (_xlfn.XLOOKUP(B59,'Base stats'!B:B,'Base stats'!BK:BK) * 10) * 150 + 0.5 + _xlfn.XLOOKUP(B59,'Base stats'!B:B,'Base stats'!BW:BW), 0.05)</f>
        <v>1.35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MAX(0.01,MROUND(_xlfn.XLOOKUP(B59,'Base stats'!B:B,'Base stats'!BH:BH) * 0.01 * 2, 0.01))
)</f>
        <v>No</v>
      </c>
      <c r="I59" s="11" t="str">
        <f>IF(G59="No","No",IF(_xlfn.XLOOKUP(B59,'Base stats'!B:B,'Base stats'!U:U)="No","No",
MAX(0.01,MROUND(_xlfn.XLOOKUP(B59,'Base stats'!B:B,'Base stats'!BT:BT)/10000,0.01))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MAX(0.01,MROUND(_xlfn.XLOOKUP(B59,'Base stats'!B:B,'Base stats'!BI:BI)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stats'!BU:BU)/10000,0.01))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4.4000000000000004</v>
      </c>
      <c r="P59" s="11">
        <f>IF(O59="No","No",
MAX(0.01,MROUND(_xlfn.XLOOKUP(B59,'Base stats'!B:B,'Base stats'!BJ:BJ) * 0.01 * 2, 0.01))
)</f>
        <v>0.48</v>
      </c>
      <c r="Q59" s="5">
        <f>IF(O59="No","No",
MAX(0.01,MROUND(_xlfn.XLOOKUP(B59,'Base stats'!B:B,'Base stats'!BV:BV)/10000,0.01))
)</f>
        <v>0.1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1.85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MAX(0.01,MROUND(_xlfn.XLOOKUP(B59,'Base stats'!B:B,'Base stats'!BH:BH) * 0.01 * 2, 0.01))
)</f>
        <v>No</v>
      </c>
      <c r="U59" s="5" t="str">
        <f>IF(S59="No","No",IF(_xlfn.XLOOKUP(B59,'Base stats'!B:B,'Base stats'!U:U)="No","No",
MAX(0.01,MROUND(_xlfn.XLOOKUP(B59,'Base stats'!B:B,'Base stats'!BT:BT)/10000,0.01))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stats'!AQ:AQ)*_xlfn.XLOOKUP(_xlfn.XLOOKUP(B59,'Base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stats'!AQ:AQ)*0.01,2)</f>
        <v>0.26</v>
      </c>
      <c r="AB59" s="18">
        <f>250*(Animals!AO59+Animals!AP59)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MAX(0.01,MROUND(_xlfn.XLOOKUP(B60,'Base stats'!B:B,'Base stats'!BG:BG) * 0.01 * 2, 0.01))</f>
        <v>0.09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MAX(0.01,MROUND(_xlfn.XLOOKUP(B60,'Base stats'!B:B,'Base stats'!BH:BH) * 0.01 * 2, 0.01))
)</f>
        <v>No</v>
      </c>
      <c r="I60" s="11" t="str">
        <f>IF(G60="No","No",IF(_xlfn.XLOOKUP(B60,'Base stats'!B:B,'Base stats'!U:U)="No","No",
MAX(0.01,MROUND(_xlfn.XLOOKUP(B60,'Base stats'!B:B,'Base stats'!BT:BT)/10000,0.01))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MAX(0.01,MROUND(_xlfn.XLOOKUP(B60,'Base stats'!B:B,'Base stats'!BI:BI)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stats'!BU:BU)/10000,0.01))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MAX(0.01,MROUND(_xlfn.XLOOKUP(B60,'Base stats'!B:B,'Base stats'!BJ:BJ) * 0.01 * 2, 0.01))
)</f>
        <v>0.17</v>
      </c>
      <c r="Q60" s="5">
        <f>IF(O60="No","No",
MAX(0.01,MROUND(_xlfn.XLOOKUP(B60,'Base stats'!B:B,'Base stats'!BV:BV)/10000,0.01))
)</f>
        <v>0.04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MAX(0.01,MROUND(_xlfn.XLOOKUP(B60,'Base stats'!B:B,'Base stats'!BH:BH) * 0.01 * 2, 0.01))
)</f>
        <v>No</v>
      </c>
      <c r="U60" s="5" t="str">
        <f>IF(S60="No","No",IF(_xlfn.XLOOKUP(B60,'Base stats'!B:B,'Base stats'!U:U)="No","No",
MAX(0.01,MROUND(_xlfn.XLOOKUP(B60,'Base stats'!B:B,'Base stats'!BT:BT)/10000,0.01))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stats'!AQ:AQ)*_xlfn.XLOOKUP(_xlfn.XLOOKUP(B60,'Base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stats'!AQ:AQ)*0.01,2)</f>
        <v>0.23</v>
      </c>
      <c r="AB60" s="18">
        <f>250*(Animals!AO60+Animals!AP60)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MAX(0.01,MROUND(_xlfn.XLOOKUP(B61,'Base stats'!B:B,'Base stats'!BG:BG) * 0.01 * 2, 0.01))</f>
        <v>0.32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MAX(0.01,MROUND(_xlfn.XLOOKUP(B61,'Base stats'!B:B,'Base stats'!BH:BH) * 0.01 * 2, 0.01))
)</f>
        <v>No</v>
      </c>
      <c r="I61" s="11" t="str">
        <f>IF(G61="No","No",IF(_xlfn.XLOOKUP(B61,'Base stats'!B:B,'Base stats'!U:U)="No","No",
MAX(0.01,MROUND(_xlfn.XLOOKUP(B61,'Base stats'!B:B,'Base stats'!BT:BT)/10000,0.01))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MAX(0.01,MROUND(_xlfn.XLOOKUP(B61,'Base stats'!B:B,'Base stats'!BI:BI)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stats'!BU:BU)/10000,0.01))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MAX(0.01,MROUND(_xlfn.XLOOKUP(B61,'Base stats'!B:B,'Base stats'!BJ:BJ) * 0.01 * 2, 0.01))
)</f>
        <v>0.28999999999999998</v>
      </c>
      <c r="Q61" s="5">
        <f>IF(O61="No","No",
MAX(0.01,MROUND(_xlfn.XLOOKUP(B61,'Base stats'!B:B,'Base stats'!BV:BV)/10000,0.01))
)</f>
        <v>0.04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MAX(0.01,MROUND(_xlfn.XLOOKUP(B61,'Base stats'!B:B,'Base stats'!BH:BH) * 0.01 * 2, 0.01))
)</f>
        <v>No</v>
      </c>
      <c r="U61" s="5" t="str">
        <f>IF(S61="No","No",IF(_xlfn.XLOOKUP(B61,'Base stats'!B:B,'Base stats'!U:U)="No","No",
MAX(0.01,MROUND(_xlfn.XLOOKUP(B61,'Base stats'!B:B,'Base stats'!BT:BT)/10000,0.01))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stats'!AQ:AQ)*_xlfn.XLOOKUP(_xlfn.XLOOKUP(B61,'Base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stats'!AQ:AQ)*0.01,2)</f>
        <v>0.13</v>
      </c>
      <c r="AB61" s="18">
        <f>250*(Animals!AO61+Animals!AP61)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MAX(0.01,MROUND(_xlfn.XLOOKUP(B62,'Base stats'!B:B,'Base stats'!BG:BG) * 0.01 * 2, 0.01))</f>
        <v>2.99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MAX(0.01,MROUND(_xlfn.XLOOKUP(B62,'Base stats'!B:B,'Base stats'!BH:BH) * 0.01 * 2, 0.01))
)</f>
        <v>No</v>
      </c>
      <c r="I62" s="11" t="str">
        <f>IF(G62="No","No",IF(_xlfn.XLOOKUP(B62,'Base stats'!B:B,'Base stats'!U:U)="No","No",
MAX(0.01,MROUND(_xlfn.XLOOKUP(B62,'Base stats'!B:B,'Base stats'!BT:BT)/10000,0.01))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MAX(0.01,MROUND(_xlfn.XLOOKUP(B62,'Base stats'!B:B,'Base stats'!BI:BI)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stats'!BU:BU)/10000,0.01))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MAX(0.01,MROUND(_xlfn.XLOOKUP(B62,'Base stats'!B:B,'Base stats'!BJ:BJ) * 0.01 * 2, 0.01))
)</f>
        <v>5.71</v>
      </c>
      <c r="Q62" s="5">
        <f>IF(O62="No","No",
MAX(0.01,MROUND(_xlfn.XLOOKUP(B62,'Base stats'!B:B,'Base stats'!BV:BV)/10000,0.01))
)</f>
        <v>0.28000000000000003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MAX(0.01,MROUND(_xlfn.XLOOKUP(B62,'Base stats'!B:B,'Base stats'!BH:BH) * 0.01 * 2, 0.01))
)</f>
        <v>3.73</v>
      </c>
      <c r="U62" s="5">
        <f>IF(S62="No","No",IF(_xlfn.XLOOKUP(B62,'Base stats'!B:B,'Base stats'!U:U)="No","No",
MAX(0.01,MROUND(_xlfn.XLOOKUP(B62,'Base stats'!B:B,'Base stats'!BT:BT)/10000,0.01))
))</f>
        <v>0.18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stats'!AQ:AQ)*_xlfn.XLOOKUP(_xlfn.XLOOKUP(B62,'Base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stats'!AQ:AQ)*0.01,2)</f>
        <v>0.89</v>
      </c>
      <c r="AB62" s="18">
        <f>250*(Animals!AO62+Animals!AP62)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MAX(0.01,MROUND(_xlfn.XLOOKUP(B63,'Base stats'!B:B,'Base stats'!BG:BG) * 0.01 * 2, 0.01))</f>
        <v>0.01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MAX(0.01,MROUND(_xlfn.XLOOKUP(B63,'Base stats'!B:B,'Base stats'!BH:BH) * 0.01 * 2, 0.01))
)</f>
        <v>0.01</v>
      </c>
      <c r="I63" s="11">
        <f>IF(G63="No","No",IF(_xlfn.XLOOKUP(B63,'Base stats'!B:B,'Base stats'!U:U)="No","No",
MAX(0.01,MROUND(_xlfn.XLOOKUP(B63,'Base stats'!B:B,'Base stats'!BT:BT)/10000,0.01))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MAX(0.01,MROUND(_xlfn.XLOOKUP(B63,'Base stats'!B:B,'Base stats'!BI:BI)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stats'!BU:BU)/10000,0.01))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MAX(0.01,MROUND(_xlfn.XLOOKUP(B63,'Base stats'!B:B,'Base stats'!BJ:BJ) * 0.01 * 2, 0.01))
)</f>
        <v>0.01</v>
      </c>
      <c r="Q63" s="5">
        <f>IF(O63="No","No",
MAX(0.01,MROUND(_xlfn.XLOOKUP(B63,'Base stats'!B:B,'Base stats'!BV:BV)/10000,0.01))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MAX(0.01,MROUND(_xlfn.XLOOKUP(B63,'Base stats'!B:B,'Base stats'!BH:BH) * 0.01 * 2, 0.01))
)</f>
        <v>No</v>
      </c>
      <c r="U63" s="5" t="str">
        <f>IF(S63="No","No",IF(_xlfn.XLOOKUP(B63,'Base stats'!B:B,'Base stats'!U:U)="No","No",
MAX(0.01,MROUND(_xlfn.XLOOKUP(B63,'Base stats'!B:B,'Base stats'!BT:BT)/10000,0.01))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stats'!AQ:AQ)*_xlfn.XLOOKUP(_xlfn.XLOOKUP(B63,'Base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stats'!AQ:AQ)*0.01,2)</f>
        <v>0</v>
      </c>
      <c r="AB63" s="18">
        <f>250*(Animals!AO63+Animals!AP63)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MAX(0.01,MROUND(_xlfn.XLOOKUP(B64,'Base stats'!B:B,'Base stats'!BG:BG) * 0.01 * 2, 0.01))</f>
        <v>0.01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MAX(0.01,MROUND(_xlfn.XLOOKUP(B64,'Base stats'!B:B,'Base stats'!BH:BH) * 0.01 * 2, 0.01))
)</f>
        <v>0.01</v>
      </c>
      <c r="I64" s="11">
        <f>IF(G64="No","No",IF(_xlfn.XLOOKUP(B64,'Base stats'!B:B,'Base stats'!U:U)="No","No",
MAX(0.01,MROUND(_xlfn.XLOOKUP(B64,'Base stats'!B:B,'Base stats'!BT:BT)/10000,0.01))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MAX(0.01,MROUND(_xlfn.XLOOKUP(B64,'Base stats'!B:B,'Base stats'!BI:BI)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stats'!BU:BU)/10000,0.01))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MAX(0.01,MROUND(_xlfn.XLOOKUP(B64,'Base stats'!B:B,'Base stats'!BJ:BJ) * 0.01 * 2, 0.01))
)</f>
        <v>0.01</v>
      </c>
      <c r="Q64" s="5">
        <f>IF(O64="No","No",
MAX(0.01,MROUND(_xlfn.XLOOKUP(B64,'Base stats'!B:B,'Base stats'!BV:BV)/10000,0.01))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MAX(0.01,MROUND(_xlfn.XLOOKUP(B64,'Base stats'!B:B,'Base stats'!BH:BH) * 0.01 * 2, 0.01))
)</f>
        <v>No</v>
      </c>
      <c r="U64" s="5" t="str">
        <f>IF(S64="No","No",IF(_xlfn.XLOOKUP(B64,'Base stats'!B:B,'Base stats'!U:U)="No","No",
MAX(0.01,MROUND(_xlfn.XLOOKUP(B64,'Base stats'!B:B,'Base stats'!BT:BT)/10000,0.01))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stats'!AQ:AQ)*_xlfn.XLOOKUP(_xlfn.XLOOKUP(B64,'Base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stats'!AQ:AQ)*0.01,2)</f>
        <v>0</v>
      </c>
      <c r="AB64" s="18">
        <f>250*(Animals!AO64+Animals!AP64)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MAX(0.01,MROUND(_xlfn.XLOOKUP(B65,'Base stats'!B:B,'Base stats'!BG:BG) * 0.01 * 2, 0.01))</f>
        <v>0.02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MAX(0.01,MROUND(_xlfn.XLOOKUP(B65,'Base stats'!B:B,'Base stats'!BH:BH) * 0.01 * 2, 0.01))
)</f>
        <v>0.03</v>
      </c>
      <c r="I65" s="11">
        <f>IF(G65="No","No",IF(_xlfn.XLOOKUP(B65,'Base stats'!B:B,'Base stats'!U:U)="No","No",
MAX(0.01,MROUND(_xlfn.XLOOKUP(B65,'Base stats'!B:B,'Base stats'!BT:BT)/10000,0.01))
))</f>
        <v>0.02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MAX(0.01,MROUND(_xlfn.XLOOKUP(B65,'Base stats'!B:B,'Base stats'!BI:BI)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stats'!BU:BU)/10000,0.01))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MAX(0.01,MROUND(_xlfn.XLOOKUP(B65,'Base stats'!B:B,'Base stats'!BJ:BJ) * 0.01 * 2, 0.01))
)</f>
        <v>0.23</v>
      </c>
      <c r="Q65" s="5">
        <f>IF(O65="No","No",
MAX(0.01,MROUND(_xlfn.XLOOKUP(B65,'Base stats'!B:B,'Base stats'!BV:BV)/10000,0.01))
)</f>
        <v>0.03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MAX(0.01,MROUND(_xlfn.XLOOKUP(B65,'Base stats'!B:B,'Base stats'!BH:BH) * 0.01 * 2, 0.01))
)</f>
        <v>No</v>
      </c>
      <c r="U65" s="5" t="str">
        <f>IF(S65="No","No",IF(_xlfn.XLOOKUP(B65,'Base stats'!B:B,'Base stats'!U:U)="No","No",
MAX(0.01,MROUND(_xlfn.XLOOKUP(B65,'Base stats'!B:B,'Base stats'!BT:BT)/10000,0.01))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stats'!AQ:AQ)*_xlfn.XLOOKUP(_xlfn.XLOOKUP(B65,'Base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stats'!AQ:AQ)*0.01,2)</f>
        <v>0</v>
      </c>
      <c r="AB65" s="18">
        <f>250*(Animals!AO65+Animals!AP65)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MAX(0.01,MROUND(_xlfn.XLOOKUP(B66,'Base stats'!B:B,'Base stats'!BG:BG) * 0.01 * 2, 0.01))</f>
        <v>0.04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MAX(0.01,MROUND(_xlfn.XLOOKUP(B66,'Base stats'!B:B,'Base stats'!BH:BH) * 0.01 * 2, 0.01))
)</f>
        <v>0.06</v>
      </c>
      <c r="I66" s="11">
        <f>IF(G66="No","No",IF(_xlfn.XLOOKUP(B66,'Base stats'!B:B,'Base stats'!U:U)="No","No",
MAX(0.01,MROUND(_xlfn.XLOOKUP(B66,'Base stats'!B:B,'Base stats'!BT:BT)/10000,0.01))
))</f>
        <v>0.02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MAX(0.01,MROUND(_xlfn.XLOOKUP(B66,'Base stats'!B:B,'Base stats'!BI:BI)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stats'!BU:BU)/10000,0.01))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MAX(0.01,MROUND(_xlfn.XLOOKUP(B66,'Base stats'!B:B,'Base stats'!BJ:BJ) * 0.01 * 2, 0.01))
)</f>
        <v>0.71</v>
      </c>
      <c r="Q66" s="5">
        <f>IF(O66="No","No",
MAX(0.01,MROUND(_xlfn.XLOOKUP(B66,'Base stats'!B:B,'Base stats'!BV:BV)/10000,0.01))
)</f>
        <v>0.08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MAX(0.01,MROUND(_xlfn.XLOOKUP(B66,'Base stats'!B:B,'Base stats'!BH:BH) * 0.01 * 2, 0.01))
)</f>
        <v>No</v>
      </c>
      <c r="U66" s="5" t="str">
        <f>IF(S66="No","No",IF(_xlfn.XLOOKUP(B66,'Base stats'!B:B,'Base stats'!U:U)="No","No",
MAX(0.01,MROUND(_xlfn.XLOOKUP(B66,'Base stats'!B:B,'Base stats'!BT:BT)/10000,0.01))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stats'!AQ:AQ)*_xlfn.XLOOKUP(_xlfn.XLOOKUP(B66,'Base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stats'!AQ:AQ)*0.01,2)</f>
        <v>0</v>
      </c>
      <c r="AB66" s="18">
        <f>250*(Animals!AO66+Animals!AP66)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MAX(0.01,MROUND(_xlfn.XLOOKUP(B67,'Base stats'!B:B,'Base stats'!BG:BG) * 0.01 * 2, 0.01))</f>
        <v>0.01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MAX(0.01,MROUND(_xlfn.XLOOKUP(B67,'Base stats'!B:B,'Base stats'!BH:BH) * 0.01 * 2, 0.01))
)</f>
        <v>0.01</v>
      </c>
      <c r="I67" s="11">
        <f>IF(G67="No","No",IF(_xlfn.XLOOKUP(B67,'Base stats'!B:B,'Base stats'!U:U)="No","No",
MAX(0.01,MROUND(_xlfn.XLOOKUP(B67,'Base stats'!B:B,'Base stats'!BT:BT)/10000,0.01))
))</f>
        <v>0.01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MAX(0.01,MROUND(_xlfn.XLOOKUP(B67,'Base stats'!B:B,'Base stats'!BI:BI)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stats'!BU:BU)/10000,0.01))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MAX(0.01,MROUND(_xlfn.XLOOKUP(B67,'Base stats'!B:B,'Base stats'!BJ:BJ) * 0.01 * 2, 0.01))
)</f>
        <v>0.01</v>
      </c>
      <c r="Q67" s="5">
        <f>IF(O67="No","No",
MAX(0.01,MROUND(_xlfn.XLOOKUP(B67,'Base stats'!B:B,'Base stats'!BV:BV)/10000,0.01))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MAX(0.01,MROUND(_xlfn.XLOOKUP(B67,'Base stats'!B:B,'Base stats'!BH:BH) * 0.01 * 2, 0.01))
)</f>
        <v>No</v>
      </c>
      <c r="U67" s="5" t="str">
        <f>IF(S67="No","No",IF(_xlfn.XLOOKUP(B67,'Base stats'!B:B,'Base stats'!U:U)="No","No",
MAX(0.01,MROUND(_xlfn.XLOOKUP(B67,'Base stats'!B:B,'Base stats'!BT:BT)/10000,0.01))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stats'!C:C)^-0.165,0.01)</f>
        <v>1.46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stats'!AQ:AQ)*_xlfn.XLOOKUP(_xlfn.XLOOKUP(B67,'Base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stats'!AQ:AQ)*0.01,2)</f>
        <v>0</v>
      </c>
      <c r="AB67" s="18">
        <f>250*(Animals!AO67+Animals!AP67)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MAX(0.01,MROUND(_xlfn.XLOOKUP(B68,'Base stats'!B:B,'Base stats'!BG:BG) * 0.01 * 2, 0.01))</f>
        <v>0.3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MAX(0.01,MROUND(_xlfn.XLOOKUP(B68,'Base stats'!B:B,'Base stats'!BH:BH) * 0.01 * 2, 0.01))
)</f>
        <v>No</v>
      </c>
      <c r="I68" s="11" t="str">
        <f>IF(G68="No","No",IF(_xlfn.XLOOKUP(B68,'Base stats'!B:B,'Base stats'!U:U)="No","No",
MAX(0.01,MROUND(_xlfn.XLOOKUP(B68,'Base stats'!B:B,'Base stats'!BT:BT)/10000,0.01))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MAX(0.01,MROUND(_xlfn.XLOOKUP(B68,'Base stats'!B:B,'Base stats'!BI:BI)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stats'!BU:BU)/10000,0.01))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MAX(0.01,MROUND(_xlfn.XLOOKUP(B68,'Base stats'!B:B,'Base stats'!BJ:BJ) * 0.01 * 2, 0.01))
)</f>
        <v>7.0000000000000007E-2</v>
      </c>
      <c r="Q68" s="5">
        <f>IF(O68="No","No",
MAX(0.01,MROUND(_xlfn.XLOOKUP(B68,'Base stats'!B:B,'Base stats'!BV:BV)/10000,0.01))
)</f>
        <v>0.01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MAX(0.01,MROUND(_xlfn.XLOOKUP(B68,'Base stats'!B:B,'Base stats'!BH:BH) * 0.01 * 2, 0.01))
)</f>
        <v>No</v>
      </c>
      <c r="U68" s="5" t="str">
        <f>IF(S68="No","No",IF(_xlfn.XLOOKUP(B68,'Base stats'!B:B,'Base stats'!U:U)="No","No",
MAX(0.01,MROUND(_xlfn.XLOOKUP(B68,'Base stats'!B:B,'Base stats'!BT:BT)/10000,0.01))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stats'!AQ:AQ)*_xlfn.XLOOKUP(_xlfn.XLOOKUP(B68,'Base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stats'!AQ:AQ)*0.01,2)</f>
        <v>0.01</v>
      </c>
      <c r="AB68" s="18">
        <f>250*(Animals!AO68+Animals!AP68)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MAX(0.01,MROUND(_xlfn.XLOOKUP(B69,'Base stats'!B:B,'Base stats'!BG:BG) * 0.01 * 2, 0.01))</f>
        <v>0.06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MAX(0.01,MROUND(_xlfn.XLOOKUP(B69,'Base stats'!B:B,'Base stats'!BH:BH) * 0.01 * 2, 0.01))
)</f>
        <v>No</v>
      </c>
      <c r="I69" s="11" t="str">
        <f>IF(G69="No","No",IF(_xlfn.XLOOKUP(B69,'Base stats'!B:B,'Base stats'!U:U)="No","No",
MAX(0.01,MROUND(_xlfn.XLOOKUP(B69,'Base stats'!B:B,'Base stats'!BT:BT)/10000,0.01))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MAX(0.01,MROUND(_xlfn.XLOOKUP(B69,'Base stats'!B:B,'Base stats'!BI:BI)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stats'!BU:BU)/10000,0.01))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MAX(0.01,MROUND(_xlfn.XLOOKUP(B69,'Base stats'!B:B,'Base stats'!BJ:BJ) * 0.01 * 2, 0.01))
)</f>
        <v>0.02</v>
      </c>
      <c r="Q69" s="5">
        <f>IF(O69="No","No",
MAX(0.01,MROUND(_xlfn.XLOOKUP(B69,'Base stats'!B:B,'Base stats'!BV:BV)/10000,0.01))
)</f>
        <v>0.01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MAX(0.01,MROUND(_xlfn.XLOOKUP(B69,'Base stats'!B:B,'Base stats'!BH:BH) * 0.01 * 2, 0.01))
)</f>
        <v>No</v>
      </c>
      <c r="U69" s="5" t="str">
        <f>IF(S69="No","No",IF(_xlfn.XLOOKUP(B69,'Base stats'!B:B,'Base stats'!U:U)="No","No",
MAX(0.01,MROUND(_xlfn.XLOOKUP(B69,'Base stats'!B:B,'Base stats'!BT:BT)/10000,0.01))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stats'!AQ:AQ)*_xlfn.XLOOKUP(_xlfn.XLOOKUP(B69,'Base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stats'!AQ:AQ)*0.01,2)</f>
        <v>0</v>
      </c>
      <c r="AB69" s="18">
        <f>250*(Animals!AO69+Animals!AP69)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MAX(0.01,MROUND(_xlfn.XLOOKUP(B70,'Base stats'!B:B,'Base stats'!BG:BG) * 0.01 * 2, 0.01))</f>
        <v>0.11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MAX(0.01,MROUND(_xlfn.XLOOKUP(B70,'Base stats'!B:B,'Base stats'!BH:BH) * 0.01 * 2, 0.01))
)</f>
        <v>No</v>
      </c>
      <c r="I70" s="11" t="str">
        <f>IF(G70="No","No",IF(_xlfn.XLOOKUP(B70,'Base stats'!B:B,'Base stats'!U:U)="No","No",
MAX(0.01,MROUND(_xlfn.XLOOKUP(B70,'Base stats'!B:B,'Base stats'!BT:BT)/10000,0.01))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MAX(0.01,MROUND(_xlfn.XLOOKUP(B70,'Base stats'!B:B,'Base stats'!BI:BI)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stats'!BU:BU)/10000,0.01))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MAX(0.01,MROUND(_xlfn.XLOOKUP(B70,'Base stats'!B:B,'Base stats'!BJ:BJ) * 0.01 * 2, 0.01))
)</f>
        <v>0.03</v>
      </c>
      <c r="Q70" s="5">
        <f>IF(O70="No","No",
MAX(0.01,MROUND(_xlfn.XLOOKUP(B70,'Base stats'!B:B,'Base stats'!BV:BV)/10000,0.01))
)</f>
        <v>0.01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MAX(0.01,MROUND(_xlfn.XLOOKUP(B70,'Base stats'!B:B,'Base stats'!BH:BH) * 0.01 * 2, 0.01))
)</f>
        <v>No</v>
      </c>
      <c r="U70" s="5" t="str">
        <f>IF(S70="No","No",IF(_xlfn.XLOOKUP(B70,'Base stats'!B:B,'Base stats'!U:U)="No","No",
MAX(0.01,MROUND(_xlfn.XLOOKUP(B70,'Base stats'!B:B,'Base stats'!BT:BT)/10000,0.01))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stats'!AQ:AQ)*_xlfn.XLOOKUP(_xlfn.XLOOKUP(B70,'Base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stats'!AQ:AQ)*0.01,2)</f>
        <v>0.01</v>
      </c>
      <c r="AB70" s="18">
        <f>250*(Animals!AO70+Animals!AP70)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MAX(0.01,MROUND(_xlfn.XLOOKUP(B71,'Base stats'!B:B,'Base stats'!BG:BG) * 0.01 * 2, 0.01))</f>
        <v>0.85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MAX(0.01,MROUND(_xlfn.XLOOKUP(B71,'Base stats'!B:B,'Base stats'!BH:BH) * 0.01 * 2, 0.01))
)</f>
        <v>No</v>
      </c>
      <c r="I71" s="11" t="str">
        <f>IF(G71="No","No",IF(_xlfn.XLOOKUP(B71,'Base stats'!B:B,'Base stats'!U:U)="No","No",
MAX(0.01,MROUND(_xlfn.XLOOKUP(B71,'Base stats'!B:B,'Base stats'!BT:BT)/10000,0.01))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MAX(0.01,MROUND(_xlfn.XLOOKUP(B71,'Base stats'!B:B,'Base stats'!BI:BI)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stats'!BU:BU)/10000,0.01))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MAX(0.01,MROUND(_xlfn.XLOOKUP(B71,'Base stats'!B:B,'Base stats'!BJ:BJ) * 0.01 * 2, 0.01))
)</f>
        <v>0.17</v>
      </c>
      <c r="Q71" s="5">
        <f>IF(O71="No","No",
MAX(0.01,MROUND(_xlfn.XLOOKUP(B71,'Base stats'!B:B,'Base stats'!BV:BV)/10000,0.01))
)</f>
        <v>0.01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MAX(0.01,MROUND(_xlfn.XLOOKUP(B71,'Base stats'!B:B,'Base stats'!BH:BH) * 0.01 * 2, 0.01))
)</f>
        <v>No</v>
      </c>
      <c r="U71" s="5" t="str">
        <f>IF(S71="No","No",IF(_xlfn.XLOOKUP(B71,'Base stats'!B:B,'Base stats'!U:U)="No","No",
MAX(0.01,MROUND(_xlfn.XLOOKUP(B71,'Base stats'!B:B,'Base stats'!BT:BT)/10000,0.01))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stats'!C:C)^-0.165,0.01)</f>
        <v>0.57000000000000006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stats'!AQ:AQ)*_xlfn.XLOOKUP(_xlfn.XLOOKUP(B71,'Base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stats'!AQ:AQ)*0.01,2)</f>
        <v>0.01</v>
      </c>
      <c r="AB71" s="18">
        <f>250*(Animals!AO71+Animals!AP71)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MAX(0.01,MROUND(_xlfn.XLOOKUP(B72,'Base stats'!B:B,'Base stats'!BG:BG) * 0.01 * 2, 0.01))</f>
        <v>0.14000000000000001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MAX(0.01,MROUND(_xlfn.XLOOKUP(B72,'Base stats'!B:B,'Base stats'!BH:BH) * 0.01 * 2, 0.01))
)</f>
        <v>0.22</v>
      </c>
      <c r="I72" s="11">
        <f>IF(G72="No","No",IF(_xlfn.XLOOKUP(B72,'Base stats'!B:B,'Base stats'!U:U)="No","No",
MAX(0.01,MROUND(_xlfn.XLOOKUP(B72,'Base stats'!B:B,'Base stats'!BT:BT)/10000,0.01))
))</f>
        <v>0.04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MAX(0.01,MROUND(_xlfn.XLOOKUP(B72,'Base stats'!B:B,'Base stats'!BI:BI)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stats'!BU:BU)/10000,0.01))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MAX(0.01,MROUND(_xlfn.XLOOKUP(B72,'Base stats'!B:B,'Base stats'!BJ:BJ) * 0.01 * 2, 0.01))
)</f>
        <v>0.04</v>
      </c>
      <c r="Q72" s="5">
        <f>IF(O72="No","No",
MAX(0.01,MROUND(_xlfn.XLOOKUP(B72,'Base stats'!B:B,'Base stats'!BV:BV)/10000,0.01))
)</f>
        <v>0.01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MAX(0.01,MROUND(_xlfn.XLOOKUP(B72,'Base stats'!B:B,'Base stats'!BH:BH) * 0.01 * 2, 0.01))
)</f>
        <v>No</v>
      </c>
      <c r="U72" s="5" t="str">
        <f>IF(S72="No","No",IF(_xlfn.XLOOKUP(B72,'Base stats'!B:B,'Base stats'!U:U)="No","No",
MAX(0.01,MROUND(_xlfn.XLOOKUP(B72,'Base stats'!B:B,'Base stats'!BT:BT)/10000,0.01))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stats'!AQ:AQ)*_xlfn.XLOOKUP(_xlfn.XLOOKUP(B72,'Base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stats'!AQ:AQ)*0.01,2)</f>
        <v>0.01</v>
      </c>
      <c r="AB72" s="18">
        <f>250*(Animals!AO72+Animals!AP72)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MAX(0.01,MROUND(_xlfn.XLOOKUP(B73,'Base stats'!B:B,'Base stats'!BG:BG) * 0.01 * 2, 0.01))</f>
        <v>0.18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MAX(0.01,MROUND(_xlfn.XLOOKUP(B73,'Base stats'!B:B,'Base stats'!BH:BH) * 0.01 * 2, 0.01))
)</f>
        <v>0.27</v>
      </c>
      <c r="I73" s="11">
        <f>IF(G73="No","No",IF(_xlfn.XLOOKUP(B73,'Base stats'!B:B,'Base stats'!U:U)="No","No",
MAX(0.01,MROUND(_xlfn.XLOOKUP(B73,'Base stats'!B:B,'Base stats'!BT:BT)/10000,0.01))
))</f>
        <v>0.05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MAX(0.01,MROUND(_xlfn.XLOOKUP(B73,'Base stats'!B:B,'Base stats'!BI:BI)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stats'!BU:BU)/10000,0.01))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MAX(0.01,MROUND(_xlfn.XLOOKUP(B73,'Base stats'!B:B,'Base stats'!BJ:BJ) * 0.01 * 2, 0.01))
)</f>
        <v>0.05</v>
      </c>
      <c r="Q73" s="5">
        <f>IF(O73="No","No",
MAX(0.01,MROUND(_xlfn.XLOOKUP(B73,'Base stats'!B:B,'Base stats'!BV:BV)/10000,0.01))
)</f>
        <v>0.01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MAX(0.01,MROUND(_xlfn.XLOOKUP(B73,'Base stats'!B:B,'Base stats'!BH:BH) * 0.01 * 2, 0.01))
)</f>
        <v>No</v>
      </c>
      <c r="U73" s="5" t="str">
        <f>IF(S73="No","No",IF(_xlfn.XLOOKUP(B73,'Base stats'!B:B,'Base stats'!U:U)="No","No",
MAX(0.01,MROUND(_xlfn.XLOOKUP(B73,'Base stats'!B:B,'Base stats'!BT:BT)/10000,0.01))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stats'!AQ:AQ)*_xlfn.XLOOKUP(_xlfn.XLOOKUP(B73,'Base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stats'!AQ:AQ)*0.01,2)</f>
        <v>0.01</v>
      </c>
      <c r="AB73" s="18">
        <f>250*(Animals!AO73+Animals!AP73)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MAX(0.01,MROUND(_xlfn.XLOOKUP(B74,'Base stats'!B:B,'Base stats'!BG:BG) * 0.01 * 2, 0.01))</f>
        <v>4.42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MAX(0.01,MROUND(_xlfn.XLOOKUP(B74,'Base stats'!B:B,'Base stats'!BH:BH) * 0.01 * 2, 0.01))
)</f>
        <v>No</v>
      </c>
      <c r="I74" s="11" t="str">
        <f>IF(G74="No","No",IF(_xlfn.XLOOKUP(B74,'Base stats'!B:B,'Base stats'!U:U)="No","No",
MAX(0.01,MROUND(_xlfn.XLOOKUP(B74,'Base stats'!B:B,'Base stats'!BT:BT)/10000,0.01))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MAX(0.01,MROUND(_xlfn.XLOOKUP(B74,'Base stats'!B:B,'Base stats'!BI:BI)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stats'!BU:BU)/10000,0.01))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MAX(0.01,MROUND(_xlfn.XLOOKUP(B74,'Base stats'!B:B,'Base stats'!BJ:BJ) * 0.01 * 2, 0.01))
)</f>
        <v>13.36</v>
      </c>
      <c r="Q74" s="5">
        <f>IF(O74="No","No",
MAX(0.01,MROUND(_xlfn.XLOOKUP(B74,'Base stats'!B:B,'Base stats'!BV:BV)/10000,0.01))
)</f>
        <v>0.55000000000000004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MAX(0.01,MROUND(_xlfn.XLOOKUP(B74,'Base stats'!B:B,'Base stats'!BH:BH) * 0.01 * 2, 0.01))
)</f>
        <v>5.38</v>
      </c>
      <c r="U74" s="5">
        <f>IF(S74="No","No",IF(_xlfn.XLOOKUP(B74,'Base stats'!B:B,'Base stats'!U:U)="No","No",
MAX(0.01,MROUND(_xlfn.XLOOKUP(B74,'Base stats'!B:B,'Base stats'!BT:BT)/10000,0.01))
))</f>
        <v>0.22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stats'!AQ:AQ)*_xlfn.XLOOKUP(_xlfn.XLOOKUP(B74,'Base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stats'!AQ:AQ)*0.01,2)</f>
        <v>1.03</v>
      </c>
      <c r="AB74" s="18">
        <f>250*(Animals!AO74+Animals!AP74)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MAX(0.01,MROUND(_xlfn.XLOOKUP(B75,'Base stats'!B:B,'Base stats'!BG:BG) * 0.01 * 2, 0.01))</f>
        <v>5.22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MAX(0.01,MROUND(_xlfn.XLOOKUP(B75,'Base stats'!B:B,'Base stats'!BH:BH) * 0.01 * 2, 0.01))
)</f>
        <v>No</v>
      </c>
      <c r="I75" s="11" t="str">
        <f>IF(G75="No","No",IF(_xlfn.XLOOKUP(B75,'Base stats'!B:B,'Base stats'!U:U)="No","No",
MAX(0.01,MROUND(_xlfn.XLOOKUP(B75,'Base stats'!B:B,'Base stats'!BT:BT)/10000,0.01))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MAX(0.01,MROUND(_xlfn.XLOOKUP(B75,'Base stats'!B:B,'Base stats'!BI:BI)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stats'!BU:BU)/10000,0.01))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MAX(0.01,MROUND(_xlfn.XLOOKUP(B75,'Base stats'!B:B,'Base stats'!BJ:BJ) * 0.01 * 2, 0.01))
)</f>
        <v>11.86</v>
      </c>
      <c r="Q75" s="5">
        <f>IF(O75="No","No",
MAX(0.01,MROUND(_xlfn.XLOOKUP(B75,'Base stats'!B:B,'Base stats'!BV:BV)/10000,0.01))
)</f>
        <v>0.45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MAX(0.01,MROUND(_xlfn.XLOOKUP(B75,'Base stats'!B:B,'Base stats'!BH:BH) * 0.01 * 2, 0.01))
)</f>
        <v>6.29</v>
      </c>
      <c r="U75" s="5">
        <f>IF(S75="No","No",IF(_xlfn.XLOOKUP(B75,'Base stats'!B:B,'Base stats'!U:U)="No","No",
MAX(0.01,MROUND(_xlfn.XLOOKUP(B75,'Base stats'!B:B,'Base stats'!BT:BT)/10000,0.01))
))</f>
        <v>0.24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stats'!AQ:AQ)*_xlfn.XLOOKUP(_xlfn.XLOOKUP(B75,'Base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stats'!AQ:AQ)*0.01,2)</f>
        <v>1.1000000000000001</v>
      </c>
      <c r="AB75" s="18">
        <f>250*(Animals!AO75+Animals!AP75)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MAX(0.01,MROUND(_xlfn.XLOOKUP(B76,'Base stats'!B:B,'Base stats'!BG:BG) * 0.01 * 2, 0.01))</f>
        <v>0.02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MAX(0.01,MROUND(_xlfn.XLOOKUP(B76,'Base stats'!B:B,'Base stats'!BH:BH) * 0.01 * 2, 0.01))
)</f>
        <v>No</v>
      </c>
      <c r="I76" s="11" t="str">
        <f>IF(G76="No","No",IF(_xlfn.XLOOKUP(B76,'Base stats'!B:B,'Base stats'!U:U)="No","No",
MAX(0.01,MROUND(_xlfn.XLOOKUP(B76,'Base stats'!B:B,'Base stats'!BT:BT)/10000,0.01))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MAX(0.01,MROUND(_xlfn.XLOOKUP(B76,'Base stats'!B:B,'Base stats'!BI:BI)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stats'!BU:BU)/10000,0.01))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MAX(0.01,MROUND(_xlfn.XLOOKUP(B76,'Base stats'!B:B,'Base stats'!BJ:BJ) * 0.01 * 2, 0.01))
)</f>
        <v>0.04</v>
      </c>
      <c r="Q76" s="5">
        <f>IF(O76="No","No",
MAX(0.01,MROUND(_xlfn.XLOOKUP(B76,'Base stats'!B:B,'Base stats'!BV:BV)/10000,0.01))
)</f>
        <v>0.02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MAX(0.01,MROUND(_xlfn.XLOOKUP(B76,'Base stats'!B:B,'Base stats'!BH:BH) * 0.01 * 2, 0.01))
)</f>
        <v>No</v>
      </c>
      <c r="U76" s="5" t="str">
        <f>IF(S76="No","No",IF(_xlfn.XLOOKUP(B76,'Base stats'!B:B,'Base stats'!U:U)="No","No",
MAX(0.01,MROUND(_xlfn.XLOOKUP(B76,'Base stats'!B:B,'Base stats'!BT:BT)/10000,0.01))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stats'!AQ:AQ)*_xlfn.XLOOKUP(_xlfn.XLOOKUP(B76,'Base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stats'!AQ:AQ)*0.01,2)</f>
        <v>0.04</v>
      </c>
      <c r="AB76" s="18">
        <f>250*(Animals!AO76+Animals!AP76)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MAX(0.01,MROUND(_xlfn.XLOOKUP(B77,'Base stats'!B:B,'Base stats'!BG:BG) * 0.01 * 2, 0.01))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MAX(0.01,MROUND(_xlfn.XLOOKUP(B77,'Base stats'!B:B,'Base stats'!BH:BH) * 0.01 * 2, 0.01))
)</f>
        <v>No</v>
      </c>
      <c r="I77" s="11" t="str">
        <f>IF(G77="No","No",IF(_xlfn.XLOOKUP(B77,'Base stats'!B:B,'Base stats'!U:U)="No","No",
MAX(0.01,MROUND(_xlfn.XLOOKUP(B77,'Base stats'!B:B,'Base stats'!BT:BT)/10000,0.01))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MAX(0.01,MROUND(_xlfn.XLOOKUP(B77,'Base stats'!B:B,'Base stats'!BI:BI)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stats'!BU:BU)/10000,0.01))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MAX(0.01,MROUND(_xlfn.XLOOKUP(B77,'Base stats'!B:B,'Base stats'!BJ:BJ) * 0.01 * 2, 0.01))
)</f>
        <v>1.1500000000000001</v>
      </c>
      <c r="Q77" s="5">
        <f>IF(O77="No","No",
MAX(0.01,MROUND(_xlfn.XLOOKUP(B77,'Base stats'!B:B,'Base stats'!BV:BV)/10000,0.01))
)</f>
        <v>0.08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MAX(0.01,MROUND(_xlfn.XLOOKUP(B77,'Base stats'!B:B,'Base stats'!BH:BH) * 0.01 * 2, 0.01))
)</f>
        <v>No</v>
      </c>
      <c r="U77" s="5" t="str">
        <f>IF(S77="No","No",IF(_xlfn.XLOOKUP(B77,'Base stats'!B:B,'Base stats'!U:U)="No","No",
MAX(0.01,MROUND(_xlfn.XLOOKUP(B77,'Base stats'!B:B,'Base stats'!BT:BT)/10000,0.01))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stats'!AQ:AQ)*_xlfn.XLOOKUP(_xlfn.XLOOKUP(B77,'Base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stats'!AQ:AQ)*0.01,2)</f>
        <v>0.15</v>
      </c>
      <c r="AB77" s="18">
        <f>250*(Animals!AO77+Animals!AP77)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MAX(0.01,MROUND(_xlfn.XLOOKUP(B78,'Base stats'!B:B,'Base stats'!BG:BG) * 0.01 * 2, 0.01))</f>
        <v>27.26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MAX(0.01,MROUND(_xlfn.XLOOKUP(B78,'Base stats'!B:B,'Base stats'!BH:BH) * 0.01 * 2, 0.01))
)</f>
        <v>No</v>
      </c>
      <c r="I78" s="11" t="str">
        <f>IF(G78="No","No",IF(_xlfn.XLOOKUP(B78,'Base stats'!B:B,'Base stats'!U:U)="No","No",
MAX(0.01,MROUND(_xlfn.XLOOKUP(B78,'Base stats'!B:B,'Base stats'!BT:BT)/10000,0.01))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MAX(0.01,MROUND(_xlfn.XLOOKUP(B78,'Base stats'!B:B,'Base stats'!BI:BI)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stats'!BU:BU)/10000,0.01))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MAX(0.01,MROUND(_xlfn.XLOOKUP(B78,'Base stats'!B:B,'Base stats'!BJ:BJ) * 0.01 * 2, 0.01))
)</f>
        <v>17.059999999999999</v>
      </c>
      <c r="Q78" s="5">
        <f>IF(O78="No","No",
MAX(0.01,MROUND(_xlfn.XLOOKUP(B78,'Base stats'!B:B,'Base stats'!BV:BV)/10000,0.01))
)</f>
        <v>0.1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MAX(0.01,MROUND(_xlfn.XLOOKUP(B78,'Base stats'!B:B,'Base stats'!BH:BH) * 0.01 * 2, 0.01))
)</f>
        <v>No</v>
      </c>
      <c r="U78" s="5" t="str">
        <f>IF(S78="No","No",IF(_xlfn.XLOOKUP(B78,'Base stats'!B:B,'Base stats'!U:U)="No","No",
MAX(0.01,MROUND(_xlfn.XLOOKUP(B78,'Base stats'!B:B,'Base stats'!BT:BT)/10000,0.01))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stats'!AQ:AQ)*_xlfn.XLOOKUP(_xlfn.XLOOKUP(B78,'Base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stats'!AQ:AQ)*0.01,2)</f>
        <v>2.19</v>
      </c>
      <c r="AB78" s="18">
        <f>250*(Animals!AO78+Animals!AP78)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MAX(0.01,MROUND(_xlfn.XLOOKUP(B79,'Base stats'!B:B,'Base stats'!BG:BG) * 0.01 * 2, 0.01))</f>
        <v>53.410000000000004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MAX(0.01,MROUND(_xlfn.XLOOKUP(B79,'Base stats'!B:B,'Base stats'!BH:BH) * 0.01 * 2, 0.01))
)</f>
        <v>46.35</v>
      </c>
      <c r="I79" s="11" t="str">
        <f>IF(G79="No","No",IF(_xlfn.XLOOKUP(B79,'Base stats'!B:B,'Base stats'!U:U)="No","No",
MAX(0.01,MROUND(_xlfn.XLOOKUP(B79,'Base stats'!B:B,'Base stats'!BT:BT)/10000,0.01))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MAX(0.01,MROUND(_xlfn.XLOOKUP(B79,'Base stats'!B:B,'Base stats'!BI:BI) * 0.01 *2, 0.01))
)</f>
        <v>55.61</v>
      </c>
      <c r="M79" s="5">
        <f>IF(K79="No","No",IF(_xlfn.XLOOKUP(_xlfn.XLOOKUP(B79,'Base stats'!B:B,'Base stats'!E:E),Groups!A:A,Groups!BD:BD)=1,"No",
MAX(0.01,MROUND(_xlfn.XLOOKUP(B79,'Base stats'!B:B,'Base stats'!BU:BU)/10000,0.01))
))</f>
        <v>2.35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MAX(0.01,MROUND(_xlfn.XLOOKUP(B79,'Base stats'!B:B,'Base stats'!BJ:BJ) * 0.01 * 2, 0.01))
)</f>
        <v>No</v>
      </c>
      <c r="Q79" s="5" t="str">
        <f>IF(O79="No","No",
MAX(0.01,MROUND(_xlfn.XLOOKUP(B79,'Base stats'!B:B,'Base stats'!BV:BV)/10000,0.01))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MAX(0.01,MROUND(_xlfn.XLOOKUP(B79,'Base stats'!B:B,'Base stats'!BH:BH) * 0.01 * 2, 0.01))
)</f>
        <v>No</v>
      </c>
      <c r="U79" s="5" t="str">
        <f>IF(S79="No","No",IF(_xlfn.XLOOKUP(B79,'Base stats'!B:B,'Base stats'!U:U)="No","No",
MAX(0.01,MROUND(_xlfn.XLOOKUP(B79,'Base stats'!B:B,'Base stats'!BT:BT)/10000,0.01))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stats'!AQ:AQ)*_xlfn.XLOOKUP(_xlfn.XLOOKUP(B79,'Base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stats'!AQ:AQ)*0.01,2)</f>
        <v>1.08</v>
      </c>
      <c r="AB79" s="18">
        <f>250*(Animals!AO79+Animals!AP79)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MAX(0.01,MROUND(_xlfn.XLOOKUP(B80,'Base stats'!B:B,'Base stats'!BG:BG) * 0.01 * 2, 0.01))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MAX(0.01,MROUND(_xlfn.XLOOKUP(B80,'Base stats'!B:B,'Base stats'!BH:BH) * 0.01 * 2, 0.01))
)</f>
        <v>52.86</v>
      </c>
      <c r="I80" s="11" t="str">
        <f>IF(G80="No","No",IF(_xlfn.XLOOKUP(B80,'Base stats'!B:B,'Base stats'!U:U)="No","No",
MAX(0.01,MROUND(_xlfn.XLOOKUP(B80,'Base stats'!B:B,'Base stats'!BT:BT)/10000,0.01))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MAX(0.01,MROUND(_xlfn.XLOOKUP(B80,'Base stats'!B:B,'Base stats'!BI:BI)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stats'!BU:BU)/10000,0.01))
))</f>
        <v>30.79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MAX(0.01,MROUND(_xlfn.XLOOKUP(B80,'Base stats'!B:B,'Base stats'!BJ:BJ) * 0.01 * 2, 0.01))
)</f>
        <v>No</v>
      </c>
      <c r="Q80" s="5" t="str">
        <f>IF(O80="No","No",
MAX(0.01,MROUND(_xlfn.XLOOKUP(B80,'Base stats'!B:B,'Base stats'!BV:BV)/10000,0.01))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MAX(0.01,MROUND(_xlfn.XLOOKUP(B80,'Base stats'!B:B,'Base stats'!BH:BH) * 0.01 * 2, 0.01))
)</f>
        <v>No</v>
      </c>
      <c r="U80" s="5" t="str">
        <f>IF(S80="No","No",IF(_xlfn.XLOOKUP(B80,'Base stats'!B:B,'Base stats'!U:U)="No","No",
MAX(0.01,MROUND(_xlfn.XLOOKUP(B80,'Base stats'!B:B,'Base stats'!BT:BT)/10000,0.01))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stats'!AQ:AQ)*_xlfn.XLOOKUP(_xlfn.XLOOKUP(B80,'Base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stats'!AQ:AQ)*0.01,2)</f>
        <v>2.2799999999999998</v>
      </c>
      <c r="AB80" s="18">
        <f>250*(Animals!AO80+Animals!AP80)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0.30000000000000004</v>
      </c>
      <c r="E81" s="11">
        <f>MAX(0.01,MROUND(_xlfn.XLOOKUP(B81,'Base stats'!B:B,'Base stats'!BG:BG) * 0.01 * 2, 0.01))</f>
        <v>0.19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MAX(0.01,MROUND(_xlfn.XLOOKUP(B81,'Base stats'!B:B,'Base stats'!BH:BH) * 0.01 * 2, 0.01))
)</f>
        <v>No</v>
      </c>
      <c r="I81" s="11" t="str">
        <f>IF(G81="No","No",IF(_xlfn.XLOOKUP(B81,'Base stats'!B:B,'Base stats'!U:U)="No","No",
MAX(0.01,MROUND(_xlfn.XLOOKUP(B81,'Base stats'!B:B,'Base stats'!BT:BT)/10000,0.01))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MAX(0.01,MROUND(_xlfn.XLOOKUP(B81,'Base stats'!B:B,'Base stats'!BI:BI)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stats'!BU:BU)/10000,0.01))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3.6</v>
      </c>
      <c r="P81" s="11">
        <f>IF(O81="No","No",
MAX(0.01,MROUND(_xlfn.XLOOKUP(B81,'Base stats'!B:B,'Base stats'!BJ:BJ) * 0.01 * 2, 0.01))
)</f>
        <v>0.3</v>
      </c>
      <c r="Q81" s="5">
        <f>IF(O81="No","No",
MAX(0.01,MROUND(_xlfn.XLOOKUP(B81,'Base stats'!B:B,'Base stats'!BV:BV)/10000,0.01))
)</f>
        <v>0.05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1.8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MAX(0.01,MROUND(_xlfn.XLOOKUP(B81,'Base stats'!B:B,'Base stats'!BH:BH) * 0.01 * 2, 0.01))
)</f>
        <v>No</v>
      </c>
      <c r="U81" s="5" t="str">
        <f>IF(S81="No","No",IF(_xlfn.XLOOKUP(B81,'Base stats'!B:B,'Base stats'!U:U)="No","No",
MAX(0.01,MROUND(_xlfn.XLOOKUP(B81,'Base stats'!B:B,'Base stats'!BT:BT)/10000,0.01))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stats'!C:C)^-0.165,0.01)</f>
        <v>0.38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stats'!AQ:AQ)*_xlfn.XLOOKUP(_xlfn.XLOOKUP(B81,'Base stats'!B:B,'Base stats'!E:E),Groups!A:A,Groups!H:H)/1000,2)</f>
        <v>0.48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stats'!AQ:AQ)*0.01,2)</f>
        <v>0.34</v>
      </c>
      <c r="AB81" s="18">
        <f>250*(Animals!AO81+Animals!AP81)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MAX(0.01,MROUND(_xlfn.XLOOKUP(B82,'Base stats'!B:B,'Base stats'!BG:BG) * 0.01 * 2, 0.01))</f>
        <v>0.59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MAX(0.01,MROUND(_xlfn.XLOOKUP(B82,'Base stats'!B:B,'Base stats'!BH:BH) * 0.01 * 2, 0.01))
)</f>
        <v>No</v>
      </c>
      <c r="I82" s="11" t="str">
        <f>IF(G82="No","No",IF(_xlfn.XLOOKUP(B82,'Base stats'!B:B,'Base stats'!U:U)="No","No",
MAX(0.01,MROUND(_xlfn.XLOOKUP(B82,'Base stats'!B:B,'Base stats'!BT:BT)/10000,0.01))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MAX(0.01,MROUND(_xlfn.XLOOKUP(B82,'Base stats'!B:B,'Base stats'!BI:BI)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stats'!BU:BU)/10000,0.01))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MAX(0.01,MROUND(_xlfn.XLOOKUP(B82,'Base stats'!B:B,'Base stats'!BJ:BJ) * 0.01 * 2, 0.01))
)</f>
        <v>1.92</v>
      </c>
      <c r="Q82" s="5">
        <f>IF(O82="No","No",
MAX(0.01,MROUND(_xlfn.XLOOKUP(B82,'Base stats'!B:B,'Base stats'!BV:BV)/10000,0.01))
)</f>
        <v>0.19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MAX(0.01,MROUND(_xlfn.XLOOKUP(B82,'Base stats'!B:B,'Base stats'!BH:BH) * 0.01 * 2, 0.01))
)</f>
        <v>0.81</v>
      </c>
      <c r="U82" s="5">
        <f>IF(S82="No","No",IF(_xlfn.XLOOKUP(B82,'Base stats'!B:B,'Base stats'!U:U)="No","No",
MAX(0.01,MROUND(_xlfn.XLOOKUP(B82,'Base stats'!B:B,'Base stats'!BT:BT)/10000,0.01))
))</f>
        <v>0.08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stats'!AQ:AQ)*_xlfn.XLOOKUP(_xlfn.XLOOKUP(B82,'Base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stats'!AQ:AQ)*0.01,2)</f>
        <v>0.47</v>
      </c>
      <c r="AB82" s="18">
        <f>250*(Animals!AO82+Animals!AP82)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MAX(0.01,MROUND(_xlfn.XLOOKUP(B83,'Base stats'!B:B,'Base stats'!BG:BG) * 0.01 * 2, 0.01))</f>
        <v>0.04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MAX(0.01,MROUND(_xlfn.XLOOKUP(B83,'Base stats'!B:B,'Base stats'!BH:BH) * 0.01 * 2, 0.01))
)</f>
        <v>No</v>
      </c>
      <c r="I83" s="11" t="str">
        <f>IF(G83="No","No",IF(_xlfn.XLOOKUP(B83,'Base stats'!B:B,'Base stats'!U:U)="No","No",
MAX(0.01,MROUND(_xlfn.XLOOKUP(B83,'Base stats'!B:B,'Base stats'!BT:BT)/10000,0.01))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MAX(0.01,MROUND(_xlfn.XLOOKUP(B83,'Base stats'!B:B,'Base stats'!BI:BI)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stats'!BU:BU)/10000,0.01))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MAX(0.01,MROUND(_xlfn.XLOOKUP(B83,'Base stats'!B:B,'Base stats'!BJ:BJ) * 0.01 * 2, 0.01))
)</f>
        <v>0.08</v>
      </c>
      <c r="Q83" s="5">
        <f>IF(O83="No","No",
MAX(0.01,MROUND(_xlfn.XLOOKUP(B83,'Base stats'!B:B,'Base stats'!BV:BV)/10000,0.01))
)</f>
        <v>0.03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MAX(0.01,MROUND(_xlfn.XLOOKUP(B83,'Base stats'!B:B,'Base stats'!BH:BH) * 0.01 * 2, 0.01))
)</f>
        <v>0.06</v>
      </c>
      <c r="U83" s="5">
        <f>IF(S83="No","No",IF(_xlfn.XLOOKUP(B83,'Base stats'!B:B,'Base stats'!U:U)="No","No",
MAX(0.01,MROUND(_xlfn.XLOOKUP(B83,'Base stats'!B:B,'Base stats'!BT:BT)/10000,0.01))
))</f>
        <v>0.02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stats'!AQ:AQ)*_xlfn.XLOOKUP(_xlfn.XLOOKUP(B83,'Base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stats'!AQ:AQ)*0.01,2)</f>
        <v>0.16</v>
      </c>
      <c r="AB83" s="18">
        <f>250*(Animals!AO83+Animals!AP83)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MAX(0.01,MROUND(_xlfn.XLOOKUP(B84,'Base stats'!B:B,'Base stats'!BG:BG) * 0.01 * 2, 0.01))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MAX(0.01,MROUND(_xlfn.XLOOKUP(B84,'Base stats'!B:B,'Base stats'!BH:BH) * 0.01 * 2, 0.01))
)</f>
        <v>No</v>
      </c>
      <c r="I84" s="11" t="str">
        <f>IF(G84="No","No",IF(_xlfn.XLOOKUP(B84,'Base stats'!B:B,'Base stats'!U:U)="No","No",
MAX(0.01,MROUND(_xlfn.XLOOKUP(B84,'Base stats'!B:B,'Base stats'!BT:BT)/10000,0.01))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MAX(0.01,MROUND(_xlfn.XLOOKUP(B84,'Base stats'!B:B,'Base stats'!BI:BI)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stats'!BU:BU)/10000,0.01))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MAX(0.01,MROUND(_xlfn.XLOOKUP(B84,'Base stats'!B:B,'Base stats'!BJ:BJ) * 0.01 * 2, 0.01))
)</f>
        <v>0.59</v>
      </c>
      <c r="Q84" s="5">
        <f>IF(O84="No","No",
MAX(0.01,MROUND(_xlfn.XLOOKUP(B84,'Base stats'!B:B,'Base stats'!BV:BV)/10000,0.01))
)</f>
        <v>7.0000000000000007E-2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MAX(0.01,MROUND(_xlfn.XLOOKUP(B84,'Base stats'!B:B,'Base stats'!BH:BH) * 0.01 * 2, 0.01))
)</f>
        <v>0.57000000000000006</v>
      </c>
      <c r="U84" s="5">
        <f>IF(S84="No","No",IF(_xlfn.XLOOKUP(B84,'Base stats'!B:B,'Base stats'!U:U)="No","No",
MAX(0.01,MROUND(_xlfn.XLOOKUP(B84,'Base stats'!B:B,'Base stats'!BT:BT)/10000,0.01))
))</f>
        <v>7.0000000000000007E-2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stats'!AQ:AQ)*_xlfn.XLOOKUP(_xlfn.XLOOKUP(B84,'Base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stats'!AQ:AQ)*0.01,2)</f>
        <v>0.41</v>
      </c>
      <c r="AB84" s="18">
        <f>250*(Animals!AO84+Animals!AP84)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MAX(0.01,MROUND(_xlfn.XLOOKUP(B85,'Base stats'!B:B,'Base stats'!BG:BG) * 0.01 * 2, 0.01))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MAX(0.01,MROUND(_xlfn.XLOOKUP(B85,'Base stats'!B:B,'Base stats'!BH:BH) * 0.01 * 2, 0.01))
)</f>
        <v>No</v>
      </c>
      <c r="I85" s="11" t="str">
        <f>IF(G85="No","No",IF(_xlfn.XLOOKUP(B85,'Base stats'!B:B,'Base stats'!U:U)="No","No",
MAX(0.01,MROUND(_xlfn.XLOOKUP(B85,'Base stats'!B:B,'Base stats'!BT:BT)/10000,0.01))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MAX(0.01,MROUND(_xlfn.XLOOKUP(B85,'Base stats'!B:B,'Base stats'!BI:BI)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stats'!BU:BU)/10000,0.01))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MAX(0.01,MROUND(_xlfn.XLOOKUP(B85,'Base stats'!B:B,'Base stats'!BJ:BJ) * 0.01 * 2, 0.01))
)</f>
        <v>0.52</v>
      </c>
      <c r="Q85" s="5">
        <f>IF(O85="No","No",
MAX(0.01,MROUND(_xlfn.XLOOKUP(B85,'Base stats'!B:B,'Base stats'!BV:BV)/10000,0.01))
)</f>
        <v>7.0000000000000007E-2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MAX(0.01,MROUND(_xlfn.XLOOKUP(B85,'Base stats'!B:B,'Base stats'!BH:BH) * 0.01 * 2, 0.01))
)</f>
        <v>0.5</v>
      </c>
      <c r="U85" s="5">
        <f>IF(S85="No","No",IF(_xlfn.XLOOKUP(B85,'Base stats'!B:B,'Base stats'!U:U)="No","No",
MAX(0.01,MROUND(_xlfn.XLOOKUP(B85,'Base stats'!B:B,'Base stats'!BT:BT)/10000,0.01))
))</f>
        <v>0.06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stats'!AQ:AQ)*_xlfn.XLOOKUP(_xlfn.XLOOKUP(B85,'Base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stats'!AQ:AQ)*0.01,2)</f>
        <v>0.39</v>
      </c>
      <c r="AB85" s="18">
        <f>250*(Animals!AO85+Animals!AP85)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MAX(0.01,MROUND(_xlfn.XLOOKUP(B86,'Base stats'!B:B,'Base stats'!BG:BG) * 0.01 * 2, 0.01))</f>
        <v>4.41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MAX(0.01,MROUND(_xlfn.XLOOKUP(B86,'Base stats'!B:B,'Base stats'!BH:BH) * 0.01 * 2, 0.01))
)</f>
        <v>No</v>
      </c>
      <c r="I86" s="11" t="str">
        <f>IF(G86="No","No",IF(_xlfn.XLOOKUP(B86,'Base stats'!B:B,'Base stats'!U:U)="No","No",
MAX(0.01,MROUND(_xlfn.XLOOKUP(B86,'Base stats'!B:B,'Base stats'!BT:BT)/10000,0.01))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MAX(0.01,MROUND(_xlfn.XLOOKUP(B86,'Base stats'!B:B,'Base stats'!BI:BI)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stats'!BU:BU)/10000,0.01))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MAX(0.01,MROUND(_xlfn.XLOOKUP(B86,'Base stats'!B:B,'Base stats'!BJ:BJ) * 0.01 * 2, 0.01))
)</f>
        <v>4.93</v>
      </c>
      <c r="Q86" s="5">
        <f>IF(O86="No","No",
MAX(0.01,MROUND(_xlfn.XLOOKUP(B86,'Base stats'!B:B,'Base stats'!BV:BV)/10000,0.01))
)</f>
        <v>0.2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MAX(0.01,MROUND(_xlfn.XLOOKUP(B86,'Base stats'!B:B,'Base stats'!BH:BH) * 0.01 * 2, 0.01))
)</f>
        <v>No</v>
      </c>
      <c r="U86" s="5" t="str">
        <f>IF(S86="No","No",IF(_xlfn.XLOOKUP(B86,'Base stats'!B:B,'Base stats'!U:U)="No","No",
MAX(0.01,MROUND(_xlfn.XLOOKUP(B86,'Base stats'!B:B,'Base stats'!BT:BT)/10000,0.01))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stats'!C:C)^-0.165,0.01)</f>
        <v>0.3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stats'!AQ:AQ)*_xlfn.XLOOKUP(_xlfn.XLOOKUP(B86,'Base stats'!B:B,'Base stats'!E:E),Groups!A:A,Groups!H:H)/1000,2)</f>
        <v>0.14000000000000001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stats'!AQ:AQ)*0.01,2)</f>
        <v>0.75</v>
      </c>
      <c r="AB86" s="18">
        <f>250*(Animals!AO86+Animals!AP86)</f>
        <v>937.50000000000011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MAX(0.01,MROUND(_xlfn.XLOOKUP(B87,'Base stats'!B:B,'Base stats'!BG:BG) * 0.01 * 2, 0.01))</f>
        <v>2.94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MAX(0.01,MROUND(_xlfn.XLOOKUP(B87,'Base stats'!B:B,'Base stats'!BH:BH) * 0.01 * 2, 0.01))
)</f>
        <v>No</v>
      </c>
      <c r="I87" s="11" t="str">
        <f>IF(G87="No","No",IF(_xlfn.XLOOKUP(B87,'Base stats'!B:B,'Base stats'!U:U)="No","No",
MAX(0.01,MROUND(_xlfn.XLOOKUP(B87,'Base stats'!B:B,'Base stats'!BT:BT)/10000,0.01))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MAX(0.01,MROUND(_xlfn.XLOOKUP(B87,'Base stats'!B:B,'Base stats'!BI:BI)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stats'!BU:BU)/10000,0.01))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MAX(0.01,MROUND(_xlfn.XLOOKUP(B87,'Base stats'!B:B,'Base stats'!BJ:BJ) * 0.01 * 2, 0.01))
)</f>
        <v>3.43</v>
      </c>
      <c r="Q87" s="5">
        <f>IF(O87="No","No",
MAX(0.01,MROUND(_xlfn.XLOOKUP(B87,'Base stats'!B:B,'Base stats'!BV:BV)/10000,0.01))
)</f>
        <v>0.17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MAX(0.01,MROUND(_xlfn.XLOOKUP(B87,'Base stats'!B:B,'Base stats'!BH:BH) * 0.01 * 2, 0.01))
)</f>
        <v>No</v>
      </c>
      <c r="U87" s="5" t="str">
        <f>IF(S87="No","No",IF(_xlfn.XLOOKUP(B87,'Base stats'!B:B,'Base stats'!U:U)="No","No",
MAX(0.01,MROUND(_xlfn.XLOOKUP(B87,'Base stats'!B:B,'Base stats'!BT:BT)/10000,0.01))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stats'!C:C)^-0.165,0.01)</f>
        <v>0.32</v>
      </c>
      <c r="X87" s="1">
        <f>MROUND(_xlfn.XLOOKUP(_xlfn.XLOOKUP(B87,'Base stats'!B:B,'Base stats'!E:E),Groups!A:A,Groups!BH:BH)*_xlfn.XLOOKUP(B87,'Base stats'!B:B,'Base stats'!C:C)^0.165,0.01)</f>
        <v>0.22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stats'!AQ:AQ)*_xlfn.XLOOKUP(_xlfn.XLOOKUP(B87,'Base stats'!B:B,'Base stats'!E:E),Groups!A:A,Groups!H:H)/1000,2)</f>
        <v>0.12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stats'!AQ:AQ)*0.01,2)</f>
        <v>0.64</v>
      </c>
      <c r="AB87" s="18">
        <f>250*(Animals!AO87+Animals!AP87)</f>
        <v>712.5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MAX(0.01,MROUND(_xlfn.XLOOKUP(B88,'Base stats'!B:B,'Base stats'!BG:BG) * 0.01 * 2, 0.01))</f>
        <v>21.2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MAX(0.01,MROUND(_xlfn.XLOOKUP(B88,'Base stats'!B:B,'Base stats'!BH:BH) * 0.01 * 2, 0.01))
)</f>
        <v>No</v>
      </c>
      <c r="I88" s="11" t="str">
        <f>IF(G88="No","No",IF(_xlfn.XLOOKUP(B88,'Base stats'!B:B,'Base stats'!U:U)="No","No",
MAX(0.01,MROUND(_xlfn.XLOOKUP(B88,'Base stats'!B:B,'Base stats'!BT:BT)/10000,0.01))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MAX(0.01,MROUND(_xlfn.XLOOKUP(B88,'Base stats'!B:B,'Base stats'!BI:BI) * 0.01 *2, 0.01))
)</f>
        <v>28.14</v>
      </c>
      <c r="M88" s="5">
        <f>IF(K88="No","No",IF(_xlfn.XLOOKUP(_xlfn.XLOOKUP(B88,'Base stats'!B:B,'Base stats'!E:E),Groups!A:A,Groups!BD:BD)=1,"No",
MAX(0.01,MROUND(_xlfn.XLOOKUP(B88,'Base stats'!B:B,'Base stats'!BU:BU)/10000,0.01))
))</f>
        <v>1.3900000000000001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MAX(0.01,MROUND(_xlfn.XLOOKUP(B88,'Base stats'!B:B,'Base stats'!BJ:BJ) * 0.01 * 2, 0.01))
)</f>
        <v>No</v>
      </c>
      <c r="Q88" s="5" t="str">
        <f>IF(O88="No","No",
MAX(0.01,MROUND(_xlfn.XLOOKUP(B88,'Base stats'!B:B,'Base stats'!BV:BV)/10000,0.01))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MAX(0.01,MROUND(_xlfn.XLOOKUP(B88,'Base stats'!B:B,'Base stats'!BH:BH) * 0.01 * 2, 0.01))
)</f>
        <v>No</v>
      </c>
      <c r="U88" s="5" t="str">
        <f>IF(S88="No","No",IF(_xlfn.XLOOKUP(B88,'Base stats'!B:B,'Base stats'!U:U)="No","No",
MAX(0.01,MROUND(_xlfn.XLOOKUP(B88,'Base stats'!B:B,'Base stats'!BT:BT)/10000,0.01))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stats'!C:C)^-0.165,0.01)</f>
        <v>0.22</v>
      </c>
      <c r="X88" s="1">
        <f>MROUND(_xlfn.XLOOKUP(_xlfn.XLOOKUP(B88,'Base stats'!B:B,'Base stats'!E:E),Groups!A:A,Groups!BH:BH)*_xlfn.XLOOKUP(B88,'Base stats'!B:B,'Base stats'!C:C)^0.165,0.01)</f>
        <v>0.31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stats'!AQ:AQ)*_xlfn.XLOOKUP(_xlfn.XLOOKUP(B88,'Base stats'!B:B,'Base stats'!E:E),Groups!A:A,Groups!H:H)/1000,2)</f>
        <v>0.25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stats'!AQ:AQ)*0.01,2)</f>
        <v>1.38</v>
      </c>
      <c r="AB88" s="18">
        <f>250*(Animals!AO88+Animals!AP88)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MAX(0.01,MROUND(_xlfn.XLOOKUP(B89,'Base stats'!B:B,'Base stats'!BG:BG) * 0.01 * 2, 0.01))</f>
        <v>3.74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MAX(0.01,MROUND(_xlfn.XLOOKUP(B89,'Base stats'!B:B,'Base stats'!BH:BH) * 0.01 * 2, 0.01))
)</f>
        <v>No</v>
      </c>
      <c r="I89" s="11" t="str">
        <f>IF(G89="No","No",IF(_xlfn.XLOOKUP(B89,'Base stats'!B:B,'Base stats'!U:U)="No","No",
MAX(0.01,MROUND(_xlfn.XLOOKUP(B89,'Base stats'!B:B,'Base stats'!BT:BT)/10000,0.01))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MAX(0.01,MROUND(_xlfn.XLOOKUP(B89,'Base stats'!B:B,'Base stats'!BI:BI)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stats'!BU:BU)/10000,0.01))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MAX(0.01,MROUND(_xlfn.XLOOKUP(B89,'Base stats'!B:B,'Base stats'!BJ:BJ) * 0.01 * 2, 0.01))
)</f>
        <v>2.79</v>
      </c>
      <c r="Q89" s="5">
        <f>IF(O89="No","No",
MAX(0.01,MROUND(_xlfn.XLOOKUP(B89,'Base stats'!B:B,'Base stats'!BV:BV)/10000,0.01))
)</f>
        <v>0.12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MAX(0.01,MROUND(_xlfn.XLOOKUP(B89,'Base stats'!B:B,'Base stats'!BH:BH) * 0.01 * 2, 0.01))
)</f>
        <v>4.6000000000000005</v>
      </c>
      <c r="U89" s="5" t="str">
        <f>IF(S89="No","No",IF(_xlfn.XLOOKUP(B89,'Base stats'!B:B,'Base stats'!U:U)="No","No",
MAX(0.01,MROUND(_xlfn.XLOOKUP(B89,'Base stats'!B:B,'Base stats'!BT:BT)/10000,0.01))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stats'!AQ:AQ)*_xlfn.XLOOKUP(_xlfn.XLOOKUP(B89,'Base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stats'!AQ:AQ)*0.01,2)</f>
        <v>0.28999999999999998</v>
      </c>
      <c r="AB89" s="18">
        <f>250*(Animals!AO89+Animals!AP89)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MAX(0.01,MROUND(_xlfn.XLOOKUP(B90,'Base stats'!B:B,'Base stats'!BG:BG) * 0.01 * 2, 0.01))</f>
        <v>2.2800000000000002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MAX(0.01,MROUND(_xlfn.XLOOKUP(B90,'Base stats'!B:B,'Base stats'!BH:BH) * 0.01 * 2, 0.01))
)</f>
        <v>No</v>
      </c>
      <c r="I90" s="11" t="str">
        <f>IF(G90="No","No",IF(_xlfn.XLOOKUP(B90,'Base stats'!B:B,'Base stats'!U:U)="No","No",
MAX(0.01,MROUND(_xlfn.XLOOKUP(B90,'Base stats'!B:B,'Base stats'!BT:BT)/10000,0.01))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MAX(0.01,MROUND(_xlfn.XLOOKUP(B90,'Base stats'!B:B,'Base stats'!BI:BI)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stats'!BU:BU)/10000,0.01))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MAX(0.01,MROUND(_xlfn.XLOOKUP(B90,'Base stats'!B:B,'Base stats'!BJ:BJ) * 0.01 * 2, 0.01))
)</f>
        <v>4.2700000000000005</v>
      </c>
      <c r="Q90" s="5">
        <f>IF(O90="No","No",
MAX(0.01,MROUND(_xlfn.XLOOKUP(B90,'Base stats'!B:B,'Base stats'!BV:BV)/10000,0.01))
)</f>
        <v>0.24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MAX(0.01,MROUND(_xlfn.XLOOKUP(B90,'Base stats'!B:B,'Base stats'!BH:BH) * 0.01 * 2, 0.01))
)</f>
        <v>2.89</v>
      </c>
      <c r="U90" s="5">
        <f>IF(S90="No","No",IF(_xlfn.XLOOKUP(B90,'Base stats'!B:B,'Base stats'!U:U)="No","No",
MAX(0.01,MROUND(_xlfn.XLOOKUP(B90,'Base stats'!B:B,'Base stats'!BT:BT)/10000,0.01))
))</f>
        <v>0.16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0.42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stats'!AQ:AQ)*_xlfn.XLOOKUP(_xlfn.XLOOKUP(B90,'Base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stats'!AQ:AQ)*0.01,2)</f>
        <v>0.28999999999999998</v>
      </c>
      <c r="AB90" s="18">
        <f>250*(Animals!AO90+Animals!AP90)</f>
        <v>637.50000000000011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MAX(0.01,MROUND(_xlfn.XLOOKUP(B91,'Base stats'!B:B,'Base stats'!BG:BG) * 0.01 * 2, 0.01))</f>
        <v>3.7800000000000002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MAX(0.01,MROUND(_xlfn.XLOOKUP(B91,'Base stats'!B:B,'Base stats'!BH:BH) * 0.01 * 2, 0.01))
)</f>
        <v>No</v>
      </c>
      <c r="I91" s="11" t="str">
        <f>IF(G91="No","No",IF(_xlfn.XLOOKUP(B91,'Base stats'!B:B,'Base stats'!U:U)="No","No",
MAX(0.01,MROUND(_xlfn.XLOOKUP(B91,'Base stats'!B:B,'Base stats'!BT:BT)/10000,0.01))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MAX(0.01,MROUND(_xlfn.XLOOKUP(B91,'Base stats'!B:B,'Base stats'!BI:BI)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stats'!BU:BU)/10000,0.01))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MAX(0.01,MROUND(_xlfn.XLOOKUP(B91,'Base stats'!B:B,'Base stats'!BJ:BJ) * 0.01 * 2, 0.01))
)</f>
        <v>16.149999999999999</v>
      </c>
      <c r="Q91" s="5">
        <f>IF(O91="No","No",
MAX(0.01,MROUND(_xlfn.XLOOKUP(B91,'Base stats'!B:B,'Base stats'!BV:BV)/10000,0.01))
)</f>
        <v>0.57999999999999996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MAX(0.01,MROUND(_xlfn.XLOOKUP(B91,'Base stats'!B:B,'Base stats'!BH:BH) * 0.01 * 2, 0.01))
)</f>
        <v>No</v>
      </c>
      <c r="U91" s="5" t="str">
        <f>IF(S91="No","No",IF(_xlfn.XLOOKUP(B91,'Base stats'!B:B,'Base stats'!U:U)="No","No",
MAX(0.01,MROUND(_xlfn.XLOOKUP(B91,'Base stats'!B:B,'Base stats'!BT:BT)/10000,0.01))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stats'!AQ:AQ)*_xlfn.XLOOKUP(_xlfn.XLOOKUP(B91,'Base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stats'!AQ:AQ)*0.01,2)</f>
        <v>0.35</v>
      </c>
      <c r="AB91" s="18">
        <f>250*(Animals!AO91+Animals!AP91)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MAX(0.01,MROUND(_xlfn.XLOOKUP(B92,'Base stats'!B:B,'Base stats'!BG:BG) * 0.01 * 2, 0.01))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MAX(0.01,MROUND(_xlfn.XLOOKUP(B92,'Base stats'!B:B,'Base stats'!BH:BH) * 0.01 * 2, 0.01))
)</f>
        <v>No</v>
      </c>
      <c r="I92" s="11" t="str">
        <f>IF(G92="No","No",IF(_xlfn.XLOOKUP(B92,'Base stats'!B:B,'Base stats'!U:U)="No","No",
MAX(0.01,MROUND(_xlfn.XLOOKUP(B92,'Base stats'!B:B,'Base stats'!BT:BT)/10000,0.01))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MAX(0.01,MROUND(_xlfn.XLOOKUP(B92,'Base stats'!B:B,'Base stats'!BI:BI)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stats'!BU:BU)/10000,0.01))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MAX(0.01,MROUND(_xlfn.XLOOKUP(B92,'Base stats'!B:B,'Base stats'!BJ:BJ) * 0.01 * 2, 0.01))
)</f>
        <v>2.59</v>
      </c>
      <c r="Q92" s="5">
        <f>IF(O92="No","No",
MAX(0.01,MROUND(_xlfn.XLOOKUP(B92,'Base stats'!B:B,'Base stats'!BV:BV)/10000,0.01))
)</f>
        <v>0.09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MAX(0.01,MROUND(_xlfn.XLOOKUP(B92,'Base stats'!B:B,'Base stats'!BH:BH) * 0.01 * 2, 0.01))
)</f>
        <v>No</v>
      </c>
      <c r="U92" s="5" t="str">
        <f>IF(S92="No","No",IF(_xlfn.XLOOKUP(B92,'Base stats'!B:B,'Base stats'!U:U)="No","No",
MAX(0.01,MROUND(_xlfn.XLOOKUP(B92,'Base stats'!B:B,'Base stats'!BT:BT)/10000,0.01))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stats'!AQ:AQ)*_xlfn.XLOOKUP(_xlfn.XLOOKUP(B92,'Base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stats'!AQ:AQ)*0.01,2)</f>
        <v>3.8</v>
      </c>
      <c r="AB92" s="18">
        <f>250*(Animals!AO92+Animals!AP92)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MAX(0.01,MROUND(_xlfn.XLOOKUP(B93,'Base stats'!B:B,'Base stats'!BG:BG) * 0.01 * 2, 0.01))</f>
        <v>0.04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MAX(0.01,MROUND(_xlfn.XLOOKUP(B93,'Base stats'!B:B,'Base stats'!BH:BH) * 0.01 * 2, 0.01))
)</f>
        <v>No</v>
      </c>
      <c r="I93" s="11" t="str">
        <f>IF(G93="No","No",IF(_xlfn.XLOOKUP(B93,'Base stats'!B:B,'Base stats'!U:U)="No","No",
MAX(0.01,MROUND(_xlfn.XLOOKUP(B93,'Base stats'!B:B,'Base stats'!BT:BT)/10000,0.01))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MAX(0.01,MROUND(_xlfn.XLOOKUP(B93,'Base stats'!B:B,'Base stats'!BI:BI)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stats'!BU:BU)/10000,0.01))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MAX(0.01,MROUND(_xlfn.XLOOKUP(B93,'Base stats'!B:B,'Base stats'!BJ:BJ) * 0.01 * 2, 0.01))
)</f>
        <v>0.09</v>
      </c>
      <c r="Q93" s="5">
        <f>IF(O93="No","No",
MAX(0.01,MROUND(_xlfn.XLOOKUP(B93,'Base stats'!B:B,'Base stats'!BV:BV)/10000,0.01))
)</f>
        <v>0.03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MAX(0.01,MROUND(_xlfn.XLOOKUP(B93,'Base stats'!B:B,'Base stats'!BH:BH) * 0.01 * 2, 0.01))
)</f>
        <v>No</v>
      </c>
      <c r="U93" s="5" t="str">
        <f>IF(S93="No","No",IF(_xlfn.XLOOKUP(B93,'Base stats'!B:B,'Base stats'!U:U)="No","No",
MAX(0.01,MROUND(_xlfn.XLOOKUP(B93,'Base stats'!B:B,'Base stats'!BT:BT)/10000,0.01))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stats'!C:C)^-0.165,0.01)</f>
        <v>0.69000000000000006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stats'!AQ:AQ)*_xlfn.XLOOKUP(_xlfn.XLOOKUP(B93,'Base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stats'!AQ:AQ)*0.01,2)</f>
        <v>7.0000000000000007E-2</v>
      </c>
      <c r="AB93" s="18">
        <f>250*(Animals!AO93+Animals!AP93)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MAX(0.01,MROUND(_xlfn.XLOOKUP(B94,'Base stats'!B:B,'Base stats'!BG:BG) * 0.01 * 2, 0.01))</f>
        <v>0.46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MAX(0.01,MROUND(_xlfn.XLOOKUP(B94,'Base stats'!B:B,'Base stats'!BH:BH) * 0.01 * 2, 0.01))
)</f>
        <v>No</v>
      </c>
      <c r="I94" s="11" t="str">
        <f>IF(G94="No","No",IF(_xlfn.XLOOKUP(B94,'Base stats'!B:B,'Base stats'!U:U)="No","No",
MAX(0.01,MROUND(_xlfn.XLOOKUP(B94,'Base stats'!B:B,'Base stats'!BT:BT)/10000,0.01))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MAX(0.01,MROUND(_xlfn.XLOOKUP(B94,'Base stats'!B:B,'Base stats'!BI:BI)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stats'!BU:BU)/10000,0.01))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MAX(0.01,MROUND(_xlfn.XLOOKUP(B94,'Base stats'!B:B,'Base stats'!BJ:BJ) * 0.01 * 2, 0.01))
)</f>
        <v>0.42</v>
      </c>
      <c r="Q94" s="5">
        <f>IF(O94="No","No",
MAX(0.01,MROUND(_xlfn.XLOOKUP(B94,'Base stats'!B:B,'Base stats'!BV:BV)/10000,0.01))
)</f>
        <v>0.05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MAX(0.01,MROUND(_xlfn.XLOOKUP(B94,'Base stats'!B:B,'Base stats'!BH:BH) * 0.01 * 2, 0.01))
)</f>
        <v>No</v>
      </c>
      <c r="U94" s="5" t="str">
        <f>IF(S94="No","No",IF(_xlfn.XLOOKUP(B94,'Base stats'!B:B,'Base stats'!U:U)="No","No",
MAX(0.01,MROUND(_xlfn.XLOOKUP(B94,'Base stats'!B:B,'Base stats'!BT:BT)/10000,0.01))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stats'!AQ:AQ)*_xlfn.XLOOKUP(_xlfn.XLOOKUP(B94,'Base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stats'!AQ:AQ)*0.01,2)</f>
        <v>0.15</v>
      </c>
      <c r="AB94" s="18">
        <f>250*(Animals!AO94+Animals!AP94)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MAX(0.01,MROUND(_xlfn.XLOOKUP(B95,'Base stats'!B:B,'Base stats'!BG:BG) * 0.01 * 2, 0.01))</f>
        <v>1.6300000000000001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MAX(0.01,MROUND(_xlfn.XLOOKUP(B95,'Base stats'!B:B,'Base stats'!BH:BH) * 0.01 * 2, 0.01))
)</f>
        <v>No</v>
      </c>
      <c r="I95" s="11" t="str">
        <f>IF(G95="No","No",IF(_xlfn.XLOOKUP(B95,'Base stats'!B:B,'Base stats'!U:U)="No","No",
MAX(0.01,MROUND(_xlfn.XLOOKUP(B95,'Base stats'!B:B,'Base stats'!BT:BT)/10000,0.01))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MAX(0.01,MROUND(_xlfn.XLOOKUP(B95,'Base stats'!B:B,'Base stats'!BI:BI)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stats'!BU:BU)/10000,0.01))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MAX(0.01,MROUND(_xlfn.XLOOKUP(B95,'Base stats'!B:B,'Base stats'!BJ:BJ) * 0.01 * 2, 0.01))
)</f>
        <v>0.98</v>
      </c>
      <c r="Q95" s="5">
        <f>IF(O95="No","No",
MAX(0.01,MROUND(_xlfn.XLOOKUP(B95,'Base stats'!B:B,'Base stats'!BV:BV)/10000,0.01))
)</f>
        <v>0.06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MAX(0.01,MROUND(_xlfn.XLOOKUP(B95,'Base stats'!B:B,'Base stats'!BH:BH) * 0.01 * 2, 0.01))
)</f>
        <v>No</v>
      </c>
      <c r="U95" s="5" t="str">
        <f>IF(S95="No","No",IF(_xlfn.XLOOKUP(B95,'Base stats'!B:B,'Base stats'!U:U)="No","No",
MAX(0.01,MROUND(_xlfn.XLOOKUP(B95,'Base stats'!B:B,'Base stats'!BT:BT)/10000,0.01))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stats'!AQ:AQ)*_xlfn.XLOOKUP(_xlfn.XLOOKUP(B95,'Base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stats'!AQ:AQ)*0.01,2)</f>
        <v>0.22</v>
      </c>
      <c r="AB95" s="18">
        <f>250*(Animals!AO95+Animals!AP95)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MAX(0.01,MROUND(_xlfn.XLOOKUP(B96,'Base stats'!B:B,'Base stats'!BG:BG) * 0.01 * 2, 0.01))</f>
        <v>8.82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MAX(0.01,MROUND(_xlfn.XLOOKUP(B96,'Base stats'!B:B,'Base stats'!BH:BH) * 0.01 * 2, 0.01))
)</f>
        <v>10.3</v>
      </c>
      <c r="I96" s="11" t="str">
        <f>IF(G96="No","No",IF(_xlfn.XLOOKUP(B96,'Base stats'!B:B,'Base stats'!U:U)="No","No",
MAX(0.01,MROUND(_xlfn.XLOOKUP(B96,'Base stats'!B:B,'Base stats'!BT:BT)/10000,0.01))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MAX(0.01,MROUND(_xlfn.XLOOKUP(B96,'Base stats'!B:B,'Base stats'!BI:BI) * 0.01 *2, 0.01))
)</f>
        <v>12.36</v>
      </c>
      <c r="M96" s="5">
        <f>IF(K96="No","No",IF(_xlfn.XLOOKUP(_xlfn.XLOOKUP(B96,'Base stats'!B:B,'Base stats'!E:E),Groups!A:A,Groups!BD:BD)=1,"No",
MAX(0.01,MROUND(_xlfn.XLOOKUP(B96,'Base stats'!B:B,'Base stats'!BU:BU)/10000,0.01))
))</f>
        <v>0.67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MAX(0.01,MROUND(_xlfn.XLOOKUP(B96,'Base stats'!B:B,'Base stats'!BJ:BJ) * 0.01 * 2, 0.01))
)</f>
        <v>No</v>
      </c>
      <c r="Q96" s="5" t="str">
        <f>IF(O96="No","No",
MAX(0.01,MROUND(_xlfn.XLOOKUP(B96,'Base stats'!B:B,'Base stats'!BV:BV)/10000,0.01))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MAX(0.01,MROUND(_xlfn.XLOOKUP(B96,'Base stats'!B:B,'Base stats'!BH:BH) * 0.01 * 2, 0.01))
)</f>
        <v>No</v>
      </c>
      <c r="U96" s="5" t="str">
        <f>IF(S96="No","No",IF(_xlfn.XLOOKUP(B96,'Base stats'!B:B,'Base stats'!U:U)="No","No",
MAX(0.01,MROUND(_xlfn.XLOOKUP(B96,'Base stats'!B:B,'Base stats'!BT:BT)/10000,0.01))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stats'!AQ:AQ)*_xlfn.XLOOKUP(_xlfn.XLOOKUP(B96,'Base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stats'!AQ:AQ)*0.01,2)</f>
        <v>0.38</v>
      </c>
      <c r="AB96" s="18">
        <f>250*(Animals!AO96+Animals!AP96)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MAX(0.01,MROUND(_xlfn.XLOOKUP(B97,'Base stats'!B:B,'Base stats'!BG:BG) * 0.01 * 2, 0.01))</f>
        <v>10.27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MAX(0.01,MROUND(_xlfn.XLOOKUP(B97,'Base stats'!B:B,'Base stats'!BH:BH) * 0.01 * 2, 0.01))
)</f>
        <v>8.66</v>
      </c>
      <c r="I97" s="11" t="str">
        <f>IF(G97="No","No",IF(_xlfn.XLOOKUP(B97,'Base stats'!B:B,'Base stats'!U:U)="No","No",
MAX(0.01,MROUND(_xlfn.XLOOKUP(B97,'Base stats'!B:B,'Base stats'!BT:BT)/10000,0.01))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MAX(0.01,MROUND(_xlfn.XLOOKUP(B97,'Base stats'!B:B,'Base stats'!BI:BI) * 0.01 *2, 0.01))
)</f>
        <v>12.32</v>
      </c>
      <c r="M97" s="5" t="str">
        <f>IF(K97="No","No",IF(_xlfn.XLOOKUP(_xlfn.XLOOKUP(B97,'Base stats'!B:B,'Base stats'!E:E),Groups!A:A,Groups!BD:BD)=1,"No",
MAX(0.01,MROUND(_xlfn.XLOOKUP(B97,'Base stats'!B:B,'Base stats'!BU:BU)/10000,0.01))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MAX(0.01,MROUND(_xlfn.XLOOKUP(B97,'Base stats'!B:B,'Base stats'!BJ:BJ) * 0.01 * 2, 0.01))
)</f>
        <v>No</v>
      </c>
      <c r="Q97" s="5" t="str">
        <f>IF(O97="No","No",
MAX(0.01,MROUND(_xlfn.XLOOKUP(B97,'Base stats'!B:B,'Base stats'!BV:BV)/10000,0.01))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MAX(0.01,MROUND(_xlfn.XLOOKUP(B97,'Base stats'!B:B,'Base stats'!BH:BH) * 0.01 * 2, 0.01))
)</f>
        <v>No</v>
      </c>
      <c r="U97" s="5" t="str">
        <f>IF(S97="No","No",IF(_xlfn.XLOOKUP(B97,'Base stats'!B:B,'Base stats'!U:U)="No","No",
MAX(0.01,MROUND(_xlfn.XLOOKUP(B97,'Base stats'!B:B,'Base stats'!BT:BT)/10000,0.01))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stats'!AQ:AQ)*_xlfn.XLOOKUP(_xlfn.XLOOKUP(B97,'Base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stats'!AQ:AQ)*0.01,2)</f>
        <v>0.36</v>
      </c>
      <c r="AB97" s="18">
        <f>250*(Animals!AO97+Animals!AP97)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MAX(0.01,MROUND(_xlfn.XLOOKUP(B98,'Base stats'!B:B,'Base stats'!BG:BG) * 0.01 * 2, 0.01))</f>
        <v>0.69000000000000006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MAX(0.01,MROUND(_xlfn.XLOOKUP(B98,'Base stats'!B:B,'Base stats'!BH:BH) * 0.01 * 2, 0.01))
)</f>
        <v>No</v>
      </c>
      <c r="I98" s="11" t="str">
        <f>IF(G98="No","No",IF(_xlfn.XLOOKUP(B98,'Base stats'!B:B,'Base stats'!U:U)="No","No",
MAX(0.01,MROUND(_xlfn.XLOOKUP(B98,'Base stats'!B:B,'Base stats'!BT:BT)/10000,0.01))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MAX(0.01,MROUND(_xlfn.XLOOKUP(B98,'Base stats'!B:B,'Base stats'!BI:BI)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stats'!BU:BU)/10000,0.01))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MAX(0.01,MROUND(_xlfn.XLOOKUP(B98,'Base stats'!B:B,'Base stats'!BJ:BJ) * 0.01 * 2, 0.01))
)</f>
        <v>1.07</v>
      </c>
      <c r="Q98" s="5">
        <f>IF(O98="No","No",
MAX(0.01,MROUND(_xlfn.XLOOKUP(B98,'Base stats'!B:B,'Base stats'!BV:BV)/10000,0.01))
)</f>
        <v>7.0000000000000007E-2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MAX(0.01,MROUND(_xlfn.XLOOKUP(B98,'Base stats'!B:B,'Base stats'!BH:BH) * 0.01 * 2, 0.01))
)</f>
        <v>No</v>
      </c>
      <c r="U98" s="5" t="str">
        <f>IF(S98="No","No",IF(_xlfn.XLOOKUP(B98,'Base stats'!B:B,'Base stats'!U:U)="No","No",
MAX(0.01,MROUND(_xlfn.XLOOKUP(B98,'Base stats'!B:B,'Base stats'!BT:BT)/10000,0.01))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stats'!AQ:AQ)*_xlfn.XLOOKUP(_xlfn.XLOOKUP(B98,'Base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stats'!AQ:AQ)*0.01,2)</f>
        <v>0.03</v>
      </c>
      <c r="AB98" s="18">
        <f>250*(Animals!AO98+Animals!AP98)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MAX(0.01,MROUND(_xlfn.XLOOKUP(B99,'Base stats'!B:B,'Base stats'!BG:BG) * 0.01 * 2, 0.01))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MAX(0.01,MROUND(_xlfn.XLOOKUP(B99,'Base stats'!B:B,'Base stats'!BH:BH) * 0.01 * 2, 0.01))
)</f>
        <v>No</v>
      </c>
      <c r="I99" s="11" t="str">
        <f>IF(G99="No","No",IF(_xlfn.XLOOKUP(B99,'Base stats'!B:B,'Base stats'!U:U)="No","No",
MAX(0.01,MROUND(_xlfn.XLOOKUP(B99,'Base stats'!B:B,'Base stats'!BT:BT)/10000,0.01))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MAX(0.01,MROUND(_xlfn.XLOOKUP(B99,'Base stats'!B:B,'Base stats'!BI:BI)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stats'!BU:BU)/10000,0.01))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MAX(0.01,MROUND(_xlfn.XLOOKUP(B99,'Base stats'!B:B,'Base stats'!BJ:BJ) * 0.01 * 2, 0.01))
)</f>
        <v>4.9000000000000004</v>
      </c>
      <c r="Q99" s="5">
        <f>IF(O99="No","No",
MAX(0.01,MROUND(_xlfn.XLOOKUP(B99,'Base stats'!B:B,'Base stats'!BV:BV)/10000,0.01))
)</f>
        <v>0.35000000000000003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MAX(0.01,MROUND(_xlfn.XLOOKUP(B99,'Base stats'!B:B,'Base stats'!BH:BH) * 0.01 * 2, 0.01))
)</f>
        <v>No</v>
      </c>
      <c r="U99" s="5" t="str">
        <f>IF(S99="No","No",IF(_xlfn.XLOOKUP(B99,'Base stats'!B:B,'Base stats'!U:U)="No","No",
MAX(0.01,MROUND(_xlfn.XLOOKUP(B99,'Base stats'!B:B,'Base stats'!BT:BT)/10000,0.01))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stats'!AQ:AQ)*_xlfn.XLOOKUP(_xlfn.XLOOKUP(B99,'Base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stats'!AQ:AQ)*0.01,2)</f>
        <v>0.63</v>
      </c>
      <c r="AB99" s="18">
        <f>250*(Animals!AO99+Animals!AP99)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MAX(0.01,MROUND(_xlfn.XLOOKUP(B100,'Base stats'!B:B,'Base stats'!BG:BG) * 0.01 * 2, 0.01))</f>
        <v>1.82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MAX(0.01,MROUND(_xlfn.XLOOKUP(B100,'Base stats'!B:B,'Base stats'!BH:BH) * 0.01 * 2, 0.01))
)</f>
        <v>No</v>
      </c>
      <c r="I100" s="11" t="str">
        <f>IF(G100="No","No",IF(_xlfn.XLOOKUP(B100,'Base stats'!B:B,'Base stats'!U:U)="No","No",
MAX(0.01,MROUND(_xlfn.XLOOKUP(B100,'Base stats'!B:B,'Base stats'!BT:BT)/10000,0.01))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MAX(0.01,MROUND(_xlfn.XLOOKUP(B100,'Base stats'!B:B,'Base stats'!BI:BI)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stats'!BU:BU)/10000,0.01))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MAX(0.01,MROUND(_xlfn.XLOOKUP(B100,'Base stats'!B:B,'Base stats'!BJ:BJ) * 0.01 * 2, 0.01))
)</f>
        <v>6.79</v>
      </c>
      <c r="Q100" s="5">
        <f>IF(O100="No","No",
MAX(0.01,MROUND(_xlfn.XLOOKUP(B100,'Base stats'!B:B,'Base stats'!BV:BV)/10000,0.01))
)</f>
        <v>0.41000000000000003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MAX(0.01,MROUND(_xlfn.XLOOKUP(B100,'Base stats'!B:B,'Base stats'!BH:BH) * 0.01 * 2, 0.01))
)</f>
        <v>No</v>
      </c>
      <c r="U100" s="5" t="str">
        <f>IF(S100="No","No",IF(_xlfn.XLOOKUP(B100,'Base stats'!B:B,'Base stats'!U:U)="No","No",
MAX(0.01,MROUND(_xlfn.XLOOKUP(B100,'Base stats'!B:B,'Base stats'!BT:BT)/10000,0.01))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stats'!AQ:AQ)*_xlfn.XLOOKUP(_xlfn.XLOOKUP(B100,'Base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stats'!AQ:AQ)*0.01,2)</f>
        <v>0.73</v>
      </c>
      <c r="AB100" s="18">
        <f>250*(Animals!AO100+Animals!AP100)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MAX(0.01,MROUND(_xlfn.XLOOKUP(B101,'Base stats'!B:B,'Base stats'!BG:BG) * 0.01 * 2, 0.01))</f>
        <v>0.01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MAX(0.01,MROUND(_xlfn.XLOOKUP(B101,'Base stats'!B:B,'Base stats'!BH:BH) * 0.01 * 2, 0.01))
)</f>
        <v>No</v>
      </c>
      <c r="I101" s="11" t="str">
        <f>IF(G101="No","No",IF(_xlfn.XLOOKUP(B101,'Base stats'!B:B,'Base stats'!U:U)="No","No",
MAX(0.01,MROUND(_xlfn.XLOOKUP(B101,'Base stats'!B:B,'Base stats'!BT:BT)/10000,0.01))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MAX(0.01,MROUND(_xlfn.XLOOKUP(B101,'Base stats'!B:B,'Base stats'!BI:BI)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stats'!BU:BU)/10000,0.01))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MAX(0.01,MROUND(_xlfn.XLOOKUP(B101,'Base stats'!B:B,'Base stats'!BJ:BJ) * 0.01 * 2, 0.01))
)</f>
        <v>No</v>
      </c>
      <c r="Q101" s="5" t="str">
        <f>IF(O101="No","No",
MAX(0.01,MROUND(_xlfn.XLOOKUP(B101,'Base stats'!B:B,'Base stats'!BV:BV)/10000,0.01))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MAX(0.01,MROUND(_xlfn.XLOOKUP(B101,'Base stats'!B:B,'Base stats'!BH:BH) * 0.01 * 2, 0.01))
)</f>
        <v>0.08</v>
      </c>
      <c r="U101" s="5">
        <f>IF(S101="No","No",IF(_xlfn.XLOOKUP(B101,'Base stats'!B:B,'Base stats'!U:U)="No","No",
MAX(0.01,MROUND(_xlfn.XLOOKUP(B101,'Base stats'!B:B,'Base stats'!BT:BT)/10000,0.01))
))</f>
        <v>0.04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stats'!AQ:AQ)*_xlfn.XLOOKUP(_xlfn.XLOOKUP(B101,'Base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stats'!AQ:AQ)*0.01,2)</f>
        <v>0</v>
      </c>
      <c r="AB101" s="18">
        <f>250*(Animals!AO101+Animals!AP101)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MAX(0.01,MROUND(_xlfn.XLOOKUP(B102,'Base stats'!B:B,'Base stats'!BG:BG) * 0.01 * 2, 0.01))</f>
        <v>0.01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MAX(0.01,MROUND(_xlfn.XLOOKUP(B102,'Base stats'!B:B,'Base stats'!BH:BH) * 0.01 * 2, 0.01))
)</f>
        <v>No</v>
      </c>
      <c r="I102" s="11" t="str">
        <f>IF(G102="No","No",IF(_xlfn.XLOOKUP(B102,'Base stats'!B:B,'Base stats'!U:U)="No","No",
MAX(0.01,MROUND(_xlfn.XLOOKUP(B102,'Base stats'!B:B,'Base stats'!BT:BT)/10000,0.01))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MAX(0.01,MROUND(_xlfn.XLOOKUP(B102,'Base stats'!B:B,'Base stats'!BI:BI)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stats'!BU:BU)/10000,0.01))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MAX(0.01,MROUND(_xlfn.XLOOKUP(B102,'Base stats'!B:B,'Base stats'!BJ:BJ) * 0.01 * 2, 0.01))
)</f>
        <v>No</v>
      </c>
      <c r="Q102" s="5" t="str">
        <f>IF(O102="No","No",
MAX(0.01,MROUND(_xlfn.XLOOKUP(B102,'Base stats'!B:B,'Base stats'!BV:BV)/10000,0.01))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MAX(0.01,MROUND(_xlfn.XLOOKUP(B102,'Base stats'!B:B,'Base stats'!BH:BH) * 0.01 * 2, 0.01))
)</f>
        <v>0.08</v>
      </c>
      <c r="U102" s="5">
        <f>IF(S102="No","No",IF(_xlfn.XLOOKUP(B102,'Base stats'!B:B,'Base stats'!U:U)="No","No",
MAX(0.01,MROUND(_xlfn.XLOOKUP(B102,'Base stats'!B:B,'Base stats'!BT:BT)/10000,0.01))
))</f>
        <v>0.04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stats'!AQ:AQ)*_xlfn.XLOOKUP(_xlfn.XLOOKUP(B102,'Base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stats'!AQ:AQ)*0.01,2)</f>
        <v>0</v>
      </c>
      <c r="AB102" s="18">
        <f>250*(Animals!AO102+Animals!AP102)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MAX(0.01,MROUND(_xlfn.XLOOKUP(B103,'Base stats'!B:B,'Base stats'!BG:BG) * 0.01 * 2, 0.01))</f>
        <v>0.16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MAX(0.01,MROUND(_xlfn.XLOOKUP(B103,'Base stats'!B:B,'Base stats'!BH:BH) * 0.01 * 2, 0.01))
)</f>
        <v>No</v>
      </c>
      <c r="I103" s="11" t="str">
        <f>IF(G103="No","No",IF(_xlfn.XLOOKUP(B103,'Base stats'!B:B,'Base stats'!U:U)="No","No",
MAX(0.01,MROUND(_xlfn.XLOOKUP(B103,'Base stats'!B:B,'Base stats'!BT:BT)/10000,0.01))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MAX(0.01,MROUND(_xlfn.XLOOKUP(B103,'Base stats'!B:B,'Base stats'!BI:BI)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stats'!BU:BU)/10000,0.01))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MAX(0.01,MROUND(_xlfn.XLOOKUP(B103,'Base stats'!B:B,'Base stats'!BJ:BJ) * 0.01 * 2, 0.01))
)</f>
        <v>1.59</v>
      </c>
      <c r="Q103" s="5">
        <f>IF(O103="No","No",
MAX(0.01,MROUND(_xlfn.XLOOKUP(B103,'Base stats'!B:B,'Base stats'!BV:BV)/10000,0.01))
)</f>
        <v>0.21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MAX(0.01,MROUND(_xlfn.XLOOKUP(B103,'Base stats'!B:B,'Base stats'!BH:BH) * 0.01 * 2, 0.01))
)</f>
        <v>No</v>
      </c>
      <c r="U103" s="5" t="str">
        <f>IF(S103="No","No",IF(_xlfn.XLOOKUP(B103,'Base stats'!B:B,'Base stats'!U:U)="No","No",
MAX(0.01,MROUND(_xlfn.XLOOKUP(B103,'Base stats'!B:B,'Base stats'!BT:BT)/10000,0.01))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stats'!C:C)^-0.165,0.01)</f>
        <v>0.17</v>
      </c>
      <c r="X103" s="1">
        <f>MROUND(_xlfn.XLOOKUP(_xlfn.XLOOKUP(B103,'Base stats'!B:B,'Base stats'!E:E),Groups!A:A,Groups!BH:BH)*_xlfn.XLOOKUP(B103,'Base stats'!B:B,'Base stats'!C:C)^0.165,0.01)</f>
        <v>0.15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stats'!AQ:AQ)*_xlfn.XLOOKUP(_xlfn.XLOOKUP(B103,'Base stats'!B:B,'Base stats'!E:E),Groups!A:A,Groups!H:H)/1000,2)</f>
        <v>0.51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stats'!AQ:AQ)*0.01,2)</f>
        <v>0.05</v>
      </c>
      <c r="AB103" s="18">
        <f>250*(Animals!AO103+Animals!AP103)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MAX(0.01,MROUND(_xlfn.XLOOKUP(B104,'Base stats'!B:B,'Base stats'!BG:BG) * 0.01 * 2, 0.01))</f>
        <v>1.87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MAX(0.01,MROUND(_xlfn.XLOOKUP(B104,'Base stats'!B:B,'Base stats'!BH:BH) * 0.01 * 2, 0.01))
)</f>
        <v>No</v>
      </c>
      <c r="I104" s="11" t="str">
        <f>IF(G104="No","No",IF(_xlfn.XLOOKUP(B104,'Base stats'!B:B,'Base stats'!U:U)="No","No",
MAX(0.01,MROUND(_xlfn.XLOOKUP(B104,'Base stats'!B:B,'Base stats'!BT:BT)/10000,0.01))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MAX(0.01,MROUND(_xlfn.XLOOKUP(B104,'Base stats'!B:B,'Base stats'!BI:BI)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stats'!BU:BU)/10000,0.01))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MAX(0.01,MROUND(_xlfn.XLOOKUP(B104,'Base stats'!B:B,'Base stats'!BJ:BJ) * 0.01 * 2, 0.01))
)</f>
        <v>13.88</v>
      </c>
      <c r="Q104" s="5">
        <f>IF(O104="No","No",
MAX(0.01,MROUND(_xlfn.XLOOKUP(B104,'Base stats'!B:B,'Base stats'!BV:BV)/10000,0.01))
)</f>
        <v>0.61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MAX(0.01,MROUND(_xlfn.XLOOKUP(B104,'Base stats'!B:B,'Base stats'!BH:BH) * 0.01 * 2, 0.01))
)</f>
        <v>11.11</v>
      </c>
      <c r="U104" s="5">
        <f>IF(S104="No","No",IF(_xlfn.XLOOKUP(B104,'Base stats'!B:B,'Base stats'!U:U)="No","No",
MAX(0.01,MROUND(_xlfn.XLOOKUP(B104,'Base stats'!B:B,'Base stats'!BT:BT)/10000,0.01))
))</f>
        <v>4.8899999999999997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stats'!AQ:AQ)*_xlfn.XLOOKUP(_xlfn.XLOOKUP(B104,'Base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stats'!AQ:AQ)*0.01,2)</f>
        <v>0.14000000000000001</v>
      </c>
      <c r="AB104" s="18">
        <f>250*(Animals!AO104+Animals!AP104)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MAX(0.01,MROUND(_xlfn.XLOOKUP(B105,'Base stats'!B:B,'Base stats'!BG:BG) * 0.01 * 2, 0.01))</f>
        <v>3.5100000000000002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MAX(0.01,MROUND(_xlfn.XLOOKUP(B105,'Base stats'!B:B,'Base stats'!BH:BH) * 0.01 * 2, 0.01))
)</f>
        <v>No</v>
      </c>
      <c r="I105" s="11" t="str">
        <f>IF(G105="No","No",IF(_xlfn.XLOOKUP(B105,'Base stats'!B:B,'Base stats'!U:U)="No","No",
MAX(0.01,MROUND(_xlfn.XLOOKUP(B105,'Base stats'!B:B,'Base stats'!BT:BT)/10000,0.01))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MAX(0.01,MROUND(_xlfn.XLOOKUP(B105,'Base stats'!B:B,'Base stats'!BI:BI)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stats'!BU:BU)/10000,0.01))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MAX(0.01,MROUND(_xlfn.XLOOKUP(B105,'Base stats'!B:B,'Base stats'!BJ:BJ) * 0.01 * 2, 0.01))
)</f>
        <v>24.19</v>
      </c>
      <c r="Q105" s="5">
        <f>IF(O105="No","No",
MAX(0.01,MROUND(_xlfn.XLOOKUP(B105,'Base stats'!B:B,'Base stats'!BV:BV)/10000,0.01))
)</f>
        <v>0.8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MAX(0.01,MROUND(_xlfn.XLOOKUP(B105,'Base stats'!B:B,'Base stats'!BH:BH) * 0.01 * 2, 0.01))
)</f>
        <v>19.350000000000001</v>
      </c>
      <c r="U105" s="5">
        <f>IF(S105="No","No",IF(_xlfn.XLOOKUP(B105,'Base stats'!B:B,'Base stats'!U:U)="No","No",
MAX(0.01,MROUND(_xlfn.XLOOKUP(B105,'Base stats'!B:B,'Base stats'!BT:BT)/10000,0.01))
))</f>
        <v>6.43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stats'!AQ:AQ)*_xlfn.XLOOKUP(_xlfn.XLOOKUP(B105,'Base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stats'!AQ:AQ)*0.01,2)</f>
        <v>0.17</v>
      </c>
      <c r="AB105" s="18">
        <f>250*(Animals!AO105+Animals!AP105)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MAX(0.01,MROUND(_xlfn.XLOOKUP(B106,'Base stats'!B:B,'Base stats'!BG:BG) * 0.01 * 2, 0.01))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MAX(0.01,MROUND(_xlfn.XLOOKUP(B106,'Base stats'!B:B,'Base stats'!BH:BH) * 0.01 * 2, 0.01))
)</f>
        <v>No</v>
      </c>
      <c r="I106" s="11" t="str">
        <f>IF(G106="No","No",IF(_xlfn.XLOOKUP(B106,'Base stats'!B:B,'Base stats'!U:U)="No","No",
MAX(0.01,MROUND(_xlfn.XLOOKUP(B106,'Base stats'!B:B,'Base stats'!BT:BT)/10000,0.01))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MAX(0.01,MROUND(_xlfn.XLOOKUP(B106,'Base stats'!B:B,'Base stats'!BI:BI)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stats'!BU:BU)/10000,0.01))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MAX(0.01,MROUND(_xlfn.XLOOKUP(B106,'Base stats'!B:B,'Base stats'!BJ:BJ) * 0.01 * 2, 0.01))
)</f>
        <v>284.11</v>
      </c>
      <c r="Q106" s="5">
        <f>IF(O106="No","No",
MAX(0.01,MROUND(_xlfn.XLOOKUP(B106,'Base stats'!B:B,'Base stats'!BV:BV)/10000,0.01))
)</f>
        <v>2.69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MAX(0.01,MROUND(_xlfn.XLOOKUP(B106,'Base stats'!B:B,'Base stats'!BH:BH) * 0.01 * 2, 0.01))
)</f>
        <v>No</v>
      </c>
      <c r="U106" s="5" t="str">
        <f>IF(S106="No","No",IF(_xlfn.XLOOKUP(B106,'Base stats'!B:B,'Base stats'!U:U)="No","No",
MAX(0.01,MROUND(_xlfn.XLOOKUP(B106,'Base stats'!B:B,'Base stats'!BT:BT)/10000,0.01))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stats'!AQ:AQ)*_xlfn.XLOOKUP(_xlfn.XLOOKUP(B106,'Base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stats'!AQ:AQ)*0.01,2)</f>
        <v>0.51</v>
      </c>
      <c r="AB106" s="18">
        <f>250*(Animals!AO106+Animals!AP106)</f>
        <v>3437.5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MAX(0.01,MROUND(_xlfn.XLOOKUP(B107,'Base stats'!B:B,'Base stats'!BG:BG) * 0.01 * 2, 0.01))</f>
        <v>0.16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MAX(0.01,MROUND(_xlfn.XLOOKUP(B107,'Base stats'!B:B,'Base stats'!BH:BH) * 0.01 * 2, 0.01))
)</f>
        <v>No</v>
      </c>
      <c r="I107" s="11" t="str">
        <f>IF(G107="No","No",IF(_xlfn.XLOOKUP(B107,'Base stats'!B:B,'Base stats'!U:U)="No","No",
MAX(0.01,MROUND(_xlfn.XLOOKUP(B107,'Base stats'!B:B,'Base stats'!BT:BT)/10000,0.01))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MAX(0.01,MROUND(_xlfn.XLOOKUP(B107,'Base stats'!B:B,'Base stats'!BI:BI)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stats'!BU:BU)/10000,0.01))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MAX(0.01,MROUND(_xlfn.XLOOKUP(B107,'Base stats'!B:B,'Base stats'!BJ:BJ) * 0.01 * 2, 0.01))
)</f>
        <v>1.59</v>
      </c>
      <c r="Q107" s="5">
        <f>IF(O107="No","No",
MAX(0.01,MROUND(_xlfn.XLOOKUP(B107,'Base stats'!B:B,'Base stats'!BV:BV)/10000,0.01))
)</f>
        <v>0.21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MAX(0.01,MROUND(_xlfn.XLOOKUP(B107,'Base stats'!B:B,'Base stats'!BH:BH) * 0.01 * 2, 0.01))
)</f>
        <v>No</v>
      </c>
      <c r="U107" s="5" t="str">
        <f>IF(S107="No","No",IF(_xlfn.XLOOKUP(B107,'Base stats'!B:B,'Base stats'!U:U)="No","No",
MAX(0.01,MROUND(_xlfn.XLOOKUP(B107,'Base stats'!B:B,'Base stats'!BT:BT)/10000,0.01))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stats'!C:C)^-0.165,0.01)</f>
        <v>0.17</v>
      </c>
      <c r="X107" s="1">
        <f>MROUND(_xlfn.XLOOKUP(_xlfn.XLOOKUP(B107,'Base stats'!B:B,'Base stats'!E:E),Groups!A:A,Groups!BH:BH)*_xlfn.XLOOKUP(B107,'Base stats'!B:B,'Base stats'!C:C)^0.165,0.01)</f>
        <v>0.15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stats'!AQ:AQ)*_xlfn.XLOOKUP(_xlfn.XLOOKUP(B107,'Base stats'!B:B,'Base stats'!E:E),Groups!A:A,Groups!H:H)/1000,2)</f>
        <v>0.51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stats'!AQ:AQ)*0.01,2)</f>
        <v>0.05</v>
      </c>
      <c r="AB107" s="18">
        <f>250*(Animals!AO107+Animals!AP107)</f>
        <v>200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MAX(0.01,MROUND(_xlfn.XLOOKUP(B108,'Base stats'!B:B,'Base stats'!BG:BG) * 0.01 * 2, 0.01))</f>
        <v>0.3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MAX(0.01,MROUND(_xlfn.XLOOKUP(B108,'Base stats'!B:B,'Base stats'!BH:BH) * 0.01 * 2, 0.01))
)</f>
        <v>No</v>
      </c>
      <c r="I108" s="11" t="str">
        <f>IF(G108="No","No",IF(_xlfn.XLOOKUP(B108,'Base stats'!B:B,'Base stats'!U:U)="No","No",
MAX(0.01,MROUND(_xlfn.XLOOKUP(B108,'Base stats'!B:B,'Base stats'!BT:BT)/10000,0.01))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MAX(0.01,MROUND(_xlfn.XLOOKUP(B108,'Base stats'!B:B,'Base stats'!BI:BI)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stats'!BU:BU)/10000,0.01))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MAX(0.01,MROUND(_xlfn.XLOOKUP(B108,'Base stats'!B:B,'Base stats'!BJ:BJ) * 0.01 * 2, 0.01))
)</f>
        <v>2.7600000000000002</v>
      </c>
      <c r="Q108" s="5">
        <f>IF(O108="No","No",
MAX(0.01,MROUND(_xlfn.XLOOKUP(B108,'Base stats'!B:B,'Base stats'!BV:BV)/10000,0.01))
)</f>
        <v>0.28000000000000003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MAX(0.01,MROUND(_xlfn.XLOOKUP(B108,'Base stats'!B:B,'Base stats'!BH:BH) * 0.01 * 2, 0.01))
)</f>
        <v>No</v>
      </c>
      <c r="U108" s="5" t="str">
        <f>IF(S108="No","No",IF(_xlfn.XLOOKUP(B108,'Base stats'!B:B,'Base stats'!U:U)="No","No",
MAX(0.01,MROUND(_xlfn.XLOOKUP(B108,'Base stats'!B:B,'Base stats'!BT:BT)/10000,0.01))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stats'!C:C)^-0.165,0.01)</f>
        <v>0.15</v>
      </c>
      <c r="X108" s="1">
        <f>MROUND(_xlfn.XLOOKUP(_xlfn.XLOOKUP(B108,'Base stats'!B:B,'Base stats'!E:E),Groups!A:A,Groups!BH:BH)*_xlfn.XLOOKUP(B108,'Base stats'!B:B,'Base stats'!C:C)^0.165,0.01)</f>
        <v>0.16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stats'!AQ:AQ)*_xlfn.XLOOKUP(_xlfn.XLOOKUP(B108,'Base stats'!B:B,'Base stats'!E:E),Groups!A:A,Groups!H:H)/1000,2)</f>
        <v>0.65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stats'!AQ:AQ)*0.01,2)</f>
        <v>7.0000000000000007E-2</v>
      </c>
      <c r="AB108" s="18">
        <f>250*(Animals!AO108+Animals!AP108)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MAX(0.01,MROUND(_xlfn.XLOOKUP(B109,'Base stats'!B:B,'Base stats'!BG:BG) * 0.01 * 2, 0.01))</f>
        <v>0.41000000000000003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MAX(0.01,MROUND(_xlfn.XLOOKUP(B109,'Base stats'!B:B,'Base stats'!BH:BH) * 0.01 * 2, 0.01))
)</f>
        <v>No</v>
      </c>
      <c r="I109" s="11" t="str">
        <f>IF(G109="No","No",IF(_xlfn.XLOOKUP(B109,'Base stats'!B:B,'Base stats'!U:U)="No","No",
MAX(0.01,MROUND(_xlfn.XLOOKUP(B109,'Base stats'!B:B,'Base stats'!BT:BT)/10000,0.01))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MAX(0.01,MROUND(_xlfn.XLOOKUP(B109,'Base stats'!B:B,'Base stats'!BI:BI)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stats'!BU:BU)/10000,0.01))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MAX(0.01,MROUND(_xlfn.XLOOKUP(B109,'Base stats'!B:B,'Base stats'!BJ:BJ) * 0.01 * 2, 0.01))
)</f>
        <v>1.08</v>
      </c>
      <c r="Q109" s="5">
        <f>IF(O109="No","No",
MAX(0.01,MROUND(_xlfn.XLOOKUP(B109,'Base stats'!B:B,'Base stats'!BV:BV)/10000,0.01))
)</f>
        <v>0.13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MAX(0.01,MROUND(_xlfn.XLOOKUP(B109,'Base stats'!B:B,'Base stats'!BH:BH) * 0.01 * 2, 0.01))
)</f>
        <v>No</v>
      </c>
      <c r="U109" s="5" t="str">
        <f>IF(S109="No","No",IF(_xlfn.XLOOKUP(B109,'Base stats'!B:B,'Base stats'!U:U)="No","No",
MAX(0.01,MROUND(_xlfn.XLOOKUP(B109,'Base stats'!B:B,'Base stats'!BT:BT)/10000,0.01))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stats'!AQ:AQ)*_xlfn.XLOOKUP(_xlfn.XLOOKUP(B109,'Base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stats'!AQ:AQ)*0.01,2)</f>
        <v>0.41</v>
      </c>
      <c r="AB109" s="18">
        <f>250*(Animals!AO109+Animals!AP109)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MAX(0.01,MROUND(_xlfn.XLOOKUP(B110,'Base stats'!B:B,'Base stats'!BG:BG) * 0.01 * 2, 0.01))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2.2000000000000002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MAX(0.01,MROUND(_xlfn.XLOOKUP(B110,'Base stats'!B:B,'Base stats'!BH:BH) * 0.01 * 2, 0.01))
)</f>
        <v>23.400000000000002</v>
      </c>
      <c r="I110" s="11" t="str">
        <f>IF(G110="No","No",IF(_xlfn.XLOOKUP(B110,'Base stats'!B:B,'Base stats'!U:U)="No","No",
MAX(0.01,MROUND(_xlfn.XLOOKUP(B110,'Base stats'!B:B,'Base stats'!BT:BT)/10000,0.01))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3.25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MAX(0.01,MROUND(_xlfn.XLOOKUP(B110,'Base stats'!B:B,'Base stats'!BI:BI)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stats'!BU:BU)/10000,0.01))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MAX(0.01,MROUND(_xlfn.XLOOKUP(B110,'Base stats'!B:B,'Base stats'!BJ:BJ) * 0.01 * 2, 0.01))
)</f>
        <v>No</v>
      </c>
      <c r="Q110" s="5" t="str">
        <f>IF(O110="No","No",
MAX(0.01,MROUND(_xlfn.XLOOKUP(B110,'Base stats'!B:B,'Base stats'!BV:BV)/10000,0.01))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MAX(0.01,MROUND(_xlfn.XLOOKUP(B110,'Base stats'!B:B,'Base stats'!BH:BH) * 0.01 * 2, 0.01))
)</f>
        <v>No</v>
      </c>
      <c r="U110" s="5" t="str">
        <f>IF(S110="No","No",IF(_xlfn.XLOOKUP(B110,'Base stats'!B:B,'Base stats'!U:U)="No","No",
MAX(0.01,MROUND(_xlfn.XLOOKUP(B110,'Base stats'!B:B,'Base stats'!BT:BT)/10000,0.01))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stats'!AQ:AQ)*_xlfn.XLOOKUP(_xlfn.XLOOKUP(B110,'Base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stats'!AQ:AQ)*0.01,2)</f>
        <v>0.51</v>
      </c>
      <c r="AB110" s="18">
        <f>250*(Animals!AO110+Animals!AP110)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MAX(0.01,MROUND(_xlfn.XLOOKUP(B111,'Base stats'!B:B,'Base stats'!BG:BG) * 0.01 * 2, 0.01))</f>
        <v>7.18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MAX(0.01,MROUND(_xlfn.XLOOKUP(B111,'Base stats'!B:B,'Base stats'!BH:BH) * 0.01 * 2, 0.01))
)</f>
        <v>8.48</v>
      </c>
      <c r="I111" s="11" t="str">
        <f>IF(G111="No","No",IF(_xlfn.XLOOKUP(B111,'Base stats'!B:B,'Base stats'!U:U)="No","No",
MAX(0.01,MROUND(_xlfn.XLOOKUP(B111,'Base stats'!B:B,'Base stats'!BT:BT)/10000,0.01))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MAX(0.01,MROUND(_xlfn.XLOOKUP(B111,'Base stats'!B:B,'Base stats'!BI:BI)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stats'!BU:BU)/10000,0.01))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MAX(0.01,MROUND(_xlfn.XLOOKUP(B111,'Base stats'!B:B,'Base stats'!BJ:BJ) * 0.01 * 2, 0.01))
)</f>
        <v>5.57</v>
      </c>
      <c r="Q111" s="5">
        <f>IF(O111="No","No",
MAX(0.01,MROUND(_xlfn.XLOOKUP(B111,'Base stats'!B:B,'Base stats'!BV:BV)/10000,0.01))
)</f>
        <v>0.12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MAX(0.01,MROUND(_xlfn.XLOOKUP(B111,'Base stats'!B:B,'Base stats'!BH:BH) * 0.01 * 2, 0.01))
)</f>
        <v>No</v>
      </c>
      <c r="U111" s="5" t="str">
        <f>IF(S111="No","No",IF(_xlfn.XLOOKUP(B111,'Base stats'!B:B,'Base stats'!U:U)="No","No",
MAX(0.01,MROUND(_xlfn.XLOOKUP(B111,'Base stats'!B:B,'Base stats'!BT:BT)/10000,0.01))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stats'!AQ:AQ)*_xlfn.XLOOKUP(_xlfn.XLOOKUP(B111,'Base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stats'!AQ:AQ)*0.01,2)</f>
        <v>0.36</v>
      </c>
      <c r="AB111" s="18">
        <f>250*(Animals!AO111+Animals!AP111)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MAX(0.01,MROUND(_xlfn.XLOOKUP(B112,'Base stats'!B:B,'Base stats'!BG:BG) * 0.01 * 2, 0.01))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MAX(0.01,MROUND(_xlfn.XLOOKUP(B112,'Base stats'!B:B,'Base stats'!BH:BH) * 0.01 * 2, 0.01))
)</f>
        <v>6.5</v>
      </c>
      <c r="I112" s="11" t="str">
        <f>IF(G112="No","No",IF(_xlfn.XLOOKUP(B112,'Base stats'!B:B,'Base stats'!U:U)="No","No",
MAX(0.01,MROUND(_xlfn.XLOOKUP(B112,'Base stats'!B:B,'Base stats'!BT:BT)/10000,0.01))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MAX(0.01,MROUND(_xlfn.XLOOKUP(B112,'Base stats'!B:B,'Base stats'!BI:BI)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stats'!BU:BU)/10000,0.01))
))</f>
        <v>0.45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MAX(0.01,MROUND(_xlfn.XLOOKUP(B112,'Base stats'!B:B,'Base stats'!BJ:BJ) * 0.01 * 2, 0.01))
)</f>
        <v>No</v>
      </c>
      <c r="Q112" s="5" t="str">
        <f>IF(O112="No","No",
MAX(0.01,MROUND(_xlfn.XLOOKUP(B112,'Base stats'!B:B,'Base stats'!BV:BV)/10000,0.01))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MAX(0.01,MROUND(_xlfn.XLOOKUP(B112,'Base stats'!B:B,'Base stats'!BH:BH) * 0.01 * 2, 0.01))
)</f>
        <v>No</v>
      </c>
      <c r="U112" s="5" t="str">
        <f>IF(S112="No","No",IF(_xlfn.XLOOKUP(B112,'Base stats'!B:B,'Base stats'!U:U)="No","No",
MAX(0.01,MROUND(_xlfn.XLOOKUP(B112,'Base stats'!B:B,'Base stats'!BT:BT)/10000,0.01))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stats'!AQ:AQ)*_xlfn.XLOOKUP(_xlfn.XLOOKUP(B112,'Base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stats'!AQ:AQ)*0.01,2)</f>
        <v>0.33</v>
      </c>
      <c r="AB112" s="18">
        <f>250*(Animals!AO112+Animals!AP112)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MAX(0.01,MROUND(_xlfn.XLOOKUP(B113,'Base stats'!B:B,'Base stats'!BG:BG) * 0.01 * 2, 0.01))</f>
        <v>9.98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MAX(0.01,MROUND(_xlfn.XLOOKUP(B113,'Base stats'!B:B,'Base stats'!BH:BH) * 0.01 * 2, 0.01))
)</f>
        <v>No</v>
      </c>
      <c r="I113" s="11" t="str">
        <f>IF(G113="No","No",IF(_xlfn.XLOOKUP(B113,'Base stats'!B:B,'Base stats'!U:U)="No","No",
MAX(0.01,MROUND(_xlfn.XLOOKUP(B113,'Base stats'!B:B,'Base stats'!BT:BT)/10000,0.01))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MAX(0.01,MROUND(_xlfn.XLOOKUP(B113,'Base stats'!B:B,'Base stats'!BI:BI)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stats'!BU:BU)/10000,0.01))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MAX(0.01,MROUND(_xlfn.XLOOKUP(B113,'Base stats'!B:B,'Base stats'!BJ:BJ) * 0.01 * 2, 0.01))
)</f>
        <v>23.400000000000002</v>
      </c>
      <c r="Q113" s="5">
        <f>IF(O113="No","No",
MAX(0.01,MROUND(_xlfn.XLOOKUP(B113,'Base stats'!B:B,'Base stats'!BV:BV)/10000,0.01))
)</f>
        <v>0.36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MAX(0.01,MROUND(_xlfn.XLOOKUP(B113,'Base stats'!B:B,'Base stats'!BH:BH) * 0.01 * 2, 0.01))
)</f>
        <v>No</v>
      </c>
      <c r="U113" s="5" t="str">
        <f>IF(S113="No","No",IF(_xlfn.XLOOKUP(B113,'Base stats'!B:B,'Base stats'!U:U)="No","No",
MAX(0.01,MROUND(_xlfn.XLOOKUP(B113,'Base stats'!B:B,'Base stats'!BT:BT)/10000,0.01))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stats'!AQ:AQ)*_xlfn.XLOOKUP(_xlfn.XLOOKUP(B113,'Base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stats'!AQ:AQ)*0.01,2)</f>
        <v>0.51</v>
      </c>
      <c r="AB113" s="18">
        <f>250*(Animals!AO113+Animals!AP113)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MAX(0.01,MROUND(_xlfn.XLOOKUP(B114,'Base stats'!B:B,'Base stats'!BG:BG) * 0.01 * 2, 0.01))</f>
        <v>1.46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MAX(0.01,MROUND(_xlfn.XLOOKUP(B114,'Base stats'!B:B,'Base stats'!BH:BH) * 0.01 * 2, 0.01))
)</f>
        <v>No</v>
      </c>
      <c r="I114" s="11" t="str">
        <f>IF(G114="No","No",IF(_xlfn.XLOOKUP(B114,'Base stats'!B:B,'Base stats'!U:U)="No","No",
MAX(0.01,MROUND(_xlfn.XLOOKUP(B114,'Base stats'!B:B,'Base stats'!BT:BT)/10000,0.01))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MAX(0.01,MROUND(_xlfn.XLOOKUP(B114,'Base stats'!B:B,'Base stats'!BI:BI)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stats'!BU:BU)/10000,0.01))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MAX(0.01,MROUND(_xlfn.XLOOKUP(B114,'Base stats'!B:B,'Base stats'!BJ:BJ) * 0.01 * 2, 0.01))
)</f>
        <v>2.4700000000000002</v>
      </c>
      <c r="Q114" s="5">
        <f>IF(O114="No","No",
MAX(0.01,MROUND(_xlfn.XLOOKUP(B114,'Base stats'!B:B,'Base stats'!BV:BV)/10000,0.01))
)</f>
        <v>0.17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MAX(0.01,MROUND(_xlfn.XLOOKUP(B114,'Base stats'!B:B,'Base stats'!BH:BH) * 0.01 * 2, 0.01))
)</f>
        <v>1.9100000000000001</v>
      </c>
      <c r="U114" s="5">
        <f>IF(S114="No","No",IF(_xlfn.XLOOKUP(B114,'Base stats'!B:B,'Base stats'!U:U)="No","No",
MAX(0.01,MROUND(_xlfn.XLOOKUP(B114,'Base stats'!B:B,'Base stats'!BT:BT)/10000,0.01))
))</f>
        <v>0.13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stats'!C:C)^-0.165,0.01)</f>
        <v>0.65</v>
      </c>
      <c r="X114" s="1">
        <f>MROUND(_xlfn.XLOOKUP(_xlfn.XLOOKUP(B114,'Base stats'!B:B,'Base stats'!E:E),Groups!A:A,Groups!BH:BH)*_xlfn.XLOOKUP(B114,'Base stats'!B:B,'Base stats'!C:C)^0.165,0.01)</f>
        <v>0.48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stats'!AQ:AQ)*_xlfn.XLOOKUP(_xlfn.XLOOKUP(B114,'Base stats'!B:B,'Base stats'!E:E),Groups!A:A,Groups!H:H)/1000,2)</f>
        <v>0.09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stats'!AQ:AQ)*0.01,2)</f>
        <v>0.67</v>
      </c>
      <c r="AB114" s="18">
        <f>250*(Animals!AO114+Animals!AP114)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MAX(0.01,MROUND(_xlfn.XLOOKUP(B115,'Base stats'!B:B,'Base stats'!BG:BG) * 0.01 * 2, 0.01))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MAX(0.01,MROUND(_xlfn.XLOOKUP(B115,'Base stats'!B:B,'Base stats'!BH:BH) * 0.01 * 2, 0.01))
)</f>
        <v>No</v>
      </c>
      <c r="I115" s="11" t="str">
        <f>IF(G115="No","No",IF(_xlfn.XLOOKUP(B115,'Base stats'!B:B,'Base stats'!U:U)="No","No",
MAX(0.01,MROUND(_xlfn.XLOOKUP(B115,'Base stats'!B:B,'Base stats'!BT:BT)/10000,0.01))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MAX(0.01,MROUND(_xlfn.XLOOKUP(B115,'Base stats'!B:B,'Base stats'!BI:BI)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stats'!BU:BU)/10000,0.01))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MAX(0.01,MROUND(_xlfn.XLOOKUP(B115,'Base stats'!B:B,'Base stats'!BJ:BJ) * 0.01 * 2, 0.01))
)</f>
        <v>0.57999999999999996</v>
      </c>
      <c r="Q115" s="5">
        <f>IF(O115="No","No",
MAX(0.01,MROUND(_xlfn.XLOOKUP(B115,'Base stats'!B:B,'Base stats'!BV:BV)/10000,0.01))
)</f>
        <v>0.05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MAX(0.01,MROUND(_xlfn.XLOOKUP(B115,'Base stats'!B:B,'Base stats'!BH:BH) * 0.01 * 2, 0.01))
)</f>
        <v>1.01</v>
      </c>
      <c r="U115" s="5">
        <f>IF(S115="No","No",IF(_xlfn.XLOOKUP(B115,'Base stats'!B:B,'Base stats'!U:U)="No","No",
MAX(0.01,MROUND(_xlfn.XLOOKUP(B115,'Base stats'!B:B,'Base stats'!BT:BT)/10000,0.01))
))</f>
        <v>0.09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stats'!AQ:AQ)*_xlfn.XLOOKUP(_xlfn.XLOOKUP(B115,'Base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stats'!AQ:AQ)*0.01,2)</f>
        <v>0.17</v>
      </c>
      <c r="AB115" s="18">
        <f>250*(Animals!AO115+Animals!AP115)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MAX(0.01,MROUND(_xlfn.XLOOKUP(B116,'Base stats'!B:B,'Base stats'!BG:BG) * 0.01 * 2, 0.01))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MAX(0.01,MROUND(_xlfn.XLOOKUP(B116,'Base stats'!B:B,'Base stats'!BH:BH) * 0.01 * 2, 0.01))
)</f>
        <v>1.95</v>
      </c>
      <c r="I116" s="11">
        <f>IF(G116="No","No",IF(_xlfn.XLOOKUP(B116,'Base stats'!B:B,'Base stats'!U:U)="No","No",
MAX(0.01,MROUND(_xlfn.XLOOKUP(B116,'Base stats'!B:B,'Base stats'!BT:BT)/10000,0.01))
))</f>
        <v>0.13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MAX(0.01,MROUND(_xlfn.XLOOKUP(B116,'Base stats'!B:B,'Base stats'!BI:BI)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stats'!BU:BU)/10000,0.01))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MAX(0.01,MROUND(_xlfn.XLOOKUP(B116,'Base stats'!B:B,'Base stats'!BJ:BJ) * 0.01 * 2, 0.01))
)</f>
        <v>No</v>
      </c>
      <c r="Q116" s="5" t="str">
        <f>IF(O116="No","No",
MAX(0.01,MROUND(_xlfn.XLOOKUP(B116,'Base stats'!B:B,'Base stats'!BV:BV)/10000,0.01))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MAX(0.01,MROUND(_xlfn.XLOOKUP(B116,'Base stats'!B:B,'Base stats'!BH:BH) * 0.01 * 2, 0.01))
)</f>
        <v>1.95</v>
      </c>
      <c r="U116" s="5">
        <f>IF(S116="No","No",IF(_xlfn.XLOOKUP(B116,'Base stats'!B:B,'Base stats'!U:U)="No","No",
MAX(0.01,MROUND(_xlfn.XLOOKUP(B116,'Base stats'!B:B,'Base stats'!BT:BT)/10000,0.01))
))</f>
        <v>0.13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stats'!AQ:AQ)*_xlfn.XLOOKUP(_xlfn.XLOOKUP(B116,'Base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stats'!AQ:AQ)*0.01,2)</f>
        <v>0.22</v>
      </c>
      <c r="AB116" s="18">
        <f>250*(Animals!AO116+Animals!AP116)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MAX(0.01,MROUND(_xlfn.XLOOKUP(B117,'Base stats'!B:B,'Base stats'!BG:BG) * 0.01 * 2, 0.01))</f>
        <v>0.3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MAX(0.01,MROUND(_xlfn.XLOOKUP(B117,'Base stats'!B:B,'Base stats'!BH:BH) * 0.01 * 2, 0.01))
)</f>
        <v>No</v>
      </c>
      <c r="I117" s="11" t="str">
        <f>IF(G117="No","No",IF(_xlfn.XLOOKUP(B117,'Base stats'!B:B,'Base stats'!U:U)="No","No",
MAX(0.01,MROUND(_xlfn.XLOOKUP(B117,'Base stats'!B:B,'Base stats'!BT:BT)/10000,0.01))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MAX(0.01,MROUND(_xlfn.XLOOKUP(B117,'Base stats'!B:B,'Base stats'!BI:BI)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stats'!BU:BU)/10000,0.01))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MAX(0.01,MROUND(_xlfn.XLOOKUP(B117,'Base stats'!B:B,'Base stats'!BJ:BJ) * 0.01 * 2, 0.01))
)</f>
        <v>0.32</v>
      </c>
      <c r="Q117" s="5">
        <f>IF(O117="No","No",
MAX(0.01,MROUND(_xlfn.XLOOKUP(B117,'Base stats'!B:B,'Base stats'!BV:BV)/10000,0.01))
)</f>
        <v>0.04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MAX(0.01,MROUND(_xlfn.XLOOKUP(B117,'Base stats'!B:B,'Base stats'!BH:BH) * 0.01 * 2, 0.01))
)</f>
        <v>0.43</v>
      </c>
      <c r="U117" s="5">
        <f>IF(S117="No","No",IF(_xlfn.XLOOKUP(B117,'Base stats'!B:B,'Base stats'!U:U)="No","No",
MAX(0.01,MROUND(_xlfn.XLOOKUP(B117,'Base stats'!B:B,'Base stats'!BT:BT)/10000,0.01))
))</f>
        <v>0.06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stats'!AQ:AQ)*_xlfn.XLOOKUP(_xlfn.XLOOKUP(B117,'Base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stats'!AQ:AQ)*0.01,2)</f>
        <v>0.13</v>
      </c>
      <c r="AB117" s="18">
        <f>250*(Animals!AO117+Animals!AP117)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MAX(0.01,MROUND(_xlfn.XLOOKUP(B118,'Base stats'!B:B,'Base stats'!BG:BG) * 0.01 * 2, 0.01))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MAX(0.01,MROUND(_xlfn.XLOOKUP(B118,'Base stats'!B:B,'Base stats'!BH:BH) * 0.01 * 2, 0.01))
)</f>
        <v>0.08</v>
      </c>
      <c r="I118" s="11">
        <f>IF(G118="No","No",IF(_xlfn.XLOOKUP(B118,'Base stats'!B:B,'Base stats'!U:U)="No","No",
MAX(0.01,MROUND(_xlfn.XLOOKUP(B118,'Base stats'!B:B,'Base stats'!BT:BT)/10000,0.01))
))</f>
        <v>0.02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MAX(0.01,MROUND(_xlfn.XLOOKUP(B118,'Base stats'!B:B,'Base stats'!BI:BI)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stats'!BU:BU)/10000,0.01))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MAX(0.01,MROUND(_xlfn.XLOOKUP(B118,'Base stats'!B:B,'Base stats'!BJ:BJ) * 0.01 * 2, 0.01))
)</f>
        <v>0.02</v>
      </c>
      <c r="Q118" s="5">
        <f>IF(O118="No","No",
MAX(0.01,MROUND(_xlfn.XLOOKUP(B118,'Base stats'!B:B,'Base stats'!BV:BV)/10000,0.01))
)</f>
        <v>0.01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MAX(0.01,MROUND(_xlfn.XLOOKUP(B118,'Base stats'!B:B,'Base stats'!BH:BH) * 0.01 * 2, 0.01))
)</f>
        <v>No</v>
      </c>
      <c r="U118" s="5" t="str">
        <f>IF(S118="No","No",IF(_xlfn.XLOOKUP(B118,'Base stats'!B:B,'Base stats'!U:U)="No","No",
MAX(0.01,MROUND(_xlfn.XLOOKUP(B118,'Base stats'!B:B,'Base stats'!BT:BT)/10000,0.01))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stats'!AQ:AQ)*_xlfn.XLOOKUP(_xlfn.XLOOKUP(B118,'Base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stats'!AQ:AQ)*0.01,2)</f>
        <v>7.0000000000000007E-2</v>
      </c>
      <c r="AB118" s="18">
        <f>250*(Animals!AO118+Animals!AP118)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MAX(0.01,MROUND(_xlfn.XLOOKUP(B119,'Base stats'!B:B,'Base stats'!BG:BG) * 0.01 * 2, 0.01))</f>
        <v>0.41000000000000003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MAX(0.01,MROUND(_xlfn.XLOOKUP(B119,'Base stats'!B:B,'Base stats'!BH:BH) * 0.01 * 2, 0.01))
)</f>
        <v>No</v>
      </c>
      <c r="I119" s="11" t="str">
        <f>IF(G119="No","No",IF(_xlfn.XLOOKUP(B119,'Base stats'!B:B,'Base stats'!U:U)="No","No",
MAX(0.01,MROUND(_xlfn.XLOOKUP(B119,'Base stats'!B:B,'Base stats'!BT:BT)/10000,0.01))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MAX(0.01,MROUND(_xlfn.XLOOKUP(B119,'Base stats'!B:B,'Base stats'!BI:BI)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stats'!BU:BU)/10000,0.01))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MAX(0.01,MROUND(_xlfn.XLOOKUP(B119,'Base stats'!B:B,'Base stats'!BJ:BJ) * 0.01 * 2, 0.01))
)</f>
        <v>1.08</v>
      </c>
      <c r="Q119" s="5">
        <f>IF(O119="No","No",
MAX(0.01,MROUND(_xlfn.XLOOKUP(B119,'Base stats'!B:B,'Base stats'!BV:BV)/10000,0.01))
)</f>
        <v>0.13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MAX(0.01,MROUND(_xlfn.XLOOKUP(B119,'Base stats'!B:B,'Base stats'!BH:BH) * 0.01 * 2, 0.01))
)</f>
        <v>No</v>
      </c>
      <c r="U119" s="5" t="str">
        <f>IF(S119="No","No",IF(_xlfn.XLOOKUP(B119,'Base stats'!B:B,'Base stats'!U:U)="No","No",
MAX(0.01,MROUND(_xlfn.XLOOKUP(B119,'Base stats'!B:B,'Base stats'!BT:BT)/10000,0.01))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stats'!AQ:AQ)*_xlfn.XLOOKUP(_xlfn.XLOOKUP(B119,'Base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stats'!AQ:AQ)*0.01,2)</f>
        <v>0.41</v>
      </c>
      <c r="AB119" s="18">
        <f>250*(Animals!AO119+Animals!AP119)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MAX(0.01,MROUND(_xlfn.XLOOKUP(B120,'Base stats'!B:B,'Base stats'!BG:BG) * 0.01 * 2, 0.01))</f>
        <v>3.83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MAX(0.01,MROUND(_xlfn.XLOOKUP(B120,'Base stats'!B:B,'Base stats'!BH:BH) * 0.01 * 2, 0.01))
)</f>
        <v>No</v>
      </c>
      <c r="I120" s="11" t="str">
        <f>IF(G120="No","No",IF(_xlfn.XLOOKUP(B120,'Base stats'!B:B,'Base stats'!U:U)="No","No",
MAX(0.01,MROUND(_xlfn.XLOOKUP(B120,'Base stats'!B:B,'Base stats'!BT:BT)/10000,0.01))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MAX(0.01,MROUND(_xlfn.XLOOKUP(B120,'Base stats'!B:B,'Base stats'!BI:BI)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stats'!BU:BU)/10000,0.01))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MAX(0.01,MROUND(_xlfn.XLOOKUP(B120,'Base stats'!B:B,'Base stats'!BJ:BJ) * 0.01 * 2, 0.01))
)</f>
        <v>4.72</v>
      </c>
      <c r="Q120" s="5">
        <f>IF(O120="No","No",
MAX(0.01,MROUND(_xlfn.XLOOKUP(B120,'Base stats'!B:B,'Base stats'!BV:BV)/10000,0.01))
)</f>
        <v>0.21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MAX(0.01,MROUND(_xlfn.XLOOKUP(B120,'Base stats'!B:B,'Base stats'!BH:BH) * 0.01 * 2, 0.01))
)</f>
        <v>4.71</v>
      </c>
      <c r="U120" s="5">
        <f>IF(S120="No","No",IF(_xlfn.XLOOKUP(B120,'Base stats'!B:B,'Base stats'!U:U)="No","No",
MAX(0.01,MROUND(_xlfn.XLOOKUP(B120,'Base stats'!B:B,'Base stats'!BT:BT)/10000,0.01))
))</f>
        <v>0.21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stats'!AQ:AQ)*_xlfn.XLOOKUP(_xlfn.XLOOKUP(B120,'Base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stats'!AQ:AQ)*0.01,2)</f>
        <v>0.97</v>
      </c>
      <c r="AB120" s="18">
        <f>250*(Animals!AO120+Animals!AP120)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MAX(0.01,MROUND(_xlfn.XLOOKUP(B121,'Base stats'!B:B,'Base stats'!BG:BG) * 0.01 * 2, 0.01))</f>
        <v>1.7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MAX(0.01,MROUND(_xlfn.XLOOKUP(B121,'Base stats'!B:B,'Base stats'!BH:BH) * 0.01 * 2, 0.01))
)</f>
        <v>No</v>
      </c>
      <c r="I121" s="11" t="str">
        <f>IF(G121="No","No",IF(_xlfn.XLOOKUP(B121,'Base stats'!B:B,'Base stats'!U:U)="No","No",
MAX(0.01,MROUND(_xlfn.XLOOKUP(B121,'Base stats'!B:B,'Base stats'!BT:BT)/10000,0.01))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MAX(0.01,MROUND(_xlfn.XLOOKUP(B121,'Base stats'!B:B,'Base stats'!BI:BI)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stats'!BU:BU)/10000,0.01))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MAX(0.01,MROUND(_xlfn.XLOOKUP(B121,'Base stats'!B:B,'Base stats'!BJ:BJ) * 0.01 * 2, 0.01))
)</f>
        <v>8.4700000000000006</v>
      </c>
      <c r="Q121" s="5">
        <f>IF(O121="No","No",
MAX(0.01,MROUND(_xlfn.XLOOKUP(B121,'Base stats'!B:B,'Base stats'!BV:BV)/10000,0.01))
)</f>
        <v>0.53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MAX(0.01,MROUND(_xlfn.XLOOKUP(B121,'Base stats'!B:B,'Base stats'!BH:BH) * 0.01 * 2, 0.01))
)</f>
        <v>No</v>
      </c>
      <c r="U121" s="5" t="str">
        <f>IF(S121="No","No",IF(_xlfn.XLOOKUP(B121,'Base stats'!B:B,'Base stats'!U:U)="No","No",
MAX(0.01,MROUND(_xlfn.XLOOKUP(B121,'Base stats'!B:B,'Base stats'!BT:BT)/10000,0.01))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stats'!AQ:AQ)*_xlfn.XLOOKUP(_xlfn.XLOOKUP(B121,'Base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stats'!AQ:AQ)*0.01,2)</f>
        <v>0.71</v>
      </c>
      <c r="AB121" s="18">
        <f>250*(Animals!AO121+Animals!AP121)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MAX(0.01,MROUND(_xlfn.XLOOKUP(B122,'Base stats'!B:B,'Base stats'!BG:BG) * 0.01 * 2, 0.01))</f>
        <v>0.6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MAX(0.01,MROUND(_xlfn.XLOOKUP(B122,'Base stats'!B:B,'Base stats'!BH:BH) * 0.01 * 2, 0.01))
)</f>
        <v>No</v>
      </c>
      <c r="I122" s="11" t="str">
        <f>IF(G122="No","No",IF(_xlfn.XLOOKUP(B122,'Base stats'!B:B,'Base stats'!U:U)="No","No",
MAX(0.01,MROUND(_xlfn.XLOOKUP(B122,'Base stats'!B:B,'Base stats'!BT:BT)/10000,0.01))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MAX(0.01,MROUND(_xlfn.XLOOKUP(B122,'Base stats'!B:B,'Base stats'!BI:BI)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stats'!BU:BU)/10000,0.01))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MAX(0.01,MROUND(_xlfn.XLOOKUP(B122,'Base stats'!B:B,'Base stats'!BJ:BJ) * 0.01 * 2, 0.01))
)</f>
        <v>0.96</v>
      </c>
      <c r="Q122" s="5">
        <f>IF(O122="No","No",
MAX(0.01,MROUND(_xlfn.XLOOKUP(B122,'Base stats'!B:B,'Base stats'!BV:BV)/10000,0.01))
)</f>
        <v>7.0000000000000007E-2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MAX(0.01,MROUND(_xlfn.XLOOKUP(B122,'Base stats'!B:B,'Base stats'!BH:BH) * 0.01 * 2, 0.01))
)</f>
        <v>No</v>
      </c>
      <c r="U122" s="5" t="str">
        <f>IF(S122="No","No",IF(_xlfn.XLOOKUP(B122,'Base stats'!B:B,'Base stats'!U:U)="No","No",
MAX(0.01,MROUND(_xlfn.XLOOKUP(B122,'Base stats'!B:B,'Base stats'!BT:BT)/10000,0.01))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stats'!AQ:AQ)*_xlfn.XLOOKUP(_xlfn.XLOOKUP(B122,'Base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stats'!AQ:AQ)*0.01,2)</f>
        <v>2.35</v>
      </c>
      <c r="AB122" s="18">
        <f>250*(Animals!AO122+Animals!AP122)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MAX(0.01,MROUND(_xlfn.XLOOKUP(B123,'Base stats'!B:B,'Base stats'!BG:BG) * 0.01 * 2, 0.01))</f>
        <v>4.21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MAX(0.01,MROUND(_xlfn.XLOOKUP(B123,'Base stats'!B:B,'Base stats'!BH:BH) * 0.01 * 2, 0.01))
)</f>
        <v>No</v>
      </c>
      <c r="I123" s="11" t="str">
        <f>IF(G123="No","No",IF(_xlfn.XLOOKUP(B123,'Base stats'!B:B,'Base stats'!U:U)="No","No",
MAX(0.01,MROUND(_xlfn.XLOOKUP(B123,'Base stats'!B:B,'Base stats'!BT:BT)/10000,0.01))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MAX(0.01,MROUND(_xlfn.XLOOKUP(B123,'Base stats'!B:B,'Base stats'!BI:BI)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stats'!BU:BU)/10000,0.01))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MAX(0.01,MROUND(_xlfn.XLOOKUP(B123,'Base stats'!B:B,'Base stats'!BJ:BJ) * 0.01 * 2, 0.01))
)</f>
        <v>10.24</v>
      </c>
      <c r="Q123" s="5">
        <f>IF(O123="No","No",
MAX(0.01,MROUND(_xlfn.XLOOKUP(B123,'Base stats'!B:B,'Base stats'!BV:BV)/10000,0.01))
)</f>
        <v>0.43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MAX(0.01,MROUND(_xlfn.XLOOKUP(B123,'Base stats'!B:B,'Base stats'!BH:BH) * 0.01 * 2, 0.01))
)</f>
        <v>5.14</v>
      </c>
      <c r="U123" s="5">
        <f>IF(S123="No","No",IF(_xlfn.XLOOKUP(B123,'Base stats'!B:B,'Base stats'!U:U)="No","No",
MAX(0.01,MROUND(_xlfn.XLOOKUP(B123,'Base stats'!B:B,'Base stats'!BT:BT)/10000,0.01))
))</f>
        <v>0.21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stats'!AQ:AQ)*_xlfn.XLOOKUP(_xlfn.XLOOKUP(B123,'Base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stats'!AQ:AQ)*0.01,2)</f>
        <v>1.01</v>
      </c>
      <c r="AB123" s="18">
        <f>250*(Animals!AO123+Animals!AP123)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MAX(0.01,MROUND(_xlfn.XLOOKUP(B124,'Base stats'!B:B,'Base stats'!BG:BG) * 0.01 * 2, 0.01))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MAX(0.01,MROUND(_xlfn.XLOOKUP(B124,'Base stats'!B:B,'Base stats'!BH:BH) * 0.01 * 2, 0.01))
)</f>
        <v>No</v>
      </c>
      <c r="I124" s="11" t="str">
        <f>IF(G124="No","No",IF(_xlfn.XLOOKUP(B124,'Base stats'!B:B,'Base stats'!U:U)="No","No",
MAX(0.01,MROUND(_xlfn.XLOOKUP(B124,'Base stats'!B:B,'Base stats'!BT:BT)/10000,0.01))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MAX(0.01,MROUND(_xlfn.XLOOKUP(B124,'Base stats'!B:B,'Base stats'!BI:BI)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stats'!BU:BU)/10000,0.01))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MAX(0.01,MROUND(_xlfn.XLOOKUP(B124,'Base stats'!B:B,'Base stats'!BJ:BJ) * 0.01 * 2, 0.01))
)</f>
        <v>0.37</v>
      </c>
      <c r="Q124" s="5">
        <f>IF(O124="No","No",
MAX(0.01,MROUND(_xlfn.XLOOKUP(B124,'Base stats'!B:B,'Base stats'!BV:BV)/10000,0.01))
)</f>
        <v>0.11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MAX(0.01,MROUND(_xlfn.XLOOKUP(B124,'Base stats'!B:B,'Base stats'!BH:BH) * 0.01 * 2, 0.01))
)</f>
        <v>0.08</v>
      </c>
      <c r="U124" s="5">
        <f>IF(S124="No","No",IF(_xlfn.XLOOKUP(B124,'Base stats'!B:B,'Base stats'!U:U)="No","No",
MAX(0.01,MROUND(_xlfn.XLOOKUP(B124,'Base stats'!B:B,'Base stats'!BT:BT)/10000,0.01))
))</f>
        <v>0.02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stats'!AQ:AQ)*_xlfn.XLOOKUP(_xlfn.XLOOKUP(B124,'Base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stats'!AQ:AQ)*0.01,2)</f>
        <v>0.08</v>
      </c>
      <c r="AB124" s="18">
        <f>250*(Animals!AO124+Animals!AP124)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MAX(0.01,MROUND(_xlfn.XLOOKUP(B125,'Base stats'!B:B,'Base stats'!BG:BG) * 0.01 * 2, 0.01))</f>
        <v>14.96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MAX(0.01,MROUND(_xlfn.XLOOKUP(B125,'Base stats'!B:B,'Base stats'!BH:BH) * 0.01 * 2, 0.01))
)</f>
        <v>16.899999999999999</v>
      </c>
      <c r="I125" s="11" t="str">
        <f>IF(G125="No","No",IF(_xlfn.XLOOKUP(B125,'Base stats'!B:B,'Base stats'!U:U)="No","No",
MAX(0.01,MROUND(_xlfn.XLOOKUP(B125,'Base stats'!B:B,'Base stats'!BT:BT)/10000,0.01))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MAX(0.01,MROUND(_xlfn.XLOOKUP(B125,'Base stats'!B:B,'Base stats'!BI:BI)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stats'!BU:BU)/10000,0.01))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MAX(0.01,MROUND(_xlfn.XLOOKUP(B125,'Base stats'!B:B,'Base stats'!BJ:BJ) * 0.01 * 2, 0.01))
)</f>
        <v>9.94</v>
      </c>
      <c r="Q125" s="5">
        <f>IF(O125="No","No",
MAX(0.01,MROUND(_xlfn.XLOOKUP(B125,'Base stats'!B:B,'Base stats'!BV:BV)/10000,0.01))
)</f>
        <v>0.1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MAX(0.01,MROUND(_xlfn.XLOOKUP(B125,'Base stats'!B:B,'Base stats'!BH:BH) * 0.01 * 2, 0.01))
)</f>
        <v>No</v>
      </c>
      <c r="U125" s="5" t="str">
        <f>IF(S125="No","No",IF(_xlfn.XLOOKUP(B125,'Base stats'!B:B,'Base stats'!U:U)="No","No",
MAX(0.01,MROUND(_xlfn.XLOOKUP(B125,'Base stats'!B:B,'Base stats'!BT:BT)/10000,0.01))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stats'!AQ:AQ)*_xlfn.XLOOKUP(_xlfn.XLOOKUP(B125,'Base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stats'!AQ:AQ)*0.01,2)</f>
        <v>0.45</v>
      </c>
      <c r="AB125" s="18">
        <f>250*(Animals!AO125+Animals!AP125)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MAX(0.01,MROUND(_xlfn.XLOOKUP(B126,'Base stats'!B:B,'Base stats'!BG:BG) * 0.01 * 2, 0.01))</f>
        <v>0.19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MAX(0.01,MROUND(_xlfn.XLOOKUP(B126,'Base stats'!B:B,'Base stats'!BH:BH) * 0.01 * 2, 0.01))
)</f>
        <v>No</v>
      </c>
      <c r="I126" s="11" t="str">
        <f>IF(G126="No","No",IF(_xlfn.XLOOKUP(B126,'Base stats'!B:B,'Base stats'!U:U)="No","No",
MAX(0.01,MROUND(_xlfn.XLOOKUP(B126,'Base stats'!B:B,'Base stats'!BT:BT)/10000,0.01))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MAX(0.01,MROUND(_xlfn.XLOOKUP(B126,'Base stats'!B:B,'Base stats'!BI:BI)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stats'!BU:BU)/10000,0.01))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MAX(0.01,MROUND(_xlfn.XLOOKUP(B126,'Base stats'!B:B,'Base stats'!BJ:BJ) * 0.01 * 2, 0.01))
)</f>
        <v>0.19</v>
      </c>
      <c r="Q126" s="5">
        <f>IF(O126="No","No",
MAX(0.01,MROUND(_xlfn.XLOOKUP(B126,'Base stats'!B:B,'Base stats'!BV:BV)/10000,0.01))
)</f>
        <v>0.03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MAX(0.01,MROUND(_xlfn.XLOOKUP(B126,'Base stats'!B:B,'Base stats'!BH:BH) * 0.01 * 2, 0.01))
)</f>
        <v>No</v>
      </c>
      <c r="U126" s="5" t="str">
        <f>IF(S126="No","No",IF(_xlfn.XLOOKUP(B126,'Base stats'!B:B,'Base stats'!U:U)="No","No",
MAX(0.01,MROUND(_xlfn.XLOOKUP(B126,'Base stats'!B:B,'Base stats'!BT:BT)/10000,0.01))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stats'!AQ:AQ)*_xlfn.XLOOKUP(_xlfn.XLOOKUP(B126,'Base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stats'!AQ:AQ)*0.01,2)</f>
        <v>0.13</v>
      </c>
      <c r="AB126" s="18">
        <f>250*(Animals!AO126+Animals!AP126)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MAX(0.01,MROUND(_xlfn.XLOOKUP(B127,'Base stats'!B:B,'Base stats'!BG:BG) * 0.01 * 2, 0.01))</f>
        <v>0.16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MAX(0.01,MROUND(_xlfn.XLOOKUP(B127,'Base stats'!B:B,'Base stats'!BH:BH) * 0.01 * 2, 0.01))
)</f>
        <v>No</v>
      </c>
      <c r="I127" s="11" t="str">
        <f>IF(G127="No","No",IF(_xlfn.XLOOKUP(B127,'Base stats'!B:B,'Base stats'!U:U)="No","No",
MAX(0.01,MROUND(_xlfn.XLOOKUP(B127,'Base stats'!B:B,'Base stats'!BT:BT)/10000,0.01))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MAX(0.01,MROUND(_xlfn.XLOOKUP(B127,'Base stats'!B:B,'Base stats'!BI:BI) * 0.01 *2, 0.01))
)</f>
        <v>1.52</v>
      </c>
      <c r="M127" s="5">
        <f>IF(K127="No","No",IF(_xlfn.XLOOKUP(_xlfn.XLOOKUP(B127,'Base stats'!B:B,'Base stats'!E:E),Groups!A:A,Groups!BD:BD)=1,"No",
MAX(0.01,MROUND(_xlfn.XLOOKUP(B127,'Base stats'!B:B,'Base stats'!BU:BU)/10000,0.01))
))</f>
        <v>0.14000000000000001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MAX(0.01,MROUND(_xlfn.XLOOKUP(B127,'Base stats'!B:B,'Base stats'!BJ:BJ) * 0.01 * 2, 0.01))
)</f>
        <v>1.59</v>
      </c>
      <c r="Q127" s="5">
        <f>IF(O127="No","No",
MAX(0.01,MROUND(_xlfn.XLOOKUP(B127,'Base stats'!B:B,'Base stats'!BV:BV)/10000,0.01))
)</f>
        <v>0.21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MAX(0.01,MROUND(_xlfn.XLOOKUP(B127,'Base stats'!B:B,'Base stats'!BH:BH) * 0.01 * 2, 0.01))
)</f>
        <v>1.27</v>
      </c>
      <c r="U127" s="5">
        <f>IF(S127="No","No",IF(_xlfn.XLOOKUP(B127,'Base stats'!B:B,'Base stats'!U:U)="No","No",
MAX(0.01,MROUND(_xlfn.XLOOKUP(B127,'Base stats'!B:B,'Base stats'!BT:BT)/10000,0.01))
))</f>
        <v>1.69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stats'!C:C)^-0.165,0.01)</f>
        <v>0.17</v>
      </c>
      <c r="X127" s="1">
        <f>MROUND(_xlfn.XLOOKUP(_xlfn.XLOOKUP(B127,'Base stats'!B:B,'Base stats'!E:E),Groups!A:A,Groups!BH:BH)*_xlfn.XLOOKUP(B127,'Base stats'!B:B,'Base stats'!C:C)^0.165,0.01)</f>
        <v>0.15</v>
      </c>
      <c r="Y127" s="8">
        <f>MROUND(_xlfn.XLOOKUP(_xlfn.XLOOKUP(B127,'Base stats'!B:B,'Base stats'!E:E),Groups!A:A,Groups!BI:BI)*_xlfn.XLOOKUP(B127,'Base stats'!B:B,'Base stats'!C:C)^0.165,0.01)</f>
        <v>0.04</v>
      </c>
      <c r="Z127" s="18">
        <f>ROUND(_xlfn.XLOOKUP(B127,'Base stats'!B:B,'Base stats'!AQ:AQ)*_xlfn.XLOOKUP(_xlfn.XLOOKUP(B127,'Base stats'!B:B,'Base stats'!E:E),Groups!A:A,Groups!H:H)/1000,2)</f>
        <v>0.51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stats'!AQ:AQ)*0.01,2)</f>
        <v>0.05</v>
      </c>
      <c r="AB127" s="18">
        <f>250*(Animals!AO127+Animals!AP127)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MAX(0.01,MROUND(_xlfn.XLOOKUP(B128,'Base stats'!B:B,'Base stats'!BG:BG) * 0.01 * 2, 0.01))</f>
        <v>0.15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MAX(0.01,MROUND(_xlfn.XLOOKUP(B128,'Base stats'!B:B,'Base stats'!BH:BH) * 0.01 * 2, 0.01))
)</f>
        <v>No</v>
      </c>
      <c r="I128" s="11" t="str">
        <f>IF(G128="No","No",IF(_xlfn.XLOOKUP(B128,'Base stats'!B:B,'Base stats'!U:U)="No","No",
MAX(0.01,MROUND(_xlfn.XLOOKUP(B128,'Base stats'!B:B,'Base stats'!BT:BT)/10000,0.01))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MAX(0.01,MROUND(_xlfn.XLOOKUP(B128,'Base stats'!B:B,'Base stats'!BI:BI)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stats'!BU:BU)/10000,0.01))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MAX(0.01,MROUND(_xlfn.XLOOKUP(B128,'Base stats'!B:B,'Base stats'!BJ:BJ) * 0.01 * 2, 0.01))
)</f>
        <v>0.37</v>
      </c>
      <c r="Q128" s="5">
        <f>IF(O128="No","No",
MAX(0.01,MROUND(_xlfn.XLOOKUP(B128,'Base stats'!B:B,'Base stats'!BV:BV)/10000,0.01))
)</f>
        <v>7.0000000000000007E-2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MAX(0.01,MROUND(_xlfn.XLOOKUP(B128,'Base stats'!B:B,'Base stats'!BH:BH) * 0.01 * 2, 0.01))
)</f>
        <v>0.22</v>
      </c>
      <c r="U128" s="5">
        <f>IF(S128="No","No",IF(_xlfn.XLOOKUP(B128,'Base stats'!B:B,'Base stats'!U:U)="No","No",
MAX(0.01,MROUND(_xlfn.XLOOKUP(B128,'Base stats'!B:B,'Base stats'!BT:BT)/10000,0.01))
))</f>
        <v>0.04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stats'!AQ:AQ)*_xlfn.XLOOKUP(_xlfn.XLOOKUP(B128,'Base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stats'!AQ:AQ)*0.01,2)</f>
        <v>0.28000000000000003</v>
      </c>
      <c r="AB128" s="18">
        <f>250*(Animals!AO128+Animals!AP128)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MAX(0.01,MROUND(_xlfn.XLOOKUP(B129,'Base stats'!B:B,'Base stats'!BG:BG) * 0.01 * 2, 0.01))</f>
        <v>0.11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MAX(0.01,MROUND(_xlfn.XLOOKUP(B129,'Base stats'!B:B,'Base stats'!BH:BH) * 0.01 * 2, 0.01))
)</f>
        <v>No</v>
      </c>
      <c r="I129" s="11" t="str">
        <f>IF(G129="No","No",IF(_xlfn.XLOOKUP(B129,'Base stats'!B:B,'Base stats'!U:U)="No","No",
MAX(0.01,MROUND(_xlfn.XLOOKUP(B129,'Base stats'!B:B,'Base stats'!BT:BT)/10000,0.01))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MAX(0.01,MROUND(_xlfn.XLOOKUP(B129,'Base stats'!B:B,'Base stats'!BI:BI)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stats'!BU:BU)/10000,0.01))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MAX(0.01,MROUND(_xlfn.XLOOKUP(B129,'Base stats'!B:B,'Base stats'!BJ:BJ) * 0.01 * 2, 0.01))
)</f>
        <v>0.03</v>
      </c>
      <c r="Q129" s="5">
        <f>IF(O129="No","No",
MAX(0.01,MROUND(_xlfn.XLOOKUP(B129,'Base stats'!B:B,'Base stats'!BV:BV)/10000,0.01))
)</f>
        <v>0.01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MAX(0.01,MROUND(_xlfn.XLOOKUP(B129,'Base stats'!B:B,'Base stats'!BH:BH) * 0.01 * 2, 0.01))
)</f>
        <v>No</v>
      </c>
      <c r="U129" s="5" t="str">
        <f>IF(S129="No","No",IF(_xlfn.XLOOKUP(B129,'Base stats'!B:B,'Base stats'!U:U)="No","No",
MAX(0.01,MROUND(_xlfn.XLOOKUP(B129,'Base stats'!B:B,'Base stats'!BT:BT)/10000,0.01))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stats'!AQ:AQ)*_xlfn.XLOOKUP(_xlfn.XLOOKUP(B129,'Base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stats'!AQ:AQ)*0.01,2)</f>
        <v>0.01</v>
      </c>
      <c r="AB129" s="18">
        <f>250*(Animals!AO129+Animals!AP129)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MAX(0.01,MROUND(_xlfn.XLOOKUP(B130,'Base stats'!B:B,'Base stats'!BG:BG) * 0.01 * 2, 0.01))</f>
        <v>0.73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MAX(0.01,MROUND(_xlfn.XLOOKUP(B130,'Base stats'!B:B,'Base stats'!BH:BH) * 0.01 * 2, 0.01))
)</f>
        <v>No</v>
      </c>
      <c r="I130" s="11" t="str">
        <f>IF(G130="No","No",IF(_xlfn.XLOOKUP(B130,'Base stats'!B:B,'Base stats'!U:U)="No","No",
MAX(0.01,MROUND(_xlfn.XLOOKUP(B130,'Base stats'!B:B,'Base stats'!BT:BT)/10000,0.01))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MAX(0.01,MROUND(_xlfn.XLOOKUP(B130,'Base stats'!B:B,'Base stats'!BI:BI)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stats'!BU:BU)/10000,0.01))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MAX(0.01,MROUND(_xlfn.XLOOKUP(B130,'Base stats'!B:B,'Base stats'!BJ:BJ) * 0.01 * 2, 0.01))
)</f>
        <v>0.94000000000000006</v>
      </c>
      <c r="Q130" s="5">
        <f>IF(O130="No","No",
MAX(0.01,MROUND(_xlfn.XLOOKUP(B130,'Base stats'!B:B,'Base stats'!BV:BV)/10000,0.01))
)</f>
        <v>0.09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MAX(0.01,MROUND(_xlfn.XLOOKUP(B130,'Base stats'!B:B,'Base stats'!BH:BH) * 0.01 * 2, 0.01))
)</f>
        <v>No</v>
      </c>
      <c r="U130" s="5" t="str">
        <f>IF(S130="No","No",IF(_xlfn.XLOOKUP(B130,'Base stats'!B:B,'Base stats'!U:U)="No","No",
MAX(0.01,MROUND(_xlfn.XLOOKUP(B130,'Base stats'!B:B,'Base stats'!BT:BT)/10000,0.01))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stats'!AQ:AQ)*_xlfn.XLOOKUP(_xlfn.XLOOKUP(B130,'Base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stats'!AQ:AQ)*0.01,2)</f>
        <v>0.17</v>
      </c>
      <c r="AB130" s="18">
        <f>250*(Animals!AO130+Animals!AP130)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MAX(0.01,MROUND(_xlfn.XLOOKUP(B131,'Base stats'!B:B,'Base stats'!BG:BG) * 0.01 * 2, 0.01))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MAX(0.01,MROUND(_xlfn.XLOOKUP(B131,'Base stats'!B:B,'Base stats'!BH:BH) * 0.01 * 2, 0.01))
)</f>
        <v>No</v>
      </c>
      <c r="I131" s="11" t="str">
        <f>IF(G131="No","No",IF(_xlfn.XLOOKUP(B131,'Base stats'!B:B,'Base stats'!U:U)="No","No",
MAX(0.01,MROUND(_xlfn.XLOOKUP(B131,'Base stats'!B:B,'Base stats'!BT:BT)/10000,0.01))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MAX(0.01,MROUND(_xlfn.XLOOKUP(B131,'Base stats'!B:B,'Base stats'!BI:BI)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stats'!BU:BU)/10000,0.01))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MAX(0.01,MROUND(_xlfn.XLOOKUP(B131,'Base stats'!B:B,'Base stats'!BJ:BJ) * 0.01 * 2, 0.01))
)</f>
        <v>0.09</v>
      </c>
      <c r="Q131" s="5">
        <f>IF(O131="No","No",
MAX(0.01,MROUND(_xlfn.XLOOKUP(B131,'Base stats'!B:B,'Base stats'!BV:BV)/10000,0.01))
)</f>
        <v>0.03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MAX(0.01,MROUND(_xlfn.XLOOKUP(B131,'Base stats'!B:B,'Base stats'!BH:BH) * 0.01 * 2, 0.01))
)</f>
        <v>No</v>
      </c>
      <c r="U131" s="5" t="str">
        <f>IF(S131="No","No",IF(_xlfn.XLOOKUP(B131,'Base stats'!B:B,'Base stats'!U:U)="No","No",
MAX(0.01,MROUND(_xlfn.XLOOKUP(B131,'Base stats'!B:B,'Base stats'!BT:BT)/10000,0.01))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stats'!AQ:AQ)*_xlfn.XLOOKUP(_xlfn.XLOOKUP(B131,'Base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stats'!AQ:AQ)*0.01,2)</f>
        <v>7.0000000000000007E-2</v>
      </c>
      <c r="AB131" s="18">
        <f>250*(Animals!AO131+Animals!AP131)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MAX(0.01,MROUND(_xlfn.XLOOKUP(B132,'Base stats'!B:B,'Base stats'!BG:BG) * 0.01 * 2, 0.01))</f>
        <v>2.36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MAX(0.01,MROUND(_xlfn.XLOOKUP(B132,'Base stats'!B:B,'Base stats'!BH:BH) * 0.01 * 2, 0.01))
)</f>
        <v>No</v>
      </c>
      <c r="I132" s="11" t="str">
        <f>IF(G132="No","No",IF(_xlfn.XLOOKUP(B132,'Base stats'!B:B,'Base stats'!U:U)="No","No",
MAX(0.01,MROUND(_xlfn.XLOOKUP(B132,'Base stats'!B:B,'Base stats'!BT:BT)/10000,0.01))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MAX(0.01,MROUND(_xlfn.XLOOKUP(B132,'Base stats'!B:B,'Base stats'!BI:BI)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stats'!BU:BU)/10000,0.01))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MAX(0.01,MROUND(_xlfn.XLOOKUP(B132,'Base stats'!B:B,'Base stats'!BJ:BJ) * 0.01 * 2, 0.01))
)</f>
        <v>10.200000000000001</v>
      </c>
      <c r="Q132" s="5">
        <f>IF(O132="No","No",
MAX(0.01,MROUND(_xlfn.XLOOKUP(B132,'Base stats'!B:B,'Base stats'!BV:BV)/10000,0.01))
)</f>
        <v>0.55000000000000004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MAX(0.01,MROUND(_xlfn.XLOOKUP(B132,'Base stats'!B:B,'Base stats'!BH:BH) * 0.01 * 2, 0.01))
)</f>
        <v>2.99</v>
      </c>
      <c r="U132" s="5">
        <f>IF(S132="No","No",IF(_xlfn.XLOOKUP(B132,'Base stats'!B:B,'Base stats'!U:U)="No","No",
MAX(0.01,MROUND(_xlfn.XLOOKUP(B132,'Base stats'!B:B,'Base stats'!BT:BT)/10000,0.01))
))</f>
        <v>0.16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stats'!AQ:AQ)*_xlfn.XLOOKUP(_xlfn.XLOOKUP(B132,'Base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stats'!AQ:AQ)*0.01,2)</f>
        <v>0.81</v>
      </c>
      <c r="AB132" s="18">
        <f>250*(Animals!AO132+Animals!AP132)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MAX(0.01,MROUND(_xlfn.XLOOKUP(B133,'Base stats'!B:B,'Base stats'!BG:BG) * 0.01 * 2, 0.01))</f>
        <v>0.09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MAX(0.01,MROUND(_xlfn.XLOOKUP(B133,'Base stats'!B:B,'Base stats'!BH:BH) * 0.01 * 2, 0.01))
)</f>
        <v>No</v>
      </c>
      <c r="I133" s="11" t="str">
        <f>IF(G133="No","No",IF(_xlfn.XLOOKUP(B133,'Base stats'!B:B,'Base stats'!U:U)="No","No",
MAX(0.01,MROUND(_xlfn.XLOOKUP(B133,'Base stats'!B:B,'Base stats'!BT:BT)/10000,0.01))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MAX(0.01,MROUND(_xlfn.XLOOKUP(B133,'Base stats'!B:B,'Base stats'!BI:BI)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stats'!BU:BU)/10000,0.01))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MAX(0.01,MROUND(_xlfn.XLOOKUP(B133,'Base stats'!B:B,'Base stats'!BJ:BJ) * 0.01 * 2, 0.01))
)</f>
        <v>7.0000000000000007E-2</v>
      </c>
      <c r="Q133" s="5">
        <f>IF(O133="No","No",
MAX(0.01,MROUND(_xlfn.XLOOKUP(B133,'Base stats'!B:B,'Base stats'!BV:BV)/10000,0.01))
)</f>
        <v>0.02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MAX(0.01,MROUND(_xlfn.XLOOKUP(B133,'Base stats'!B:B,'Base stats'!BH:BH) * 0.01 * 2, 0.01))
)</f>
        <v>0.14000000000000001</v>
      </c>
      <c r="U133" s="5" t="str">
        <f>IF(S133="No","No",IF(_xlfn.XLOOKUP(B133,'Base stats'!B:B,'Base stats'!U:U)="No","No",
MAX(0.01,MROUND(_xlfn.XLOOKUP(B133,'Base stats'!B:B,'Base stats'!BT:BT)/10000,0.01))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stats'!AQ:AQ)*_xlfn.XLOOKUP(_xlfn.XLOOKUP(B133,'Base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stats'!AQ:AQ)*0.01,2)</f>
        <v>0.09</v>
      </c>
      <c r="AB133" s="18">
        <f>250*(Animals!AO133+Animals!AP133)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MAX(0.01,MROUND(_xlfn.XLOOKUP(B134,'Base stats'!B:B,'Base stats'!BG:BG) * 0.01 * 2, 0.01))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MAX(0.01,MROUND(_xlfn.XLOOKUP(B134,'Base stats'!B:B,'Base stats'!BH:BH) * 0.01 * 2, 0.01))
)</f>
        <v>No</v>
      </c>
      <c r="I134" s="11" t="str">
        <f>IF(G134="No","No",IF(_xlfn.XLOOKUP(B134,'Base stats'!B:B,'Base stats'!U:U)="No","No",
MAX(0.01,MROUND(_xlfn.XLOOKUP(B134,'Base stats'!B:B,'Base stats'!BT:BT)/10000,0.01))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MAX(0.01,MROUND(_xlfn.XLOOKUP(B134,'Base stats'!B:B,'Base stats'!BI:BI)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stats'!BU:BU)/10000,0.01))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MAX(0.01,MROUND(_xlfn.XLOOKUP(B134,'Base stats'!B:B,'Base stats'!BJ:BJ) * 0.01 * 2, 0.01))
)</f>
        <v>0.4</v>
      </c>
      <c r="Q134" s="5">
        <f>IF(O134="No","No",
MAX(0.01,MROUND(_xlfn.XLOOKUP(B134,'Base stats'!B:B,'Base stats'!BV:BV)/10000,0.01))
)</f>
        <v>0.04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MAX(0.01,MROUND(_xlfn.XLOOKUP(B134,'Base stats'!B:B,'Base stats'!BH:BH) * 0.01 * 2, 0.01))
)</f>
        <v>0.76</v>
      </c>
      <c r="U134" s="5" t="str">
        <f>IF(S134="No","No",IF(_xlfn.XLOOKUP(B134,'Base stats'!B:B,'Base stats'!U:U)="No","No",
MAX(0.01,MROUND(_xlfn.XLOOKUP(B134,'Base stats'!B:B,'Base stats'!BT:BT)/10000,0.01))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stats'!AQ:AQ)*_xlfn.XLOOKUP(_xlfn.XLOOKUP(B134,'Base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stats'!AQ:AQ)*0.01,2)</f>
        <v>0.16</v>
      </c>
      <c r="AB134" s="18">
        <f>250*(Animals!AO134+Animals!AP134)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MAX(0.01,MROUND(_xlfn.XLOOKUP(B135,'Base stats'!B:B,'Base stats'!BG:BG) * 0.01 * 2, 0.01))</f>
        <v>7.0200000000000005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MAX(0.01,MROUND(_xlfn.XLOOKUP(B135,'Base stats'!B:B,'Base stats'!BH:BH) * 0.01 * 2, 0.01))
)</f>
        <v>8.31</v>
      </c>
      <c r="I135" s="11" t="str">
        <f>IF(G135="No","No",IF(_xlfn.XLOOKUP(B135,'Base stats'!B:B,'Base stats'!U:U)="No","No",
MAX(0.01,MROUND(_xlfn.XLOOKUP(B135,'Base stats'!B:B,'Base stats'!BT:BT)/10000,0.01))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MAX(0.01,MROUND(_xlfn.XLOOKUP(B135,'Base stats'!B:B,'Base stats'!BI:BI)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stats'!BU:BU)/10000,0.01))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MAX(0.01,MROUND(_xlfn.XLOOKUP(B135,'Base stats'!B:B,'Base stats'!BJ:BJ) * 0.01 * 2, 0.01))
)</f>
        <v>5.47</v>
      </c>
      <c r="Q135" s="5">
        <f>IF(O135="No","No",
MAX(0.01,MROUND(_xlfn.XLOOKUP(B135,'Base stats'!B:B,'Base stats'!BV:BV)/10000,0.01))
)</f>
        <v>0.12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MAX(0.01,MROUND(_xlfn.XLOOKUP(B135,'Base stats'!B:B,'Base stats'!BH:BH) * 0.01 * 2, 0.01))
)</f>
        <v>No</v>
      </c>
      <c r="U135" s="5" t="str">
        <f>IF(S135="No","No",IF(_xlfn.XLOOKUP(B135,'Base stats'!B:B,'Base stats'!U:U)="No","No",
MAX(0.01,MROUND(_xlfn.XLOOKUP(B135,'Base stats'!B:B,'Base stats'!BT:BT)/10000,0.01))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stats'!AQ:AQ)*_xlfn.XLOOKUP(_xlfn.XLOOKUP(B135,'Base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stats'!AQ:AQ)*0.01,2)</f>
        <v>0.36</v>
      </c>
      <c r="AB135" s="18">
        <f>250*(Animals!AO135+Animals!AP135)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MAX(0.01,MROUND(_xlfn.XLOOKUP(B136,'Base stats'!B:B,'Base stats'!BG:BG) * 0.01 * 2, 0.01))</f>
        <v>2.5300000000000002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MAX(0.01,MROUND(_xlfn.XLOOKUP(B136,'Base stats'!B:B,'Base stats'!BH:BH) * 0.01 * 2, 0.01))
)</f>
        <v>No</v>
      </c>
      <c r="I136" s="11" t="str">
        <f>IF(G136="No","No",IF(_xlfn.XLOOKUP(B136,'Base stats'!B:B,'Base stats'!U:U)="No","No",
MAX(0.01,MROUND(_xlfn.XLOOKUP(B136,'Base stats'!B:B,'Base stats'!BT:BT)/10000,0.01))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MAX(0.01,MROUND(_xlfn.XLOOKUP(B136,'Base stats'!B:B,'Base stats'!BI:BI)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stats'!BU:BU)/10000,0.01))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MAX(0.01,MROUND(_xlfn.XLOOKUP(B136,'Base stats'!B:B,'Base stats'!BJ:BJ) * 0.01 * 2, 0.01))
)</f>
        <v>1.44</v>
      </c>
      <c r="Q136" s="5">
        <f>IF(O136="No","No",
MAX(0.01,MROUND(_xlfn.XLOOKUP(B136,'Base stats'!B:B,'Base stats'!BV:BV)/10000,0.01))
)</f>
        <v>0.08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MAX(0.01,MROUND(_xlfn.XLOOKUP(B136,'Base stats'!B:B,'Base stats'!BH:BH) * 0.01 * 2, 0.01))
)</f>
        <v>No</v>
      </c>
      <c r="U136" s="5" t="str">
        <f>IF(S136="No","No",IF(_xlfn.XLOOKUP(B136,'Base stats'!B:B,'Base stats'!U:U)="No","No",
MAX(0.01,MROUND(_xlfn.XLOOKUP(B136,'Base stats'!B:B,'Base stats'!BT:BT)/10000,0.01))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stats'!AQ:AQ)*_xlfn.XLOOKUP(_xlfn.XLOOKUP(B136,'Base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stats'!AQ:AQ)*0.01,2)</f>
        <v>0.3</v>
      </c>
      <c r="AB136" s="18">
        <f>250*(Animals!AO136+Animals!AP136)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MAX(0.01,MROUND(_xlfn.XLOOKUP(B137,'Base stats'!B:B,'Base stats'!BG:BG) * 0.01 * 2, 0.01))</f>
        <v>31.45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MAX(0.01,MROUND(_xlfn.XLOOKUP(B137,'Base stats'!B:B,'Base stats'!BH:BH) * 0.01 * 2, 0.01))
)</f>
        <v>28.19</v>
      </c>
      <c r="I137" s="11" t="str">
        <f>IF(G137="No","No",IF(_xlfn.XLOOKUP(B137,'Base stats'!B:B,'Base stats'!U:U)="No","No",
MAX(0.01,MROUND(_xlfn.XLOOKUP(B137,'Base stats'!B:B,'Base stats'!BT:BT)/10000,0.01))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MAX(0.01,MROUND(_xlfn.XLOOKUP(B137,'Base stats'!B:B,'Base stats'!BI:BI)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stats'!BU:BU)/10000,0.01))
))</f>
        <v>1.5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MAX(0.01,MROUND(_xlfn.XLOOKUP(B137,'Base stats'!B:B,'Base stats'!BJ:BJ) * 0.01 * 2, 0.01))
)</f>
        <v>No</v>
      </c>
      <c r="Q137" s="5" t="str">
        <f>IF(O137="No","No",
MAX(0.01,MROUND(_xlfn.XLOOKUP(B137,'Base stats'!B:B,'Base stats'!BV:BV)/10000,0.01))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MAX(0.01,MROUND(_xlfn.XLOOKUP(B137,'Base stats'!B:B,'Base stats'!BH:BH) * 0.01 * 2, 0.01))
)</f>
        <v>No</v>
      </c>
      <c r="U137" s="5" t="str">
        <f>IF(S137="No","No",IF(_xlfn.XLOOKUP(B137,'Base stats'!B:B,'Base stats'!U:U)="No","No",
MAX(0.01,MROUND(_xlfn.XLOOKUP(B137,'Base stats'!B:B,'Base stats'!BT:BT)/10000,0.01))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stats'!AQ:AQ)*_xlfn.XLOOKUP(_xlfn.XLOOKUP(B137,'Base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stats'!AQ:AQ)*0.01,2)</f>
        <v>0.88</v>
      </c>
      <c r="AB137" s="18">
        <f>250*(Animals!AO137+Animals!AP137)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11.9</v>
      </c>
      <c r="E138" s="11">
        <f>MAX(0.01,MROUND(_xlfn.XLOOKUP(B138,'Base stats'!B:B,'Base stats'!BG:BG) * 0.01 * 2, 0.01))</f>
        <v>11.16</v>
      </c>
      <c r="F138" s="7">
        <f>MROUND(_xlfn.XLOOKUP(B138,'Base stats'!B:B,'Base stats'!BD:BD)^0.25 / (_xlfn.XLOOKUP(B138,'Base stats'!B:B,'Base stats'!BK:BK) * 10) * 150 + 0.5 + _xlfn.XLOOKUP(B138,'Base stats'!B:B,'Base stats'!BW:BW), 0.05)</f>
        <v>2.5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MAX(0.01,MROUND(_xlfn.XLOOKUP(B138,'Base stats'!B:B,'Base stats'!BH:BH) * 0.01 * 2, 0.01))
)</f>
        <v>No</v>
      </c>
      <c r="I138" s="11" t="str">
        <f>IF(G138="No","No",IF(_xlfn.XLOOKUP(B138,'Base stats'!B:B,'Base stats'!U:U)="No","No",
MAX(0.01,MROUND(_xlfn.XLOOKUP(B138,'Base stats'!B:B,'Base stats'!BT:BT)/10000,0.01))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MAX(0.01,MROUND(_xlfn.XLOOKUP(B138,'Base stats'!B:B,'Base stats'!BI:BI)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stats'!BU:BU)/10000,0.01))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39.200000000000003</v>
      </c>
      <c r="P138" s="11">
        <f>IF(O138="No","No",
MAX(0.01,MROUND(_xlfn.XLOOKUP(B138,'Base stats'!B:B,'Base stats'!BJ:BJ) * 0.01 * 2, 0.01))
)</f>
        <v>26.16</v>
      </c>
      <c r="Q138" s="5">
        <f>IF(O138="No","No",
MAX(0.01,MROUND(_xlfn.XLOOKUP(B138,'Base stats'!B:B,'Base stats'!BV:BV)/10000,0.01))
)</f>
        <v>0.71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2.35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29.5</v>
      </c>
      <c r="T138" s="11">
        <f>IF(S138="No","No",
MAX(0.01,MROUND(_xlfn.XLOOKUP(B138,'Base stats'!B:B,'Base stats'!BH:BH) * 0.01 * 2, 0.01))
)</f>
        <v>12.84</v>
      </c>
      <c r="U138" s="5">
        <f>IF(S138="No","No",IF(_xlfn.XLOOKUP(B138,'Base stats'!B:B,'Base stats'!U:U)="No","No",
MAX(0.01,MROUND(_xlfn.XLOOKUP(B138,'Base stats'!B:B,'Base stats'!BT:BT)/10000,0.01))
))</f>
        <v>0.35000000000000003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stats'!AQ:AQ)*_xlfn.XLOOKUP(_xlfn.XLOOKUP(B138,'Base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stats'!AQ:AQ)*0.01,2)</f>
        <v>1.47</v>
      </c>
      <c r="AB138" s="18">
        <f>250*(Animals!AO138+Animals!AP138)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MAX(0.01,MROUND(_xlfn.XLOOKUP(B139,'Base stats'!B:B,'Base stats'!BG:BG) * 0.01 * 2, 0.01))</f>
        <v>0.32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MAX(0.01,MROUND(_xlfn.XLOOKUP(B139,'Base stats'!B:B,'Base stats'!BH:BH) * 0.01 * 2, 0.01))
)</f>
        <v>No</v>
      </c>
      <c r="I139" s="11" t="str">
        <f>IF(G139="No","No",IF(_xlfn.XLOOKUP(B139,'Base stats'!B:B,'Base stats'!U:U)="No","No",
MAX(0.01,MROUND(_xlfn.XLOOKUP(B139,'Base stats'!B:B,'Base stats'!BT:BT)/10000,0.01))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MAX(0.01,MROUND(_xlfn.XLOOKUP(B139,'Base stats'!B:B,'Base stats'!BI:BI)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stats'!BU:BU)/10000,0.01))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MAX(0.01,MROUND(_xlfn.XLOOKUP(B139,'Base stats'!B:B,'Base stats'!BJ:BJ) * 0.01 * 2, 0.01))
)</f>
        <v>0.86</v>
      </c>
      <c r="Q139" s="5">
        <f>IF(O139="No","No",
MAX(0.01,MROUND(_xlfn.XLOOKUP(B139,'Base stats'!B:B,'Base stats'!BV:BV)/10000,0.01))
)</f>
        <v>0.11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MAX(0.01,MROUND(_xlfn.XLOOKUP(B139,'Base stats'!B:B,'Base stats'!BH:BH) * 0.01 * 2, 0.01))
)</f>
        <v>No</v>
      </c>
      <c r="U139" s="5" t="str">
        <f>IF(S139="No","No",IF(_xlfn.XLOOKUP(B139,'Base stats'!B:B,'Base stats'!U:U)="No","No",
MAX(0.01,MROUND(_xlfn.XLOOKUP(B139,'Base stats'!B:B,'Base stats'!BT:BT)/10000,0.01))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stats'!AQ:AQ)*_xlfn.XLOOKUP(_xlfn.XLOOKUP(B139,'Base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stats'!AQ:AQ)*0.01,2)</f>
        <v>0.38</v>
      </c>
      <c r="AB139" s="18">
        <f>250*(Animals!AO139+Animals!AP139)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MAX(0.01,MROUND(_xlfn.XLOOKUP(B140,'Base stats'!B:B,'Base stats'!BG:BG) * 0.01 * 2, 0.01))</f>
        <v>7.0000000000000007E-2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MAX(0.01,MROUND(_xlfn.XLOOKUP(B140,'Base stats'!B:B,'Base stats'!BH:BH) * 0.01 * 2, 0.01))
)</f>
        <v>No</v>
      </c>
      <c r="I140" s="11" t="str">
        <f>IF(G140="No","No",IF(_xlfn.XLOOKUP(B140,'Base stats'!B:B,'Base stats'!U:U)="No","No",
MAX(0.01,MROUND(_xlfn.XLOOKUP(B140,'Base stats'!B:B,'Base stats'!BT:BT)/10000,0.01))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MAX(0.01,MROUND(_xlfn.XLOOKUP(B140,'Base stats'!B:B,'Base stats'!BI:BI)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stats'!BU:BU)/10000,0.01))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MAX(0.01,MROUND(_xlfn.XLOOKUP(B140,'Base stats'!B:B,'Base stats'!BJ:BJ) * 0.01 * 2, 0.01))
)</f>
        <v>0.2</v>
      </c>
      <c r="Q140" s="5">
        <f>IF(O140="No","No",
MAX(0.01,MROUND(_xlfn.XLOOKUP(B140,'Base stats'!B:B,'Base stats'!BV:BV)/10000,0.01))
)</f>
        <v>0.05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MAX(0.01,MROUND(_xlfn.XLOOKUP(B140,'Base stats'!B:B,'Base stats'!BH:BH) * 0.01 * 2, 0.01))
)</f>
        <v>No</v>
      </c>
      <c r="U140" s="5" t="str">
        <f>IF(S140="No","No",IF(_xlfn.XLOOKUP(B140,'Base stats'!B:B,'Base stats'!U:U)="No","No",
MAX(0.01,MROUND(_xlfn.XLOOKUP(B140,'Base stats'!B:B,'Base stats'!BT:BT)/10000,0.01))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stats'!AQ:AQ)*_xlfn.XLOOKUP(_xlfn.XLOOKUP(B140,'Base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stats'!AQ:AQ)*0.01,2)</f>
        <v>0.21</v>
      </c>
      <c r="AB140" s="18">
        <f>250*(Animals!AO140+Animals!AP140)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MAX(0.01,MROUND(_xlfn.XLOOKUP(B141,'Base stats'!B:B,'Base stats'!BG:BG) * 0.01 * 2, 0.01))</f>
        <v>0.47000000000000003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MAX(0.01,MROUND(_xlfn.XLOOKUP(B141,'Base stats'!B:B,'Base stats'!BH:BH) * 0.01 * 2, 0.01))
)</f>
        <v>No</v>
      </c>
      <c r="I141" s="11" t="str">
        <f>IF(G141="No","No",IF(_xlfn.XLOOKUP(B141,'Base stats'!B:B,'Base stats'!U:U)="No","No",
MAX(0.01,MROUND(_xlfn.XLOOKUP(B141,'Base stats'!B:B,'Base stats'!BT:BT)/10000,0.01))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MAX(0.01,MROUND(_xlfn.XLOOKUP(B141,'Base stats'!B:B,'Base stats'!BI:BI)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stats'!BU:BU)/10000,0.01))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MAX(0.01,MROUND(_xlfn.XLOOKUP(B141,'Base stats'!B:B,'Base stats'!BJ:BJ) * 0.01 * 2, 0.01))
)</f>
        <v>1.25</v>
      </c>
      <c r="Q141" s="5">
        <f>IF(O141="No","No",
MAX(0.01,MROUND(_xlfn.XLOOKUP(B141,'Base stats'!B:B,'Base stats'!BV:BV)/10000,0.01))
)</f>
        <v>0.14000000000000001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MAX(0.01,MROUND(_xlfn.XLOOKUP(B141,'Base stats'!B:B,'Base stats'!BH:BH) * 0.01 * 2, 0.01))
)</f>
        <v>No</v>
      </c>
      <c r="U141" s="5" t="str">
        <f>IF(S141="No","No",IF(_xlfn.XLOOKUP(B141,'Base stats'!B:B,'Base stats'!U:U)="No","No",
MAX(0.01,MROUND(_xlfn.XLOOKUP(B141,'Base stats'!B:B,'Base stats'!BT:BT)/10000,0.01))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stats'!AQ:AQ)*_xlfn.XLOOKUP(_xlfn.XLOOKUP(B141,'Base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stats'!AQ:AQ)*0.01,2)</f>
        <v>0.44</v>
      </c>
      <c r="AB141" s="18">
        <f>250*(Animals!AO141+Animals!AP141)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MAX(0.01,MROUND(_xlfn.XLOOKUP(B142,'Base stats'!B:B,'Base stats'!BG:BG) * 0.01 * 2, 0.01))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MAX(0.01,MROUND(_xlfn.XLOOKUP(B142,'Base stats'!B:B,'Base stats'!BH:BH) * 0.01 * 2, 0.01))
)</f>
        <v>No</v>
      </c>
      <c r="I142" s="11" t="str">
        <f>IF(G142="No","No",IF(_xlfn.XLOOKUP(B142,'Base stats'!B:B,'Base stats'!U:U)="No","No",
MAX(0.01,MROUND(_xlfn.XLOOKUP(B142,'Base stats'!B:B,'Base stats'!BT:BT)/10000,0.01))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MAX(0.01,MROUND(_xlfn.XLOOKUP(B142,'Base stats'!B:B,'Base stats'!BI:BI)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stats'!BU:BU)/10000,0.01))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MAX(0.01,MROUND(_xlfn.XLOOKUP(B142,'Base stats'!B:B,'Base stats'!BJ:BJ) * 0.01 * 2, 0.01))
)</f>
        <v>0.92</v>
      </c>
      <c r="Q142" s="5">
        <f>IF(O142="No","No",
MAX(0.01,MROUND(_xlfn.XLOOKUP(B142,'Base stats'!B:B,'Base stats'!BV:BV)/10000,0.01))
)</f>
        <v>0.12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MAX(0.01,MROUND(_xlfn.XLOOKUP(B142,'Base stats'!B:B,'Base stats'!BH:BH) * 0.01 * 2, 0.01))
)</f>
        <v>No</v>
      </c>
      <c r="U142" s="5" t="str">
        <f>IF(S142="No","No",IF(_xlfn.XLOOKUP(B142,'Base stats'!B:B,'Base stats'!U:U)="No","No",
MAX(0.01,MROUND(_xlfn.XLOOKUP(B142,'Base stats'!B:B,'Base stats'!BT:BT)/10000,0.01))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stats'!AQ:AQ)*_xlfn.XLOOKUP(_xlfn.XLOOKUP(B142,'Base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stats'!AQ:AQ)*0.01,2)</f>
        <v>0.39</v>
      </c>
      <c r="AB142" s="18">
        <f>250*(Animals!AO142+Animals!AP142)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MAX(0.01,MROUND(_xlfn.XLOOKUP(B143,'Base stats'!B:B,'Base stats'!BG:BG) * 0.01 * 2, 0.01))</f>
        <v>1.06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MAX(0.01,MROUND(_xlfn.XLOOKUP(B143,'Base stats'!B:B,'Base stats'!BH:BH) * 0.01 * 2, 0.01))
)</f>
        <v>No</v>
      </c>
      <c r="I143" s="11" t="str">
        <f>IF(G143="No","No",IF(_xlfn.XLOOKUP(B143,'Base stats'!B:B,'Base stats'!U:U)="No","No",
MAX(0.01,MROUND(_xlfn.XLOOKUP(B143,'Base stats'!B:B,'Base stats'!BT:BT)/10000,0.01))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MAX(0.01,MROUND(_xlfn.XLOOKUP(B143,'Base stats'!B:B,'Base stats'!BI:BI)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stats'!BU:BU)/10000,0.01))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MAX(0.01,MROUND(_xlfn.XLOOKUP(B143,'Base stats'!B:B,'Base stats'!BJ:BJ) * 0.01 * 2, 0.01))
)</f>
        <v>2.7600000000000002</v>
      </c>
      <c r="Q143" s="5">
        <f>IF(O143="No","No",
MAX(0.01,MROUND(_xlfn.XLOOKUP(B143,'Base stats'!B:B,'Base stats'!BV:BV)/10000,0.01))
)</f>
        <v>0.21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MAX(0.01,MROUND(_xlfn.XLOOKUP(B143,'Base stats'!B:B,'Base stats'!BH:BH) * 0.01 * 2, 0.01))
)</f>
        <v>No</v>
      </c>
      <c r="U143" s="5" t="str">
        <f>IF(S143="No","No",IF(_xlfn.XLOOKUP(B143,'Base stats'!B:B,'Base stats'!U:U)="No","No",
MAX(0.01,MROUND(_xlfn.XLOOKUP(B143,'Base stats'!B:B,'Base stats'!BT:BT)/10000,0.01))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stats'!AQ:AQ)*_xlfn.XLOOKUP(_xlfn.XLOOKUP(B143,'Base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stats'!AQ:AQ)*0.01,2)</f>
        <v>0.59</v>
      </c>
      <c r="AB143" s="18">
        <f>250*(Animals!AO143+Animals!AP143)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MAX(0.01,MROUND(_xlfn.XLOOKUP(B144,'Base stats'!B:B,'Base stats'!BG:BG) * 0.01 * 2, 0.01))</f>
        <v>1.72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MAX(0.01,MROUND(_xlfn.XLOOKUP(B144,'Base stats'!B:B,'Base stats'!BH:BH) * 0.01 * 2, 0.01))
)</f>
        <v>No</v>
      </c>
      <c r="I144" s="11" t="str">
        <f>IF(G144="No","No",IF(_xlfn.XLOOKUP(B144,'Base stats'!B:B,'Base stats'!U:U)="No","No",
MAX(0.01,MROUND(_xlfn.XLOOKUP(B144,'Base stats'!B:B,'Base stats'!BT:BT)/10000,0.01))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MAX(0.01,MROUND(_xlfn.XLOOKUP(B144,'Base stats'!B:B,'Base stats'!BI:BI)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stats'!BU:BU)/10000,0.01))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MAX(0.01,MROUND(_xlfn.XLOOKUP(B144,'Base stats'!B:B,'Base stats'!BJ:BJ) * 0.01 * 2, 0.01))
)</f>
        <v>4.46</v>
      </c>
      <c r="Q144" s="5">
        <f>IF(O144="No","No",
MAX(0.01,MROUND(_xlfn.XLOOKUP(B144,'Base stats'!B:B,'Base stats'!BV:BV)/10000,0.01))
)</f>
        <v>0.28000000000000003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MAX(0.01,MROUND(_xlfn.XLOOKUP(B144,'Base stats'!B:B,'Base stats'!BH:BH) * 0.01 * 2, 0.01))
)</f>
        <v>No</v>
      </c>
      <c r="U144" s="5" t="str">
        <f>IF(S144="No","No",IF(_xlfn.XLOOKUP(B144,'Base stats'!B:B,'Base stats'!U:U)="No","No",
MAX(0.01,MROUND(_xlfn.XLOOKUP(B144,'Base stats'!B:B,'Base stats'!BT:BT)/10000,0.01))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stats'!AQ:AQ)*_xlfn.XLOOKUP(_xlfn.XLOOKUP(B144,'Base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stats'!AQ:AQ)*0.01,2)</f>
        <v>0.72</v>
      </c>
      <c r="AB144" s="18">
        <f>250*(Animals!AO144+Animals!AP144)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MAX(0.01,MROUND(_xlfn.XLOOKUP(B145,'Base stats'!B:B,'Base stats'!BG:BG) * 0.01 * 2, 0.01))</f>
        <v>0.76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MAX(0.01,MROUND(_xlfn.XLOOKUP(B145,'Base stats'!B:B,'Base stats'!BH:BH) * 0.01 * 2, 0.01))
)</f>
        <v>No</v>
      </c>
      <c r="I145" s="11" t="str">
        <f>IF(G145="No","No",IF(_xlfn.XLOOKUP(B145,'Base stats'!B:B,'Base stats'!U:U)="No","No",
MAX(0.01,MROUND(_xlfn.XLOOKUP(B145,'Base stats'!B:B,'Base stats'!BT:BT)/10000,0.01))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MAX(0.01,MROUND(_xlfn.XLOOKUP(B145,'Base stats'!B:B,'Base stats'!BI:BI)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stats'!BU:BU)/10000,0.01))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MAX(0.01,MROUND(_xlfn.XLOOKUP(B145,'Base stats'!B:B,'Base stats'!BJ:BJ) * 0.01 * 2, 0.01))
)</f>
        <v>1.99</v>
      </c>
      <c r="Q145" s="5">
        <f>IF(O145="No","No",
MAX(0.01,MROUND(_xlfn.XLOOKUP(B145,'Base stats'!B:B,'Base stats'!BV:BV)/10000,0.01))
)</f>
        <v>0.18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MAX(0.01,MROUND(_xlfn.XLOOKUP(B145,'Base stats'!B:B,'Base stats'!BH:BH) * 0.01 * 2, 0.01))
)</f>
        <v>No</v>
      </c>
      <c r="U145" s="5" t="str">
        <f>IF(S145="No","No",IF(_xlfn.XLOOKUP(B145,'Base stats'!B:B,'Base stats'!U:U)="No","No",
MAX(0.01,MROUND(_xlfn.XLOOKUP(B145,'Base stats'!B:B,'Base stats'!BT:BT)/10000,0.01))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stats'!AQ:AQ)*_xlfn.XLOOKUP(_xlfn.XLOOKUP(B145,'Base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stats'!AQ:AQ)*0.01,2)</f>
        <v>0.52</v>
      </c>
      <c r="AB145" s="18">
        <f>250*(Animals!AO145+Animals!AP145)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MAX(0.01,MROUND(_xlfn.XLOOKUP(B146,'Base stats'!B:B,'Base stats'!BG:BG) * 0.01 * 2, 0.01))</f>
        <v>0.24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MAX(0.01,MROUND(_xlfn.XLOOKUP(B146,'Base stats'!B:B,'Base stats'!BH:BH) * 0.01 * 2, 0.01))
)</f>
        <v>No</v>
      </c>
      <c r="I146" s="11" t="str">
        <f>IF(G146="No","No",IF(_xlfn.XLOOKUP(B146,'Base stats'!B:B,'Base stats'!U:U)="No","No",
MAX(0.01,MROUND(_xlfn.XLOOKUP(B146,'Base stats'!B:B,'Base stats'!BT:BT)/10000,0.01))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MAX(0.01,MROUND(_xlfn.XLOOKUP(B146,'Base stats'!B:B,'Base stats'!BI:BI)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stats'!BU:BU)/10000,0.01))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MAX(0.01,MROUND(_xlfn.XLOOKUP(B146,'Base stats'!B:B,'Base stats'!BJ:BJ) * 0.01 * 2, 0.01))
)</f>
        <v>0.63</v>
      </c>
      <c r="Q146" s="5">
        <f>IF(O146="No","No",
MAX(0.01,MROUND(_xlfn.XLOOKUP(B146,'Base stats'!B:B,'Base stats'!BV:BV)/10000,0.01))
)</f>
        <v>0.1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MAX(0.01,MROUND(_xlfn.XLOOKUP(B146,'Base stats'!B:B,'Base stats'!BH:BH) * 0.01 * 2, 0.01))
)</f>
        <v>No</v>
      </c>
      <c r="U146" s="5" t="str">
        <f>IF(S146="No","No",IF(_xlfn.XLOOKUP(B146,'Base stats'!B:B,'Base stats'!U:U)="No","No",
MAX(0.01,MROUND(_xlfn.XLOOKUP(B146,'Base stats'!B:B,'Base stats'!BT:BT)/10000,0.01))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stats'!AQ:AQ)*_xlfn.XLOOKUP(_xlfn.XLOOKUP(B146,'Base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stats'!AQ:AQ)*0.01,2)</f>
        <v>0.33</v>
      </c>
      <c r="AB146" s="18">
        <f>250*(Animals!AO146+Animals!AP146)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MAX(0.01,MROUND(_xlfn.XLOOKUP(B147,'Base stats'!B:B,'Base stats'!BG:BG) * 0.01 * 2, 0.01))</f>
        <v>1.33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MAX(0.01,MROUND(_xlfn.XLOOKUP(B147,'Base stats'!B:B,'Base stats'!BH:BH) * 0.01 * 2, 0.01))
)</f>
        <v>No</v>
      </c>
      <c r="I147" s="11" t="str">
        <f>IF(G147="No","No",IF(_xlfn.XLOOKUP(B147,'Base stats'!B:B,'Base stats'!U:U)="No","No",
MAX(0.01,MROUND(_xlfn.XLOOKUP(B147,'Base stats'!B:B,'Base stats'!BT:BT)/10000,0.01))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MAX(0.01,MROUND(_xlfn.XLOOKUP(B147,'Base stats'!B:B,'Base stats'!BI:BI)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stats'!BU:BU)/10000,0.01))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MAX(0.01,MROUND(_xlfn.XLOOKUP(B147,'Base stats'!B:B,'Base stats'!BJ:BJ) * 0.01 * 2, 0.01))
)</f>
        <v>3.47</v>
      </c>
      <c r="Q147" s="5">
        <f>IF(O147="No","No",
MAX(0.01,MROUND(_xlfn.XLOOKUP(B147,'Base stats'!B:B,'Base stats'!BV:BV)/10000,0.01))
)</f>
        <v>0.24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MAX(0.01,MROUND(_xlfn.XLOOKUP(B147,'Base stats'!B:B,'Base stats'!BH:BH) * 0.01 * 2, 0.01))
)</f>
        <v>No</v>
      </c>
      <c r="U147" s="5" t="str">
        <f>IF(S147="No","No",IF(_xlfn.XLOOKUP(B147,'Base stats'!B:B,'Base stats'!U:U)="No","No",
MAX(0.01,MROUND(_xlfn.XLOOKUP(B147,'Base stats'!B:B,'Base stats'!BT:BT)/10000,0.01))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stats'!AQ:AQ)*_xlfn.XLOOKUP(_xlfn.XLOOKUP(B147,'Base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stats'!AQ:AQ)*0.01,2)</f>
        <v>0.65</v>
      </c>
      <c r="AB147" s="18">
        <f>250*(Animals!AO147+Animals!AP147)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MAX(0.01,MROUND(_xlfn.XLOOKUP(B148,'Base stats'!B:B,'Base stats'!BG:BG) * 0.01 * 2, 0.01))</f>
        <v>0.19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MAX(0.01,MROUND(_xlfn.XLOOKUP(B148,'Base stats'!B:B,'Base stats'!BH:BH) * 0.01 * 2, 0.01))
)</f>
        <v>No</v>
      </c>
      <c r="I148" s="11" t="str">
        <f>IF(G148="No","No",IF(_xlfn.XLOOKUP(B148,'Base stats'!B:B,'Base stats'!U:U)="No","No",
MAX(0.01,MROUND(_xlfn.XLOOKUP(B148,'Base stats'!B:B,'Base stats'!BT:BT)/10000,0.01))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MAX(0.01,MROUND(_xlfn.XLOOKUP(B148,'Base stats'!B:B,'Base stats'!BI:BI)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stats'!BU:BU)/10000,0.01))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MAX(0.01,MROUND(_xlfn.XLOOKUP(B148,'Base stats'!B:B,'Base stats'!BJ:BJ) * 0.01 * 2, 0.01))
)</f>
        <v>0.51</v>
      </c>
      <c r="Q148" s="5">
        <f>IF(O148="No","No",
MAX(0.01,MROUND(_xlfn.XLOOKUP(B148,'Base stats'!B:B,'Base stats'!BV:BV)/10000,0.01))
)</f>
        <v>0.09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MAX(0.01,MROUND(_xlfn.XLOOKUP(B148,'Base stats'!B:B,'Base stats'!BH:BH) * 0.01 * 2, 0.01))
)</f>
        <v>No</v>
      </c>
      <c r="U148" s="5" t="str">
        <f>IF(S148="No","No",IF(_xlfn.XLOOKUP(B148,'Base stats'!B:B,'Base stats'!U:U)="No","No",
MAX(0.01,MROUND(_xlfn.XLOOKUP(B148,'Base stats'!B:B,'Base stats'!BT:BT)/10000,0.01))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stats'!AQ:AQ)*_xlfn.XLOOKUP(_xlfn.XLOOKUP(B148,'Base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stats'!AQ:AQ)*0.01,2)</f>
        <v>0.31</v>
      </c>
      <c r="AB148" s="18">
        <f>250*(Animals!AO148+Animals!AP148)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MAX(0.01,MROUND(_xlfn.XLOOKUP(B149,'Base stats'!B:B,'Base stats'!BG:BG) * 0.01 * 2, 0.01))</f>
        <v>0.67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MAX(0.01,MROUND(_xlfn.XLOOKUP(B149,'Base stats'!B:B,'Base stats'!BH:BH) * 0.01 * 2, 0.01))
)</f>
        <v>No</v>
      </c>
      <c r="I149" s="11" t="str">
        <f>IF(G149="No","No",IF(_xlfn.XLOOKUP(B149,'Base stats'!B:B,'Base stats'!U:U)="No","No",
MAX(0.01,MROUND(_xlfn.XLOOKUP(B149,'Base stats'!B:B,'Base stats'!BT:BT)/10000,0.01))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MAX(0.01,MROUND(_xlfn.XLOOKUP(B149,'Base stats'!B:B,'Base stats'!BI:BI)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stats'!BU:BU)/10000,0.01))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MAX(0.01,MROUND(_xlfn.XLOOKUP(B149,'Base stats'!B:B,'Base stats'!BJ:BJ) * 0.01 * 2, 0.01))
)</f>
        <v>1.75</v>
      </c>
      <c r="Q149" s="5">
        <f>IF(O149="No","No",
MAX(0.01,MROUND(_xlfn.XLOOKUP(B149,'Base stats'!B:B,'Base stats'!BV:BV)/10000,0.01))
)</f>
        <v>0.17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MAX(0.01,MROUND(_xlfn.XLOOKUP(B149,'Base stats'!B:B,'Base stats'!BH:BH) * 0.01 * 2, 0.01))
)</f>
        <v>No</v>
      </c>
      <c r="U149" s="5" t="str">
        <f>IF(S149="No","No",IF(_xlfn.XLOOKUP(B149,'Base stats'!B:B,'Base stats'!U:U)="No","No",
MAX(0.01,MROUND(_xlfn.XLOOKUP(B149,'Base stats'!B:B,'Base stats'!BT:BT)/10000,0.01))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stats'!AQ:AQ)*_xlfn.XLOOKUP(_xlfn.XLOOKUP(B149,'Base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stats'!AQ:AQ)*0.01,2)</f>
        <v>0.5</v>
      </c>
      <c r="AB149" s="18">
        <f>250*(Animals!AO149+Animals!AP149)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MAX(0.01,MROUND(_xlfn.XLOOKUP(B150,'Base stats'!B:B,'Base stats'!BG:BG) * 0.01 * 2, 0.01))</f>
        <v>0.15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MAX(0.01,MROUND(_xlfn.XLOOKUP(B150,'Base stats'!B:B,'Base stats'!BH:BH) * 0.01 * 2, 0.01))
)</f>
        <v>No</v>
      </c>
      <c r="I150" s="11" t="str">
        <f>IF(G150="No","No",IF(_xlfn.XLOOKUP(B150,'Base stats'!B:B,'Base stats'!U:U)="No","No",
MAX(0.01,MROUND(_xlfn.XLOOKUP(B150,'Base stats'!B:B,'Base stats'!BT:BT)/10000,0.01))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MAX(0.01,MROUND(_xlfn.XLOOKUP(B150,'Base stats'!B:B,'Base stats'!BI:BI)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stats'!BU:BU)/10000,0.01))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MAX(0.01,MROUND(_xlfn.XLOOKUP(B150,'Base stats'!B:B,'Base stats'!BJ:BJ) * 0.01 * 2, 0.01))
)</f>
        <v>0.41000000000000003</v>
      </c>
      <c r="Q150" s="5">
        <f>IF(O150="No","No",
MAX(0.01,MROUND(_xlfn.XLOOKUP(B150,'Base stats'!B:B,'Base stats'!BV:BV)/10000,0.01))
)</f>
        <v>0.08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MAX(0.01,MROUND(_xlfn.XLOOKUP(B150,'Base stats'!B:B,'Base stats'!BH:BH) * 0.01 * 2, 0.01))
)</f>
        <v>0.23</v>
      </c>
      <c r="U150" s="5">
        <f>IF(S150="No","No",IF(_xlfn.XLOOKUP(B150,'Base stats'!B:B,'Base stats'!U:U)="No","No",
MAX(0.01,MROUND(_xlfn.XLOOKUP(B150,'Base stats'!B:B,'Base stats'!BT:BT)/10000,0.01))
))</f>
        <v>0.04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stats'!AQ:AQ)*_xlfn.XLOOKUP(_xlfn.XLOOKUP(B150,'Base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stats'!AQ:AQ)*0.01,2)</f>
        <v>0.28000000000000003</v>
      </c>
      <c r="AB150" s="18">
        <f>250*(Animals!AO150+Animals!AP150)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MAX(0.01,MROUND(_xlfn.XLOOKUP(B151,'Base stats'!B:B,'Base stats'!BG:BG) * 0.01 * 2, 0.01))</f>
        <v>0.19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MAX(0.01,MROUND(_xlfn.XLOOKUP(B151,'Base stats'!B:B,'Base stats'!BH:BH) * 0.01 * 2, 0.01))
)</f>
        <v>No</v>
      </c>
      <c r="I151" s="11" t="str">
        <f>IF(G151="No","No",IF(_xlfn.XLOOKUP(B151,'Base stats'!B:B,'Base stats'!U:U)="No","No",
MAX(0.01,MROUND(_xlfn.XLOOKUP(B151,'Base stats'!B:B,'Base stats'!BT:BT)/10000,0.01))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MAX(0.01,MROUND(_xlfn.XLOOKUP(B151,'Base stats'!B:B,'Base stats'!BI:BI)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stats'!BU:BU)/10000,0.01))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MAX(0.01,MROUND(_xlfn.XLOOKUP(B151,'Base stats'!B:B,'Base stats'!BJ:BJ) * 0.01 * 2, 0.01))
)</f>
        <v>0.49</v>
      </c>
      <c r="Q151" s="5">
        <f>IF(O151="No","No",
MAX(0.01,MROUND(_xlfn.XLOOKUP(B151,'Base stats'!B:B,'Base stats'!BV:BV)/10000,0.01))
)</f>
        <v>0.08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MAX(0.01,MROUND(_xlfn.XLOOKUP(B151,'Base stats'!B:B,'Base stats'!BH:BH) * 0.01 * 2, 0.01))
)</f>
        <v>0.27</v>
      </c>
      <c r="U151" s="5">
        <f>IF(S151="No","No",IF(_xlfn.XLOOKUP(B151,'Base stats'!B:B,'Base stats'!U:U)="No","No",
MAX(0.01,MROUND(_xlfn.XLOOKUP(B151,'Base stats'!B:B,'Base stats'!BT:BT)/10000,0.01))
))</f>
        <v>0.05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stats'!AQ:AQ)*_xlfn.XLOOKUP(_xlfn.XLOOKUP(B151,'Base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stats'!AQ:AQ)*0.01,2)</f>
        <v>0.3</v>
      </c>
      <c r="AB151" s="18">
        <f>250*(Animals!AO151+Animals!AP151)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MAX(0.01,MROUND(_xlfn.XLOOKUP(B152,'Base stats'!B:B,'Base stats'!BG:BG) * 0.01 * 2, 0.01))</f>
        <v>0.17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MAX(0.01,MROUND(_xlfn.XLOOKUP(B152,'Base stats'!B:B,'Base stats'!BH:BH) * 0.01 * 2, 0.01))
)</f>
        <v>No</v>
      </c>
      <c r="I152" s="11" t="str">
        <f>IF(G152="No","No",IF(_xlfn.XLOOKUP(B152,'Base stats'!B:B,'Base stats'!U:U)="No","No",
MAX(0.01,MROUND(_xlfn.XLOOKUP(B152,'Base stats'!B:B,'Base stats'!BT:BT)/10000,0.01))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MAX(0.01,MROUND(_xlfn.XLOOKUP(B152,'Base stats'!B:B,'Base stats'!BI:BI)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stats'!BU:BU)/10000,0.01))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MAX(0.01,MROUND(_xlfn.XLOOKUP(B152,'Base stats'!B:B,'Base stats'!BJ:BJ) * 0.01 * 2, 0.01))
)</f>
        <v>0.45</v>
      </c>
      <c r="Q152" s="5">
        <f>IF(O152="No","No",
MAX(0.01,MROUND(_xlfn.XLOOKUP(B152,'Base stats'!B:B,'Base stats'!BV:BV)/10000,0.01))
)</f>
        <v>0.08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MAX(0.01,MROUND(_xlfn.XLOOKUP(B152,'Base stats'!B:B,'Base stats'!BH:BH) * 0.01 * 2, 0.01))
)</f>
        <v>0.25</v>
      </c>
      <c r="U152" s="5">
        <f>IF(S152="No","No",IF(_xlfn.XLOOKUP(B152,'Base stats'!B:B,'Base stats'!U:U)="No","No",
MAX(0.01,MROUND(_xlfn.XLOOKUP(B152,'Base stats'!B:B,'Base stats'!BT:BT)/10000,0.01))
))</f>
        <v>0.04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stats'!AQ:AQ)*_xlfn.XLOOKUP(_xlfn.XLOOKUP(B152,'Base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stats'!AQ:AQ)*0.01,2)</f>
        <v>0.28999999999999998</v>
      </c>
      <c r="AB152" s="18">
        <f>250*(Animals!AO152+Animals!AP152)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MAX(0.01,MROUND(_xlfn.XLOOKUP(B153,'Base stats'!B:B,'Base stats'!BG:BG) * 0.01 * 2, 0.01))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MAX(0.01,MROUND(_xlfn.XLOOKUP(B153,'Base stats'!B:B,'Base stats'!BH:BH) * 0.01 * 2, 0.01))
)</f>
        <v>No</v>
      </c>
      <c r="I153" s="11" t="str">
        <f>IF(G153="No","No",IF(_xlfn.XLOOKUP(B153,'Base stats'!B:B,'Base stats'!U:U)="No","No",
MAX(0.01,MROUND(_xlfn.XLOOKUP(B153,'Base stats'!B:B,'Base stats'!BT:BT)/10000,0.01))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MAX(0.01,MROUND(_xlfn.XLOOKUP(B153,'Base stats'!B:B,'Base stats'!BI:BI)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stats'!BU:BU)/10000,0.01))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MAX(0.01,MROUND(_xlfn.XLOOKUP(B153,'Base stats'!B:B,'Base stats'!BJ:BJ) * 0.01 * 2, 0.01))
)</f>
        <v>0.64</v>
      </c>
      <c r="Q153" s="5">
        <f>IF(O153="No","No",
MAX(0.01,MROUND(_xlfn.XLOOKUP(B153,'Base stats'!B:B,'Base stats'!BV:BV)/10000,0.01))
)</f>
        <v>0.1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MAX(0.01,MROUND(_xlfn.XLOOKUP(B153,'Base stats'!B:B,'Base stats'!BH:BH) * 0.01 * 2, 0.01))
)</f>
        <v>0.36</v>
      </c>
      <c r="U153" s="5">
        <f>IF(S153="No","No",IF(_xlfn.XLOOKUP(B153,'Base stats'!B:B,'Base stats'!U:U)="No","No",
MAX(0.01,MROUND(_xlfn.XLOOKUP(B153,'Base stats'!B:B,'Base stats'!BT:BT)/10000,0.01))
))</f>
        <v>0.05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stats'!AQ:AQ)*_xlfn.XLOOKUP(_xlfn.XLOOKUP(B153,'Base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stats'!AQ:AQ)*0.01,2)</f>
        <v>0.34</v>
      </c>
      <c r="AB153" s="18">
        <f>250*(Animals!AO153+Animals!AP153)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MAX(0.01,MROUND(_xlfn.XLOOKUP(B154,'Base stats'!B:B,'Base stats'!BG:BG) * 0.01 * 2, 0.01))</f>
        <v>0.12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MAX(0.01,MROUND(_xlfn.XLOOKUP(B154,'Base stats'!B:B,'Base stats'!BH:BH) * 0.01 * 2, 0.01))
)</f>
        <v>No</v>
      </c>
      <c r="I154" s="11" t="str">
        <f>IF(G154="No","No",IF(_xlfn.XLOOKUP(B154,'Base stats'!B:B,'Base stats'!U:U)="No","No",
MAX(0.01,MROUND(_xlfn.XLOOKUP(B154,'Base stats'!B:B,'Base stats'!BT:BT)/10000,0.01))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MAX(0.01,MROUND(_xlfn.XLOOKUP(B154,'Base stats'!B:B,'Base stats'!BI:BI)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stats'!BU:BU)/10000,0.01))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MAX(0.01,MROUND(_xlfn.XLOOKUP(B154,'Base stats'!B:B,'Base stats'!BJ:BJ) * 0.01 * 2, 0.01))
)</f>
        <v>0.33</v>
      </c>
      <c r="Q154" s="5">
        <f>IF(O154="No","No",
MAX(0.01,MROUND(_xlfn.XLOOKUP(B154,'Base stats'!B:B,'Base stats'!BV:BV)/10000,0.01))
)</f>
        <v>7.0000000000000007E-2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MAX(0.01,MROUND(_xlfn.XLOOKUP(B154,'Base stats'!B:B,'Base stats'!BH:BH) * 0.01 * 2, 0.01))
)</f>
        <v>0.18</v>
      </c>
      <c r="U154" s="5">
        <f>IF(S154="No","No",IF(_xlfn.XLOOKUP(B154,'Base stats'!B:B,'Base stats'!U:U)="No","No",
MAX(0.01,MROUND(_xlfn.XLOOKUP(B154,'Base stats'!B:B,'Base stats'!BT:BT)/10000,0.01))
))</f>
        <v>0.04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stats'!AQ:AQ)*_xlfn.XLOOKUP(_xlfn.XLOOKUP(B154,'Base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stats'!AQ:AQ)*0.01,2)</f>
        <v>0.26</v>
      </c>
      <c r="AB154" s="18">
        <f>250*(Animals!AO154+Animals!AP154)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MAX(0.01,MROUND(_xlfn.XLOOKUP(B155,'Base stats'!B:B,'Base stats'!BG:BG) * 0.01 * 2, 0.01))</f>
        <v>0.21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MAX(0.01,MROUND(_xlfn.XLOOKUP(B155,'Base stats'!B:B,'Base stats'!BH:BH) * 0.01 * 2, 0.01))
)</f>
        <v>No</v>
      </c>
      <c r="I155" s="11" t="str">
        <f>IF(G155="No","No",IF(_xlfn.XLOOKUP(B155,'Base stats'!B:B,'Base stats'!U:U)="No","No",
MAX(0.01,MROUND(_xlfn.XLOOKUP(B155,'Base stats'!B:B,'Base stats'!BT:BT)/10000,0.01))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MAX(0.01,MROUND(_xlfn.XLOOKUP(B155,'Base stats'!B:B,'Base stats'!BI:BI)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stats'!BU:BU)/10000,0.01))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MAX(0.01,MROUND(_xlfn.XLOOKUP(B155,'Base stats'!B:B,'Base stats'!BJ:BJ) * 0.01 * 2, 0.01))
)</f>
        <v>0.55000000000000004</v>
      </c>
      <c r="Q155" s="5">
        <f>IF(O155="No","No",
MAX(0.01,MROUND(_xlfn.XLOOKUP(B155,'Base stats'!B:B,'Base stats'!BV:BV)/10000,0.01))
)</f>
        <v>0.09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MAX(0.01,MROUND(_xlfn.XLOOKUP(B155,'Base stats'!B:B,'Base stats'!BH:BH) * 0.01 * 2, 0.01))
)</f>
        <v>0.31</v>
      </c>
      <c r="U155" s="5">
        <f>IF(S155="No","No",IF(_xlfn.XLOOKUP(B155,'Base stats'!B:B,'Base stats'!U:U)="No","No",
MAX(0.01,MROUND(_xlfn.XLOOKUP(B155,'Base stats'!B:B,'Base stats'!BT:BT)/10000,0.01))
))</f>
        <v>0.05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stats'!AQ:AQ)*_xlfn.XLOOKUP(_xlfn.XLOOKUP(B155,'Base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stats'!AQ:AQ)*0.01,2)</f>
        <v>0.32</v>
      </c>
      <c r="AB155" s="18">
        <f>250*(Animals!AO155+Animals!AP155)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MAX(0.01,MROUND(_xlfn.XLOOKUP(B156,'Base stats'!B:B,'Base stats'!BG:BG) * 0.01 * 2, 0.01))</f>
        <v>0.12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MAX(0.01,MROUND(_xlfn.XLOOKUP(B156,'Base stats'!B:B,'Base stats'!BH:BH) * 0.01 * 2, 0.01))
)</f>
        <v>No</v>
      </c>
      <c r="I156" s="11" t="str">
        <f>IF(G156="No","No",IF(_xlfn.XLOOKUP(B156,'Base stats'!B:B,'Base stats'!U:U)="No","No",
MAX(0.01,MROUND(_xlfn.XLOOKUP(B156,'Base stats'!B:B,'Base stats'!BT:BT)/10000,0.01))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MAX(0.01,MROUND(_xlfn.XLOOKUP(B156,'Base stats'!B:B,'Base stats'!BI:BI)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stats'!BU:BU)/10000,0.01))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MAX(0.01,MROUND(_xlfn.XLOOKUP(B156,'Base stats'!B:B,'Base stats'!BJ:BJ) * 0.01 * 2, 0.01))
)</f>
        <v>0.34</v>
      </c>
      <c r="Q156" s="5">
        <f>IF(O156="No","No",
MAX(0.01,MROUND(_xlfn.XLOOKUP(B156,'Base stats'!B:B,'Base stats'!BV:BV)/10000,0.01))
)</f>
        <v>7.0000000000000007E-2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MAX(0.01,MROUND(_xlfn.XLOOKUP(B156,'Base stats'!B:B,'Base stats'!BH:BH) * 0.01 * 2, 0.01))
)</f>
        <v>0.19</v>
      </c>
      <c r="U156" s="5">
        <f>IF(S156="No","No",IF(_xlfn.XLOOKUP(B156,'Base stats'!B:B,'Base stats'!U:U)="No","No",
MAX(0.01,MROUND(_xlfn.XLOOKUP(B156,'Base stats'!B:B,'Base stats'!BT:BT)/10000,0.01))
))</f>
        <v>0.04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stats'!AQ:AQ)*_xlfn.XLOOKUP(_xlfn.XLOOKUP(B156,'Base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stats'!AQ:AQ)*0.01,2)</f>
        <v>0.26</v>
      </c>
      <c r="AB156" s="18">
        <f>250*(Animals!AO156+Animals!AP156)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MAX(0.01,MROUND(_xlfn.XLOOKUP(B157,'Base stats'!B:B,'Base stats'!BG:BG) * 0.01 * 2, 0.01))</f>
        <v>0.16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MAX(0.01,MROUND(_xlfn.XLOOKUP(B157,'Base stats'!B:B,'Base stats'!BH:BH) * 0.01 * 2, 0.01))
)</f>
        <v>No</v>
      </c>
      <c r="I157" s="11" t="str">
        <f>IF(G157="No","No",IF(_xlfn.XLOOKUP(B157,'Base stats'!B:B,'Base stats'!U:U)="No","No",
MAX(0.01,MROUND(_xlfn.XLOOKUP(B157,'Base stats'!B:B,'Base stats'!BT:BT)/10000,0.01))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MAX(0.01,MROUND(_xlfn.XLOOKUP(B157,'Base stats'!B:B,'Base stats'!BI:BI)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stats'!BU:BU)/10000,0.01))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MAX(0.01,MROUND(_xlfn.XLOOKUP(B157,'Base stats'!B:B,'Base stats'!BJ:BJ) * 0.01 * 2, 0.01))
)</f>
        <v>0.42</v>
      </c>
      <c r="Q157" s="5">
        <f>IF(O157="No","No",
MAX(0.01,MROUND(_xlfn.XLOOKUP(B157,'Base stats'!B:B,'Base stats'!BV:BV)/10000,0.01))
)</f>
        <v>0.08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MAX(0.01,MROUND(_xlfn.XLOOKUP(B157,'Base stats'!B:B,'Base stats'!BH:BH) * 0.01 * 2, 0.01))
)</f>
        <v>0.23</v>
      </c>
      <c r="U157" s="5">
        <f>IF(S157="No","No",IF(_xlfn.XLOOKUP(B157,'Base stats'!B:B,'Base stats'!U:U)="No","No",
MAX(0.01,MROUND(_xlfn.XLOOKUP(B157,'Base stats'!B:B,'Base stats'!BT:BT)/10000,0.01))
))</f>
        <v>0.04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stats'!AQ:AQ)*_xlfn.XLOOKUP(_xlfn.XLOOKUP(B157,'Base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stats'!AQ:AQ)*0.01,2)</f>
        <v>0.28000000000000003</v>
      </c>
      <c r="AB157" s="18">
        <f>250*(Animals!AO157+Animals!AP157)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MAX(0.01,MROUND(_xlfn.XLOOKUP(B158,'Base stats'!B:B,'Base stats'!BG:BG) * 0.01 * 2, 0.01))</f>
        <v>0.15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MAX(0.01,MROUND(_xlfn.XLOOKUP(B158,'Base stats'!B:B,'Base stats'!BH:BH) * 0.01 * 2, 0.01))
)</f>
        <v>No</v>
      </c>
      <c r="I158" s="11" t="str">
        <f>IF(G158="No","No",IF(_xlfn.XLOOKUP(B158,'Base stats'!B:B,'Base stats'!U:U)="No","No",
MAX(0.01,MROUND(_xlfn.XLOOKUP(B158,'Base stats'!B:B,'Base stats'!BT:BT)/10000,0.01))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MAX(0.01,MROUND(_xlfn.XLOOKUP(B158,'Base stats'!B:B,'Base stats'!BI:BI)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stats'!BU:BU)/10000,0.01))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MAX(0.01,MROUND(_xlfn.XLOOKUP(B158,'Base stats'!B:B,'Base stats'!BJ:BJ) * 0.01 * 2, 0.01))
)</f>
        <v>0.41000000000000003</v>
      </c>
      <c r="Q158" s="5">
        <f>IF(O158="No","No",
MAX(0.01,MROUND(_xlfn.XLOOKUP(B158,'Base stats'!B:B,'Base stats'!BV:BV)/10000,0.01))
)</f>
        <v>0.08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MAX(0.01,MROUND(_xlfn.XLOOKUP(B158,'Base stats'!B:B,'Base stats'!BH:BH) * 0.01 * 2, 0.01))
)</f>
        <v>0.23</v>
      </c>
      <c r="U158" s="5">
        <f>IF(S158="No","No",IF(_xlfn.XLOOKUP(B158,'Base stats'!B:B,'Base stats'!U:U)="No","No",
MAX(0.01,MROUND(_xlfn.XLOOKUP(B158,'Base stats'!B:B,'Base stats'!BT:BT)/10000,0.01))
))</f>
        <v>0.04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stats'!AQ:AQ)*_xlfn.XLOOKUP(_xlfn.XLOOKUP(B158,'Base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stats'!AQ:AQ)*0.01,2)</f>
        <v>0.28000000000000003</v>
      </c>
      <c r="AB158" s="18">
        <f>250*(Animals!AO158+Animals!AP158)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MAX(0.01,MROUND(_xlfn.XLOOKUP(B159,'Base stats'!B:B,'Base stats'!BG:BG) * 0.01 * 2, 0.01))</f>
        <v>0.18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MAX(0.01,MROUND(_xlfn.XLOOKUP(B159,'Base stats'!B:B,'Base stats'!BH:BH) * 0.01 * 2, 0.01))
)</f>
        <v>No</v>
      </c>
      <c r="I159" s="11" t="str">
        <f>IF(G159="No","No",IF(_xlfn.XLOOKUP(B159,'Base stats'!B:B,'Base stats'!U:U)="No","No",
MAX(0.01,MROUND(_xlfn.XLOOKUP(B159,'Base stats'!B:B,'Base stats'!BT:BT)/10000,0.01))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MAX(0.01,MROUND(_xlfn.XLOOKUP(B159,'Base stats'!B:B,'Base stats'!BI:BI)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stats'!BU:BU)/10000,0.01))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MAX(0.01,MROUND(_xlfn.XLOOKUP(B159,'Base stats'!B:B,'Base stats'!BJ:BJ) * 0.01 * 2, 0.01))
)</f>
        <v>0.47000000000000003</v>
      </c>
      <c r="Q159" s="5">
        <f>IF(O159="No","No",
MAX(0.01,MROUND(_xlfn.XLOOKUP(B159,'Base stats'!B:B,'Base stats'!BV:BV)/10000,0.01))
)</f>
        <v>0.08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MAX(0.01,MROUND(_xlfn.XLOOKUP(B159,'Base stats'!B:B,'Base stats'!BH:BH) * 0.01 * 2, 0.01))
)</f>
        <v>0.26</v>
      </c>
      <c r="U159" s="5">
        <f>IF(S159="No","No",IF(_xlfn.XLOOKUP(B159,'Base stats'!B:B,'Base stats'!U:U)="No","No",
MAX(0.01,MROUND(_xlfn.XLOOKUP(B159,'Base stats'!B:B,'Base stats'!BT:BT)/10000,0.01))
))</f>
        <v>0.05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stats'!AQ:AQ)*_xlfn.XLOOKUP(_xlfn.XLOOKUP(B159,'Base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stats'!AQ:AQ)*0.01,2)</f>
        <v>0.3</v>
      </c>
      <c r="AB159" s="18">
        <f>250*(Animals!AO159+Animals!AP159)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MAX(0.01,MROUND(_xlfn.XLOOKUP(B160,'Base stats'!B:B,'Base stats'!BG:BG) * 0.01 * 2, 0.01))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MAX(0.01,MROUND(_xlfn.XLOOKUP(B160,'Base stats'!B:B,'Base stats'!BH:BH) * 0.01 * 2, 0.01))
)</f>
        <v>No</v>
      </c>
      <c r="I160" s="11" t="str">
        <f>IF(G160="No","No",IF(_xlfn.XLOOKUP(B160,'Base stats'!B:B,'Base stats'!U:U)="No","No",
MAX(0.01,MROUND(_xlfn.XLOOKUP(B160,'Base stats'!B:B,'Base stats'!BT:BT)/10000,0.01))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MAX(0.01,MROUND(_xlfn.XLOOKUP(B160,'Base stats'!B:B,'Base stats'!BI:BI)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stats'!BU:BU)/10000,0.01))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MAX(0.01,MROUND(_xlfn.XLOOKUP(B160,'Base stats'!B:B,'Base stats'!BJ:BJ) * 0.01 * 2, 0.01))
)</f>
        <v>125.26</v>
      </c>
      <c r="Q160" s="5">
        <f>IF(O160="No","No",
MAX(0.01,MROUND(_xlfn.XLOOKUP(B160,'Base stats'!B:B,'Base stats'!BV:BV)/10000,0.01))
)</f>
        <v>9.9500000000000011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MAX(0.01,MROUND(_xlfn.XLOOKUP(B160,'Base stats'!B:B,'Base stats'!BH:BH) * 0.01 * 2, 0.01))
)</f>
        <v>165.35</v>
      </c>
      <c r="U160" s="5">
        <f>IF(S160="No","No",IF(_xlfn.XLOOKUP(B160,'Base stats'!B:B,'Base stats'!U:U)="No","No",
MAX(0.01,MROUND(_xlfn.XLOOKUP(B160,'Base stats'!B:B,'Base stats'!BT:BT)/10000,0.01))
))</f>
        <v>13.14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stats'!AQ:AQ)*_xlfn.XLOOKUP(_xlfn.XLOOKUP(B160,'Base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stats'!AQ:AQ)*0.01,2)</f>
        <v>2.5299999999999998</v>
      </c>
      <c r="AB160" s="18">
        <f>250*(Animals!AO160+Animals!AP160)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MAX(0.01,MROUND(_xlfn.XLOOKUP(B161,'Base stats'!B:B,'Base stats'!BG:BG) * 0.01 * 2, 0.01))</f>
        <v>8.4700000000000006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MAX(0.01,MROUND(_xlfn.XLOOKUP(B161,'Base stats'!B:B,'Base stats'!BH:BH) * 0.01 * 2, 0.01))
)</f>
        <v>No</v>
      </c>
      <c r="I161" s="11" t="str">
        <f>IF(G161="No","No",IF(_xlfn.XLOOKUP(B161,'Base stats'!B:B,'Base stats'!U:U)="No","No",
MAX(0.01,MROUND(_xlfn.XLOOKUP(B161,'Base stats'!B:B,'Base stats'!BT:BT)/10000,0.01))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MAX(0.01,MROUND(_xlfn.XLOOKUP(B161,'Base stats'!B:B,'Base stats'!BI:BI)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stats'!BU:BU)/10000,0.01))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MAX(0.01,MROUND(_xlfn.XLOOKUP(B161,'Base stats'!B:B,'Base stats'!BJ:BJ) * 0.01 * 2, 0.01))
)</f>
        <v>10.97</v>
      </c>
      <c r="Q161" s="5">
        <f>IF(O161="No","No",
MAX(0.01,MROUND(_xlfn.XLOOKUP(B161,'Base stats'!B:B,'Base stats'!BV:BV)/10000,0.01))
)</f>
        <v>0.33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MAX(0.01,MROUND(_xlfn.XLOOKUP(B161,'Base stats'!B:B,'Base stats'!BH:BH) * 0.01 * 2, 0.01))
)</f>
        <v>9.91</v>
      </c>
      <c r="U161" s="5">
        <f>IF(S161="No","No",IF(_xlfn.XLOOKUP(B161,'Base stats'!B:B,'Base stats'!U:U)="No","No",
MAX(0.01,MROUND(_xlfn.XLOOKUP(B161,'Base stats'!B:B,'Base stats'!BT:BT)/10000,0.01))
))</f>
        <v>0.3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stats'!AQ:AQ)*_xlfn.XLOOKUP(_xlfn.XLOOKUP(B161,'Base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stats'!AQ:AQ)*0.01,2)</f>
        <v>1.32</v>
      </c>
      <c r="AB161" s="18">
        <f>250*(Animals!AO161+Animals!AP161)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MAX(0.01,MROUND(_xlfn.XLOOKUP(B162,'Base stats'!B:B,'Base stats'!BG:BG) * 0.01 * 2, 0.01))</f>
        <v>0.04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MAX(0.01,MROUND(_xlfn.XLOOKUP(B162,'Base stats'!B:B,'Base stats'!BH:BH) * 0.01 * 2, 0.01))
)</f>
        <v>7.0000000000000007E-2</v>
      </c>
      <c r="I162" s="11">
        <f>IF(G162="No","No",IF(_xlfn.XLOOKUP(B162,'Base stats'!B:B,'Base stats'!U:U)="No","No",
MAX(0.01,MROUND(_xlfn.XLOOKUP(B162,'Base stats'!B:B,'Base stats'!BT:BT)/10000,0.01))
))</f>
        <v>0.02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MAX(0.01,MROUND(_xlfn.XLOOKUP(B162,'Base stats'!B:B,'Base stats'!BI:BI)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stats'!BU:BU)/10000,0.01))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MAX(0.01,MROUND(_xlfn.XLOOKUP(B162,'Base stats'!B:B,'Base stats'!BJ:BJ) * 0.01 * 2, 0.01))
)</f>
        <v>0.01</v>
      </c>
      <c r="Q162" s="5">
        <f>IF(O162="No","No",
MAX(0.01,MROUND(_xlfn.XLOOKUP(B162,'Base stats'!B:B,'Base stats'!BV:BV)/10000,0.01))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MAX(0.01,MROUND(_xlfn.XLOOKUP(B162,'Base stats'!B:B,'Base stats'!BH:BH) * 0.01 * 2, 0.01))
)</f>
        <v>No</v>
      </c>
      <c r="U162" s="5" t="str">
        <f>IF(S162="No","No",IF(_xlfn.XLOOKUP(B162,'Base stats'!B:B,'Base stats'!U:U)="No","No",
MAX(0.01,MROUND(_xlfn.XLOOKUP(B162,'Base stats'!B:B,'Base stats'!BT:BT)/10000,0.01))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stats'!AQ:AQ)*_xlfn.XLOOKUP(_xlfn.XLOOKUP(B162,'Base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stats'!AQ:AQ)*0.01,2)</f>
        <v>0</v>
      </c>
      <c r="AB162" s="18">
        <f>250*(Animals!AO162+Animals!AP162)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MAX(0.01,MROUND(_xlfn.XLOOKUP(B163,'Base stats'!B:B,'Base stats'!BG:BG) * 0.01 * 2, 0.01))</f>
        <v>1.73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MAX(0.01,MROUND(_xlfn.XLOOKUP(B163,'Base stats'!B:B,'Base stats'!BH:BH) * 0.01 * 2, 0.01))
)</f>
        <v>No</v>
      </c>
      <c r="I163" s="11" t="str">
        <f>IF(G163="No","No",IF(_xlfn.XLOOKUP(B163,'Base stats'!B:B,'Base stats'!U:U)="No","No",
MAX(0.01,MROUND(_xlfn.XLOOKUP(B163,'Base stats'!B:B,'Base stats'!BT:BT)/10000,0.01))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MAX(0.01,MROUND(_xlfn.XLOOKUP(B163,'Base stats'!B:B,'Base stats'!BI:BI)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stats'!BU:BU)/10000,0.01))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MAX(0.01,MROUND(_xlfn.XLOOKUP(B163,'Base stats'!B:B,'Base stats'!BJ:BJ) * 0.01 * 2, 0.01))
)</f>
        <v>2.2200000000000002</v>
      </c>
      <c r="Q163" s="5">
        <f>IF(O163="No","No",
MAX(0.01,MROUND(_xlfn.XLOOKUP(B163,'Base stats'!B:B,'Base stats'!BV:BV)/10000,0.01))
)</f>
        <v>0.14000000000000001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MAX(0.01,MROUND(_xlfn.XLOOKUP(B163,'Base stats'!B:B,'Base stats'!BH:BH) * 0.01 * 2, 0.01))
)</f>
        <v>2.2400000000000002</v>
      </c>
      <c r="U163" s="5" t="str">
        <f>IF(S163="No","No",IF(_xlfn.XLOOKUP(B163,'Base stats'!B:B,'Base stats'!U:U)="No","No",
MAX(0.01,MROUND(_xlfn.XLOOKUP(B163,'Base stats'!B:B,'Base stats'!BT:BT)/10000,0.01))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stats'!AQ:AQ)*_xlfn.XLOOKUP(_xlfn.XLOOKUP(B163,'Base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stats'!AQ:AQ)*0.01,2)</f>
        <v>0.23</v>
      </c>
      <c r="AB163" s="18">
        <f>250*(Animals!AO163+Animals!AP163)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MAX(0.01,MROUND(_xlfn.XLOOKUP(B164,'Base stats'!B:B,'Base stats'!BG:BG) * 0.01 * 2, 0.01))</f>
        <v>0.17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MAX(0.01,MROUND(_xlfn.XLOOKUP(B164,'Base stats'!B:B,'Base stats'!BH:BH) * 0.01 * 2, 0.01))
)</f>
        <v>0.25</v>
      </c>
      <c r="I164" s="11">
        <f>IF(G164="No","No",IF(_xlfn.XLOOKUP(B164,'Base stats'!B:B,'Base stats'!U:U)="No","No",
MAX(0.01,MROUND(_xlfn.XLOOKUP(B164,'Base stats'!B:B,'Base stats'!BT:BT)/10000,0.01))
))</f>
        <v>0.04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MAX(0.01,MROUND(_xlfn.XLOOKUP(B164,'Base stats'!B:B,'Base stats'!BI:BI)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stats'!BU:BU)/10000,0.01))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MAX(0.01,MROUND(_xlfn.XLOOKUP(B164,'Base stats'!B:B,'Base stats'!BJ:BJ) * 0.01 * 2, 0.01))
)</f>
        <v>0.05</v>
      </c>
      <c r="Q164" s="5">
        <f>IF(O164="No","No",
MAX(0.01,MROUND(_xlfn.XLOOKUP(B164,'Base stats'!B:B,'Base stats'!BV:BV)/10000,0.01))
)</f>
        <v>0.01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MAX(0.01,MROUND(_xlfn.XLOOKUP(B164,'Base stats'!B:B,'Base stats'!BH:BH) * 0.01 * 2, 0.01))
)</f>
        <v>No</v>
      </c>
      <c r="U164" s="5" t="str">
        <f>IF(S164="No","No",IF(_xlfn.XLOOKUP(B164,'Base stats'!B:B,'Base stats'!U:U)="No","No",
MAX(0.01,MROUND(_xlfn.XLOOKUP(B164,'Base stats'!B:B,'Base stats'!BT:BT)/10000,0.01))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stats'!AQ:AQ)*_xlfn.XLOOKUP(_xlfn.XLOOKUP(B164,'Base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stats'!AQ:AQ)*0.01,2)</f>
        <v>0.01</v>
      </c>
      <c r="AB164" s="18">
        <f>250*(Animals!AO164+Animals!AP164)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MAX(0.01,MROUND(_xlfn.XLOOKUP(B165,'Base stats'!B:B,'Base stats'!BG:BG) * 0.01 * 2, 0.01))</f>
        <v>0.28000000000000003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MAX(0.01,MROUND(_xlfn.XLOOKUP(B165,'Base stats'!B:B,'Base stats'!BH:BH) * 0.01 * 2, 0.01))
)</f>
        <v>No</v>
      </c>
      <c r="I165" s="11" t="str">
        <f>IF(G165="No","No",IF(_xlfn.XLOOKUP(B165,'Base stats'!B:B,'Base stats'!U:U)="No","No",
MAX(0.01,MROUND(_xlfn.XLOOKUP(B165,'Base stats'!B:B,'Base stats'!BT:BT)/10000,0.01))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MAX(0.01,MROUND(_xlfn.XLOOKUP(B165,'Base stats'!B:B,'Base stats'!BI:BI)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stats'!BU:BU)/10000,0.01))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MAX(0.01,MROUND(_xlfn.XLOOKUP(B165,'Base stats'!B:B,'Base stats'!BJ:BJ) * 0.01 * 2, 0.01))
)</f>
        <v>7.0000000000000007E-2</v>
      </c>
      <c r="Q165" s="5">
        <f>IF(O165="No","No",
MAX(0.01,MROUND(_xlfn.XLOOKUP(B165,'Base stats'!B:B,'Base stats'!BV:BV)/10000,0.01))
)</f>
        <v>0.01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MAX(0.01,MROUND(_xlfn.XLOOKUP(B165,'Base stats'!B:B,'Base stats'!BH:BH) * 0.01 * 2, 0.01))
)</f>
        <v>No</v>
      </c>
      <c r="U165" s="5" t="str">
        <f>IF(S165="No","No",IF(_xlfn.XLOOKUP(B165,'Base stats'!B:B,'Base stats'!U:U)="No","No",
MAX(0.01,MROUND(_xlfn.XLOOKUP(B165,'Base stats'!B:B,'Base stats'!BT:BT)/10000,0.01))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stats'!AQ:AQ)*_xlfn.XLOOKUP(_xlfn.XLOOKUP(B165,'Base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stats'!AQ:AQ)*0.01,2)</f>
        <v>0.01</v>
      </c>
      <c r="AB165" s="18">
        <f>250*(Animals!AO165+Animals!AP165)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MAX(0.01,MROUND(_xlfn.XLOOKUP(B166,'Base stats'!B:B,'Base stats'!BG:BG) * 0.01 * 2, 0.01))</f>
        <v>0.13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MAX(0.01,MROUND(_xlfn.XLOOKUP(B166,'Base stats'!B:B,'Base stats'!BH:BH) * 0.01 * 2, 0.01))
)</f>
        <v>No</v>
      </c>
      <c r="I166" s="11" t="str">
        <f>IF(G166="No","No",IF(_xlfn.XLOOKUP(B166,'Base stats'!B:B,'Base stats'!U:U)="No","No",
MAX(0.01,MROUND(_xlfn.XLOOKUP(B166,'Base stats'!B:B,'Base stats'!BT:BT)/10000,0.01))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MAX(0.01,MROUND(_xlfn.XLOOKUP(B166,'Base stats'!B:B,'Base stats'!BI:BI)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stats'!BU:BU)/10000,0.01))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MAX(0.01,MROUND(_xlfn.XLOOKUP(B166,'Base stats'!B:B,'Base stats'!BJ:BJ) * 0.01 * 2, 0.01))
)</f>
        <v>0.18</v>
      </c>
      <c r="Q166" s="5">
        <f>IF(O166="No","No",
MAX(0.01,MROUND(_xlfn.XLOOKUP(B166,'Base stats'!B:B,'Base stats'!BV:BV)/10000,0.01))
)</f>
        <v>0.04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MAX(0.01,MROUND(_xlfn.XLOOKUP(B166,'Base stats'!B:B,'Base stats'!BH:BH) * 0.01 * 2, 0.01))
)</f>
        <v>No</v>
      </c>
      <c r="U166" s="5" t="str">
        <f>IF(S166="No","No",IF(_xlfn.XLOOKUP(B166,'Base stats'!B:B,'Base stats'!U:U)="No","No",
MAX(0.01,MROUND(_xlfn.XLOOKUP(B166,'Base stats'!B:B,'Base stats'!BT:BT)/10000,0.01))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stats'!AQ:AQ)*_xlfn.XLOOKUP(_xlfn.XLOOKUP(B166,'Base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stats'!AQ:AQ)*0.01,2)</f>
        <v>0.1</v>
      </c>
      <c r="AB166" s="18">
        <f>250*(Animals!AO166+Animals!AP166)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107.7</v>
      </c>
      <c r="E167" s="11">
        <f>MAX(0.01,MROUND(_xlfn.XLOOKUP(B167,'Base stats'!B:B,'Base stats'!BG:BG) * 0.01 * 2, 0.01))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MAX(0.01,MROUND(_xlfn.XLOOKUP(B167,'Base stats'!B:B,'Base stats'!BH:BH) * 0.01 * 2, 0.01))
)</f>
        <v>No</v>
      </c>
      <c r="I167" s="11" t="str">
        <f>IF(G167="No","No",IF(_xlfn.XLOOKUP(B167,'Base stats'!B:B,'Base stats'!U:U)="No","No",
MAX(0.01,MROUND(_xlfn.XLOOKUP(B167,'Base stats'!B:B,'Base stats'!BT:BT)/10000,0.01))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MAX(0.01,MROUND(_xlfn.XLOOKUP(B167,'Base stats'!B:B,'Base stats'!BI:BI)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stats'!BU:BU)/10000,0.01))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MAX(0.01,MROUND(_xlfn.XLOOKUP(B167,'Base stats'!B:B,'Base stats'!BJ:BJ) * 0.01 * 2, 0.01))
)</f>
        <v>301.49</v>
      </c>
      <c r="Q167" s="5">
        <f>IF(O167="No","No",
MAX(0.01,MROUND(_xlfn.XLOOKUP(B167,'Base stats'!B:B,'Base stats'!BV:BV)/10000,0.01))
)</f>
        <v>27.71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MAX(0.01,MROUND(_xlfn.XLOOKUP(B167,'Base stats'!B:B,'Base stats'!BH:BH) * 0.01 * 2, 0.01))
)</f>
        <v>121.98</v>
      </c>
      <c r="U167" s="5">
        <f>IF(S167="No","No",IF(_xlfn.XLOOKUP(B167,'Base stats'!B:B,'Base stats'!U:U)="No","No",
MAX(0.01,MROUND(_xlfn.XLOOKUP(B167,'Base stats'!B:B,'Base stats'!BT:BT)/10000,0.01))
))</f>
        <v>11.21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stats'!AQ:AQ)*_xlfn.XLOOKUP(_xlfn.XLOOKUP(B167,'Base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stats'!AQ:AQ)*0.01,2)</f>
        <v>215.28</v>
      </c>
      <c r="AB167" s="18">
        <f>250*(Animals!AO167+Animals!AP167)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stats'!BS:BS) * (_xlfn.XLOOKUP(B168,'Base stats'!B:B,'Base stats'!AO:AO)*5%)^0.9 / 21,0.1),0.05)</f>
        <v>79.300000000000011</v>
      </c>
      <c r="E168" s="11">
        <f>MAX(0.01,MROUND(_xlfn.XLOOKUP(B168,'Base stats'!B:B,'Base stats'!BG:BG) * 0.01 * 2, 0.01))</f>
        <v>90.52</v>
      </c>
      <c r="F168" s="7">
        <f>MROUND(_xlfn.XLOOKUP(B168,'Base stats'!B:B,'Base stats'!BD:BD)^0.25 / (_xlfn.XLOOKUP(B168,'Base stats'!B:B,'Base stats'!BK:BK) * 10) * 150 + 0.5 + _xlfn.XLOOKUP(B168,'Base stats'!B:B,'Base stats'!BW:BW), 0.05)</f>
        <v>2.25</v>
      </c>
      <c r="G168" s="3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112.4</v>
      </c>
      <c r="H168" s="11">
        <f>IF(G168="No","No",
MAX(0.01,MROUND(_xlfn.XLOOKUP(B168,'Base stats'!B:B,'Base stats'!BH:BH) * 0.01 * 2, 0.01))
)</f>
        <v>91.55</v>
      </c>
      <c r="I168" s="11" t="str">
        <f>IF(G168="No","No",IF(_xlfn.XLOOKUP(B168,'Base stats'!B:B,'Base stats'!U:U)="No","No",
MAX(0.01,MROUND(_xlfn.XLOOKUP(B168,'Base stats'!B:B,'Base stats'!BT:BT)/10000,0.01))
))</f>
        <v>No</v>
      </c>
      <c r="J168" s="4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75.100000000000009</v>
      </c>
      <c r="L168" s="11">
        <f>IF(K168="No","No",
MAX(0.01,MROUND(_xlfn.XLOOKUP(B168,'Base stats'!B:B,'Base stats'!BI:BI)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stats'!BU:BU)/10000,0.01))
))</f>
        <v>46.64</v>
      </c>
      <c r="N168" s="4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No</v>
      </c>
      <c r="P168" s="11" t="str">
        <f>IF(O168="No","No",
MAX(0.01,MROUND(_xlfn.XLOOKUP(B168,'Base stats'!B:B,'Base stats'!BJ:BJ) * 0.01 * 2, 0.01))
)</f>
        <v>No</v>
      </c>
      <c r="Q168" s="5" t="str">
        <f>IF(O168="No","No",
MAX(0.01,MROUND(_xlfn.XLOOKUP(B168,'Base stats'!B:B,'Base stats'!BV:BV)/10000,0.01))
)</f>
        <v>No</v>
      </c>
      <c r="R168" s="4" t="str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No</v>
      </c>
      <c r="S168" s="3" t="str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No</v>
      </c>
      <c r="T168" s="11" t="str">
        <f>IF(S168="No","No",
MAX(0.01,MROUND(_xlfn.XLOOKUP(B168,'Base stats'!B:B,'Base stats'!BH:BH) * 0.01 * 2, 0.01))
)</f>
        <v>No</v>
      </c>
      <c r="U168" s="5" t="str">
        <f>IF(S168="No","No",IF(_xlfn.XLOOKUP(B168,'Base stats'!B:B,'Base stats'!U:U)="No","No",
MAX(0.01,MROUND(_xlfn.XLOOKUP(B168,'Base stats'!B:B,'Base stats'!BT:BT)/10000,0.01))
))</f>
        <v>No</v>
      </c>
      <c r="V168" s="4" t="str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stats'!AQ:AQ)*_xlfn.XLOOKUP(_xlfn.XLOOKUP(B168,'Base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stats'!AQ:AQ)*0.01,2)</f>
        <v>153.77000000000001</v>
      </c>
      <c r="AB168" s="18">
        <f>250*(Animals!AO168+Animals!AP168)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stats'!BS:BS) * (_xlfn.XLOOKUP(B169,'Base stats'!B:B,'Base stats'!AO:AO)*5%)^0.9 / 21,0.1),0.05)</f>
        <v>1.2000000000000002</v>
      </c>
      <c r="E169" s="11">
        <f>MAX(0.01,MROUND(_xlfn.XLOOKUP(B169,'Base stats'!B:B,'Base stats'!BG:BG) * 0.01 * 2, 0.01))</f>
        <v>1.3800000000000001</v>
      </c>
      <c r="F169" s="7">
        <f>MROUND(_xlfn.XLOOKUP(B169,'Base stats'!B:B,'Base stats'!BD:BD)^0.25 / (_xlfn.XLOOKUP(B169,'Base stats'!B:B,'Base stats'!BK:BK) * 10) * 150 + 0.5 + _xlfn.XLOOKUP(B169,'Base stats'!B:B,'Base stats'!BW:BW), 0.05)</f>
        <v>1.85</v>
      </c>
      <c r="G169" s="3" t="str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No</v>
      </c>
      <c r="H169" s="11" t="str">
        <f>IF(G169="No","No",
MAX(0.01,MROUND(_xlfn.XLOOKUP(B169,'Base stats'!B:B,'Base stats'!BH:BH) * 0.01 * 2, 0.01))
)</f>
        <v>No</v>
      </c>
      <c r="I169" s="11" t="str">
        <f>IF(G169="No","No",IF(_xlfn.XLOOKUP(B169,'Base stats'!B:B,'Base stats'!U:U)="No","No",
MAX(0.01,MROUND(_xlfn.XLOOKUP(B169,'Base stats'!B:B,'Base stats'!BT:BT)/10000,0.01))
))</f>
        <v>No</v>
      </c>
      <c r="J169" s="4" t="str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No</v>
      </c>
      <c r="K169" s="3" t="str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No</v>
      </c>
      <c r="L169" s="11" t="str">
        <f>IF(K169="No","No",
MAX(0.01,MROUND(_xlfn.XLOOKUP(B169,'Base stats'!B:B,'Base stats'!BI:BI)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stats'!BU:BU)/10000,0.01))
))</f>
        <v>No</v>
      </c>
      <c r="N169" s="4" t="str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14.100000000000001</v>
      </c>
      <c r="P169" s="11">
        <f>IF(O169="No","No",
MAX(0.01,MROUND(_xlfn.XLOOKUP(B169,'Base stats'!B:B,'Base stats'!BJ:BJ) * 0.01 * 2, 0.01))
)</f>
        <v>5.76</v>
      </c>
      <c r="Q169" s="5">
        <f>IF(O169="No","No",
MAX(0.01,MROUND(_xlfn.XLOOKUP(B169,'Base stats'!B:B,'Base stats'!BV:BV)/10000,0.01))
)</f>
        <v>3.97</v>
      </c>
      <c r="R169" s="4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1.25</v>
      </c>
      <c r="S169" s="3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18.8</v>
      </c>
      <c r="T169" s="11">
        <f>IF(S169="No","No",
MAX(0.01,MROUND(_xlfn.XLOOKUP(B169,'Base stats'!B:B,'Base stats'!BH:BH) * 0.01 * 2, 0.01))
)</f>
        <v>4.6100000000000003</v>
      </c>
      <c r="U169" s="5">
        <f>IF(S169="No","No",IF(_xlfn.XLOOKUP(B169,'Base stats'!B:B,'Base stats'!U:U)="No","No",
MAX(0.01,MROUND(_xlfn.XLOOKUP(B169,'Base stats'!B:B,'Base stats'!BT:BT)/10000,0.01))
))</f>
        <v>3.18</v>
      </c>
      <c r="V169" s="4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stats'!AQ:AQ)*_xlfn.XLOOKUP(_xlfn.XLOOKUP(B169,'Base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stats'!AQ:AQ)*0.01,2)</f>
        <v>1.54</v>
      </c>
      <c r="AB169" s="18">
        <f>250*(Animals!AO169+Animals!AP169)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stats'!BS:BS) * (_xlfn.XLOOKUP(B170,'Base stats'!B:B,'Base stats'!AO:AO)*5%)^0.9 / 21,0.1),0.05)</f>
        <v>2.3000000000000003</v>
      </c>
      <c r="E170" s="11">
        <f>MAX(0.01,MROUND(_xlfn.XLOOKUP(B170,'Base stats'!B:B,'Base stats'!BG:BG) * 0.01 * 2, 0.01))</f>
        <v>2.59</v>
      </c>
      <c r="F170" s="7">
        <f>MROUND(_xlfn.XLOOKUP(B170,'Base stats'!B:B,'Base stats'!BD:BD)^0.25 / (_xlfn.XLOOKUP(B170,'Base stats'!B:B,'Base stats'!BK:BK) * 10) * 150 + 0.5 + _xlfn.XLOOKUP(B170,'Base stats'!B:B,'Base stats'!BW:BW), 0.05)</f>
        <v>1.6500000000000001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MAX(0.01,MROUND(_xlfn.XLOOKUP(B170,'Base stats'!B:B,'Base stats'!BH:BH) * 0.01 * 2, 0.01))
)</f>
        <v>No</v>
      </c>
      <c r="I170" s="11" t="str">
        <f>IF(G170="No","No",IF(_xlfn.XLOOKUP(B170,'Base stats'!B:B,'Base stats'!U:U)="No","No",
MAX(0.01,MROUND(_xlfn.XLOOKUP(B170,'Base stats'!B:B,'Base stats'!BT:BT)/10000,0.01))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MAX(0.01,MROUND(_xlfn.XLOOKUP(B170,'Base stats'!B:B,'Base stats'!BI:BI)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stats'!BU:BU)/10000,0.01))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15.200000000000001</v>
      </c>
      <c r="P170" s="11">
        <f>IF(O170="No","No",
MAX(0.01,MROUND(_xlfn.XLOOKUP(B170,'Base stats'!B:B,'Base stats'!BJ:BJ) * 0.01 * 2, 0.01))
)</f>
        <v>10.029999999999999</v>
      </c>
      <c r="Q170" s="5">
        <f>IF(O170="No","No",
MAX(0.01,MROUND(_xlfn.XLOOKUP(B170,'Base stats'!B:B,'Base stats'!BV:BV)/10000,0.01))
)</f>
        <v>0.52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1.4500000000000002</v>
      </c>
      <c r="S170" s="3" t="str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No</v>
      </c>
      <c r="T170" s="11" t="str">
        <f>IF(S170="No","No",
MAX(0.01,MROUND(_xlfn.XLOOKUP(B170,'Base stats'!B:B,'Base stats'!BH:BH) * 0.01 * 2, 0.01))
)</f>
        <v>No</v>
      </c>
      <c r="U170" s="5" t="str">
        <f>IF(S170="No","No",IF(_xlfn.XLOOKUP(B170,'Base stats'!B:B,'Base stats'!U:U)="No","No",
MAX(0.01,MROUND(_xlfn.XLOOKUP(B170,'Base stats'!B:B,'Base stats'!BT:BT)/10000,0.01))
))</f>
        <v>No</v>
      </c>
      <c r="V170" s="4" t="str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stats'!AQ:AQ)*_xlfn.XLOOKUP(_xlfn.XLOOKUP(B170,'Base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stats'!AQ:AQ)*0.01,2)</f>
        <v>3.08</v>
      </c>
      <c r="AB170" s="18">
        <f>250*(Animals!AO170+Animals!AP170)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stats'!BS:BS) * (_xlfn.XLOOKUP(B171,'Base stats'!B:B,'Base stats'!AO:AO)*5%)^0.9 / 21,0.1),0.05)</f>
        <v>0.1</v>
      </c>
      <c r="E171" s="11">
        <f>MAX(0.01,MROUND(_xlfn.XLOOKUP(B171,'Base stats'!B:B,'Base stats'!BG:BG) * 0.01 * 2, 0.01))</f>
        <v>0.04</v>
      </c>
      <c r="F171" s="7">
        <f>MROUND(_xlfn.XLOOKUP(B171,'Base stats'!B:B,'Base stats'!BD:BD)^0.25 / (_xlfn.XLOOKUP(B171,'Base stats'!B:B,'Base stats'!BK:BK) * 10) * 150 + 0.5 + _xlfn.XLOOKUP(B171,'Base stats'!B:B,'Base stats'!BW:BW), 0.05)</f>
        <v>1.1500000000000001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MAX(0.01,MROUND(_xlfn.XLOOKUP(B171,'Base stats'!B:B,'Base stats'!BH:BH) * 0.01 * 2, 0.01))
)</f>
        <v>No</v>
      </c>
      <c r="I171" s="11" t="str">
        <f>IF(G171="No","No",IF(_xlfn.XLOOKUP(B171,'Base stats'!B:B,'Base stats'!U:U)="No","No",
MAX(0.01,MROUND(_xlfn.XLOOKUP(B171,'Base stats'!B:B,'Base stats'!BT:BT)/10000,0.01))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MAX(0.01,MROUND(_xlfn.XLOOKUP(B171,'Base stats'!B:B,'Base stats'!BI:BI)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stats'!BU:BU)/10000,0.01))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1.7000000000000002</v>
      </c>
      <c r="P171" s="11">
        <f>IF(O171="No","No",
MAX(0.01,MROUND(_xlfn.XLOOKUP(B171,'Base stats'!B:B,'Base stats'!BJ:BJ) * 0.01 * 2, 0.01))
)</f>
        <v>0.08</v>
      </c>
      <c r="Q171" s="5">
        <f>IF(O171="No","No",
MAX(0.01,MROUND(_xlfn.XLOOKUP(B171,'Base stats'!B:B,'Base stats'!BV:BV)/10000,0.01))
)</f>
        <v>0.03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1.75</v>
      </c>
      <c r="S171" s="3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1.7000000000000002</v>
      </c>
      <c r="T171" s="11">
        <f>IF(S171="No","No",
MAX(0.01,MROUND(_xlfn.XLOOKUP(B171,'Base stats'!B:B,'Base stats'!BH:BH) * 0.01 * 2, 0.01))
)</f>
        <v>7.0000000000000007E-2</v>
      </c>
      <c r="U171" s="5">
        <f>IF(S171="No","No",IF(_xlfn.XLOOKUP(B171,'Base stats'!B:B,'Base stats'!U:U)="No","No",
MAX(0.01,MROUND(_xlfn.XLOOKUP(B171,'Base stats'!B:B,'Base stats'!BT:BT)/10000,0.01))
))</f>
        <v>0.02</v>
      </c>
      <c r="V171" s="4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stats'!AQ:AQ)*_xlfn.XLOOKUP(_xlfn.XLOOKUP(B171,'Base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stats'!AQ:AQ)*0.01,2)</f>
        <v>0.17</v>
      </c>
      <c r="AB171" s="18">
        <f>250*(Animals!AO171+Animals!AP171)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stats'!BS:BS) * (_xlfn.XLOOKUP(B172,'Base stats'!B:B,'Base stats'!AO:AO)*5%)^0.9 / 21,0.1),0.05)</f>
        <v>23.1</v>
      </c>
      <c r="E172" s="11">
        <f>MAX(0.01,MROUND(_xlfn.XLOOKUP(B172,'Base stats'!B:B,'Base stats'!BG:BG) * 0.01 * 2, 0.01))</f>
        <v>22.86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1.9500000000000002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MAX(0.01,MROUND(_xlfn.XLOOKUP(B172,'Base stats'!B:B,'Base stats'!BH:BH) * 0.01 * 2, 0.01))
)</f>
        <v>No</v>
      </c>
      <c r="I172" s="11" t="str">
        <f>IF(G172="No","No",IF(_xlfn.XLOOKUP(B172,'Base stats'!B:B,'Base stats'!U:U)="No","No",
MAX(0.01,MROUND(_xlfn.XLOOKUP(B172,'Base stats'!B:B,'Base stats'!BT:BT)/10000,0.01))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41.1</v>
      </c>
      <c r="L172" s="11">
        <f>IF(K172="No","No",
MAX(0.01,MROUND(_xlfn.XLOOKUP(B172,'Base stats'!B:B,'Base stats'!BI:BI)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stats'!BU:BU)/10000,0.01))
))</f>
        <v>1.35</v>
      </c>
      <c r="N172" s="4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21.3</v>
      </c>
      <c r="P172" s="11">
        <f>IF(O172="No","No",
MAX(0.01,MROUND(_xlfn.XLOOKUP(B172,'Base stats'!B:B,'Base stats'!BJ:BJ) * 0.01 * 2, 0.01))
)</f>
        <v>13.89</v>
      </c>
      <c r="Q172" s="5">
        <f>IF(O172="No","No",
MAX(0.01,MROUND(_xlfn.XLOOKUP(B172,'Base stats'!B:B,'Base stats'!BV:BV)/10000,0.01))
)</f>
        <v>0.27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2.95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MAX(0.01,MROUND(_xlfn.XLOOKUP(B172,'Base stats'!B:B,'Base stats'!BH:BH) * 0.01 * 2, 0.01))
)</f>
        <v>No</v>
      </c>
      <c r="U172" s="5" t="str">
        <f>IF(S172="No","No",IF(_xlfn.XLOOKUP(B172,'Base stats'!B:B,'Base stats'!U:U)="No","No",
MAX(0.01,MROUND(_xlfn.XLOOKUP(B172,'Base stats'!B:B,'Base stats'!BT:BT)/10000,0.01))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stats'!AQ:AQ)*_xlfn.XLOOKUP(_xlfn.XLOOKUP(B172,'Base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stats'!AQ:AQ)*0.01,2)</f>
        <v>0.24</v>
      </c>
      <c r="AB172" s="18">
        <f>250*(Animals!AO172+Animals!AP172)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stats'!BS:BS) * (_xlfn.XLOOKUP(B173,'Base stats'!B:B,'Base stats'!AO:AO)*5%)^0.9 / 21,0.1),0.05)</f>
        <v>1.4000000000000001</v>
      </c>
      <c r="E173" s="11">
        <f>MAX(0.01,MROUND(_xlfn.XLOOKUP(B173,'Base stats'!B:B,'Base stats'!BG:BG) * 0.01 * 2, 0.01))</f>
        <v>1.1200000000000001</v>
      </c>
      <c r="F173" s="7">
        <f>MROUND(_xlfn.XLOOKUP(B173,'Base stats'!B:B,'Base stats'!BD:BD)^0.25 / (_xlfn.XLOOKUP(B173,'Base stats'!B:B,'Base stats'!BK:BK) * 10) * 150 + 0.5 + _xlfn.XLOOKUP(B173,'Base stats'!B:B,'Base stats'!BW:BW), 0.05)</f>
        <v>1.55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MAX(0.01,MROUND(_xlfn.XLOOKUP(B173,'Base stats'!B:B,'Base stats'!BH:BH) * 0.01 * 2, 0.01))
)</f>
        <v>No</v>
      </c>
      <c r="I173" s="11" t="str">
        <f>IF(G173="No","No",IF(_xlfn.XLOOKUP(B173,'Base stats'!B:B,'Base stats'!U:U)="No","No",
MAX(0.01,MROUND(_xlfn.XLOOKUP(B173,'Base stats'!B:B,'Base stats'!BT:BT)/10000,0.01))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MAX(0.01,MROUND(_xlfn.XLOOKUP(B173,'Base stats'!B:B,'Base stats'!BI:BI)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stats'!BU:BU)/10000,0.01))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6.4</v>
      </c>
      <c r="P173" s="11">
        <f>IF(O173="No","No",
MAX(0.01,MROUND(_xlfn.XLOOKUP(B173,'Base stats'!B:B,'Base stats'!BJ:BJ) * 0.01 * 2, 0.01))
)</f>
        <v>0.77</v>
      </c>
      <c r="Q173" s="5">
        <f>IF(O173="No","No",
MAX(0.01,MROUND(_xlfn.XLOOKUP(B173,'Base stats'!B:B,'Base stats'!BV:BV)/10000,0.01))
)</f>
        <v>0.06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1.9000000000000001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3.3000000000000003</v>
      </c>
      <c r="T173" s="11">
        <f>IF(S173="No","No",
MAX(0.01,MROUND(_xlfn.XLOOKUP(B173,'Base stats'!B:B,'Base stats'!BH:BH) * 0.01 * 2, 0.01))
)</f>
        <v>1.49</v>
      </c>
      <c r="U173" s="5" t="str">
        <f>IF(S173="No","No",IF(_xlfn.XLOOKUP(B173,'Base stats'!B:B,'Base stats'!U:U)="No","No",
MAX(0.01,MROUND(_xlfn.XLOOKUP(B173,'Base stats'!B:B,'Base stats'!BT:BT)/10000,0.01))
))</f>
        <v>No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stats'!AQ:AQ)*_xlfn.XLOOKUP(_xlfn.XLOOKUP(B173,'Base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stats'!AQ:AQ)*0.01,2)</f>
        <v>0.2</v>
      </c>
      <c r="AB173" s="18">
        <f>250*(Animals!AO173+Animals!AP173)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stats'!BS:BS) * (_xlfn.XLOOKUP(B174,'Base stats'!B:B,'Base stats'!AO:AO)*5%)^0.9 / 21,0.1),0.05)</f>
        <v>4.5</v>
      </c>
      <c r="E174" s="11">
        <f>MAX(0.01,MROUND(_xlfn.XLOOKUP(B174,'Base stats'!B:B,'Base stats'!BG:BG) * 0.01 * 2, 0.01))</f>
        <v>3.92</v>
      </c>
      <c r="F174" s="7">
        <f>MROUND(_xlfn.XLOOKUP(B174,'Base stats'!B:B,'Base stats'!BD:BD)^0.25 / (_xlfn.XLOOKUP(B174,'Base stats'!B:B,'Base stats'!BK:BK) * 10) * 150 + 0.5 + _xlfn.XLOOKUP(B174,'Base stats'!B:B,'Base stats'!BW:BW), 0.05)</f>
        <v>1.75</v>
      </c>
      <c r="G174" s="3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17</v>
      </c>
      <c r="H174" s="11">
        <f>IF(G174="No","No",
MAX(0.01,MROUND(_xlfn.XLOOKUP(B174,'Base stats'!B:B,'Base stats'!BH:BH) * 0.01 * 2, 0.01))
)</f>
        <v>4.8100000000000005</v>
      </c>
      <c r="I174" s="11">
        <f>IF(G174="No","No",IF(_xlfn.XLOOKUP(B174,'Base stats'!B:B,'Base stats'!U:U)="No","No",
MAX(0.01,MROUND(_xlfn.XLOOKUP(B174,'Base stats'!B:B,'Base stats'!BT:BT)/10000,0.01))
))</f>
        <v>0.21</v>
      </c>
      <c r="J174" s="4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3.1</v>
      </c>
      <c r="K174" s="3" t="str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No</v>
      </c>
      <c r="L174" s="11" t="str">
        <f>IF(K174="No","No",
MAX(0.01,MROUND(_xlfn.XLOOKUP(B174,'Base stats'!B:B,'Base stats'!BI:BI)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stats'!BU:BU)/10000,0.01))
))</f>
        <v>No</v>
      </c>
      <c r="N174" s="4" t="str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5.6000000000000005</v>
      </c>
      <c r="P174" s="11">
        <f>IF(O174="No","No",
MAX(0.01,MROUND(_xlfn.XLOOKUP(B174,'Base stats'!B:B,'Base stats'!BJ:BJ) * 0.01 * 2, 0.01))
)</f>
        <v>0.6</v>
      </c>
      <c r="Q174" s="5">
        <f>IF(O174="No","No",
MAX(0.01,MROUND(_xlfn.XLOOKUP(B174,'Base stats'!B:B,'Base stats'!BV:BV)/10000,0.01))
)</f>
        <v>0.03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2.35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MAX(0.01,MROUND(_xlfn.XLOOKUP(B174,'Base stats'!B:B,'Base stats'!BH:BH) * 0.01 * 2, 0.01))
)</f>
        <v>No</v>
      </c>
      <c r="U174" s="5" t="str">
        <f>IF(S174="No","No",IF(_xlfn.XLOOKUP(B174,'Base stats'!B:B,'Base stats'!U:U)="No","No",
MAX(0.01,MROUND(_xlfn.XLOOKUP(B174,'Base stats'!B:B,'Base stats'!BT:BT)/10000,0.01))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stats'!AQ:AQ)*_xlfn.XLOOKUP(_xlfn.XLOOKUP(B174,'Base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stats'!AQ:AQ)*0.01,2)</f>
        <v>0.02</v>
      </c>
      <c r="AB174" s="18">
        <f>250*(Animals!AO174+Animals!AP174)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stats'!BS:BS) * (_xlfn.XLOOKUP(B175,'Base stats'!B:B,'Base stats'!AO:AO)*5%)^0.9 / 21,0.1),0.05)</f>
        <v>7.3000000000000007</v>
      </c>
      <c r="E175" s="11">
        <f>MAX(0.01,MROUND(_xlfn.XLOOKUP(B175,'Base stats'!B:B,'Base stats'!BG:BG) * 0.01 * 2, 0.01))</f>
        <v>6.59</v>
      </c>
      <c r="F175" s="7">
        <f>MROUND(_xlfn.XLOOKUP(B175,'Base stats'!B:B,'Base stats'!BD:BD)^0.25 / (_xlfn.XLOOKUP(B175,'Base stats'!B:B,'Base stats'!BK:BK) * 10) * 150 + 0.5 + _xlfn.XLOOKUP(B175,'Base stats'!B:B,'Base stats'!BW:BW), 0.05)</f>
        <v>1.8</v>
      </c>
      <c r="G175" s="3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12.600000000000001</v>
      </c>
      <c r="H175" s="11">
        <f>IF(G175="No","No",
MAX(0.01,MROUND(_xlfn.XLOOKUP(B175,'Base stats'!B:B,'Base stats'!BH:BH) * 0.01 * 2, 0.01))
)</f>
        <v>7.83</v>
      </c>
      <c r="I175" s="11" t="str">
        <f>IF(G175="No","No",IF(_xlfn.XLOOKUP(B175,'Base stats'!B:B,'Base stats'!U:U)="No","No",
MAX(0.01,MROUND(_xlfn.XLOOKUP(B175,'Base stats'!B:B,'Base stats'!BT:BT)/10000,0.01))
))</f>
        <v>No</v>
      </c>
      <c r="J175" s="4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MAX(0.01,MROUND(_xlfn.XLOOKUP(B175,'Base stats'!B:B,'Base stats'!BI:BI)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stats'!BU:BU)/10000,0.01))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12.600000000000001</v>
      </c>
      <c r="P175" s="11">
        <f>IF(O175="No","No",
MAX(0.01,MROUND(_xlfn.XLOOKUP(B175,'Base stats'!B:B,'Base stats'!BJ:BJ) * 0.01 * 2, 0.01))
)</f>
        <v>5.21</v>
      </c>
      <c r="Q175" s="5">
        <f>IF(O175="No","No",
MAX(0.01,MROUND(_xlfn.XLOOKUP(B175,'Base stats'!B:B,'Base stats'!BV:BV)/10000,0.01))
)</f>
        <v>0.12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2.75</v>
      </c>
      <c r="S175" s="3" t="str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No</v>
      </c>
      <c r="T175" s="11" t="str">
        <f>IF(S175="No","No",
MAX(0.01,MROUND(_xlfn.XLOOKUP(B175,'Base stats'!B:B,'Base stats'!BH:BH) * 0.01 * 2, 0.01))
)</f>
        <v>No</v>
      </c>
      <c r="U175" s="5" t="str">
        <f>IF(S175="No","No",IF(_xlfn.XLOOKUP(B175,'Base stats'!B:B,'Base stats'!U:U)="No","No",
MAX(0.01,MROUND(_xlfn.XLOOKUP(B175,'Base stats'!B:B,'Base stats'!BT:BT)/10000,0.01))
))</f>
        <v>No</v>
      </c>
      <c r="V175" s="4" t="str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stats'!AQ:AQ)*_xlfn.XLOOKUP(_xlfn.XLOOKUP(B175,'Base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stats'!AQ:AQ)*0.01,2)</f>
        <v>0.35</v>
      </c>
      <c r="AB175" s="18">
        <f>250*(Animals!AO175+Animals!AP175)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stats'!BS:BS) * (_xlfn.XLOOKUP(B176,'Base stats'!B:B,'Base stats'!AO:AO)*5%)^0.9 / 21,0.1),0.05)</f>
        <v>0.2</v>
      </c>
      <c r="E176" s="11">
        <f>MAX(0.01,MROUND(_xlfn.XLOOKUP(B176,'Base stats'!B:B,'Base stats'!BG:BG) * 0.01 * 2, 0.01))</f>
        <v>0.15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1.4000000000000001</v>
      </c>
      <c r="G176" s="3" t="str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No</v>
      </c>
      <c r="H176" s="11" t="str">
        <f>IF(G176="No","No",
MAX(0.01,MROUND(_xlfn.XLOOKUP(B176,'Base stats'!B:B,'Base stats'!BH:BH) * 0.01 * 2, 0.01))
)</f>
        <v>No</v>
      </c>
      <c r="I176" s="11" t="str">
        <f>IF(G176="No","No",IF(_xlfn.XLOOKUP(B176,'Base stats'!B:B,'Base stats'!U:U)="No","No",
MAX(0.01,MROUND(_xlfn.XLOOKUP(B176,'Base stats'!B:B,'Base stats'!BT:BT)/10000,0.01))
))</f>
        <v>No</v>
      </c>
      <c r="J176" s="4" t="str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No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MAX(0.01,MROUND(_xlfn.XLOOKUP(B176,'Base stats'!B:B,'Base stats'!BI:BI)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stats'!BU:BU)/10000,0.01))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1.8</v>
      </c>
      <c r="P176" s="11">
        <f>IF(O176="No","No",
MAX(0.01,MROUND(_xlfn.XLOOKUP(B176,'Base stats'!B:B,'Base stats'!BJ:BJ) * 0.01 * 2, 0.01))
)</f>
        <v>0.04</v>
      </c>
      <c r="Q176" s="5">
        <f>IF(O176="No","No",
MAX(0.01,MROUND(_xlfn.XLOOKUP(B176,'Base stats'!B:B,'Base stats'!BV:BV)/10000,0.01))
)</f>
        <v>0.01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1.9000000000000001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MAX(0.01,MROUND(_xlfn.XLOOKUP(B176,'Base stats'!B:B,'Base stats'!BH:BH) * 0.01 * 2, 0.01))
)</f>
        <v>No</v>
      </c>
      <c r="U176" s="5" t="str">
        <f>IF(S176="No","No",IF(_xlfn.XLOOKUP(B176,'Base stats'!B:B,'Base stats'!U:U)="No","No",
MAX(0.01,MROUND(_xlfn.XLOOKUP(B176,'Base stats'!B:B,'Base stats'!BT:BT)/10000,0.01))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stats'!AQ:AQ)*_xlfn.XLOOKUP(_xlfn.XLOOKUP(B176,'Base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stats'!AQ:AQ)*0.01,2)</f>
        <v>0.01</v>
      </c>
      <c r="AB176" s="18">
        <f>250*(Animals!AO176+Animals!AP176)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stats'!BS:BS) * (_xlfn.XLOOKUP(B177,'Base stats'!B:B,'Base stats'!AO:AO)*5%)^0.9 / 21,0.1),0.05)</f>
        <v>0.30000000000000004</v>
      </c>
      <c r="E177" s="11">
        <f>MAX(0.01,MROUND(_xlfn.XLOOKUP(B177,'Base stats'!B:B,'Base stats'!BG:BG) * 0.01 * 2, 0.01))</f>
        <v>0.2</v>
      </c>
      <c r="F177" s="7">
        <f>MROUND(_xlfn.XLOOKUP(B177,'Base stats'!B:B,'Base stats'!BD:BD)^0.25 / (_xlfn.XLOOKUP(B177,'Base stats'!B:B,'Base stats'!BK:BK) * 10) * 150 + 0.5 + _xlfn.XLOOKUP(B177,'Base stats'!B:B,'Base stats'!BW:BW), 0.05)</f>
        <v>1.4500000000000002</v>
      </c>
      <c r="G177" s="3" t="str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No</v>
      </c>
      <c r="H177" s="11" t="str">
        <f>IF(G177="No","No",
MAX(0.01,MROUND(_xlfn.XLOOKUP(B177,'Base stats'!B:B,'Base stats'!BH:BH) * 0.01 * 2, 0.01))
)</f>
        <v>No</v>
      </c>
      <c r="I177" s="11" t="str">
        <f>IF(G177="No","No",IF(_xlfn.XLOOKUP(B177,'Base stats'!B:B,'Base stats'!U:U)="No","No",
MAX(0.01,MROUND(_xlfn.XLOOKUP(B177,'Base stats'!B:B,'Base stats'!BT:BT)/10000,0.01))
))</f>
        <v>No</v>
      </c>
      <c r="J177" s="4" t="str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No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MAX(0.01,MROUND(_xlfn.XLOOKUP(B177,'Base stats'!B:B,'Base stats'!BI:BI)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stats'!BU:BU)/10000,0.01))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3.8000000000000003</v>
      </c>
      <c r="P177" s="11">
        <f>IF(O177="No","No",
MAX(0.01,MROUND(_xlfn.XLOOKUP(B177,'Base stats'!B:B,'Base stats'!BJ:BJ) * 0.01 * 2, 0.01))
)</f>
        <v>0.32</v>
      </c>
      <c r="Q177" s="5">
        <f>IF(O177="No","No",
MAX(0.01,MROUND(_xlfn.XLOOKUP(B177,'Base stats'!B:B,'Base stats'!BV:BV)/10000,0.01))
)</f>
        <v>0.05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1.75</v>
      </c>
      <c r="S177" s="3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4.1000000000000005</v>
      </c>
      <c r="T177" s="11">
        <f>IF(S177="No","No",
MAX(0.01,MROUND(_xlfn.XLOOKUP(B177,'Base stats'!B:B,'Base stats'!BH:BH) * 0.01 * 2, 0.01))
)</f>
        <v>0.3</v>
      </c>
      <c r="U177" s="5">
        <f>IF(S177="No","No",IF(_xlfn.XLOOKUP(B177,'Base stats'!B:B,'Base stats'!U:U)="No","No",
MAX(0.01,MROUND(_xlfn.XLOOKUP(B177,'Base stats'!B:B,'Base stats'!BT:BT)/10000,0.01))
))</f>
        <v>0.05</v>
      </c>
      <c r="V177" s="4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stats'!AQ:AQ)*_xlfn.XLOOKUP(_xlfn.XLOOKUP(B177,'Base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stats'!AQ:AQ)*0.01,2)</f>
        <v>0.32</v>
      </c>
      <c r="AB177" s="18">
        <f>250*(Animals!AO177+Animals!AP177)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stats'!BS:BS) * (_xlfn.XLOOKUP(B178,'Base stats'!B:B,'Base stats'!AO:AO)*5%)^0.9 / 21,0.1),0.05)</f>
        <v>0.70000000000000007</v>
      </c>
      <c r="E178" s="11">
        <f>MAX(0.01,MROUND(_xlfn.XLOOKUP(B178,'Base stats'!B:B,'Base stats'!BG:BG) * 0.01 * 2, 0.01))</f>
        <v>0.51</v>
      </c>
      <c r="F178" s="7">
        <f>MROUND(_xlfn.XLOOKUP(B178,'Base stats'!B:B,'Base stats'!BD:BD)^0.25 / (_xlfn.XLOOKUP(B178,'Base stats'!B:B,'Base stats'!BK:BK) * 10) * 150 + 0.5 + _xlfn.XLOOKUP(B178,'Base stats'!B:B,'Base stats'!BW:BW), 0.05)</f>
        <v>1.6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MAX(0.01,MROUND(_xlfn.XLOOKUP(B178,'Base stats'!B:B,'Base stats'!BH:BH) * 0.01 * 2, 0.01))
)</f>
        <v>No</v>
      </c>
      <c r="I178" s="11" t="str">
        <f>IF(G178="No","No",IF(_xlfn.XLOOKUP(B178,'Base stats'!B:B,'Base stats'!U:U)="No","No",
MAX(0.01,MROUND(_xlfn.XLOOKUP(B178,'Base stats'!B:B,'Base stats'!BT:BT)/10000,0.01))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MAX(0.01,MROUND(_xlfn.XLOOKUP(B178,'Base stats'!B:B,'Base stats'!BI:BI)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stats'!BU:BU)/10000,0.01))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8.9</v>
      </c>
      <c r="P178" s="11">
        <f>IF(O178="No","No",
MAX(0.01,MROUND(_xlfn.XLOOKUP(B178,'Base stats'!B:B,'Base stats'!BJ:BJ) * 0.01 * 2, 0.01))
)</f>
        <v>1.92</v>
      </c>
      <c r="Q178" s="5">
        <f>IF(O178="No","No",
MAX(0.01,MROUND(_xlfn.XLOOKUP(B178,'Base stats'!B:B,'Base stats'!BV:BV)/10000,0.01))
)</f>
        <v>0.21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2.1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MAX(0.01,MROUND(_xlfn.XLOOKUP(B178,'Base stats'!B:B,'Base stats'!BH:BH) * 0.01 * 2, 0.01))
)</f>
        <v>No</v>
      </c>
      <c r="U178" s="5" t="str">
        <f>IF(S178="No","No",IF(_xlfn.XLOOKUP(B178,'Base stats'!B:B,'Base stats'!U:U)="No","No",
MAX(0.01,MROUND(_xlfn.XLOOKUP(B178,'Base stats'!B:B,'Base stats'!BT:BT)/10000,0.01))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stats'!AQ:AQ)*_xlfn.XLOOKUP(_xlfn.XLOOKUP(B178,'Base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stats'!AQ:AQ)*0.01,2)</f>
        <v>0.45</v>
      </c>
      <c r="AB178" s="18">
        <f>250*(Animals!AO178+Animals!AP178)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stats'!BS:BS) * (_xlfn.XLOOKUP(B179,'Base stats'!B:B,'Base stats'!AO:AO)*5%)^0.9 / 21,0.1),0.05)</f>
        <v>1</v>
      </c>
      <c r="E179" s="11">
        <f>MAX(0.01,MROUND(_xlfn.XLOOKUP(B179,'Base stats'!B:B,'Base stats'!BG:BG) * 0.01 * 2, 0.01))</f>
        <v>0.77</v>
      </c>
      <c r="F179" s="7">
        <f>MROUND(_xlfn.XLOOKUP(B179,'Base stats'!B:B,'Base stats'!BD:BD)^0.25 / (_xlfn.XLOOKUP(B179,'Base stats'!B:B,'Base stats'!BK:BK) * 10) * 150 + 0.5 + _xlfn.XLOOKUP(B179,'Base stats'!B:B,'Base stats'!BW:BW), 0.05)</f>
        <v>1.7000000000000002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MAX(0.01,MROUND(_xlfn.XLOOKUP(B179,'Base stats'!B:B,'Base stats'!BH:BH) * 0.01 * 2, 0.01))
)</f>
        <v>No</v>
      </c>
      <c r="I179" s="11" t="str">
        <f>IF(G179="No","No",IF(_xlfn.XLOOKUP(B179,'Base stats'!B:B,'Base stats'!U:U)="No","No",
MAX(0.01,MROUND(_xlfn.XLOOKUP(B179,'Base stats'!B:B,'Base stats'!BT:BT)/10000,0.01))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MAX(0.01,MROUND(_xlfn.XLOOKUP(B179,'Base stats'!B:B,'Base stats'!BI:BI)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stats'!BU:BU)/10000,0.01))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11.100000000000001</v>
      </c>
      <c r="P179" s="11">
        <f>IF(O179="No","No",
MAX(0.01,MROUND(_xlfn.XLOOKUP(B179,'Base stats'!B:B,'Base stats'!BJ:BJ) * 0.01 * 2, 0.01))
)</f>
        <v>2.91</v>
      </c>
      <c r="Q179" s="5">
        <f>IF(O179="No","No",
MAX(0.01,MROUND(_xlfn.XLOOKUP(B179,'Base stats'!B:B,'Base stats'!BV:BV)/10000,0.01))
)</f>
        <v>0.26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2.0500000000000003</v>
      </c>
      <c r="S179" s="3" t="str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No</v>
      </c>
      <c r="T179" s="11" t="str">
        <f>IF(S179="No","No",
MAX(0.01,MROUND(_xlfn.XLOOKUP(B179,'Base stats'!B:B,'Base stats'!BH:BH) * 0.01 * 2, 0.01))
)</f>
        <v>No</v>
      </c>
      <c r="U179" s="5" t="str">
        <f>IF(S179="No","No",IF(_xlfn.XLOOKUP(B179,'Base stats'!B:B,'Base stats'!U:U)="No","No",
MAX(0.01,MROUND(_xlfn.XLOOKUP(B179,'Base stats'!B:B,'Base stats'!BT:BT)/10000,0.01))
))</f>
        <v>No</v>
      </c>
      <c r="V179" s="4" t="str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stats'!AQ:AQ)*_xlfn.XLOOKUP(_xlfn.XLOOKUP(B179,'Base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stats'!AQ:AQ)*0.01,2)</f>
        <v>0.53</v>
      </c>
      <c r="AB179" s="18">
        <f>250*(Animals!AO179+Animals!AP179)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stats'!BS:BS) * (_xlfn.XLOOKUP(B180,'Base stats'!B:B,'Base stats'!AO:AO)*5%)^0.9 / 21,0.1),0.05)</f>
        <v>0.5</v>
      </c>
      <c r="E180" s="11">
        <f>MAX(0.01,MROUND(_xlfn.XLOOKUP(B180,'Base stats'!B:B,'Base stats'!BG:BG) * 0.01 * 2, 0.01))</f>
        <v>0.41000000000000003</v>
      </c>
      <c r="F180" s="7">
        <f>MROUND(_xlfn.XLOOKUP(B180,'Base stats'!B:B,'Base stats'!BD:BD)^0.25 / (_xlfn.XLOOKUP(B180,'Base stats'!B:B,'Base stats'!BK:BK) * 10) * 150 + 0.5 + _xlfn.XLOOKUP(B180,'Base stats'!B:B,'Base stats'!BW:BW), 0.05)</f>
        <v>1.55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MAX(0.01,MROUND(_xlfn.XLOOKUP(B180,'Base stats'!B:B,'Base stats'!BH:BH) * 0.01 * 2, 0.01))
)</f>
        <v>No</v>
      </c>
      <c r="I180" s="11" t="str">
        <f>IF(G180="No","No",IF(_xlfn.XLOOKUP(B180,'Base stats'!B:B,'Base stats'!U:U)="No","No",
MAX(0.01,MROUND(_xlfn.XLOOKUP(B180,'Base stats'!B:B,'Base stats'!BT:BT)/10000,0.01))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MAX(0.01,MROUND(_xlfn.XLOOKUP(B180,'Base stats'!B:B,'Base stats'!BI:BI)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stats'!BU:BU)/10000,0.01))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4.9000000000000004</v>
      </c>
      <c r="P180" s="11">
        <f>IF(O180="No","No",
MAX(0.01,MROUND(_xlfn.XLOOKUP(B180,'Base stats'!B:B,'Base stats'!BJ:BJ) * 0.01 * 2, 0.01))
)</f>
        <v>0.59</v>
      </c>
      <c r="Q180" s="5">
        <f>IF(O180="No","No",
MAX(0.01,MROUND(_xlfn.XLOOKUP(B180,'Base stats'!B:B,'Base stats'!BV:BV)/10000,0.01))
)</f>
        <v>7.0000000000000007E-2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MAX(0.01,MROUND(_xlfn.XLOOKUP(B180,'Base stats'!B:B,'Base stats'!BH:BH) * 0.01 * 2, 0.01))
)</f>
        <v>No</v>
      </c>
      <c r="U180" s="5" t="str">
        <f>IF(S180="No","No",IF(_xlfn.XLOOKUP(B180,'Base stats'!B:B,'Base stats'!U:U)="No","No",
MAX(0.01,MROUND(_xlfn.XLOOKUP(B180,'Base stats'!B:B,'Base stats'!BT:BT)/10000,0.01))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stats'!AQ:AQ)*_xlfn.XLOOKUP(_xlfn.XLOOKUP(B180,'Base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stats'!AQ:AQ)*0.01,2)</f>
        <v>0.46</v>
      </c>
      <c r="AB180" s="18">
        <f>250*(Animals!AO180+Animals!AP180)</f>
        <v>225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Panda</v>
      </c>
      <c r="B181" s="6" t="str">
        <f>Animals!B181</f>
        <v>Ailuropoda melanoleuca</v>
      </c>
      <c r="C181" s="1" t="str">
        <f>Animals!C181</f>
        <v>&lt;li&gt;AEXP_Panda&lt;/li&gt;</v>
      </c>
      <c r="D181" s="47">
        <f>MAX(MROUND(_xlfn.XLOOKUP(B181,'Base stats'!B:B,'Base stats'!BS:BS) * (_xlfn.XLOOKUP(B181,'Base stats'!B:B,'Base stats'!AO:AO)*5%)^0.9 / 21,0.1),0.05)</f>
        <v>3.5</v>
      </c>
      <c r="E181" s="11">
        <f>MAX(0.01,MROUND(_xlfn.XLOOKUP(B181,'Base stats'!B:B,'Base stats'!BG:BG) * 0.01 * 2, 0.01))</f>
        <v>2.99</v>
      </c>
      <c r="F181" s="7">
        <f>MROUND(_xlfn.XLOOKUP(B181,'Base stats'!B:B,'Base stats'!BD:BD)^0.25 / (_xlfn.XLOOKUP(B181,'Base stats'!B:B,'Base stats'!BK:BK) * 10) * 150 + 0.5 + _xlfn.XLOOKUP(B181,'Base stats'!B:B,'Base stats'!BW:BW), 0.05)</f>
        <v>1.6500000000000001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MAX(0.01,MROUND(_xlfn.XLOOKUP(B181,'Base stats'!B:B,'Base stats'!BH:BH) * 0.01 * 2, 0.01))
)</f>
        <v>No</v>
      </c>
      <c r="I181" s="11" t="str">
        <f>IF(G181="No","No",IF(_xlfn.XLOOKUP(B181,'Base stats'!B:B,'Base stats'!U:U)="No","No",
MAX(0.01,MROUND(_xlfn.XLOOKUP(B181,'Base stats'!B:B,'Base stats'!BT:BT)/10000,0.01))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MAX(0.01,MROUND(_xlfn.XLOOKUP(B181,'Base stats'!B:B,'Base stats'!BI:BI) * 0.01 *2, 0.01))
)</f>
        <v>No</v>
      </c>
      <c r="M181" s="5" t="str">
        <f>IF(K181="No","No",IF(_xlfn.XLOOKUP(_xlfn.XLOOKUP(B181,'Base stats'!B:B,'Base stats'!E:E),Groups!A:A,Groups!BD:BD)=1,"No",
MAX(0.01,MROUND(_xlfn.XLOOKUP(B181,'Base stats'!B:B,'Base stats'!BU:BU)/10000,0.01))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17</v>
      </c>
      <c r="P181" s="11">
        <f>IF(O181="No","No",
MAX(0.01,MROUND(_xlfn.XLOOKUP(B181,'Base stats'!B:B,'Base stats'!BJ:BJ) * 0.01 * 2, 0.01))
)</f>
        <v>5.71</v>
      </c>
      <c r="Q181" s="5">
        <f>IF(O181="No","No",
MAX(0.01,MROUND(_xlfn.XLOOKUP(B181,'Base stats'!B:B,'Base stats'!BV:BV)/10000,0.01))
)</f>
        <v>0.28000000000000003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2.2000000000000002</v>
      </c>
      <c r="S181" s="3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14.5</v>
      </c>
      <c r="T181" s="11">
        <f>IF(S181="No","No",
MAX(0.01,MROUND(_xlfn.XLOOKUP(B181,'Base stats'!B:B,'Base stats'!BH:BH) * 0.01 * 2, 0.01))
)</f>
        <v>3.73</v>
      </c>
      <c r="U181" s="5">
        <f>IF(S181="No","No",IF(_xlfn.XLOOKUP(B181,'Base stats'!B:B,'Base stats'!U:U)="No","No",
MAX(0.01,MROUND(_xlfn.XLOOKUP(B181,'Base stats'!B:B,'Base stats'!BT:BT)/10000,0.01))
))</f>
        <v>0.18</v>
      </c>
      <c r="V181" s="4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1.5</v>
      </c>
      <c r="W181" s="8">
        <f>MROUND(_xlfn.XLOOKUP(_xlfn.XLOOKUP(B181,'Base stats'!B:B,'Base stats'!E:E),Groups!A:A,Groups!BG:BG)*_xlfn.XLOOKUP(B181,'Base stats'!B:B,'Base stats'!C:C)^-0.165,0.01)</f>
        <v>0.32</v>
      </c>
      <c r="X181" s="1">
        <f>MROUND(_xlfn.XLOOKUP(_xlfn.XLOOKUP(B181,'Base stats'!B:B,'Base stats'!E:E),Groups!A:A,Groups!BH:BH)*_xlfn.XLOOKUP(B181,'Base stats'!B:B,'Base stats'!C:C)^0.165,0.01)</f>
        <v>0.33</v>
      </c>
      <c r="Y181" s="8">
        <f>MROUND(_xlfn.XLOOKUP(_xlfn.XLOOKUP(B181,'Base stats'!B:B,'Base stats'!E:E),Groups!A:A,Groups!BI:BI)*_xlfn.XLOOKUP(B181,'Base stats'!B:B,'Base stats'!C:C)^0.165,0.01)</f>
        <v>0.05</v>
      </c>
      <c r="Z181" s="18">
        <f>ROUND(_xlfn.XLOOKUP(B181,'Base stats'!B:B,'Base stats'!AQ:AQ)*_xlfn.XLOOKUP(_xlfn.XLOOKUP(B181,'Base stats'!B:B,'Base stats'!E:E),Groups!A:A,Groups!H:H)/1000,2)</f>
        <v>0.12</v>
      </c>
      <c r="AA181" s="18">
        <f>ROUND((1/2)*(_xlfn.XLOOKUP(_xlfn.XLOOKUP(B181,'Base stats'!B:B,'Base stats'!E:E),Groups!A:A,Groups!H:H)*_xlfn.XLOOKUP(_xlfn.XLOOKUP(B181,'Base stats'!B:B,'Base stats'!E:E),Groups!A:A,Groups!I:I))*_xlfn.XLOOKUP(B181,'Base stats'!B:B,'Base stats'!AQ:AQ)*0.01,2)</f>
        <v>0.89</v>
      </c>
      <c r="AB181" s="18">
        <f>250*(Animals!AO181+Animals!AP181)</f>
        <v>712.5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Quail</v>
      </c>
      <c r="B182" s="6" t="str">
        <f>Animals!B182</f>
        <v>Coturnix coturnix</v>
      </c>
      <c r="C182" s="1" t="str">
        <f>Animals!C182</f>
        <v>&lt;li&gt;VAERoy_Quail&lt;/li&gt;</v>
      </c>
      <c r="D182" s="47">
        <f>MAX(MROUND(_xlfn.XLOOKUP(B182,'Base stats'!B:B,'Base stats'!BS:BS) * (_xlfn.XLOOKUP(B182,'Base stats'!B:B,'Base stats'!AO:AO)*5%)^0.9 / 21,0.1),0.05)</f>
        <v>0.05</v>
      </c>
      <c r="E182" s="11">
        <f>MAX(0.01,MROUND(_xlfn.XLOOKUP(B182,'Base stats'!B:B,'Base stats'!BG:BG) * 0.01 * 2, 0.01))</f>
        <v>0.01</v>
      </c>
      <c r="F182" s="7">
        <f>MROUND(_xlfn.XLOOKUP(B182,'Base stats'!B:B,'Base stats'!BD:BD)^0.25 / (_xlfn.XLOOKUP(B182,'Base stats'!B:B,'Base stats'!BK:BK) * 10) * 150 + 0.5 + _xlfn.XLOOKUP(B182,'Base stats'!B:B,'Base stats'!BW:BW), 0.05)</f>
        <v>1.05</v>
      </c>
      <c r="G182" s="3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0.60000000000000009</v>
      </c>
      <c r="H182" s="11">
        <f>IF(G182="No","No",
MAX(0.01,MROUND(_xlfn.XLOOKUP(B182,'Base stats'!B:B,'Base stats'!BH:BH) * 0.01 * 2, 0.01))
)</f>
        <v>0.01</v>
      </c>
      <c r="I182" s="11">
        <f>IF(G182="No","No",IF(_xlfn.XLOOKUP(B182,'Base stats'!B:B,'Base stats'!U:U)="No","No",
MAX(0.01,MROUND(_xlfn.XLOOKUP(B182,'Base stats'!B:B,'Base stats'!BT:BT)/10000,0.01))
))</f>
        <v>0.01</v>
      </c>
      <c r="J182" s="4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1.4500000000000002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MAX(0.01,MROUND(_xlfn.XLOOKUP(B182,'Base stats'!B:B,'Base stats'!BI:BI) * 0.01 *2, 0.01))
)</f>
        <v>No</v>
      </c>
      <c r="M182" s="5" t="str">
        <f>IF(K182="No","No",IF(_xlfn.XLOOKUP(_xlfn.XLOOKUP(B182,'Base stats'!B:B,'Base stats'!E:E),Groups!A:A,Groups!BD:BD)=1,"No",
MAX(0.01,MROUND(_xlfn.XLOOKUP(B182,'Base stats'!B:B,'Base stats'!BU:BU)/10000,0.01))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0.30000000000000004</v>
      </c>
      <c r="P182" s="11">
        <f>IF(O182="No","No",
MAX(0.01,MROUND(_xlfn.XLOOKUP(B182,'Base stats'!B:B,'Base stats'!BJ:BJ) * 0.01 * 2, 0.01))
)</f>
        <v>0.01</v>
      </c>
      <c r="Q182" s="5">
        <f>IF(O182="No","No",
MAX(0.01,MROUND(_xlfn.XLOOKUP(B182,'Base stats'!B:B,'Base stats'!BV:BV)/10000,0.01))
)</f>
        <v>0.01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1.75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MAX(0.01,MROUND(_xlfn.XLOOKUP(B182,'Base stats'!B:B,'Base stats'!BH:BH) * 0.01 * 2, 0.01))
)</f>
        <v>No</v>
      </c>
      <c r="U182" s="5" t="str">
        <f>IF(S182="No","No",IF(_xlfn.XLOOKUP(B182,'Base stats'!B:B,'Base stats'!U:U)="No","No",
MAX(0.01,MROUND(_xlfn.XLOOKUP(B182,'Base stats'!B:B,'Base stats'!BT:BT)/10000,0.01))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stats'!C:C)^-0.165,0.01)</f>
        <v>1.46</v>
      </c>
      <c r="X182" s="1">
        <f>MROUND(_xlfn.XLOOKUP(_xlfn.XLOOKUP(B182,'Base stats'!B:B,'Base stats'!E:E),Groups!A:A,Groups!BH:BH)*_xlfn.XLOOKUP(B182,'Base stats'!B:B,'Base stats'!C:C)^0.165,0.01)</f>
        <v>0</v>
      </c>
      <c r="Y182" s="8">
        <f>MROUND(_xlfn.XLOOKUP(_xlfn.XLOOKUP(B182,'Base stats'!B:B,'Base stats'!E:E),Groups!A:A,Groups!BI:BI)*_xlfn.XLOOKUP(B182,'Base stats'!B:B,'Base stats'!C:C)^0.165,0.01)</f>
        <v>0</v>
      </c>
      <c r="Z182" s="18">
        <f>ROUND(_xlfn.XLOOKUP(B182,'Base stats'!B:B,'Base stats'!AQ:AQ)*_xlfn.XLOOKUP(_xlfn.XLOOKUP(B182,'Base stats'!B:B,'Base stats'!E:E),Groups!A:A,Groups!H:H)/1000,2)</f>
        <v>0</v>
      </c>
      <c r="AA182" s="18">
        <f>ROUND((1/2)*(_xlfn.XLOOKUP(_xlfn.XLOOKUP(B182,'Base stats'!B:B,'Base stats'!E:E),Groups!A:A,Groups!H:H)*_xlfn.XLOOKUP(_xlfn.XLOOKUP(B182,'Base stats'!B:B,'Base stats'!E:E),Groups!A:A,Groups!I:I))*_xlfn.XLOOKUP(B182,'Base stats'!B:B,'Base stats'!AQ:AQ)*0.01,2)</f>
        <v>0</v>
      </c>
      <c r="AB182" s="18">
        <f>250*(Animals!AO182+Animals!AP182)</f>
        <v>50</v>
      </c>
      <c r="AC182" s="18" t="str">
        <f>_xlfn.XLOOKUP(_xlfn.XLOOKUP(B182,'Base stats'!B:B,'Base stats'!E:E),Groups!A:A,Groups!BJ:BJ)</f>
        <v>Birdlike</v>
      </c>
    </row>
    <row r="183" spans="1:29" ht="16.5" thickTop="1" thickBot="1" x14ac:dyDescent="0.3">
      <c r="A183" s="16" t="str">
        <f>Animals!A183</f>
        <v>Swan</v>
      </c>
      <c r="B183" s="6" t="str">
        <f>Animals!B183</f>
        <v>Cygnus olor</v>
      </c>
      <c r="C183" s="1" t="str">
        <f>Animals!C183</f>
        <v>&lt;li&gt;VAERoy_Swan&lt;/li&gt;</v>
      </c>
      <c r="D183" s="47">
        <f>MAX(MROUND(_xlfn.XLOOKUP(B183,'Base stats'!B:B,'Base stats'!BS:BS) * (_xlfn.XLOOKUP(B183,'Base stats'!B:B,'Base stats'!AO:AO)*5%)^0.9 / 21,0.1),0.05)</f>
        <v>0.4</v>
      </c>
      <c r="E183" s="11">
        <f>MAX(0.01,MROUND(_xlfn.XLOOKUP(B183,'Base stats'!B:B,'Base stats'!BG:BG) * 0.01 * 2, 0.01))</f>
        <v>0.3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1.4500000000000002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MAX(0.01,MROUND(_xlfn.XLOOKUP(B183,'Base stats'!B:B,'Base stats'!BH:BH) * 0.01 * 2, 0.01))
)</f>
        <v>No</v>
      </c>
      <c r="I183" s="11" t="str">
        <f>IF(G183="No","No",IF(_xlfn.XLOOKUP(B183,'Base stats'!B:B,'Base stats'!U:U)="No","No",
MAX(0.01,MROUND(_xlfn.XLOOKUP(B183,'Base stats'!B:B,'Base stats'!BT:BT)/10000,0.01))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MAX(0.01,MROUND(_xlfn.XLOOKUP(B183,'Base stats'!B:B,'Base stats'!BI:BI) * 0.01 *2, 0.01))
)</f>
        <v>No</v>
      </c>
      <c r="M183" s="5" t="str">
        <f>IF(K183="No","No",IF(_xlfn.XLOOKUP(_xlfn.XLOOKUP(B183,'Base stats'!B:B,'Base stats'!E:E),Groups!A:A,Groups!BD:BD)=1,"No",
MAX(0.01,MROUND(_xlfn.XLOOKUP(B183,'Base stats'!B:B,'Base stats'!BU:BU)/10000,0.01))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2.1</v>
      </c>
      <c r="P183" s="11">
        <f>IF(O183="No","No",
MAX(0.01,MROUND(_xlfn.XLOOKUP(B183,'Base stats'!B:B,'Base stats'!BJ:BJ) * 0.01 * 2, 0.01))
)</f>
        <v>7.0000000000000007E-2</v>
      </c>
      <c r="Q183" s="5">
        <f>IF(O183="No","No",
MAX(0.01,MROUND(_xlfn.XLOOKUP(B183,'Base stats'!B:B,'Base stats'!BV:BV)/10000,0.01))
)</f>
        <v>0.01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1.8</v>
      </c>
      <c r="S183" s="3" t="str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No</v>
      </c>
      <c r="T183" s="11" t="str">
        <f>IF(S183="No","No",
MAX(0.01,MROUND(_xlfn.XLOOKUP(B183,'Base stats'!B:B,'Base stats'!BH:BH) * 0.01 * 2, 0.01))
)</f>
        <v>No</v>
      </c>
      <c r="U183" s="5" t="str">
        <f>IF(S183="No","No",IF(_xlfn.XLOOKUP(B183,'Base stats'!B:B,'Base stats'!U:U)="No","No",
MAX(0.01,MROUND(_xlfn.XLOOKUP(B183,'Base stats'!B:B,'Base stats'!BT:BT)/10000,0.01))
))</f>
        <v>No</v>
      </c>
      <c r="V183" s="4" t="str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No</v>
      </c>
      <c r="W183" s="8">
        <f>MROUND(_xlfn.XLOOKUP(_xlfn.XLOOKUP(B183,'Base stats'!B:B,'Base stats'!E:E),Groups!A:A,Groups!BG:BG)*_xlfn.XLOOKUP(B183,'Base stats'!B:B,'Base stats'!C:C)^-0.165,0.01)</f>
        <v>0.69000000000000006</v>
      </c>
      <c r="X183" s="1">
        <f>MROUND(_xlfn.XLOOKUP(_xlfn.XLOOKUP(B183,'Base stats'!B:B,'Base stats'!E:E),Groups!A:A,Groups!BH:BH)*_xlfn.XLOOKUP(B183,'Base stats'!B:B,'Base stats'!C:C)^0.165,0.01)</f>
        <v>0</v>
      </c>
      <c r="Y183" s="8">
        <f>MROUND(_xlfn.XLOOKUP(_xlfn.XLOOKUP(B183,'Base stats'!B:B,'Base stats'!E:E),Groups!A:A,Groups!BI:BI)*_xlfn.XLOOKUP(B183,'Base stats'!B:B,'Base stats'!C:C)^0.165,0.01)</f>
        <v>0</v>
      </c>
      <c r="Z183" s="18">
        <f>ROUND(_xlfn.XLOOKUP(B183,'Base stats'!B:B,'Base stats'!AQ:AQ)*_xlfn.XLOOKUP(_xlfn.XLOOKUP(B183,'Base stats'!B:B,'Base stats'!E:E),Groups!A:A,Groups!H:H)/1000,2)</f>
        <v>0</v>
      </c>
      <c r="AA183" s="18">
        <f>ROUND((1/2)*(_xlfn.XLOOKUP(_xlfn.XLOOKUP(B183,'Base stats'!B:B,'Base stats'!E:E),Groups!A:A,Groups!H:H)*_xlfn.XLOOKUP(_xlfn.XLOOKUP(B183,'Base stats'!B:B,'Base stats'!E:E),Groups!A:A,Groups!I:I))*_xlfn.XLOOKUP(B183,'Base stats'!B:B,'Base stats'!AQ:AQ)*0.01,2)</f>
        <v>0.01</v>
      </c>
      <c r="AB183" s="18">
        <f>250*(Animals!AO183+Animals!AP183)</f>
        <v>200</v>
      </c>
      <c r="AC183" s="18" t="str">
        <f>_xlfn.XLOOKUP(_xlfn.XLOOKUP(B183,'Base stats'!B:B,'Base stats'!E:E),Groups!A:A,Groups!BJ:BJ)</f>
        <v>Birdlike</v>
      </c>
    </row>
    <row r="184" spans="1:29" ht="16.5" thickTop="1" thickBot="1" x14ac:dyDescent="0.3">
      <c r="A184" s="16" t="str">
        <f>Animals!A184</f>
        <v>Peacock</v>
      </c>
      <c r="B184" s="6" t="str">
        <f>Animals!B184</f>
        <v>Pavo cristatus</v>
      </c>
      <c r="C184" s="1" t="str">
        <f>Animals!C184</f>
        <v>&lt;li&gt;VAERoy_Peacock&lt;/li&gt;</v>
      </c>
      <c r="D184" s="47">
        <f>MAX(MROUND(_xlfn.XLOOKUP(B184,'Base stats'!B:B,'Base stats'!BS:BS) * (_xlfn.XLOOKUP(B184,'Base stats'!B:B,'Base stats'!AO:AO)*5%)^0.9 / 21,0.1),0.05)</f>
        <v>0.2</v>
      </c>
      <c r="E184" s="11">
        <f>MAX(0.01,MROUND(_xlfn.XLOOKUP(B184,'Base stats'!B:B,'Base stats'!BG:BG) * 0.01 * 2, 0.01))</f>
        <v>0.14000000000000001</v>
      </c>
      <c r="F184" s="7">
        <f>MROUND(_xlfn.XLOOKUP(B184,'Base stats'!B:B,'Base stats'!BD:BD)^0.25 / (_xlfn.XLOOKUP(B184,'Base stats'!B:B,'Base stats'!BK:BK) * 10) * 150 + 0.5 + _xlfn.XLOOKUP(B184,'Base stats'!B:B,'Base stats'!BW:BW), 0.05)</f>
        <v>1.3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3.3000000000000003</v>
      </c>
      <c r="H184" s="11">
        <f>IF(G184="No","No",
MAX(0.01,MROUND(_xlfn.XLOOKUP(B184,'Base stats'!B:B,'Base stats'!BH:BH) * 0.01 * 2, 0.01))
)</f>
        <v>0.22</v>
      </c>
      <c r="I184" s="11">
        <f>IF(G184="No","No",IF(_xlfn.XLOOKUP(B184,'Base stats'!B:B,'Base stats'!U:U)="No","No",
MAX(0.01,MROUND(_xlfn.XLOOKUP(B184,'Base stats'!B:B,'Base stats'!BT:BT)/10000,0.01))
))</f>
        <v>0.04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2.15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MAX(0.01,MROUND(_xlfn.XLOOKUP(B184,'Base stats'!B:B,'Base stats'!BI:BI) * 0.01 *2, 0.01))
)</f>
        <v>No</v>
      </c>
      <c r="M184" s="5" t="str">
        <f>IF(K184="No","No",IF(_xlfn.XLOOKUP(_xlfn.XLOOKUP(B184,'Base stats'!B:B,'Base stats'!E:E),Groups!A:A,Groups!BD:BD)=1,"No",
MAX(0.01,MROUND(_xlfn.XLOOKUP(B184,'Base stats'!B:B,'Base stats'!BU:BU)/10000,0.01))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1.1000000000000001</v>
      </c>
      <c r="P184" s="11">
        <f>IF(O184="No","No",
MAX(0.01,MROUND(_xlfn.XLOOKUP(B184,'Base stats'!B:B,'Base stats'!BJ:BJ) * 0.01 * 2, 0.01))
)</f>
        <v>0.04</v>
      </c>
      <c r="Q184" s="5">
        <f>IF(O184="No","No",
MAX(0.01,MROUND(_xlfn.XLOOKUP(B184,'Base stats'!B:B,'Base stats'!BV:BV)/10000,0.01))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2.25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MAX(0.01,MROUND(_xlfn.XLOOKUP(B184,'Base stats'!B:B,'Base stats'!BH:BH) * 0.01 * 2, 0.01))
)</f>
        <v>No</v>
      </c>
      <c r="U184" s="5" t="str">
        <f>IF(S184="No","No",IF(_xlfn.XLOOKUP(B184,'Base stats'!B:B,'Base stats'!U:U)="No","No",
MAX(0.01,MROUND(_xlfn.XLOOKUP(B184,'Base stats'!B:B,'Base stats'!BT:BT)/10000,0.01))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stats'!C:C)^-0.165,0.01)</f>
        <v>0.79</v>
      </c>
      <c r="X184" s="1">
        <f>MROUND(_xlfn.XLOOKUP(_xlfn.XLOOKUP(B184,'Base stats'!B:B,'Base stats'!E:E),Groups!A:A,Groups!BH:BH)*_xlfn.XLOOKUP(B184,'Base stats'!B:B,'Base stats'!C:C)^0.165,0.01)</f>
        <v>0</v>
      </c>
      <c r="Y184" s="8">
        <f>MROUND(_xlfn.XLOOKUP(_xlfn.XLOOKUP(B184,'Base stats'!B:B,'Base stats'!E:E),Groups!A:A,Groups!BI:BI)*_xlfn.XLOOKUP(B184,'Base stats'!B:B,'Base stats'!C:C)^0.165,0.01)</f>
        <v>0</v>
      </c>
      <c r="Z184" s="18">
        <f>ROUND(_xlfn.XLOOKUP(B184,'Base stats'!B:B,'Base stats'!AQ:AQ)*_xlfn.XLOOKUP(_xlfn.XLOOKUP(B184,'Base stats'!B:B,'Base stats'!E:E),Groups!A:A,Groups!H:H)/1000,2)</f>
        <v>0</v>
      </c>
      <c r="AA184" s="18">
        <f>ROUND((1/2)*(_xlfn.XLOOKUP(_xlfn.XLOOKUP(B184,'Base stats'!B:B,'Base stats'!E:E),Groups!A:A,Groups!H:H)*_xlfn.XLOOKUP(_xlfn.XLOOKUP(B184,'Base stats'!B:B,'Base stats'!E:E),Groups!A:A,Groups!I:I))*_xlfn.XLOOKUP(B184,'Base stats'!B:B,'Base stats'!AQ:AQ)*0.01,2)</f>
        <v>0.01</v>
      </c>
      <c r="AB184" s="18">
        <f>250*(Animals!AO184+Animals!AP184)</f>
        <v>150.00000000000003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Tiger</v>
      </c>
      <c r="B185" s="6" t="str">
        <f>Animals!B185</f>
        <v>Panthera tigris</v>
      </c>
      <c r="C185" s="1" t="str">
        <f>Animals!C185</f>
        <v>&lt;li&gt;AEXP_Tiger&lt;/li&gt;</v>
      </c>
      <c r="D185" s="47">
        <f>MAX(MROUND(_xlfn.XLOOKUP(B185,'Base stats'!B:B,'Base stats'!BS:BS) * (_xlfn.XLOOKUP(B185,'Base stats'!B:B,'Base stats'!AO:AO)*5%)^0.9 / 21,0.1),0.05)</f>
        <v>5</v>
      </c>
      <c r="E185" s="11">
        <f>MAX(0.01,MROUND(_xlfn.XLOOKUP(B185,'Base stats'!B:B,'Base stats'!BG:BG) * 0.01 * 2, 0.01))</f>
        <v>4.42</v>
      </c>
      <c r="F185" s="7">
        <f>MROUND(_xlfn.XLOOKUP(B185,'Base stats'!B:B,'Base stats'!BD:BD)^0.25 / (_xlfn.XLOOKUP(B185,'Base stats'!B:B,'Base stats'!BK:BK) * 10) * 150 + 0.5 + _xlfn.XLOOKUP(B185,'Base stats'!B:B,'Base stats'!BW:BW), 0.05)</f>
        <v>2.15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MAX(0.01,MROUND(_xlfn.XLOOKUP(B185,'Base stats'!B:B,'Base stats'!BH:BH) * 0.01 * 2, 0.01))
)</f>
        <v>No</v>
      </c>
      <c r="I185" s="11" t="str">
        <f>IF(G185="No","No",IF(_xlfn.XLOOKUP(B185,'Base stats'!B:B,'Base stats'!U:U)="No","No",
MAX(0.01,MROUND(_xlfn.XLOOKUP(B185,'Base stats'!B:B,'Base stats'!BT:BT)/10000,0.01))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MAX(0.01,MROUND(_xlfn.XLOOKUP(B185,'Base stats'!B:B,'Base stats'!BI:BI) * 0.01 *2, 0.01))
)</f>
        <v>No</v>
      </c>
      <c r="M185" s="5" t="str">
        <f>IF(K185="No","No",IF(_xlfn.XLOOKUP(_xlfn.XLOOKUP(B185,'Base stats'!B:B,'Base stats'!E:E),Groups!A:A,Groups!BD:BD)=1,"No",
MAX(0.01,MROUND(_xlfn.XLOOKUP(B185,'Base stats'!B:B,'Base stats'!BU:BU)/10000,0.01))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27.1</v>
      </c>
      <c r="P185" s="11">
        <f>IF(O185="No","No",
MAX(0.01,MROUND(_xlfn.XLOOKUP(B185,'Base stats'!B:B,'Base stats'!BJ:BJ) * 0.01 * 2, 0.01))
)</f>
        <v>13.36</v>
      </c>
      <c r="Q185" s="5">
        <f>IF(O185="No","No",
MAX(0.01,MROUND(_xlfn.XLOOKUP(B185,'Base stats'!B:B,'Base stats'!BV:BV)/10000,0.01))
)</f>
        <v>0.55000000000000004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2</v>
      </c>
      <c r="S185" s="3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19.200000000000003</v>
      </c>
      <c r="T185" s="11">
        <f>IF(S185="No","No",
MAX(0.01,MROUND(_xlfn.XLOOKUP(B185,'Base stats'!B:B,'Base stats'!BH:BH) * 0.01 * 2, 0.01))
)</f>
        <v>5.38</v>
      </c>
      <c r="U185" s="5">
        <f>IF(S185="No","No",IF(_xlfn.XLOOKUP(B185,'Base stats'!B:B,'Base stats'!U:U)="No","No",
MAX(0.01,MROUND(_xlfn.XLOOKUP(B185,'Base stats'!B:B,'Base stats'!BT:BT)/10000,0.01))
))</f>
        <v>0.22</v>
      </c>
      <c r="V185" s="4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1.5</v>
      </c>
      <c r="W185" s="8">
        <f>MROUND(_xlfn.XLOOKUP(_xlfn.XLOOKUP(B185,'Base stats'!B:B,'Base stats'!E:E),Groups!A:A,Groups!BG:BG)*_xlfn.XLOOKUP(B185,'Base stats'!B:B,'Base stats'!C:C)^-0.165,0.01)</f>
        <v>0.53</v>
      </c>
      <c r="X185" s="1">
        <f>MROUND(_xlfn.XLOOKUP(_xlfn.XLOOKUP(B185,'Base stats'!B:B,'Base stats'!E:E),Groups!A:A,Groups!BH:BH)*_xlfn.XLOOKUP(B185,'Base stats'!B:B,'Base stats'!C:C)^0.165,0.01)</f>
        <v>0.59</v>
      </c>
      <c r="Y185" s="8">
        <f>MROUND(_xlfn.XLOOKUP(_xlfn.XLOOKUP(B185,'Base stats'!B:B,'Base stats'!E:E),Groups!A:A,Groups!BI:BI)*_xlfn.XLOOKUP(B185,'Base stats'!B:B,'Base stats'!C:C)^0.165,0.01)</f>
        <v>0.06</v>
      </c>
      <c r="Z185" s="18">
        <f>ROUND(_xlfn.XLOOKUP(B185,'Base stats'!B:B,'Base stats'!AQ:AQ)*_xlfn.XLOOKUP(_xlfn.XLOOKUP(B185,'Base stats'!B:B,'Base stats'!E:E),Groups!A:A,Groups!H:H)/1000,2)</f>
        <v>0.14000000000000001</v>
      </c>
      <c r="AA185" s="18">
        <f>ROUND((1/2)*(_xlfn.XLOOKUP(_xlfn.XLOOKUP(B185,'Base stats'!B:B,'Base stats'!E:E),Groups!A:A,Groups!H:H)*_xlfn.XLOOKUP(_xlfn.XLOOKUP(B185,'Base stats'!B:B,'Base stats'!E:E),Groups!A:A,Groups!I:I))*_xlfn.XLOOKUP(B185,'Base stats'!B:B,'Base stats'!AQ:AQ)*0.01,2)</f>
        <v>1.03</v>
      </c>
      <c r="AB185" s="18">
        <f>250*(Animals!AO185+Animals!AP185)</f>
        <v>937.50000000000011</v>
      </c>
      <c r="AC185" s="18" t="str">
        <f>_xlfn.XLOOKUP(_xlfn.XLOOKUP(B185,'Base stats'!B:B,'Base stats'!E:E),Groups!A:A,Groups!BJ:BJ)</f>
        <v>Quadruped</v>
      </c>
    </row>
    <row r="186" spans="1:29" ht="16.5" thickTop="1" thickBot="1" x14ac:dyDescent="0.3">
      <c r="A186" s="16" t="str">
        <f>Animals!A186</f>
        <v>Alligator</v>
      </c>
      <c r="B186" s="6" t="str">
        <f>Animals!B186</f>
        <v>Alligator mississippiensis</v>
      </c>
      <c r="C186" s="1" t="str">
        <f>Animals!C186</f>
        <v>&lt;li&gt;AEXP_Alligator&lt;/li&gt;</v>
      </c>
      <c r="D186" s="47">
        <f>MAX(MROUND(_xlfn.XLOOKUP(B186,'Base stats'!B:B,'Base stats'!BS:BS) * (_xlfn.XLOOKUP(B186,'Base stats'!B:B,'Base stats'!AO:AO)*5%)^0.9 / 21,0.1),0.05)</f>
        <v>4.3</v>
      </c>
      <c r="E186" s="11">
        <f>MAX(0.01,MROUND(_xlfn.XLOOKUP(B186,'Base stats'!B:B,'Base stats'!BG:BG) * 0.01 * 2, 0.01))</f>
        <v>3.7800000000000002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2.1</v>
      </c>
      <c r="G186" s="3" t="str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No</v>
      </c>
      <c r="H186" s="11" t="str">
        <f>IF(G186="No","No",
MAX(0.01,MROUND(_xlfn.XLOOKUP(B186,'Base stats'!B:B,'Base stats'!BH:BH) * 0.01 * 2, 0.01))
)</f>
        <v>No</v>
      </c>
      <c r="I186" s="11" t="str">
        <f>IF(G186="No","No",IF(_xlfn.XLOOKUP(B186,'Base stats'!B:B,'Base stats'!U:U)="No","No",
MAX(0.01,MROUND(_xlfn.XLOOKUP(B186,'Base stats'!B:B,'Base stats'!BT:BT)/10000,0.01))
))</f>
        <v>No</v>
      </c>
      <c r="J186" s="4" t="str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No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MAX(0.01,MROUND(_xlfn.XLOOKUP(B186,'Base stats'!B:B,'Base stats'!BI:BI) * 0.01 *2, 0.01))
)</f>
        <v>No</v>
      </c>
      <c r="M186" s="5" t="str">
        <f>IF(K186="No","No",IF(_xlfn.XLOOKUP(_xlfn.XLOOKUP(B186,'Base stats'!B:B,'Base stats'!E:E),Groups!A:A,Groups!BD:BD)=1,"No",
MAX(0.01,MROUND(_xlfn.XLOOKUP(B186,'Base stats'!B:B,'Base stats'!BU:BU)/10000,0.01))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24.400000000000002</v>
      </c>
      <c r="P186" s="11">
        <f>IF(O186="No","No",
MAX(0.01,MROUND(_xlfn.XLOOKUP(B186,'Base stats'!B:B,'Base stats'!BJ:BJ) * 0.01 * 2, 0.01))
)</f>
        <v>16.149999999999999</v>
      </c>
      <c r="Q186" s="5">
        <f>IF(O186="No","No",
MAX(0.01,MROUND(_xlfn.XLOOKUP(B186,'Base stats'!B:B,'Base stats'!BV:BV)/10000,0.01))
)</f>
        <v>0.57999999999999996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2.6500000000000004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MAX(0.01,MROUND(_xlfn.XLOOKUP(B186,'Base stats'!B:B,'Base stats'!BH:BH) * 0.01 * 2, 0.01))
)</f>
        <v>No</v>
      </c>
      <c r="U186" s="5" t="str">
        <f>IF(S186="No","No",IF(_xlfn.XLOOKUP(B186,'Base stats'!B:B,'Base stats'!U:U)="No","No",
MAX(0.01,MROUND(_xlfn.XLOOKUP(B186,'Base stats'!B:B,'Base stats'!BT:BT)/10000,0.01))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stats'!C:C)^-0.165,0.01)</f>
        <v>0.11</v>
      </c>
      <c r="X186" s="1">
        <f>MROUND(_xlfn.XLOOKUP(_xlfn.XLOOKUP(B186,'Base stats'!B:B,'Base stats'!E:E),Groups!A:A,Groups!BH:BH)*_xlfn.XLOOKUP(B186,'Base stats'!B:B,'Base stats'!C:C)^0.165,0.01)</f>
        <v>0.23</v>
      </c>
      <c r="Y186" s="8">
        <f>MROUND(_xlfn.XLOOKUP(_xlfn.XLOOKUP(B186,'Base stats'!B:B,'Base stats'!E:E),Groups!A:A,Groups!BI:BI)*_xlfn.XLOOKUP(B186,'Base stats'!B:B,'Base stats'!C:C)^0.165,0.01)</f>
        <v>0.06</v>
      </c>
      <c r="Z186" s="18">
        <f>ROUND(_xlfn.XLOOKUP(B186,'Base stats'!B:B,'Base stats'!AQ:AQ)*_xlfn.XLOOKUP(_xlfn.XLOOKUP(B186,'Base stats'!B:B,'Base stats'!E:E),Groups!A:A,Groups!H:H)/1000,2)</f>
        <v>0.31</v>
      </c>
      <c r="AA186" s="18">
        <f>ROUND((1/2)*(_xlfn.XLOOKUP(_xlfn.XLOOKUP(B186,'Base stats'!B:B,'Base stats'!E:E),Groups!A:A,Groups!H:H)*_xlfn.XLOOKUP(_xlfn.XLOOKUP(B186,'Base stats'!B:B,'Base stats'!E:E),Groups!A:A,Groups!I:I))*_xlfn.XLOOKUP(B186,'Base stats'!B:B,'Base stats'!AQ:AQ)*0.01,2)</f>
        <v>0.35</v>
      </c>
      <c r="AB186" s="18">
        <f>250*(Animals!AO186+Animals!AP186)</f>
        <v>875</v>
      </c>
      <c r="AC186" s="18" t="str">
        <f>_xlfn.XLOOKUP(_xlfn.XLOOKUP(B186,'Base stats'!B:B,'Base stats'!E:E),Groups!A:A,Groups!BJ:BJ)</f>
        <v>QuadrupedLow</v>
      </c>
    </row>
    <row r="187" spans="1:29" ht="16.5" thickTop="1" thickBot="1" x14ac:dyDescent="0.3">
      <c r="A187" s="16" t="str">
        <f>Animals!A187</f>
        <v>Moose</v>
      </c>
      <c r="B187" s="6" t="str">
        <f>Animals!B187</f>
        <v>Alces alces</v>
      </c>
      <c r="C187" s="1" t="str">
        <f>Animals!C187</f>
        <v>&lt;li&gt;AEXP_Moose&lt;/li&gt;</v>
      </c>
      <c r="D187" s="47">
        <f>MAX(MROUND(_xlfn.XLOOKUP(B187,'Base stats'!B:B,'Base stats'!BS:BS) * (_xlfn.XLOOKUP(B187,'Base stats'!B:B,'Base stats'!AO:AO)*5%)^0.9 / 21,0.1),0.05)</f>
        <v>9.5</v>
      </c>
      <c r="E187" s="11">
        <f>MAX(0.01,MROUND(_xlfn.XLOOKUP(B187,'Base stats'!B:B,'Base stats'!BG:BG) * 0.01 * 2, 0.01))</f>
        <v>8.82</v>
      </c>
      <c r="F187" s="7">
        <f>MROUND(_xlfn.XLOOKUP(B187,'Base stats'!B:B,'Base stats'!BD:BD)^0.25 / (_xlfn.XLOOKUP(B187,'Base stats'!B:B,'Base stats'!BK:BK) * 10) * 150 + 0.5 + _xlfn.XLOOKUP(B187,'Base stats'!B:B,'Base stats'!BW:BW), 0.05)</f>
        <v>1.85</v>
      </c>
      <c r="G187" s="3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16</v>
      </c>
      <c r="H187" s="11">
        <f>IF(G187="No","No",
MAX(0.01,MROUND(_xlfn.XLOOKUP(B187,'Base stats'!B:B,'Base stats'!BH:BH) * 0.01 * 2, 0.01))
)</f>
        <v>10.3</v>
      </c>
      <c r="I187" s="11" t="str">
        <f>IF(G187="No","No",IF(_xlfn.XLOOKUP(B187,'Base stats'!B:B,'Base stats'!U:U)="No","No",
MAX(0.01,MROUND(_xlfn.XLOOKUP(B187,'Base stats'!B:B,'Base stats'!BT:BT)/10000,0.01))
))</f>
        <v>No</v>
      </c>
      <c r="J187" s="4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2.75</v>
      </c>
      <c r="K187" s="3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29</v>
      </c>
      <c r="L187" s="11">
        <f>IF(K187="No","No",
MAX(0.01,MROUND(_xlfn.XLOOKUP(B187,'Base stats'!B:B,'Base stats'!BI:BI) * 0.01 *2, 0.01))
)</f>
        <v>12.36</v>
      </c>
      <c r="M187" s="5">
        <f>IF(K187="No","No",IF(_xlfn.XLOOKUP(_xlfn.XLOOKUP(B187,'Base stats'!B:B,'Base stats'!E:E),Groups!A:A,Groups!BD:BD)=1,"No",
MAX(0.01,MROUND(_xlfn.XLOOKUP(B187,'Base stats'!B:B,'Base stats'!BU:BU)/10000,0.01))
))</f>
        <v>0.67</v>
      </c>
      <c r="N187" s="4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3.2</v>
      </c>
      <c r="O187" s="3" t="str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No</v>
      </c>
      <c r="P187" s="11" t="str">
        <f>IF(O187="No","No",
MAX(0.01,MROUND(_xlfn.XLOOKUP(B187,'Base stats'!B:B,'Base stats'!BJ:BJ) * 0.01 * 2, 0.01))
)</f>
        <v>No</v>
      </c>
      <c r="Q187" s="5" t="str">
        <f>IF(O187="No","No",
MAX(0.01,MROUND(_xlfn.XLOOKUP(B187,'Base stats'!B:B,'Base stats'!BV:BV)/10000,0.01))
)</f>
        <v>No</v>
      </c>
      <c r="R187" s="4" t="str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No</v>
      </c>
      <c r="S187" s="3" t="str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No</v>
      </c>
      <c r="T187" s="11" t="str">
        <f>IF(S187="No","No",
MAX(0.01,MROUND(_xlfn.XLOOKUP(B187,'Base stats'!B:B,'Base stats'!BH:BH) * 0.01 * 2, 0.01))
)</f>
        <v>No</v>
      </c>
      <c r="U187" s="5" t="str">
        <f>IF(S187="No","No",IF(_xlfn.XLOOKUP(B187,'Base stats'!B:B,'Base stats'!U:U)="No","No",
MAX(0.01,MROUND(_xlfn.XLOOKUP(B187,'Base stats'!B:B,'Base stats'!BT:BT)/10000,0.01))
))</f>
        <v>No</v>
      </c>
      <c r="V187" s="4" t="str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No</v>
      </c>
      <c r="W187" s="8">
        <f>MROUND(_xlfn.XLOOKUP(_xlfn.XLOOKUP(B187,'Base stats'!B:B,'Base stats'!E:E),Groups!A:A,Groups!BG:BG)*_xlfn.XLOOKUP(B187,'Base stats'!B:B,'Base stats'!C:C)^-0.165,0.01)</f>
        <v>0.19</v>
      </c>
      <c r="X187" s="1">
        <f>MROUND(_xlfn.XLOOKUP(_xlfn.XLOOKUP(B187,'Base stats'!B:B,'Base stats'!E:E),Groups!A:A,Groups!BH:BH)*_xlfn.XLOOKUP(B187,'Base stats'!B:B,'Base stats'!C:C)^0.165,0.01)</f>
        <v>0</v>
      </c>
      <c r="Y187" s="8">
        <f>MROUND(_xlfn.XLOOKUP(_xlfn.XLOOKUP(B187,'Base stats'!B:B,'Base stats'!E:E),Groups!A:A,Groups!BI:BI)*_xlfn.XLOOKUP(B187,'Base stats'!B:B,'Base stats'!C:C)^0.165,0.01)</f>
        <v>0</v>
      </c>
      <c r="Z187" s="18">
        <f>ROUND(_xlfn.XLOOKUP(B187,'Base stats'!B:B,'Base stats'!AQ:AQ)*_xlfn.XLOOKUP(_xlfn.XLOOKUP(B187,'Base stats'!B:B,'Base stats'!E:E),Groups!A:A,Groups!H:H)/1000,2)</f>
        <v>7.0000000000000007E-2</v>
      </c>
      <c r="AA187" s="18">
        <f>ROUND((1/2)*(_xlfn.XLOOKUP(_xlfn.XLOOKUP(B187,'Base stats'!B:B,'Base stats'!E:E),Groups!A:A,Groups!H:H)*_xlfn.XLOOKUP(_xlfn.XLOOKUP(B187,'Base stats'!B:B,'Base stats'!E:E),Groups!A:A,Groups!I:I))*_xlfn.XLOOKUP(B187,'Base stats'!B:B,'Base stats'!AQ:AQ)*0.01,2)</f>
        <v>0.38</v>
      </c>
      <c r="AB187" s="18">
        <f>250*(Animals!AO187+Animals!AP187)</f>
        <v>1375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Muskox</v>
      </c>
      <c r="B188" s="6" t="str">
        <f>Animals!B188</f>
        <v>Ovibos moschatus</v>
      </c>
      <c r="C188" s="1" t="str">
        <f>Animals!C188</f>
        <v>&lt;li&gt;AEXP_Muskox&lt;/li&gt;</v>
      </c>
      <c r="D188" s="47">
        <f>MAX(MROUND(_xlfn.XLOOKUP(B188,'Base stats'!B:B,'Base stats'!BS:BS) * (_xlfn.XLOOKUP(B188,'Base stats'!B:B,'Base stats'!AO:AO)*5%)^0.9 / 21,0.1),0.05)</f>
        <v>11.3</v>
      </c>
      <c r="E188" s="11">
        <f>MAX(0.01,MROUND(_xlfn.XLOOKUP(B188,'Base stats'!B:B,'Base stats'!BG:BG) * 0.01 * 2, 0.01))</f>
        <v>10.27</v>
      </c>
      <c r="F188" s="7">
        <f>MROUND(_xlfn.XLOOKUP(B188,'Base stats'!B:B,'Base stats'!BD:BD)^0.25 / (_xlfn.XLOOKUP(B188,'Base stats'!B:B,'Base stats'!BK:BK) * 10) * 150 + 0.5 + _xlfn.XLOOKUP(B188,'Base stats'!B:B,'Base stats'!BW:BW), 0.05)</f>
        <v>1.6</v>
      </c>
      <c r="G188" s="3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13.700000000000001</v>
      </c>
      <c r="H188" s="11">
        <f>IF(G188="No","No",
MAX(0.01,MROUND(_xlfn.XLOOKUP(B188,'Base stats'!B:B,'Base stats'!BH:BH) * 0.01 * 2, 0.01))
)</f>
        <v>8.66</v>
      </c>
      <c r="I188" s="11" t="str">
        <f>IF(G188="No","No",IF(_xlfn.XLOOKUP(B188,'Base stats'!B:B,'Base stats'!U:U)="No","No",
MAX(0.01,MROUND(_xlfn.XLOOKUP(B188,'Base stats'!B:B,'Base stats'!BT:BT)/10000,0.01))
))</f>
        <v>No</v>
      </c>
      <c r="J188" s="4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2.6500000000000004</v>
      </c>
      <c r="K188" s="3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13.5</v>
      </c>
      <c r="L188" s="11">
        <f>IF(K188="No","No",
MAX(0.01,MROUND(_xlfn.XLOOKUP(B188,'Base stats'!B:B,'Base stats'!BI:BI) * 0.01 *2, 0.01))
)</f>
        <v>12.32</v>
      </c>
      <c r="M188" s="5" t="str">
        <f>IF(K188="No","No",IF(_xlfn.XLOOKUP(_xlfn.XLOOKUP(B188,'Base stats'!B:B,'Base stats'!E:E),Groups!A:A,Groups!BD:BD)=1,"No",
MAX(0.01,MROUND(_xlfn.XLOOKUP(B188,'Base stats'!B:B,'Base stats'!BU:BU)/10000,0.01))
))</f>
        <v>No</v>
      </c>
      <c r="N188" s="4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2.6</v>
      </c>
      <c r="O188" s="3" t="str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No</v>
      </c>
      <c r="P188" s="11" t="str">
        <f>IF(O188="No","No",
MAX(0.01,MROUND(_xlfn.XLOOKUP(B188,'Base stats'!B:B,'Base stats'!BJ:BJ) * 0.01 * 2, 0.01))
)</f>
        <v>No</v>
      </c>
      <c r="Q188" s="5" t="str">
        <f>IF(O188="No","No",
MAX(0.01,MROUND(_xlfn.XLOOKUP(B188,'Base stats'!B:B,'Base stats'!BV:BV)/10000,0.01))
)</f>
        <v>No</v>
      </c>
      <c r="R188" s="4" t="str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No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MAX(0.01,MROUND(_xlfn.XLOOKUP(B188,'Base stats'!B:B,'Base stats'!BH:BH) * 0.01 * 2, 0.01))
)</f>
        <v>No</v>
      </c>
      <c r="U188" s="5" t="str">
        <f>IF(S188="No","No",IF(_xlfn.XLOOKUP(B188,'Base stats'!B:B,'Base stats'!U:U)="No","No",
MAX(0.01,MROUND(_xlfn.XLOOKUP(B188,'Base stats'!B:B,'Base stats'!BT:BT)/10000,0.01))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stats'!C:C)^-0.165,0.01)</f>
        <v>0.19</v>
      </c>
      <c r="X188" s="1">
        <f>MROUND(_xlfn.XLOOKUP(_xlfn.XLOOKUP(B188,'Base stats'!B:B,'Base stats'!E:E),Groups!A:A,Groups!BH:BH)*_xlfn.XLOOKUP(B188,'Base stats'!B:B,'Base stats'!C:C)^0.165,0.01)</f>
        <v>0</v>
      </c>
      <c r="Y188" s="8">
        <f>MROUND(_xlfn.XLOOKUP(_xlfn.XLOOKUP(B188,'Base stats'!B:B,'Base stats'!E:E),Groups!A:A,Groups!BI:BI)*_xlfn.XLOOKUP(B188,'Base stats'!B:B,'Base stats'!C:C)^0.165,0.01)</f>
        <v>0</v>
      </c>
      <c r="Z188" s="18">
        <f>ROUND(_xlfn.XLOOKUP(B188,'Base stats'!B:B,'Base stats'!AQ:AQ)*_xlfn.XLOOKUP(_xlfn.XLOOKUP(B188,'Base stats'!B:B,'Base stats'!E:E),Groups!A:A,Groups!H:H)/1000,2)</f>
        <v>7.0000000000000007E-2</v>
      </c>
      <c r="AA188" s="18">
        <f>ROUND((1/2)*(_xlfn.XLOOKUP(_xlfn.XLOOKUP(B188,'Base stats'!B:B,'Base stats'!E:E),Groups!A:A,Groups!H:H)*_xlfn.XLOOKUP(_xlfn.XLOOKUP(B188,'Base stats'!B:B,'Base stats'!E:E),Groups!A:A,Groups!I:I))*_xlfn.XLOOKUP(B188,'Base stats'!B:B,'Base stats'!AQ:AQ)*0.01,2)</f>
        <v>0.36</v>
      </c>
      <c r="AB188" s="18">
        <f>250*(Animals!AO188+Animals!AP188)</f>
        <v>1125</v>
      </c>
      <c r="AC188" s="18" t="str">
        <f>_xlfn.XLOOKUP(_xlfn.XLOOKUP(B188,'Base stats'!B:B,'Base stats'!E:E),Groups!A:A,Groups!BJ:BJ)</f>
        <v>Quadruped</v>
      </c>
    </row>
    <row r="189" spans="1:29" ht="16.5" thickTop="1" thickBot="1" x14ac:dyDescent="0.3">
      <c r="A189" s="16" t="str">
        <f>Animals!A189</f>
        <v>Badger</v>
      </c>
      <c r="B189" s="6" t="str">
        <f>Animals!B189</f>
        <v>Meles meles</v>
      </c>
      <c r="C189" s="1" t="str">
        <f>Animals!C189</f>
        <v>&lt;li&gt;AEXP_Badger&lt;/li&gt;</v>
      </c>
      <c r="D189" s="47">
        <f>MAX(MROUND(_xlfn.XLOOKUP(B189,'Base stats'!B:B,'Base stats'!BS:BS) * (_xlfn.XLOOKUP(B189,'Base stats'!B:B,'Base stats'!AO:AO)*5%)^0.9 / 21,0.1),0.05)</f>
        <v>0.5</v>
      </c>
      <c r="E189" s="11">
        <f>MAX(0.01,MROUND(_xlfn.XLOOKUP(B189,'Base stats'!B:B,'Base stats'!BG:BG) * 0.01 * 2, 0.01))</f>
        <v>0.4</v>
      </c>
      <c r="F189" s="7">
        <f>MROUND(_xlfn.XLOOKUP(B189,'Base stats'!B:B,'Base stats'!BD:BD)^0.25 / (_xlfn.XLOOKUP(B189,'Base stats'!B:B,'Base stats'!BK:BK) * 10) * 150 + 0.5 + _xlfn.XLOOKUP(B189,'Base stats'!B:B,'Base stats'!BW:BW), 0.05)</f>
        <v>1.4000000000000001</v>
      </c>
      <c r="G189" s="3" t="str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No</v>
      </c>
      <c r="H189" s="11" t="str">
        <f>IF(G189="No","No",
MAX(0.01,MROUND(_xlfn.XLOOKUP(B189,'Base stats'!B:B,'Base stats'!BH:BH) * 0.01 * 2, 0.01))
)</f>
        <v>No</v>
      </c>
      <c r="I189" s="11" t="str">
        <f>IF(G189="No","No",IF(_xlfn.XLOOKUP(B189,'Base stats'!B:B,'Base stats'!U:U)="No","No",
MAX(0.01,MROUND(_xlfn.XLOOKUP(B189,'Base stats'!B:B,'Base stats'!BT:BT)/10000,0.01))
))</f>
        <v>No</v>
      </c>
      <c r="J189" s="4" t="str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No</v>
      </c>
      <c r="K189" s="3" t="str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No</v>
      </c>
      <c r="L189" s="11" t="str">
        <f>IF(K189="No","No",
MAX(0.01,MROUND(_xlfn.XLOOKUP(B189,'Base stats'!B:B,'Base stats'!BI:BI) * 0.01 *2, 0.01))
)</f>
        <v>No</v>
      </c>
      <c r="M189" s="5" t="str">
        <f>IF(K189="No","No",IF(_xlfn.XLOOKUP(_xlfn.XLOOKUP(B189,'Base stats'!B:B,'Base stats'!E:E),Groups!A:A,Groups!BD:BD)=1,"No",
MAX(0.01,MROUND(_xlfn.XLOOKUP(B189,'Base stats'!B:B,'Base stats'!BU:BU)/10000,0.01))
))</f>
        <v>No</v>
      </c>
      <c r="N189" s="4" t="str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No</v>
      </c>
      <c r="O189" s="3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5.2</v>
      </c>
      <c r="P189" s="11">
        <f>IF(O189="No","No",
MAX(0.01,MROUND(_xlfn.XLOOKUP(B189,'Base stats'!B:B,'Base stats'!BJ:BJ) * 0.01 * 2, 0.01))
)</f>
        <v>0.59</v>
      </c>
      <c r="Q189" s="5">
        <f>IF(O189="No","No",
MAX(0.01,MROUND(_xlfn.XLOOKUP(B189,'Base stats'!B:B,'Base stats'!BV:BV)/10000,0.01))
)</f>
        <v>7.0000000000000007E-2</v>
      </c>
      <c r="R189" s="4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1.9000000000000001</v>
      </c>
      <c r="S189" s="3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5.9</v>
      </c>
      <c r="T189" s="11">
        <f>IF(S189="No","No",
MAX(0.01,MROUND(_xlfn.XLOOKUP(B189,'Base stats'!B:B,'Base stats'!BH:BH) * 0.01 * 2, 0.01))
)</f>
        <v>0.57000000000000006</v>
      </c>
      <c r="U189" s="5">
        <f>IF(S189="No","No",IF(_xlfn.XLOOKUP(B189,'Base stats'!B:B,'Base stats'!U:U)="No","No",
MAX(0.01,MROUND(_xlfn.XLOOKUP(B189,'Base stats'!B:B,'Base stats'!BT:BT)/10000,0.01))
))</f>
        <v>7.0000000000000007E-2</v>
      </c>
      <c r="V189" s="4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1.2000000000000002</v>
      </c>
      <c r="W189" s="8">
        <f>MROUND(_xlfn.XLOOKUP(_xlfn.XLOOKUP(B189,'Base stats'!B:B,'Base stats'!E:E),Groups!A:A,Groups!BG:BG)*_xlfn.XLOOKUP(B189,'Base stats'!B:B,'Base stats'!C:C)^-0.165,0.01)</f>
        <v>0.72</v>
      </c>
      <c r="X189" s="1">
        <f>MROUND(_xlfn.XLOOKUP(_xlfn.XLOOKUP(B189,'Base stats'!B:B,'Base stats'!E:E),Groups!A:A,Groups!BH:BH)*_xlfn.XLOOKUP(B189,'Base stats'!B:B,'Base stats'!C:C)^0.165,0.01)</f>
        <v>0.31</v>
      </c>
      <c r="Y189" s="8">
        <f>MROUND(_xlfn.XLOOKUP(_xlfn.XLOOKUP(B189,'Base stats'!B:B,'Base stats'!E:E),Groups!A:A,Groups!BI:BI)*_xlfn.XLOOKUP(B189,'Base stats'!B:B,'Base stats'!C:C)^0.165,0.01)</f>
        <v>0.04</v>
      </c>
      <c r="Z189" s="18">
        <f>ROUND(_xlfn.XLOOKUP(B189,'Base stats'!B:B,'Base stats'!AQ:AQ)*_xlfn.XLOOKUP(_xlfn.XLOOKUP(B189,'Base stats'!B:B,'Base stats'!E:E),Groups!A:A,Groups!H:H)/1000,2)</f>
        <v>0.05</v>
      </c>
      <c r="AA189" s="18">
        <f>ROUND((1/2)*(_xlfn.XLOOKUP(_xlfn.XLOOKUP(B189,'Base stats'!B:B,'Base stats'!E:E),Groups!A:A,Groups!H:H)*_xlfn.XLOOKUP(_xlfn.XLOOKUP(B189,'Base stats'!B:B,'Base stats'!E:E),Groups!A:A,Groups!I:I))*_xlfn.XLOOKUP(B189,'Base stats'!B:B,'Base stats'!AQ:AQ)*0.01,2)</f>
        <v>0.41</v>
      </c>
      <c r="AB189" s="18">
        <f>250*(Animals!AO189+Animals!AP189)</f>
        <v>250</v>
      </c>
      <c r="AC189" s="18" t="str">
        <f>_xlfn.XLOOKUP(_xlfn.XLOOKUP(B189,'Base stats'!B:B,'Base stats'!E:E),Groups!A:A,Groups!BJ:BJ)</f>
        <v>QuadrupedLow</v>
      </c>
    </row>
    <row r="190" spans="1:29" ht="16.5" thickTop="1" thickBot="1" x14ac:dyDescent="0.3">
      <c r="A190" s="16" t="str">
        <f>Animals!A190</f>
        <v>Gorilla</v>
      </c>
      <c r="B190" s="6" t="str">
        <f>Animals!B190</f>
        <v>Gorilla gorilla</v>
      </c>
      <c r="C190" s="1" t="str">
        <f>Animals!C190</f>
        <v>&lt;li&gt;AEXP_Gorilla&lt;/li&gt;</v>
      </c>
      <c r="D190" s="47">
        <f>MAX(MROUND(_xlfn.XLOOKUP(B190,'Base stats'!B:B,'Base stats'!BS:BS) * (_xlfn.XLOOKUP(B190,'Base stats'!B:B,'Base stats'!AO:AO)*5%)^0.9 / 21,0.1),0.05)</f>
        <v>4.3</v>
      </c>
      <c r="E190" s="11">
        <f>MAX(0.01,MROUND(_xlfn.XLOOKUP(B190,'Base stats'!B:B,'Base stats'!BG:BG) * 0.01 * 2, 0.01))</f>
        <v>3.74</v>
      </c>
      <c r="F190" s="7">
        <f>MROUND(_xlfn.XLOOKUP(B190,'Base stats'!B:B,'Base stats'!BD:BD)^0.25 / (_xlfn.XLOOKUP(B190,'Base stats'!B:B,'Base stats'!BK:BK) * 10) * 150 + 0.5 + _xlfn.XLOOKUP(B190,'Base stats'!B:B,'Base stats'!BW:BW), 0.05)</f>
        <v>1.75</v>
      </c>
      <c r="G190" s="3" t="str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No</v>
      </c>
      <c r="H190" s="11" t="str">
        <f>IF(G190="No","No",
MAX(0.01,MROUND(_xlfn.XLOOKUP(B190,'Base stats'!B:B,'Base stats'!BH:BH) * 0.01 * 2, 0.01))
)</f>
        <v>No</v>
      </c>
      <c r="I190" s="11" t="str">
        <f>IF(G190="No","No",IF(_xlfn.XLOOKUP(B190,'Base stats'!B:B,'Base stats'!U:U)="No","No",
MAX(0.01,MROUND(_xlfn.XLOOKUP(B190,'Base stats'!B:B,'Base stats'!BT:BT)/10000,0.01))
))</f>
        <v>No</v>
      </c>
      <c r="J190" s="4" t="str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No</v>
      </c>
      <c r="K190" s="3" t="str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No</v>
      </c>
      <c r="L190" s="11" t="str">
        <f>IF(K190="No","No",
MAX(0.01,MROUND(_xlfn.XLOOKUP(B190,'Base stats'!B:B,'Base stats'!BI:BI) * 0.01 *2, 0.01))
)</f>
        <v>No</v>
      </c>
      <c r="M190" s="5" t="str">
        <f>IF(K190="No","No",IF(_xlfn.XLOOKUP(_xlfn.XLOOKUP(B190,'Base stats'!B:B,'Base stats'!E:E),Groups!A:A,Groups!BD:BD)=1,"No",
MAX(0.01,MROUND(_xlfn.XLOOKUP(B190,'Base stats'!B:B,'Base stats'!BU:BU)/10000,0.01))
))</f>
        <v>No</v>
      </c>
      <c r="N190" s="4" t="str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No</v>
      </c>
      <c r="O190" s="3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11.5</v>
      </c>
      <c r="P190" s="11">
        <f>IF(O190="No","No",
MAX(0.01,MROUND(_xlfn.XLOOKUP(B190,'Base stats'!B:B,'Base stats'!BJ:BJ) * 0.01 * 2, 0.01))
)</f>
        <v>2.79</v>
      </c>
      <c r="Q190" s="5">
        <f>IF(O190="No","No",
MAX(0.01,MROUND(_xlfn.XLOOKUP(B190,'Base stats'!B:B,'Base stats'!BV:BV)/10000,0.01))
)</f>
        <v>0.12</v>
      </c>
      <c r="R190" s="4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2.1</v>
      </c>
      <c r="S190" s="3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9.2000000000000011</v>
      </c>
      <c r="T190" s="11">
        <f>IF(S190="No","No",
MAX(0.01,MROUND(_xlfn.XLOOKUP(B190,'Base stats'!B:B,'Base stats'!BH:BH) * 0.01 * 2, 0.01))
)</f>
        <v>4.6000000000000005</v>
      </c>
      <c r="U190" s="5" t="str">
        <f>IF(S190="No","No",IF(_xlfn.XLOOKUP(B190,'Base stats'!B:B,'Base stats'!U:U)="No","No",
MAX(0.01,MROUND(_xlfn.XLOOKUP(B190,'Base stats'!B:B,'Base stats'!BT:BT)/10000,0.01))
))</f>
        <v>No</v>
      </c>
      <c r="V190" s="4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1.4500000000000002</v>
      </c>
      <c r="W190" s="8">
        <f>MROUND(_xlfn.XLOOKUP(_xlfn.XLOOKUP(B190,'Base stats'!B:B,'Base stats'!E:E),Groups!A:A,Groups!BG:BG)*_xlfn.XLOOKUP(B190,'Base stats'!B:B,'Base stats'!C:C)^-0.165,0.01)</f>
        <v>0.44</v>
      </c>
      <c r="X190" s="1">
        <f>MROUND(_xlfn.XLOOKUP(_xlfn.XLOOKUP(B190,'Base stats'!B:B,'Base stats'!E:E),Groups!A:A,Groups!BH:BH)*_xlfn.XLOOKUP(B190,'Base stats'!B:B,'Base stats'!C:C)^0.165,0.01)</f>
        <v>0.23</v>
      </c>
      <c r="Y190" s="8">
        <f>MROUND(_xlfn.XLOOKUP(_xlfn.XLOOKUP(B190,'Base stats'!B:B,'Base stats'!E:E),Groups!A:A,Groups!BI:BI)*_xlfn.XLOOKUP(B190,'Base stats'!B:B,'Base stats'!C:C)^0.165,0.01)</f>
        <v>0.11</v>
      </c>
      <c r="Z190" s="18">
        <f>ROUND(_xlfn.XLOOKUP(B190,'Base stats'!B:B,'Base stats'!AQ:AQ)*_xlfn.XLOOKUP(_xlfn.XLOOKUP(B190,'Base stats'!B:B,'Base stats'!E:E),Groups!A:A,Groups!H:H)/1000,2)</f>
        <v>0.05</v>
      </c>
      <c r="AA190" s="18">
        <f>ROUND((1/2)*(_xlfn.XLOOKUP(_xlfn.XLOOKUP(B190,'Base stats'!B:B,'Base stats'!E:E),Groups!A:A,Groups!H:H)*_xlfn.XLOOKUP(_xlfn.XLOOKUP(B190,'Base stats'!B:B,'Base stats'!E:E),Groups!A:A,Groups!I:I))*_xlfn.XLOOKUP(B190,'Base stats'!B:B,'Base stats'!AQ:AQ)*0.01,2)</f>
        <v>0.28999999999999998</v>
      </c>
      <c r="AB190" s="18">
        <f>250*(Animals!AO190+Animals!AP190)</f>
        <v>750</v>
      </c>
      <c r="AC190" s="18" t="str">
        <f>_xlfn.XLOOKUP(_xlfn.XLOOKUP(B190,'Base stats'!B:B,'Base stats'!E:E),Groups!A:A,Groups!BJ:BJ)</f>
        <v>HumanoidWide</v>
      </c>
    </row>
    <row r="191" spans="1:29" ht="16.5" thickTop="1" thickBot="1" x14ac:dyDescent="0.3">
      <c r="A191" s="16" t="str">
        <f>Animals!A191</f>
        <v>Penguin</v>
      </c>
      <c r="B191" s="6" t="str">
        <f>Animals!B191</f>
        <v>Aptenodytes forsteri</v>
      </c>
      <c r="C191" s="1" t="str">
        <f>Animals!C191</f>
        <v>&lt;li&gt;AEXP_Penguin&lt;/li&gt;</v>
      </c>
      <c r="D191" s="47">
        <f>MAX(MROUND(_xlfn.XLOOKUP(B191,'Base stats'!B:B,'Base stats'!BS:BS) * (_xlfn.XLOOKUP(B191,'Base stats'!B:B,'Base stats'!AO:AO)*5%)^0.9 / 21,0.1),0.05)</f>
        <v>1.1000000000000001</v>
      </c>
      <c r="E191" s="11">
        <f>MAX(0.01,MROUND(_xlfn.XLOOKUP(B191,'Base stats'!B:B,'Base stats'!BG:BG) * 0.01 * 2, 0.01))</f>
        <v>0.85</v>
      </c>
      <c r="F191" s="7">
        <f>MROUND(_xlfn.XLOOKUP(B191,'Base stats'!B:B,'Base stats'!BD:BD)^0.25 / (_xlfn.XLOOKUP(B191,'Base stats'!B:B,'Base stats'!BK:BK) * 10) * 150 + 0.5 + _xlfn.XLOOKUP(B191,'Base stats'!B:B,'Base stats'!BW:BW), 0.05)</f>
        <v>1.75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MAX(0.01,MROUND(_xlfn.XLOOKUP(B191,'Base stats'!B:B,'Base stats'!BH:BH) * 0.01 * 2, 0.01))
)</f>
        <v>No</v>
      </c>
      <c r="I191" s="11" t="str">
        <f>IF(G191="No","No",IF(_xlfn.XLOOKUP(B191,'Base stats'!B:B,'Base stats'!U:U)="No","No",
MAX(0.01,MROUND(_xlfn.XLOOKUP(B191,'Base stats'!B:B,'Base stats'!BT:BT)/10000,0.01))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MAX(0.01,MROUND(_xlfn.XLOOKUP(B191,'Base stats'!B:B,'Base stats'!BI:BI) * 0.01 *2, 0.01))
)</f>
        <v>No</v>
      </c>
      <c r="M191" s="5" t="str">
        <f>IF(K191="No","No",IF(_xlfn.XLOOKUP(_xlfn.XLOOKUP(B191,'Base stats'!B:B,'Base stats'!E:E),Groups!A:A,Groups!BD:BD)=1,"No",
MAX(0.01,MROUND(_xlfn.XLOOKUP(B191,'Base stats'!B:B,'Base stats'!BU:BU)/10000,0.01))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3.2</v>
      </c>
      <c r="P191" s="11">
        <f>IF(O191="No","No",
MAX(0.01,MROUND(_xlfn.XLOOKUP(B191,'Base stats'!B:B,'Base stats'!BJ:BJ) * 0.01 * 2, 0.01))
)</f>
        <v>0.17</v>
      </c>
      <c r="Q191" s="5">
        <f>IF(O191="No","No",
MAX(0.01,MROUND(_xlfn.XLOOKUP(B191,'Base stats'!B:B,'Base stats'!BV:BV)/10000,0.01))
)</f>
        <v>0.01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2.1</v>
      </c>
      <c r="S191" s="3" t="str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No</v>
      </c>
      <c r="T191" s="11" t="str">
        <f>IF(S191="No","No",
MAX(0.01,MROUND(_xlfn.XLOOKUP(B191,'Base stats'!B:B,'Base stats'!BH:BH) * 0.01 * 2, 0.01))
)</f>
        <v>No</v>
      </c>
      <c r="U191" s="5" t="str">
        <f>IF(S191="No","No",IF(_xlfn.XLOOKUP(B191,'Base stats'!B:B,'Base stats'!U:U)="No","No",
MAX(0.01,MROUND(_xlfn.XLOOKUP(B191,'Base stats'!B:B,'Base stats'!BT:BT)/10000,0.01))
))</f>
        <v>No</v>
      </c>
      <c r="V191" s="4" t="str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No</v>
      </c>
      <c r="W191" s="8">
        <f>MROUND(_xlfn.XLOOKUP(_xlfn.XLOOKUP(B191,'Base stats'!B:B,'Base stats'!E:E),Groups!A:A,Groups!BG:BG)*_xlfn.XLOOKUP(B191,'Base stats'!B:B,'Base stats'!C:C)^-0.165,0.01)</f>
        <v>0.57000000000000006</v>
      </c>
      <c r="X191" s="1">
        <f>MROUND(_xlfn.XLOOKUP(_xlfn.XLOOKUP(B191,'Base stats'!B:B,'Base stats'!E:E),Groups!A:A,Groups!BH:BH)*_xlfn.XLOOKUP(B191,'Base stats'!B:B,'Base stats'!C:C)^0.165,0.01)</f>
        <v>0</v>
      </c>
      <c r="Y191" s="8">
        <f>MROUND(_xlfn.XLOOKUP(_xlfn.XLOOKUP(B191,'Base stats'!B:B,'Base stats'!E:E),Groups!A:A,Groups!BI:BI)*_xlfn.XLOOKUP(B191,'Base stats'!B:B,'Base stats'!C:C)^0.165,0.01)</f>
        <v>0</v>
      </c>
      <c r="Z191" s="18">
        <f>ROUND(_xlfn.XLOOKUP(B191,'Base stats'!B:B,'Base stats'!AQ:AQ)*_xlfn.XLOOKUP(_xlfn.XLOOKUP(B191,'Base stats'!B:B,'Base stats'!E:E),Groups!A:A,Groups!H:H)/1000,2)</f>
        <v>0</v>
      </c>
      <c r="AA191" s="18">
        <f>ROUND((1/2)*(_xlfn.XLOOKUP(_xlfn.XLOOKUP(B191,'Base stats'!B:B,'Base stats'!E:E),Groups!A:A,Groups!H:H)*_xlfn.XLOOKUP(_xlfn.XLOOKUP(B191,'Base stats'!B:B,'Base stats'!E:E),Groups!A:A,Groups!I:I))*_xlfn.XLOOKUP(B191,'Base stats'!B:B,'Base stats'!AQ:AQ)*0.01,2)</f>
        <v>0.01</v>
      </c>
      <c r="AB191" s="18">
        <f>250*(Animals!AO191+Animals!AP191)</f>
        <v>350.00000000000006</v>
      </c>
      <c r="AC191" s="18" t="str">
        <f>_xlfn.XLOOKUP(_xlfn.XLOOKUP(B191,'Base stats'!B:B,'Base stats'!E:E),Groups!A:A,Groups!BJ:BJ)</f>
        <v>Birdlike</v>
      </c>
    </row>
    <row r="192" spans="1:29" ht="16.5" thickTop="1" thickBot="1" x14ac:dyDescent="0.3">
      <c r="A192" s="16" t="str">
        <f>Animals!A192</f>
        <v>Hippo</v>
      </c>
      <c r="B192" s="6" t="str">
        <f>Animals!B192</f>
        <v>Hippopotamus amphibius</v>
      </c>
      <c r="C192" s="1" t="str">
        <f>Animals!C192</f>
        <v>&lt;li&gt;AEXP_Hippopotamus&lt;/li&gt;</v>
      </c>
      <c r="D192" s="47">
        <f>MAX(MROUND(_xlfn.XLOOKUP(B192,'Base stats'!B:B,'Base stats'!BS:BS) * (_xlfn.XLOOKUP(B192,'Base stats'!B:B,'Base stats'!AO:AO)*5%)^0.9 / 21,0.1),0.05)</f>
        <v>27.200000000000003</v>
      </c>
      <c r="E192" s="11">
        <f>MAX(0.01,MROUND(_xlfn.XLOOKUP(B192,'Base stats'!B:B,'Base stats'!BG:BG) * 0.01 * 2, 0.01))</f>
        <v>27.26</v>
      </c>
      <c r="F192" s="7">
        <f>MROUND(_xlfn.XLOOKUP(B192,'Base stats'!B:B,'Base stats'!BD:BD)^0.25 / (_xlfn.XLOOKUP(B192,'Base stats'!B:B,'Base stats'!BK:BK) * 10) * 150 + 0.5 + _xlfn.XLOOKUP(B192,'Base stats'!B:B,'Base stats'!BW:BW), 0.05)</f>
        <v>2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MAX(0.01,MROUND(_xlfn.XLOOKUP(B192,'Base stats'!B:B,'Base stats'!BH:BH) * 0.01 * 2, 0.01))
)</f>
        <v>No</v>
      </c>
      <c r="I192" s="11" t="str">
        <f>IF(G192="No","No",IF(_xlfn.XLOOKUP(B192,'Base stats'!B:B,'Base stats'!U:U)="No","No",
MAX(0.01,MROUND(_xlfn.XLOOKUP(B192,'Base stats'!B:B,'Base stats'!BT:BT)/10000,0.01))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MAX(0.01,MROUND(_xlfn.XLOOKUP(B192,'Base stats'!B:B,'Base stats'!BI:BI) * 0.01 *2, 0.01))
)</f>
        <v>No</v>
      </c>
      <c r="M192" s="5" t="str">
        <f>IF(K192="No","No",IF(_xlfn.XLOOKUP(_xlfn.XLOOKUP(B192,'Base stats'!B:B,'Base stats'!E:E),Groups!A:A,Groups!BD:BD)=1,"No",
MAX(0.01,MROUND(_xlfn.XLOOKUP(B192,'Base stats'!B:B,'Base stats'!BU:BU)/10000,0.01))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33.4</v>
      </c>
      <c r="P192" s="11">
        <f>IF(O192="No","No",
MAX(0.01,MROUND(_xlfn.XLOOKUP(B192,'Base stats'!B:B,'Base stats'!BJ:BJ) * 0.01 * 2, 0.01))
)</f>
        <v>17.059999999999999</v>
      </c>
      <c r="Q192" s="5">
        <f>IF(O192="No","No",
MAX(0.01,MROUND(_xlfn.XLOOKUP(B192,'Base stats'!B:B,'Base stats'!BV:BV)/10000,0.01))
)</f>
        <v>0.1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2.7</v>
      </c>
      <c r="S192" s="3" t="str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No</v>
      </c>
      <c r="T192" s="11" t="str">
        <f>IF(S192="No","No",
MAX(0.01,MROUND(_xlfn.XLOOKUP(B192,'Base stats'!B:B,'Base stats'!BH:BH) * 0.01 * 2, 0.01))
)</f>
        <v>No</v>
      </c>
      <c r="U192" s="5" t="str">
        <f>IF(S192="No","No",IF(_xlfn.XLOOKUP(B192,'Base stats'!B:B,'Base stats'!U:U)="No","No",
MAX(0.01,MROUND(_xlfn.XLOOKUP(B192,'Base stats'!B:B,'Base stats'!BT:BT)/10000,0.01))
))</f>
        <v>No</v>
      </c>
      <c r="V192" s="4" t="str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No</v>
      </c>
      <c r="W192" s="8">
        <f>MROUND(_xlfn.XLOOKUP(_xlfn.XLOOKUP(B192,'Base stats'!B:B,'Base stats'!E:E),Groups!A:A,Groups!BG:BG)*_xlfn.XLOOKUP(B192,'Base stats'!B:B,'Base stats'!C:C)^-0.165,0.01)</f>
        <v>0.08</v>
      </c>
      <c r="X192" s="1">
        <f>MROUND(_xlfn.XLOOKUP(_xlfn.XLOOKUP(B192,'Base stats'!B:B,'Base stats'!E:E),Groups!A:A,Groups!BH:BH)*_xlfn.XLOOKUP(B192,'Base stats'!B:B,'Base stats'!C:C)^0.165,0.01)</f>
        <v>0.33</v>
      </c>
      <c r="Y192" s="8">
        <f>MROUND(_xlfn.XLOOKUP(_xlfn.XLOOKUP(B192,'Base stats'!B:B,'Base stats'!E:E),Groups!A:A,Groups!BI:BI)*_xlfn.XLOOKUP(B192,'Base stats'!B:B,'Base stats'!C:C)^0.165,0.01)</f>
        <v>0.08</v>
      </c>
      <c r="Z192" s="18">
        <f>ROUND(_xlfn.XLOOKUP(B192,'Base stats'!B:B,'Base stats'!AQ:AQ)*_xlfn.XLOOKUP(_xlfn.XLOOKUP(B192,'Base stats'!B:B,'Base stats'!E:E),Groups!A:A,Groups!H:H)/1000,2)</f>
        <v>0.4</v>
      </c>
      <c r="AA192" s="18">
        <f>ROUND((1/2)*(_xlfn.XLOOKUP(_xlfn.XLOOKUP(B192,'Base stats'!B:B,'Base stats'!E:E),Groups!A:A,Groups!H:H)*_xlfn.XLOOKUP(_xlfn.XLOOKUP(B192,'Base stats'!B:B,'Base stats'!E:E),Groups!A:A,Groups!I:I))*_xlfn.XLOOKUP(B192,'Base stats'!B:B,'Base stats'!AQ:AQ)*0.01,2)</f>
        <v>2.19</v>
      </c>
      <c r="AB192" s="18">
        <f>250*(Animals!AO192+Animals!AP192)</f>
        <v>2062.5</v>
      </c>
      <c r="AC192" s="18" t="str">
        <f>_xlfn.XLOOKUP(_xlfn.XLOOKUP(B192,'Base stats'!B:B,'Base stats'!E:E),Groups!A:A,Groups!BJ:BJ)</f>
        <v>Quadruped</v>
      </c>
    </row>
    <row r="193" spans="1:29" ht="16.5" thickTop="1" thickBot="1" x14ac:dyDescent="0.3">
      <c r="A193" s="16" t="str">
        <f>Animals!A193</f>
        <v>Otter</v>
      </c>
      <c r="B193" s="6" t="str">
        <f>Animals!B193</f>
        <v>Lutra lutra</v>
      </c>
      <c r="C193" s="1" t="str">
        <f>Animals!C193</f>
        <v>&lt;li&gt;AEXP_Otter&lt;/li&gt;</v>
      </c>
      <c r="D193" s="47">
        <f>MAX(MROUND(_xlfn.XLOOKUP(B193,'Base stats'!B:B,'Base stats'!BS:BS) * (_xlfn.XLOOKUP(B193,'Base stats'!B:B,'Base stats'!AO:AO)*5%)^0.9 / 21,0.1),0.05)</f>
        <v>0.5</v>
      </c>
      <c r="E193" s="11">
        <f>MAX(0.01,MROUND(_xlfn.XLOOKUP(B193,'Base stats'!B:B,'Base stats'!BG:BG) * 0.01 * 2, 0.01))</f>
        <v>0.35000000000000003</v>
      </c>
      <c r="F193" s="7">
        <f>MROUND(_xlfn.XLOOKUP(B193,'Base stats'!B:B,'Base stats'!BD:BD)^0.25 / (_xlfn.XLOOKUP(B193,'Base stats'!B:B,'Base stats'!BK:BK) * 10) * 150 + 0.5 + _xlfn.XLOOKUP(B193,'Base stats'!B:B,'Base stats'!BW:BW), 0.05)</f>
        <v>1.6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MAX(0.01,MROUND(_xlfn.XLOOKUP(B193,'Base stats'!B:B,'Base stats'!BH:BH) * 0.01 * 2, 0.01))
)</f>
        <v>No</v>
      </c>
      <c r="I193" s="11" t="str">
        <f>IF(G193="No","No",IF(_xlfn.XLOOKUP(B193,'Base stats'!B:B,'Base stats'!U:U)="No","No",
MAX(0.01,MROUND(_xlfn.XLOOKUP(B193,'Base stats'!B:B,'Base stats'!BT:BT)/10000,0.01))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MAX(0.01,MROUND(_xlfn.XLOOKUP(B193,'Base stats'!B:B,'Base stats'!BI:BI) * 0.01 *2, 0.01))
)</f>
        <v>No</v>
      </c>
      <c r="M193" s="5" t="str">
        <f>IF(K193="No","No",IF(_xlfn.XLOOKUP(_xlfn.XLOOKUP(B193,'Base stats'!B:B,'Base stats'!E:E),Groups!A:A,Groups!BD:BD)=1,"No",
MAX(0.01,MROUND(_xlfn.XLOOKUP(B193,'Base stats'!B:B,'Base stats'!BU:BU)/10000,0.01))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4.5</v>
      </c>
      <c r="P193" s="11">
        <f>IF(O193="No","No",
MAX(0.01,MROUND(_xlfn.XLOOKUP(B193,'Base stats'!B:B,'Base stats'!BJ:BJ) * 0.01 * 2, 0.01))
)</f>
        <v>0.52</v>
      </c>
      <c r="Q193" s="5">
        <f>IF(O193="No","No",
MAX(0.01,MROUND(_xlfn.XLOOKUP(B193,'Base stats'!B:B,'Base stats'!BV:BV)/10000,0.01))
)</f>
        <v>7.0000000000000007E-2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1.9000000000000001</v>
      </c>
      <c r="S193" s="3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4.1000000000000005</v>
      </c>
      <c r="T193" s="11">
        <f>IF(S193="No","No",
MAX(0.01,MROUND(_xlfn.XLOOKUP(B193,'Base stats'!B:B,'Base stats'!BH:BH) * 0.01 * 2, 0.01))
)</f>
        <v>0.5</v>
      </c>
      <c r="U193" s="5">
        <f>IF(S193="No","No",IF(_xlfn.XLOOKUP(B193,'Base stats'!B:B,'Base stats'!U:U)="No","No",
MAX(0.01,MROUND(_xlfn.XLOOKUP(B193,'Base stats'!B:B,'Base stats'!BT:BT)/10000,0.01))
))</f>
        <v>0.06</v>
      </c>
      <c r="V193" s="4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1.2000000000000002</v>
      </c>
      <c r="W193" s="8">
        <f>MROUND(_xlfn.XLOOKUP(_xlfn.XLOOKUP(B193,'Base stats'!B:B,'Base stats'!E:E),Groups!A:A,Groups!BG:BG)*_xlfn.XLOOKUP(B193,'Base stats'!B:B,'Base stats'!C:C)^-0.165,0.01)</f>
        <v>0.74</v>
      </c>
      <c r="X193" s="1">
        <f>MROUND(_xlfn.XLOOKUP(_xlfn.XLOOKUP(B193,'Base stats'!B:B,'Base stats'!E:E),Groups!A:A,Groups!BH:BH)*_xlfn.XLOOKUP(B193,'Base stats'!B:B,'Base stats'!C:C)^0.165,0.01)</f>
        <v>0.3</v>
      </c>
      <c r="Y193" s="8">
        <f>MROUND(_xlfn.XLOOKUP(_xlfn.XLOOKUP(B193,'Base stats'!B:B,'Base stats'!E:E),Groups!A:A,Groups!BI:BI)*_xlfn.XLOOKUP(B193,'Base stats'!B:B,'Base stats'!C:C)^0.165,0.01)</f>
        <v>0.04</v>
      </c>
      <c r="Z193" s="18">
        <f>ROUND(_xlfn.XLOOKUP(B193,'Base stats'!B:B,'Base stats'!AQ:AQ)*_xlfn.XLOOKUP(_xlfn.XLOOKUP(B193,'Base stats'!B:B,'Base stats'!E:E),Groups!A:A,Groups!H:H)/1000,2)</f>
        <v>0.05</v>
      </c>
      <c r="AA193" s="18">
        <f>ROUND((1/2)*(_xlfn.XLOOKUP(_xlfn.XLOOKUP(B193,'Base stats'!B:B,'Base stats'!E:E),Groups!A:A,Groups!H:H)*_xlfn.XLOOKUP(_xlfn.XLOOKUP(B193,'Base stats'!B:B,'Base stats'!E:E),Groups!A:A,Groups!I:I))*_xlfn.XLOOKUP(B193,'Base stats'!B:B,'Base stats'!AQ:AQ)*0.01,2)</f>
        <v>0.39</v>
      </c>
      <c r="AB193" s="18">
        <f>250*(Animals!AO193+Animals!AP193)</f>
        <v>250</v>
      </c>
      <c r="AC193" s="18" t="str">
        <f>_xlfn.XLOOKUP(_xlfn.XLOOKUP(B193,'Base stats'!B:B,'Base stats'!E:E),Groups!A:A,Groups!BJ:BJ)</f>
        <v>QuadrupedLow</v>
      </c>
    </row>
    <row r="194" spans="1:29" ht="16.5" thickTop="1" thickBot="1" x14ac:dyDescent="0.3">
      <c r="A194" s="16" t="str">
        <f>Animals!A194</f>
        <v>Seal</v>
      </c>
      <c r="B194" s="6" t="str">
        <f>Animals!B194</f>
        <v>Phoca vitulina</v>
      </c>
      <c r="C194" s="1" t="str">
        <f>Animals!C194</f>
        <v>&lt;li&gt;AEXP_Seal&lt;/li&gt;</v>
      </c>
      <c r="D194" s="47">
        <f>MAX(MROUND(_xlfn.XLOOKUP(B194,'Base stats'!B:B,'Base stats'!BS:BS) * (_xlfn.XLOOKUP(B194,'Base stats'!B:B,'Base stats'!AO:AO)*5%)^0.9 / 21,0.1),0.05)</f>
        <v>3.4000000000000004</v>
      </c>
      <c r="E194" s="11">
        <f>MAX(0.01,MROUND(_xlfn.XLOOKUP(B194,'Base stats'!B:B,'Base stats'!BG:BG) * 0.01 * 2, 0.01))</f>
        <v>2.94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MAX(0.01,MROUND(_xlfn.XLOOKUP(B194,'Base stats'!B:B,'Base stats'!BH:BH) * 0.01 * 2, 0.01))
)</f>
        <v>No</v>
      </c>
      <c r="I194" s="11" t="str">
        <f>IF(G194="No","No",IF(_xlfn.XLOOKUP(B194,'Base stats'!B:B,'Base stats'!U:U)="No","No",
MAX(0.01,MROUND(_xlfn.XLOOKUP(B194,'Base stats'!B:B,'Base stats'!BT:BT)/10000,0.01))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MAX(0.01,MROUND(_xlfn.XLOOKUP(B194,'Base stats'!B:B,'Base stats'!BI:BI) * 0.01 *2, 0.01))
)</f>
        <v>No</v>
      </c>
      <c r="M194" s="5" t="str">
        <f>IF(K194="No","No",IF(_xlfn.XLOOKUP(_xlfn.XLOOKUP(B194,'Base stats'!B:B,'Base stats'!E:E),Groups!A:A,Groups!BD:BD)=1,"No",
MAX(0.01,MROUND(_xlfn.XLOOKUP(B194,'Base stats'!B:B,'Base stats'!BU:BU)/10000,0.01))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13.600000000000001</v>
      </c>
      <c r="P194" s="11">
        <f>IF(O194="No","No",
MAX(0.01,MROUND(_xlfn.XLOOKUP(B194,'Base stats'!B:B,'Base stats'!BJ:BJ) * 0.01 * 2, 0.01))
)</f>
        <v>3.43</v>
      </c>
      <c r="Q194" s="5">
        <f>IF(O194="No","No",
MAX(0.01,MROUND(_xlfn.XLOOKUP(B194,'Base stats'!B:B,'Base stats'!BV:BV)/10000,0.01))
)</f>
        <v>0.17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2.2000000000000002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MAX(0.01,MROUND(_xlfn.XLOOKUP(B194,'Base stats'!B:B,'Base stats'!BH:BH) * 0.01 * 2, 0.01))
)</f>
        <v>No</v>
      </c>
      <c r="U194" s="5" t="str">
        <f>IF(S194="No","No",IF(_xlfn.XLOOKUP(B194,'Base stats'!B:B,'Base stats'!U:U)="No","No",
MAX(0.01,MROUND(_xlfn.XLOOKUP(B194,'Base stats'!B:B,'Base stats'!BT:BT)/10000,0.01))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stats'!C:C)^-0.165,0.01)</f>
        <v>0.32</v>
      </c>
      <c r="X194" s="1">
        <f>MROUND(_xlfn.XLOOKUP(_xlfn.XLOOKUP(B194,'Base stats'!B:B,'Base stats'!E:E),Groups!A:A,Groups!BH:BH)*_xlfn.XLOOKUP(B194,'Base stats'!B:B,'Base stats'!C:C)^0.165,0.01)</f>
        <v>0.22</v>
      </c>
      <c r="Y194" s="8">
        <f>MROUND(_xlfn.XLOOKUP(_xlfn.XLOOKUP(B194,'Base stats'!B:B,'Base stats'!E:E),Groups!A:A,Groups!BI:BI)*_xlfn.XLOOKUP(B194,'Base stats'!B:B,'Base stats'!C:C)^0.165,0.01)</f>
        <v>0.05</v>
      </c>
      <c r="Z194" s="18">
        <f>ROUND(_xlfn.XLOOKUP(B194,'Base stats'!B:B,'Base stats'!AQ:AQ)*_xlfn.XLOOKUP(_xlfn.XLOOKUP(B194,'Base stats'!B:B,'Base stats'!E:E),Groups!A:A,Groups!H:H)/1000,2)</f>
        <v>0.12</v>
      </c>
      <c r="AA194" s="18">
        <f>ROUND((1/2)*(_xlfn.XLOOKUP(_xlfn.XLOOKUP(B194,'Base stats'!B:B,'Base stats'!E:E),Groups!A:A,Groups!H:H)*_xlfn.XLOOKUP(_xlfn.XLOOKUP(B194,'Base stats'!B:B,'Base stats'!E:E),Groups!A:A,Groups!I:I))*_xlfn.XLOOKUP(B194,'Base stats'!B:B,'Base stats'!AQ:AQ)*0.01,2)</f>
        <v>0.64</v>
      </c>
      <c r="AB194" s="18">
        <f>250*(Animals!AO194+Animals!AP194)</f>
        <v>712.5</v>
      </c>
      <c r="AC194" s="18" t="str">
        <f>_xlfn.XLOOKUP(_xlfn.XLOOKUP(B194,'Base stats'!B:B,'Base stats'!E:E),Groups!A:A,Groups!BJ:BJ)</f>
        <v>QuadrupedLow</v>
      </c>
    </row>
    <row r="195" spans="1:29" ht="16.5" thickTop="1" thickBot="1" x14ac:dyDescent="0.3">
      <c r="A195" s="16" t="str">
        <f>Animals!A195</f>
        <v>Walrus</v>
      </c>
      <c r="B195" s="6" t="str">
        <f>Animals!B195</f>
        <v>Odobenus rosmarus</v>
      </c>
      <c r="C195" s="1" t="str">
        <f>Animals!C195</f>
        <v>&lt;li&gt;AEXP_Walrus&lt;/li&gt;</v>
      </c>
      <c r="D195" s="47">
        <f>MAX(MROUND(_xlfn.XLOOKUP(B195,'Base stats'!B:B,'Base stats'!BS:BS) * (_xlfn.XLOOKUP(B195,'Base stats'!B:B,'Base stats'!AO:AO)*5%)^0.9 / 21,0.1),0.05)</f>
        <v>21.5</v>
      </c>
      <c r="E195" s="11">
        <f>MAX(0.01,MROUND(_xlfn.XLOOKUP(B195,'Base stats'!B:B,'Base stats'!BG:BG) * 0.01 * 2, 0.01))</f>
        <v>21.2</v>
      </c>
      <c r="F195" s="7">
        <f>MROUND(_xlfn.XLOOKUP(B195,'Base stats'!B:B,'Base stats'!BD:BD)^0.25 / (_xlfn.XLOOKUP(B195,'Base stats'!B:B,'Base stats'!BK:BK) * 10) * 150 + 0.5 + _xlfn.XLOOKUP(B195,'Base stats'!B:B,'Base stats'!BW:BW), 0.05)</f>
        <v>2.6500000000000004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MAX(0.01,MROUND(_xlfn.XLOOKUP(B195,'Base stats'!B:B,'Base stats'!BH:BH) * 0.01 * 2, 0.01))
)</f>
        <v>No</v>
      </c>
      <c r="I195" s="11" t="str">
        <f>IF(G195="No","No",IF(_xlfn.XLOOKUP(B195,'Base stats'!B:B,'Base stats'!U:U)="No","No",
MAX(0.01,MROUND(_xlfn.XLOOKUP(B195,'Base stats'!B:B,'Base stats'!BT:BT)/10000,0.01))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41.6</v>
      </c>
      <c r="L195" s="11">
        <f>IF(K195="No","No",
MAX(0.01,MROUND(_xlfn.XLOOKUP(B195,'Base stats'!B:B,'Base stats'!BI:BI) * 0.01 *2, 0.01))
)</f>
        <v>28.14</v>
      </c>
      <c r="M195" s="5">
        <f>IF(K195="No","No",IF(_xlfn.XLOOKUP(_xlfn.XLOOKUP(B195,'Base stats'!B:B,'Base stats'!E:E),Groups!A:A,Groups!BD:BD)=1,"No",
MAX(0.01,MROUND(_xlfn.XLOOKUP(B195,'Base stats'!B:B,'Base stats'!BU:BU)/10000,0.01))
))</f>
        <v>1.3900000000000001</v>
      </c>
      <c r="N195" s="4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3.1500000000000004</v>
      </c>
      <c r="O195" s="3" t="str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No</v>
      </c>
      <c r="P195" s="11" t="str">
        <f>IF(O195="No","No",
MAX(0.01,MROUND(_xlfn.XLOOKUP(B195,'Base stats'!B:B,'Base stats'!BJ:BJ) * 0.01 * 2, 0.01))
)</f>
        <v>No</v>
      </c>
      <c r="Q195" s="5" t="str">
        <f>IF(O195="No","No",
MAX(0.01,MROUND(_xlfn.XLOOKUP(B195,'Base stats'!B:B,'Base stats'!BV:BV)/10000,0.01))
)</f>
        <v>No</v>
      </c>
      <c r="R195" s="4" t="str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No</v>
      </c>
      <c r="S195" s="3" t="str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No</v>
      </c>
      <c r="T195" s="11" t="str">
        <f>IF(S195="No","No",
MAX(0.01,MROUND(_xlfn.XLOOKUP(B195,'Base stats'!B:B,'Base stats'!BH:BH) * 0.01 * 2, 0.01))
)</f>
        <v>No</v>
      </c>
      <c r="U195" s="5" t="str">
        <f>IF(S195="No","No",IF(_xlfn.XLOOKUP(B195,'Base stats'!B:B,'Base stats'!U:U)="No","No",
MAX(0.01,MROUND(_xlfn.XLOOKUP(B195,'Base stats'!B:B,'Base stats'!BT:BT)/10000,0.01))
))</f>
        <v>No</v>
      </c>
      <c r="V195" s="4" t="str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No</v>
      </c>
      <c r="W195" s="8">
        <f>MROUND(_xlfn.XLOOKUP(_xlfn.XLOOKUP(B195,'Base stats'!B:B,'Base stats'!E:E),Groups!A:A,Groups!BG:BG)*_xlfn.XLOOKUP(B195,'Base stats'!B:B,'Base stats'!C:C)^-0.165,0.01)</f>
        <v>0.22</v>
      </c>
      <c r="X195" s="1">
        <f>MROUND(_xlfn.XLOOKUP(_xlfn.XLOOKUP(B195,'Base stats'!B:B,'Base stats'!E:E),Groups!A:A,Groups!BH:BH)*_xlfn.XLOOKUP(B195,'Base stats'!B:B,'Base stats'!C:C)^0.165,0.01)</f>
        <v>0.31</v>
      </c>
      <c r="Y195" s="8">
        <f>MROUND(_xlfn.XLOOKUP(_xlfn.XLOOKUP(B195,'Base stats'!B:B,'Base stats'!E:E),Groups!A:A,Groups!BI:BI)*_xlfn.XLOOKUP(B195,'Base stats'!B:B,'Base stats'!C:C)^0.165,0.01)</f>
        <v>0.08</v>
      </c>
      <c r="Z195" s="18">
        <f>ROUND(_xlfn.XLOOKUP(B195,'Base stats'!B:B,'Base stats'!AQ:AQ)*_xlfn.XLOOKUP(_xlfn.XLOOKUP(B195,'Base stats'!B:B,'Base stats'!E:E),Groups!A:A,Groups!H:H)/1000,2)</f>
        <v>0.25</v>
      </c>
      <c r="AA195" s="18">
        <f>ROUND((1/2)*(_xlfn.XLOOKUP(_xlfn.XLOOKUP(B195,'Base stats'!B:B,'Base stats'!E:E),Groups!A:A,Groups!H:H)*_xlfn.XLOOKUP(_xlfn.XLOOKUP(B195,'Base stats'!B:B,'Base stats'!E:E),Groups!A:A,Groups!I:I))*_xlfn.XLOOKUP(B195,'Base stats'!B:B,'Base stats'!AQ:AQ)*0.01,2)</f>
        <v>1.38</v>
      </c>
      <c r="AB195" s="18">
        <f>250*(Animals!AO195+Animals!AP195)</f>
        <v>1925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Porcupine</v>
      </c>
      <c r="B196" s="6" t="str">
        <f>Animals!B196</f>
        <v>Erethizon dorsatum</v>
      </c>
      <c r="C196" s="1" t="str">
        <f>Animals!C196</f>
        <v>&lt;li&gt;AEXP_Porcupine&lt;/li&gt;</v>
      </c>
      <c r="D196" s="47">
        <f>MAX(MROUND(_xlfn.XLOOKUP(B196,'Base stats'!B:B,'Base stats'!BS:BS) * (_xlfn.XLOOKUP(B196,'Base stats'!B:B,'Base stats'!AO:AO)*5%)^0.9 / 21,0.1),0.05)</f>
        <v>0.60000000000000009</v>
      </c>
      <c r="E196" s="11">
        <f>MAX(0.01,MROUND(_xlfn.XLOOKUP(B196,'Base stats'!B:B,'Base stats'!BG:BG) * 0.01 * 2, 0.01))</f>
        <v>0.46</v>
      </c>
      <c r="F196" s="7">
        <f>MROUND(_xlfn.XLOOKUP(B196,'Base stats'!B:B,'Base stats'!BD:BD)^0.25 / (_xlfn.XLOOKUP(B196,'Base stats'!B:B,'Base stats'!BK:BK) * 10) * 150 + 0.5 + _xlfn.XLOOKUP(B196,'Base stats'!B:B,'Base stats'!BW:BW), 0.05)</f>
        <v>1.4500000000000002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MAX(0.01,MROUND(_xlfn.XLOOKUP(B196,'Base stats'!B:B,'Base stats'!BH:BH) * 0.01 * 2, 0.01))
)</f>
        <v>No</v>
      </c>
      <c r="I196" s="11" t="str">
        <f>IF(G196="No","No",IF(_xlfn.XLOOKUP(B196,'Base stats'!B:B,'Base stats'!U:U)="No","No",
MAX(0.01,MROUND(_xlfn.XLOOKUP(B196,'Base stats'!B:B,'Base stats'!BT:BT)/10000,0.01))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MAX(0.01,MROUND(_xlfn.XLOOKUP(B196,'Base stats'!B:B,'Base stats'!BI:BI) * 0.01 *2, 0.01))
)</f>
        <v>No</v>
      </c>
      <c r="M196" s="5" t="str">
        <f>IF(K196="No","No",IF(_xlfn.XLOOKUP(_xlfn.XLOOKUP(B196,'Base stats'!B:B,'Base stats'!E:E),Groups!A:A,Groups!BD:BD)=1,"No",
MAX(0.01,MROUND(_xlfn.XLOOKUP(B196,'Base stats'!B:B,'Base stats'!BU:BU)/10000,0.01))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4.9000000000000004</v>
      </c>
      <c r="P196" s="11">
        <f>IF(O196="No","No",
MAX(0.01,MROUND(_xlfn.XLOOKUP(B196,'Base stats'!B:B,'Base stats'!BJ:BJ) * 0.01 * 2, 0.01))
)</f>
        <v>0.42</v>
      </c>
      <c r="Q196" s="5">
        <f>IF(O196="No","No",
MAX(0.01,MROUND(_xlfn.XLOOKUP(B196,'Base stats'!B:B,'Base stats'!BV:BV)/10000,0.01))
)</f>
        <v>0.05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2.0500000000000003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MAX(0.01,MROUND(_xlfn.XLOOKUP(B196,'Base stats'!B:B,'Base stats'!BH:BH) * 0.01 * 2, 0.01))
)</f>
        <v>No</v>
      </c>
      <c r="U196" s="5" t="str">
        <f>IF(S196="No","No",IF(_xlfn.XLOOKUP(B196,'Base stats'!B:B,'Base stats'!U:U)="No","No",
MAX(0.01,MROUND(_xlfn.XLOOKUP(B196,'Base stats'!B:B,'Base stats'!BT:BT)/10000,0.01))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stats'!C:C)^-0.165,0.01)</f>
        <v>0.45</v>
      </c>
      <c r="X196" s="1">
        <f>MROUND(_xlfn.XLOOKUP(_xlfn.XLOOKUP(B196,'Base stats'!B:B,'Base stats'!E:E),Groups!A:A,Groups!BH:BH)*_xlfn.XLOOKUP(B196,'Base stats'!B:B,'Base stats'!C:C)^0.165,0.01)</f>
        <v>0</v>
      </c>
      <c r="Y196" s="8">
        <f>MROUND(_xlfn.XLOOKUP(_xlfn.XLOOKUP(B196,'Base stats'!B:B,'Base stats'!E:E),Groups!A:A,Groups!BI:BI)*_xlfn.XLOOKUP(B196,'Base stats'!B:B,'Base stats'!C:C)^0.165,0.01)</f>
        <v>0</v>
      </c>
      <c r="Z196" s="18">
        <f>ROUND(_xlfn.XLOOKUP(B196,'Base stats'!B:B,'Base stats'!AQ:AQ)*_xlfn.XLOOKUP(_xlfn.XLOOKUP(B196,'Base stats'!B:B,'Base stats'!E:E),Groups!A:A,Groups!H:H)/1000,2)</f>
        <v>0.03</v>
      </c>
      <c r="AA196" s="18">
        <f>ROUND((1/2)*(_xlfn.XLOOKUP(_xlfn.XLOOKUP(B196,'Base stats'!B:B,'Base stats'!E:E),Groups!A:A,Groups!H:H)*_xlfn.XLOOKUP(_xlfn.XLOOKUP(B196,'Base stats'!B:B,'Base stats'!E:E),Groups!A:A,Groups!I:I))*_xlfn.XLOOKUP(B196,'Base stats'!B:B,'Base stats'!AQ:AQ)*0.01,2)</f>
        <v>0.15</v>
      </c>
      <c r="AB196" s="18">
        <f>250*(Animals!AO196+Animals!AP196)</f>
        <v>250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VasteHydra</v>
      </c>
      <c r="B197" s="6" t="str">
        <f>Animals!B197</f>
        <v>Hydra toxifera</v>
      </c>
      <c r="C197" s="1" t="str">
        <f>Animals!C197</f>
        <v>&lt;li&gt;VAEWaste_Hydra&lt;/li&gt;</v>
      </c>
      <c r="D197" s="47">
        <f>MAX(MROUND(_xlfn.XLOOKUP(B197,'Base stats'!B:B,'Base stats'!BS:BS) * (_xlfn.XLOOKUP(B197,'Base stats'!B:B,'Base stats'!AO:AO)*5%)^0.9 / 21,0.1),0.05)</f>
        <v>0.4</v>
      </c>
      <c r="E197" s="11">
        <f>MAX(0.01,MROUND(_xlfn.XLOOKUP(B197,'Base stats'!B:B,'Base stats'!BG:BG) * 0.01 * 2, 0.01))</f>
        <v>0.26</v>
      </c>
      <c r="F197" s="7">
        <f>MROUND(_xlfn.XLOOKUP(B197,'Base stats'!B:B,'Base stats'!BD:BD)^0.25 / (_xlfn.XLOOKUP(B197,'Base stats'!B:B,'Base stats'!BK:BK) * 10) * 150 + 0.5 + _xlfn.XLOOKUP(B197,'Base stats'!B:B,'Base stats'!BW:BW), 0.05)</f>
        <v>1.55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MAX(0.01,MROUND(_xlfn.XLOOKUP(B197,'Base stats'!B:B,'Base stats'!BH:BH) * 0.01 * 2, 0.01))
)</f>
        <v>No</v>
      </c>
      <c r="I197" s="11" t="str">
        <f>IF(G197="No","No",IF(_xlfn.XLOOKUP(B197,'Base stats'!B:B,'Base stats'!U:U)="No","No",
MAX(0.01,MROUND(_xlfn.XLOOKUP(B197,'Base stats'!B:B,'Base stats'!BT:BT)/10000,0.01))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 t="str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No</v>
      </c>
      <c r="L197" s="11" t="str">
        <f>IF(K197="No","No",
MAX(0.01,MROUND(_xlfn.XLOOKUP(B197,'Base stats'!B:B,'Base stats'!BI:BI) * 0.01 *2, 0.01))
)</f>
        <v>No</v>
      </c>
      <c r="M197" s="5" t="str">
        <f>IF(K197="No","No",IF(_xlfn.XLOOKUP(_xlfn.XLOOKUP(B197,'Base stats'!B:B,'Base stats'!E:E),Groups!A:A,Groups!BD:BD)=1,"No",
MAX(0.01,MROUND(_xlfn.XLOOKUP(B197,'Base stats'!B:B,'Base stats'!BU:BU)/10000,0.01))
))</f>
        <v>No</v>
      </c>
      <c r="N197" s="4" t="str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No</v>
      </c>
      <c r="O197" s="3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3.1</v>
      </c>
      <c r="P197" s="11">
        <f>IF(O197="No","No",
MAX(0.01,MROUND(_xlfn.XLOOKUP(B197,'Base stats'!B:B,'Base stats'!BJ:BJ) * 0.01 * 2, 0.01))
)</f>
        <v>0.24</v>
      </c>
      <c r="Q197" s="5">
        <f>IF(O197="No","No",
MAX(0.01,MROUND(_xlfn.XLOOKUP(B197,'Base stats'!B:B,'Base stats'!BV:BV)/10000,0.01))
)</f>
        <v>0.03</v>
      </c>
      <c r="R197" s="4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1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MAX(0.01,MROUND(_xlfn.XLOOKUP(B197,'Base stats'!B:B,'Base stats'!BH:BH) * 0.01 * 2, 0.01))
)</f>
        <v>No</v>
      </c>
      <c r="U197" s="5" t="str">
        <f>IF(S197="No","No",IF(_xlfn.XLOOKUP(B197,'Base stats'!B:B,'Base stats'!U:U)="No","No",
MAX(0.01,MROUND(_xlfn.XLOOKUP(B197,'Base stats'!B:B,'Base stats'!BT:BT)/10000,0.01))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stats'!C:C)^-0.165,0.01)</f>
        <v>0.35000000000000003</v>
      </c>
      <c r="X197" s="1">
        <f>MROUND(_xlfn.XLOOKUP(_xlfn.XLOOKUP(B197,'Base stats'!B:B,'Base stats'!E:E),Groups!A:A,Groups!BH:BH)*_xlfn.XLOOKUP(B197,'Base stats'!B:B,'Base stats'!C:C)^0.165,0.01)</f>
        <v>0.14000000000000001</v>
      </c>
      <c r="Y197" s="8">
        <f>MROUND(_xlfn.XLOOKUP(_xlfn.XLOOKUP(B197,'Base stats'!B:B,'Base stats'!E:E),Groups!A:A,Groups!BI:BI)*_xlfn.XLOOKUP(B197,'Base stats'!B:B,'Base stats'!C:C)^0.165,0.01)</f>
        <v>0.04</v>
      </c>
      <c r="Z197" s="18">
        <f>ROUND(_xlfn.XLOOKUP(B197,'Base stats'!B:B,'Base stats'!AQ:AQ)*_xlfn.XLOOKUP(_xlfn.XLOOKUP(B197,'Base stats'!B:B,'Base stats'!E:E),Groups!A:A,Groups!H:H)/1000,2)</f>
        <v>0.03</v>
      </c>
      <c r="AA197" s="18">
        <f>ROUND((1/2)*(_xlfn.XLOOKUP(_xlfn.XLOOKUP(B197,'Base stats'!B:B,'Base stats'!E:E),Groups!A:A,Groups!H:H)*_xlfn.XLOOKUP(_xlfn.XLOOKUP(B197,'Base stats'!B:B,'Base stats'!E:E),Groups!A:A,Groups!I:I))*_xlfn.XLOOKUP(B197,'Base stats'!B:B,'Base stats'!AQ:AQ)*0.01,2)</f>
        <v>0.14000000000000001</v>
      </c>
      <c r="AB197" s="18">
        <f>250*(Animals!AO197+Animals!AP197)</f>
        <v>200</v>
      </c>
      <c r="AC197" s="18" t="str">
        <f>_xlfn.XLOOKUP(_xlfn.XLOOKUP(B197,'Base stats'!B:B,'Base stats'!E:E),Groups!A:A,Groups!BJ:BJ)</f>
        <v>Serpentine</v>
      </c>
    </row>
    <row r="198" spans="1:29" ht="16.5" thickTop="1" thickBot="1" x14ac:dyDescent="0.3">
      <c r="A198" s="16" t="str">
        <f>Animals!A198</f>
        <v>Megatardi</v>
      </c>
      <c r="B198" s="6" t="str">
        <f>Animals!B198</f>
        <v>Megatardi gigantea</v>
      </c>
      <c r="C198" s="1" t="str">
        <f>Animals!C198</f>
        <v>&lt;li&gt;VAEWaste_Megatardi&lt;/li&gt;</v>
      </c>
      <c r="D198" s="47">
        <f>MAX(MROUND(_xlfn.XLOOKUP(B198,'Base stats'!B:B,'Base stats'!BS:BS) * (_xlfn.XLOOKUP(B198,'Base stats'!B:B,'Base stats'!AO:AO)*5%)^0.9 / 21,0.1),0.05)</f>
        <v>3.3000000000000003</v>
      </c>
      <c r="E198" s="11">
        <f>MAX(0.01,MROUND(_xlfn.XLOOKUP(B198,'Base stats'!B:B,'Base stats'!BG:BG) * 0.01 * 2, 0.01))</f>
        <v>2.97</v>
      </c>
      <c r="F198" s="7">
        <f>MROUND(_xlfn.XLOOKUP(B198,'Base stats'!B:B,'Base stats'!BD:BD)^0.25 / (_xlfn.XLOOKUP(B198,'Base stats'!B:B,'Base stats'!BK:BK) * 10) * 150 + 0.5 + _xlfn.XLOOKUP(B198,'Base stats'!B:B,'Base stats'!BW:BW), 0.05)</f>
        <v>2.4000000000000004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MAX(0.01,MROUND(_xlfn.XLOOKUP(B198,'Base stats'!B:B,'Base stats'!BH:BH) * 0.01 * 2, 0.01))
)</f>
        <v>No</v>
      </c>
      <c r="I198" s="11" t="str">
        <f>IF(G198="No","No",IF(_xlfn.XLOOKUP(B198,'Base stats'!B:B,'Base stats'!U:U)="No","No",
MAX(0.01,MROUND(_xlfn.XLOOKUP(B198,'Base stats'!B:B,'Base stats'!BT:BT)/10000,0.01))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MAX(0.01,MROUND(_xlfn.XLOOKUP(B198,'Base stats'!B:B,'Base stats'!BI:BI) * 0.01 *2, 0.01))
)</f>
        <v>No</v>
      </c>
      <c r="M198" s="5" t="str">
        <f>IF(K198="No","No",IF(_xlfn.XLOOKUP(_xlfn.XLOOKUP(B198,'Base stats'!B:B,'Base stats'!E:E),Groups!A:A,Groups!BD:BD)=1,"No",
MAX(0.01,MROUND(_xlfn.XLOOKUP(B198,'Base stats'!B:B,'Base stats'!BU:BU)/10000,0.01))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21</v>
      </c>
      <c r="P198" s="11">
        <f>IF(O198="No","No",
MAX(0.01,MROUND(_xlfn.XLOOKUP(B198,'Base stats'!B:B,'Base stats'!BJ:BJ) * 0.01 * 2, 0.01))
)</f>
        <v>20.900000000000002</v>
      </c>
      <c r="Q198" s="5">
        <f>IF(O198="No","No",
MAX(0.01,MROUND(_xlfn.XLOOKUP(B198,'Base stats'!B:B,'Base stats'!BV:BV)/10000,0.01))
)</f>
        <v>0.75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2.1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MAX(0.01,MROUND(_xlfn.XLOOKUP(B198,'Base stats'!B:B,'Base stats'!BH:BH) * 0.01 * 2, 0.01))
)</f>
        <v>No</v>
      </c>
      <c r="U198" s="5" t="str">
        <f>IF(S198="No","No",IF(_xlfn.XLOOKUP(B198,'Base stats'!B:B,'Base stats'!U:U)="No","No",
MAX(0.01,MROUND(_xlfn.XLOOKUP(B198,'Base stats'!B:B,'Base stats'!BT:BT)/10000,0.01))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stats'!C:C)^-0.165,0.01)</f>
        <v>0.1</v>
      </c>
      <c r="X198" s="1">
        <f>MROUND(_xlfn.XLOOKUP(_xlfn.XLOOKUP(B198,'Base stats'!B:B,'Base stats'!E:E),Groups!A:A,Groups!BH:BH)*_xlfn.XLOOKUP(B198,'Base stats'!B:B,'Base stats'!C:C)^0.165,0.01)</f>
        <v>0.25</v>
      </c>
      <c r="Y198" s="8">
        <f>MROUND(_xlfn.XLOOKUP(_xlfn.XLOOKUP(B198,'Base stats'!B:B,'Base stats'!E:E),Groups!A:A,Groups!BI:BI)*_xlfn.XLOOKUP(B198,'Base stats'!B:B,'Base stats'!C:C)^0.165,0.01)</f>
        <v>0.06</v>
      </c>
      <c r="Z198" s="18">
        <f>ROUND(_xlfn.XLOOKUP(B198,'Base stats'!B:B,'Base stats'!AQ:AQ)*_xlfn.XLOOKUP(_xlfn.XLOOKUP(B198,'Base stats'!B:B,'Base stats'!E:E),Groups!A:A,Groups!H:H)/1000,2)</f>
        <v>1.58</v>
      </c>
      <c r="AA198" s="18">
        <f>ROUND((1/2)*(_xlfn.XLOOKUP(_xlfn.XLOOKUP(B198,'Base stats'!B:B,'Base stats'!E:E),Groups!A:A,Groups!H:H)*_xlfn.XLOOKUP(_xlfn.XLOOKUP(B198,'Base stats'!B:B,'Base stats'!E:E),Groups!A:A,Groups!I:I))*_xlfn.XLOOKUP(B198,'Base stats'!B:B,'Base stats'!AQ:AQ)*0.01,2)</f>
        <v>0.11</v>
      </c>
      <c r="AB198" s="18">
        <f>250*(Animals!AO198+Animals!AP198)</f>
        <v>1050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Pestigator</v>
      </c>
      <c r="B199" s="6" t="str">
        <f>Animals!B199</f>
        <v>Pestigator ferox</v>
      </c>
      <c r="C199" s="1" t="str">
        <f>Animals!C199</f>
        <v>&lt;li&gt;VAEWaste_Pestigator&lt;/li&gt;</v>
      </c>
      <c r="D199" s="47">
        <f>MAX(MROUND(_xlfn.XLOOKUP(B199,'Base stats'!B:B,'Base stats'!BS:BS) * (_xlfn.XLOOKUP(B199,'Base stats'!B:B,'Base stats'!AO:AO)*5%)^0.9 / 21,0.1),0.05)</f>
        <v>21.3</v>
      </c>
      <c r="E199" s="11">
        <f>MAX(0.01,MROUND(_xlfn.XLOOKUP(B199,'Base stats'!B:B,'Base stats'!BG:BG) * 0.01 * 2, 0.01))</f>
        <v>20.96</v>
      </c>
      <c r="F199" s="7">
        <f>MROUND(_xlfn.XLOOKUP(B199,'Base stats'!B:B,'Base stats'!BD:BD)^0.25 / (_xlfn.XLOOKUP(B199,'Base stats'!B:B,'Base stats'!BK:BK) * 10) * 150 + 0.5 + _xlfn.XLOOKUP(B199,'Base stats'!B:B,'Base stats'!BW:BW), 0.05)</f>
        <v>2.6500000000000004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MAX(0.01,MROUND(_xlfn.XLOOKUP(B199,'Base stats'!B:B,'Base stats'!BH:BH) * 0.01 * 2, 0.01))
)</f>
        <v>No</v>
      </c>
      <c r="I199" s="11" t="str">
        <f>IF(G199="No","No",IF(_xlfn.XLOOKUP(B199,'Base stats'!B:B,'Base stats'!U:U)="No","No",
MAX(0.01,MROUND(_xlfn.XLOOKUP(B199,'Base stats'!B:B,'Base stats'!BT:BT)/10000,0.01))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MAX(0.01,MROUND(_xlfn.XLOOKUP(B199,'Base stats'!B:B,'Base stats'!BI:BI) * 0.01 *2, 0.01))
)</f>
        <v>No</v>
      </c>
      <c r="M199" s="5" t="str">
        <f>IF(K199="No","No",IF(_xlfn.XLOOKUP(_xlfn.XLOOKUP(B199,'Base stats'!B:B,'Base stats'!E:E),Groups!A:A,Groups!BD:BD)=1,"No",
MAX(0.01,MROUND(_xlfn.XLOOKUP(B199,'Base stats'!B:B,'Base stats'!BU:BU)/10000,0.01))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49.7</v>
      </c>
      <c r="P199" s="11">
        <f>IF(O199="No","No",
MAX(0.01,MROUND(_xlfn.XLOOKUP(B199,'Base stats'!B:B,'Base stats'!BJ:BJ) * 0.01 * 2, 0.01))
)</f>
        <v>51.5</v>
      </c>
      <c r="Q199" s="5">
        <f>IF(O199="No","No",
MAX(0.01,MROUND(_xlfn.XLOOKUP(B199,'Base stats'!B:B,'Base stats'!BV:BV)/10000,0.01))
)</f>
        <v>0.38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2.8000000000000003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MAX(0.01,MROUND(_xlfn.XLOOKUP(B199,'Base stats'!B:B,'Base stats'!BH:BH) * 0.01 * 2, 0.01))
)</f>
        <v>No</v>
      </c>
      <c r="U199" s="5" t="str">
        <f>IF(S199="No","No",IF(_xlfn.XLOOKUP(B199,'Base stats'!B:B,'Base stats'!U:U)="No","No",
MAX(0.01,MROUND(_xlfn.XLOOKUP(B199,'Base stats'!B:B,'Base stats'!BT:BT)/10000,0.01))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stats'!C:C)^-0.165,0.01)</f>
        <v>0.08</v>
      </c>
      <c r="X199" s="1">
        <f>MROUND(_xlfn.XLOOKUP(_xlfn.XLOOKUP(B199,'Base stats'!B:B,'Base stats'!E:E),Groups!A:A,Groups!BH:BH)*_xlfn.XLOOKUP(B199,'Base stats'!B:B,'Base stats'!C:C)^0.165,0.01)</f>
        <v>0.31</v>
      </c>
      <c r="Y199" s="8">
        <f>MROUND(_xlfn.XLOOKUP(_xlfn.XLOOKUP(B199,'Base stats'!B:B,'Base stats'!E:E),Groups!A:A,Groups!BI:BI)*_xlfn.XLOOKUP(B199,'Base stats'!B:B,'Base stats'!C:C)^0.165,0.01)</f>
        <v>0.08</v>
      </c>
      <c r="Z199" s="18">
        <f>ROUND(_xlfn.XLOOKUP(B199,'Base stats'!B:B,'Base stats'!AQ:AQ)*_xlfn.XLOOKUP(_xlfn.XLOOKUP(B199,'Base stats'!B:B,'Base stats'!E:E),Groups!A:A,Groups!H:H)/1000,2)</f>
        <v>0.6</v>
      </c>
      <c r="AA199" s="18">
        <f>ROUND((1/2)*(_xlfn.XLOOKUP(_xlfn.XLOOKUP(B199,'Base stats'!B:B,'Base stats'!E:E),Groups!A:A,Groups!H:H)*_xlfn.XLOOKUP(_xlfn.XLOOKUP(B199,'Base stats'!B:B,'Base stats'!E:E),Groups!A:A,Groups!I:I))*_xlfn.XLOOKUP(B199,'Base stats'!B:B,'Base stats'!AQ:AQ)*0.01,2)</f>
        <v>0.68</v>
      </c>
      <c r="AB199" s="18">
        <f>250*(Animals!AO199+Animals!AP199)</f>
        <v>1925</v>
      </c>
      <c r="AC199" s="18" t="str">
        <f>_xlfn.XLOOKUP(_xlfn.XLOOKUP(B199,'Base stats'!B:B,'Base stats'!E:E),Groups!A:A,Groups!BJ:BJ)</f>
        <v>QuadrupedLow</v>
      </c>
    </row>
    <row r="200" spans="1:29" ht="16.5" thickTop="1" thickBot="1" x14ac:dyDescent="0.3">
      <c r="A200" s="16" t="str">
        <f>Animals!A200</f>
        <v>Toxafox</v>
      </c>
      <c r="B200" s="6" t="str">
        <f>Animals!B200</f>
        <v>Vulpes toxifera</v>
      </c>
      <c r="C200" s="1" t="str">
        <f>Animals!C200</f>
        <v>&lt;li&gt;VAEWaste_Toxafox&lt;/li&gt;</v>
      </c>
      <c r="D200" s="47">
        <f>MAX(MROUND(_xlfn.XLOOKUP(B200,'Base stats'!B:B,'Base stats'!BS:BS) * (_xlfn.XLOOKUP(B200,'Base stats'!B:B,'Base stats'!AO:AO)*5%)^0.9 / 21,0.1),0.05)</f>
        <v>0.30000000000000004</v>
      </c>
      <c r="E200" s="11">
        <f>MAX(0.01,MROUND(_xlfn.XLOOKUP(B200,'Base stats'!B:B,'Base stats'!BG:BG) * 0.01 * 2, 0.01))</f>
        <v>0.2</v>
      </c>
      <c r="F200" s="7">
        <f>MROUND(_xlfn.XLOOKUP(B200,'Base stats'!B:B,'Base stats'!BD:BD)^0.25 / (_xlfn.XLOOKUP(B200,'Base stats'!B:B,'Base stats'!BK:BK) * 10) * 150 + 0.5 + _xlfn.XLOOKUP(B200,'Base stats'!B:B,'Base stats'!BW:BW), 0.05)</f>
        <v>1.4500000000000002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MAX(0.01,MROUND(_xlfn.XLOOKUP(B200,'Base stats'!B:B,'Base stats'!BH:BH) * 0.01 * 2, 0.01))
)</f>
        <v>No</v>
      </c>
      <c r="I200" s="11" t="str">
        <f>IF(G200="No","No",IF(_xlfn.XLOOKUP(B200,'Base stats'!B:B,'Base stats'!U:U)="No","No",
MAX(0.01,MROUND(_xlfn.XLOOKUP(B200,'Base stats'!B:B,'Base stats'!BT:BT)/10000,0.01))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MAX(0.01,MROUND(_xlfn.XLOOKUP(B200,'Base stats'!B:B,'Base stats'!BI:BI) * 0.01 *2, 0.01))
)</f>
        <v>No</v>
      </c>
      <c r="M200" s="5" t="str">
        <f>IF(K200="No","No",IF(_xlfn.XLOOKUP(_xlfn.XLOOKUP(B200,'Base stats'!B:B,'Base stats'!E:E),Groups!A:A,Groups!BD:BD)=1,"No",
MAX(0.01,MROUND(_xlfn.XLOOKUP(B200,'Base stats'!B:B,'Base stats'!BU:BU)/10000,0.01))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5.4</v>
      </c>
      <c r="P200" s="11">
        <f>IF(O200="No","No",
MAX(0.01,MROUND(_xlfn.XLOOKUP(B200,'Base stats'!B:B,'Base stats'!BJ:BJ) * 0.01 * 2, 0.01))
)</f>
        <v>0.76</v>
      </c>
      <c r="Q200" s="5">
        <f>IF(O200="No","No",
MAX(0.01,MROUND(_xlfn.XLOOKUP(B200,'Base stats'!B:B,'Base stats'!BV:BV)/10000,0.01))
)</f>
        <v>0.12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MAX(0.01,MROUND(_xlfn.XLOOKUP(B200,'Base stats'!B:B,'Base stats'!BH:BH) * 0.01 * 2, 0.01))
)</f>
        <v>No</v>
      </c>
      <c r="U200" s="5" t="str">
        <f>IF(S200="No","No",IF(_xlfn.XLOOKUP(B200,'Base stats'!B:B,'Base stats'!U:U)="No","No",
MAX(0.01,MROUND(_xlfn.XLOOKUP(B200,'Base stats'!B:B,'Base stats'!BT:BT)/10000,0.01))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stats'!C:C)^-0.165,0.01)</f>
        <v>0.74</v>
      </c>
      <c r="X200" s="1">
        <f>MROUND(_xlfn.XLOOKUP(_xlfn.XLOOKUP(B200,'Base stats'!B:B,'Base stats'!E:E),Groups!A:A,Groups!BH:BH)*_xlfn.XLOOKUP(B200,'Base stats'!B:B,'Base stats'!C:C)^0.165,0.01)</f>
        <v>0.27</v>
      </c>
      <c r="Y200" s="8">
        <f>MROUND(_xlfn.XLOOKUP(_xlfn.XLOOKUP(B200,'Base stats'!B:B,'Base stats'!E:E),Groups!A:A,Groups!BI:BI)*_xlfn.XLOOKUP(B200,'Base stats'!B:B,'Base stats'!C:C)^0.165,0.01)</f>
        <v>0.03</v>
      </c>
      <c r="Z200" s="18">
        <f>ROUND(_xlfn.XLOOKUP(B200,'Base stats'!B:B,'Base stats'!AQ:AQ)*_xlfn.XLOOKUP(_xlfn.XLOOKUP(B200,'Base stats'!B:B,'Base stats'!E:E),Groups!A:A,Groups!H:H)/1000,2)</f>
        <v>0.04</v>
      </c>
      <c r="AA200" s="18">
        <f>ROUND((1/2)*(_xlfn.XLOOKUP(_xlfn.XLOOKUP(B200,'Base stats'!B:B,'Base stats'!E:E),Groups!A:A,Groups!H:H)*_xlfn.XLOOKUP(_xlfn.XLOOKUP(B200,'Base stats'!B:B,'Base stats'!E:E),Groups!A:A,Groups!I:I))*_xlfn.XLOOKUP(B200,'Base stats'!B:B,'Base stats'!AQ:AQ)*0.01,2)</f>
        <v>0.31</v>
      </c>
      <c r="AB200" s="18">
        <f>250*(Animals!AO200+Animals!AP200)</f>
        <v>187.5</v>
      </c>
      <c r="AC200" s="18" t="str">
        <f>_xlfn.XLOOKUP(_xlfn.XLOOKUP(B200,'Base stats'!B:B,'Base stats'!E:E),Groups!A:A,Groups!BJ:BJ)</f>
        <v>Quadruped</v>
      </c>
    </row>
    <row r="201" spans="1:29" ht="16.5" thickTop="1" thickBot="1" x14ac:dyDescent="0.3">
      <c r="A201" s="16" t="str">
        <f>Animals!A201</f>
        <v>Toxbear</v>
      </c>
      <c r="B201" s="6" t="str">
        <f>Animals!B201</f>
        <v>Ursus toxus</v>
      </c>
      <c r="C201" s="1" t="str">
        <f>Animals!C201</f>
        <v>&lt;li&gt;VAEWaste_Toxbear&lt;/li&gt;</v>
      </c>
      <c r="D201" s="47">
        <f>MAX(MROUND(_xlfn.XLOOKUP(B201,'Base stats'!B:B,'Base stats'!BS:BS) * (_xlfn.XLOOKUP(B201,'Base stats'!B:B,'Base stats'!AO:AO)*5%)^0.9 / 21,0.1),0.05)</f>
        <v>38.300000000000004</v>
      </c>
      <c r="E201" s="11">
        <f>MAX(0.01,MROUND(_xlfn.XLOOKUP(B201,'Base stats'!B:B,'Base stats'!BG:BG) * 0.01 * 2, 0.01))</f>
        <v>39.36</v>
      </c>
      <c r="F201" s="7">
        <f>MROUND(_xlfn.XLOOKUP(B201,'Base stats'!B:B,'Base stats'!BD:BD)^0.25 / (_xlfn.XLOOKUP(B201,'Base stats'!B:B,'Base stats'!BK:BK) * 10) * 150 + 0.5 + _xlfn.XLOOKUP(B201,'Base stats'!B:B,'Base stats'!BW:BW), 0.05)</f>
        <v>3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MAX(0.01,MROUND(_xlfn.XLOOKUP(B201,'Base stats'!B:B,'Base stats'!BH:BH) * 0.01 * 2, 0.01))
)</f>
        <v>No</v>
      </c>
      <c r="I201" s="11" t="str">
        <f>IF(G201="No","No",IF(_xlfn.XLOOKUP(B201,'Base stats'!B:B,'Base stats'!U:U)="No","No",
MAX(0.01,MROUND(_xlfn.XLOOKUP(B201,'Base stats'!B:B,'Base stats'!BT:BT)/10000,0.01))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MAX(0.01,MROUND(_xlfn.XLOOKUP(B201,'Base stats'!B:B,'Base stats'!BI:BI) * 0.01 *2, 0.01))
)</f>
        <v>No</v>
      </c>
      <c r="M201" s="5" t="str">
        <f>IF(K201="No","No",IF(_xlfn.XLOOKUP(_xlfn.XLOOKUP(B201,'Base stats'!B:B,'Base stats'!E:E),Groups!A:A,Groups!BD:BD)=1,"No",
MAX(0.01,MROUND(_xlfn.XLOOKUP(B201,'Base stats'!B:B,'Base stats'!BU:BU)/10000,0.01))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45.300000000000004</v>
      </c>
      <c r="P201" s="11">
        <f>IF(O201="No","No",
MAX(0.01,MROUND(_xlfn.XLOOKUP(B201,'Base stats'!B:B,'Base stats'!BJ:BJ) * 0.01 * 2, 0.01))
)</f>
        <v>34.26</v>
      </c>
      <c r="Q201" s="5">
        <f>IF(O201="No","No",
MAX(0.01,MROUND(_xlfn.XLOOKUP(B201,'Base stats'!B:B,'Base stats'!BV:BV)/10000,0.01))
)</f>
        <v>0.52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2.5500000000000003</v>
      </c>
      <c r="S201" s="3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49.5</v>
      </c>
      <c r="T201" s="11">
        <f>IF(S201="No","No",
MAX(0.01,MROUND(_xlfn.XLOOKUP(B201,'Base stats'!B:B,'Base stats'!BH:BH) * 0.01 * 2, 0.01))
)</f>
        <v>41.9</v>
      </c>
      <c r="U201" s="5">
        <f>IF(S201="No","No",IF(_xlfn.XLOOKUP(B201,'Base stats'!B:B,'Base stats'!U:U)="No","No",
MAX(0.01,MROUND(_xlfn.XLOOKUP(B201,'Base stats'!B:B,'Base stats'!BT:BT)/10000,0.01))
))</f>
        <v>0.64</v>
      </c>
      <c r="V201" s="4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1.9500000000000002</v>
      </c>
      <c r="W201" s="8">
        <f>MROUND(_xlfn.XLOOKUP(_xlfn.XLOOKUP(B201,'Base stats'!B:B,'Base stats'!E:E),Groups!A:A,Groups!BG:BG)*_xlfn.XLOOKUP(B201,'Base stats'!B:B,'Base stats'!C:C)^-0.165,0.01)</f>
        <v>0.2</v>
      </c>
      <c r="X201" s="1">
        <f>MROUND(_xlfn.XLOOKUP(_xlfn.XLOOKUP(B201,'Base stats'!B:B,'Base stats'!E:E),Groups!A:A,Groups!BH:BH)*_xlfn.XLOOKUP(B201,'Base stats'!B:B,'Base stats'!C:C)^0.165,0.01)</f>
        <v>0.53</v>
      </c>
      <c r="Y201" s="8">
        <f>MROUND(_xlfn.XLOOKUP(_xlfn.XLOOKUP(B201,'Base stats'!B:B,'Base stats'!E:E),Groups!A:A,Groups!BI:BI)*_xlfn.XLOOKUP(B201,'Base stats'!B:B,'Base stats'!C:C)^0.165,0.01)</f>
        <v>0.09</v>
      </c>
      <c r="Z201" s="18">
        <f>ROUND(_xlfn.XLOOKUP(B201,'Base stats'!B:B,'Base stats'!AQ:AQ)*_xlfn.XLOOKUP(_xlfn.XLOOKUP(B201,'Base stats'!B:B,'Base stats'!E:E),Groups!A:A,Groups!H:H)/1000,2)</f>
        <v>0.32</v>
      </c>
      <c r="AA201" s="18">
        <f>ROUND((1/2)*(_xlfn.XLOOKUP(_xlfn.XLOOKUP(B201,'Base stats'!B:B,'Base stats'!E:E),Groups!A:A,Groups!H:H)*_xlfn.XLOOKUP(_xlfn.XLOOKUP(B201,'Base stats'!B:B,'Base stats'!E:E),Groups!A:A,Groups!I:I))*_xlfn.XLOOKUP(B201,'Base stats'!B:B,'Base stats'!AQ:AQ)*0.01,2)</f>
        <v>2.39</v>
      </c>
      <c r="AB201" s="18">
        <f>250*(Animals!AO201+Animals!AP201)</f>
        <v>2200</v>
      </c>
      <c r="AC201" s="18" t="str">
        <f>_xlfn.XLOOKUP(_xlfn.XLOOKUP(B201,'Base stats'!B:B,'Base stats'!E:E),Groups!A:A,Groups!BJ:BJ)</f>
        <v>Quadruped</v>
      </c>
    </row>
    <row r="202" spans="1:29" ht="16.5" thickTop="1" thickBot="1" x14ac:dyDescent="0.3">
      <c r="A202" s="16" t="str">
        <f>Animals!A202</f>
        <v>Toxiguana</v>
      </c>
      <c r="B202" s="6" t="str">
        <f>Animals!B202</f>
        <v>Iguana toxifera</v>
      </c>
      <c r="C202" s="1" t="str">
        <f>Animals!C202</f>
        <v>&lt;li&gt;VAEWaste_Toxiguana&lt;/li&gt;</v>
      </c>
      <c r="D202" s="47">
        <f>MAX(MROUND(_xlfn.XLOOKUP(B202,'Base stats'!B:B,'Base stats'!BS:BS) * (_xlfn.XLOOKUP(B202,'Base stats'!B:B,'Base stats'!AO:AO)*5%)^0.9 / 21,0.1),0.05)</f>
        <v>0.2</v>
      </c>
      <c r="E202" s="11">
        <f>MAX(0.01,MROUND(_xlfn.XLOOKUP(B202,'Base stats'!B:B,'Base stats'!BG:BG) * 0.01 * 2, 0.01))</f>
        <v>0.11</v>
      </c>
      <c r="F202" s="7">
        <f>MROUND(_xlfn.XLOOKUP(B202,'Base stats'!B:B,'Base stats'!BD:BD)^0.25 / (_xlfn.XLOOKUP(B202,'Base stats'!B:B,'Base stats'!BK:BK) * 10) * 150 + 0.5 + _xlfn.XLOOKUP(B202,'Base stats'!B:B,'Base stats'!BW:BW), 0.05)</f>
        <v>1.3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MAX(0.01,MROUND(_xlfn.XLOOKUP(B202,'Base stats'!B:B,'Base stats'!BH:BH) * 0.01 * 2, 0.01))
)</f>
        <v>No</v>
      </c>
      <c r="I202" s="11" t="str">
        <f>IF(G202="No","No",IF(_xlfn.XLOOKUP(B202,'Base stats'!B:B,'Base stats'!U:U)="No","No",
MAX(0.01,MROUND(_xlfn.XLOOKUP(B202,'Base stats'!B:B,'Base stats'!BT:BT)/10000,0.01))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MAX(0.01,MROUND(_xlfn.XLOOKUP(B202,'Base stats'!B:B,'Base stats'!BI:BI) * 0.01 *2, 0.01))
)</f>
        <v>No</v>
      </c>
      <c r="M202" s="5" t="str">
        <f>IF(K202="No","No",IF(_xlfn.XLOOKUP(_xlfn.XLOOKUP(B202,'Base stats'!B:B,'Base stats'!E:E),Groups!A:A,Groups!BD:BD)=1,"No",
MAX(0.01,MROUND(_xlfn.XLOOKUP(B202,'Base stats'!B:B,'Base stats'!BU:BU)/10000,0.01))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4.9000000000000004</v>
      </c>
      <c r="P202" s="11">
        <f>IF(O202="No","No",
MAX(0.01,MROUND(_xlfn.XLOOKUP(B202,'Base stats'!B:B,'Base stats'!BJ:BJ) * 0.01 * 2, 0.01))
)</f>
        <v>0.77</v>
      </c>
      <c r="Q202" s="5">
        <f>IF(O202="No","No",
MAX(0.01,MROUND(_xlfn.XLOOKUP(B202,'Base stats'!B:B,'Base stats'!BV:BV)/10000,0.01))
)</f>
        <v>0.17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2.2000000000000002</v>
      </c>
      <c r="S202" s="3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2.8000000000000003</v>
      </c>
      <c r="T202" s="11">
        <f>IF(S202="No","No",
MAX(0.01,MROUND(_xlfn.XLOOKUP(B202,'Base stats'!B:B,'Base stats'!BH:BH) * 0.01 * 2, 0.01))
)</f>
        <v>0.16</v>
      </c>
      <c r="U202" s="5">
        <f>IF(S202="No","No",IF(_xlfn.XLOOKUP(B202,'Base stats'!B:B,'Base stats'!U:U)="No","No",
MAX(0.01,MROUND(_xlfn.XLOOKUP(B202,'Base stats'!B:B,'Base stats'!BT:BT)/10000,0.01))
))</f>
        <v>0.04</v>
      </c>
      <c r="V202" s="4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1.1500000000000001</v>
      </c>
      <c r="W202" s="8">
        <f>MROUND(_xlfn.XLOOKUP(_xlfn.XLOOKUP(B202,'Base stats'!B:B,'Base stats'!E:E),Groups!A:A,Groups!BG:BG)*_xlfn.XLOOKUP(B202,'Base stats'!B:B,'Base stats'!C:C)^-0.165,0.01)</f>
        <v>0.42</v>
      </c>
      <c r="X202" s="1">
        <f>MROUND(_xlfn.XLOOKUP(_xlfn.XLOOKUP(B202,'Base stats'!B:B,'Base stats'!E:E),Groups!A:A,Groups!BH:BH)*_xlfn.XLOOKUP(B202,'Base stats'!B:B,'Base stats'!C:C)^0.165,0.01)</f>
        <v>0</v>
      </c>
      <c r="Y202" s="8">
        <f>MROUND(_xlfn.XLOOKUP(_xlfn.XLOOKUP(B202,'Base stats'!B:B,'Base stats'!E:E),Groups!A:A,Groups!BI:BI)*_xlfn.XLOOKUP(B202,'Base stats'!B:B,'Base stats'!C:C)^0.165,0.01)</f>
        <v>0</v>
      </c>
      <c r="Z202" s="18">
        <f>ROUND(_xlfn.XLOOKUP(B202,'Base stats'!B:B,'Base stats'!AQ:AQ)*_xlfn.XLOOKUP(_xlfn.XLOOKUP(B202,'Base stats'!B:B,'Base stats'!E:E),Groups!A:A,Groups!H:H)/1000,2)</f>
        <v>0.03</v>
      </c>
      <c r="AA202" s="18">
        <f>ROUND((1/2)*(_xlfn.XLOOKUP(_xlfn.XLOOKUP(B202,'Base stats'!B:B,'Base stats'!E:E),Groups!A:A,Groups!H:H)*_xlfn.XLOOKUP(_xlfn.XLOOKUP(B202,'Base stats'!B:B,'Base stats'!E:E),Groups!A:A,Groups!I:I))*_xlfn.XLOOKUP(B202,'Base stats'!B:B,'Base stats'!AQ:AQ)*0.01,2)</f>
        <v>0.11</v>
      </c>
      <c r="AB202" s="18">
        <f>250*(Animals!AO202+Animals!AP202)</f>
        <v>137.5</v>
      </c>
      <c r="AC202" s="18" t="str">
        <f>_xlfn.XLOOKUP(_xlfn.XLOOKUP(B202,'Base stats'!B:B,'Base stats'!E:E),Groups!A:A,Groups!BJ:BJ)</f>
        <v>QuadrupedLow</v>
      </c>
    </row>
    <row r="203" spans="1:29" ht="16.5" thickTop="1" thickBot="1" x14ac:dyDescent="0.3">
      <c r="A203" s="16" t="str">
        <f>Animals!A203</f>
        <v>Toxlion</v>
      </c>
      <c r="B203" s="6" t="str">
        <f>Animals!B203</f>
        <v>Panthera toxileo</v>
      </c>
      <c r="C203" s="1" t="str">
        <f>Animals!C203</f>
        <v>&lt;li&gt;VAEWaste_Toxlion&lt;/li&gt;</v>
      </c>
      <c r="D203" s="47">
        <f>MAX(MROUND(_xlfn.XLOOKUP(B203,'Base stats'!B:B,'Base stats'!BS:BS) * (_xlfn.XLOOKUP(B203,'Base stats'!B:B,'Base stats'!AO:AO)*5%)^0.9 / 21,0.1),0.05)</f>
        <v>4.5</v>
      </c>
      <c r="E203" s="11">
        <f>MAX(0.01,MROUND(_xlfn.XLOOKUP(B203,'Base stats'!B:B,'Base stats'!BG:BG) * 0.01 * 2, 0.01))</f>
        <v>3.96</v>
      </c>
      <c r="F203" s="7">
        <f>MROUND(_xlfn.XLOOKUP(B203,'Base stats'!B:B,'Base stats'!BD:BD)^0.25 / (_xlfn.XLOOKUP(B203,'Base stats'!B:B,'Base stats'!BK:BK) * 10) * 150 + 0.5 + _xlfn.XLOOKUP(B203,'Base stats'!B:B,'Base stats'!BW:BW), 0.05)</f>
        <v>2.1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MAX(0.01,MROUND(_xlfn.XLOOKUP(B203,'Base stats'!B:B,'Base stats'!BH:BH) * 0.01 * 2, 0.01))
)</f>
        <v>No</v>
      </c>
      <c r="I203" s="11" t="str">
        <f>IF(G203="No","No",IF(_xlfn.XLOOKUP(B203,'Base stats'!B:B,'Base stats'!U:U)="No","No",
MAX(0.01,MROUND(_xlfn.XLOOKUP(B203,'Base stats'!B:B,'Base stats'!BT:BT)/10000,0.01))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MAX(0.01,MROUND(_xlfn.XLOOKUP(B203,'Base stats'!B:B,'Base stats'!BI:BI) * 0.01 *2, 0.01))
)</f>
        <v>No</v>
      </c>
      <c r="M203" s="5" t="str">
        <f>IF(K203="No","No",IF(_xlfn.XLOOKUP(_xlfn.XLOOKUP(B203,'Base stats'!B:B,'Base stats'!E:E),Groups!A:A,Groups!BD:BD)=1,"No",
MAX(0.01,MROUND(_xlfn.XLOOKUP(B203,'Base stats'!B:B,'Base stats'!BU:BU)/10000,0.01))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21.5</v>
      </c>
      <c r="P203" s="11">
        <f>IF(O203="No","No",
MAX(0.01,MROUND(_xlfn.XLOOKUP(B203,'Base stats'!B:B,'Base stats'!BJ:BJ) * 0.01 * 2, 0.01))
)</f>
        <v>9.19</v>
      </c>
      <c r="Q203" s="5">
        <f>IF(O203="No","No",
MAX(0.01,MROUND(_xlfn.XLOOKUP(B203,'Base stats'!B:B,'Base stats'!BV:BV)/10000,0.01))
)</f>
        <v>0.39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2.0500000000000003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17.7</v>
      </c>
      <c r="T203" s="11">
        <f>IF(S203="No","No",
MAX(0.01,MROUND(_xlfn.XLOOKUP(B203,'Base stats'!B:B,'Base stats'!BH:BH) * 0.01 * 2, 0.01))
)</f>
        <v>4.8600000000000003</v>
      </c>
      <c r="U203" s="5">
        <f>IF(S203="No","No",IF(_xlfn.XLOOKUP(B203,'Base stats'!B:B,'Base stats'!U:U)="No","No",
MAX(0.01,MROUND(_xlfn.XLOOKUP(B203,'Base stats'!B:B,'Base stats'!BT:BT)/10000,0.01))
))</f>
        <v>0.21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1.4500000000000002</v>
      </c>
      <c r="W203" s="8">
        <f>MROUND(_xlfn.XLOOKUP(_xlfn.XLOOKUP(B203,'Base stats'!B:B,'Base stats'!E:E),Groups!A:A,Groups!BG:BG)*_xlfn.XLOOKUP(B203,'Base stats'!B:B,'Base stats'!C:C)^-0.165,0.01)</f>
        <v>0.54</v>
      </c>
      <c r="X203" s="1">
        <f>MROUND(_xlfn.XLOOKUP(_xlfn.XLOOKUP(B203,'Base stats'!B:B,'Base stats'!E:E),Groups!A:A,Groups!BH:BH)*_xlfn.XLOOKUP(B203,'Base stats'!B:B,'Base stats'!C:C)^0.165,0.01)</f>
        <v>0.57999999999999996</v>
      </c>
      <c r="Y203" s="8">
        <f>MROUND(_xlfn.XLOOKUP(_xlfn.XLOOKUP(B203,'Base stats'!B:B,'Base stats'!E:E),Groups!A:A,Groups!BI:BI)*_xlfn.XLOOKUP(B203,'Base stats'!B:B,'Base stats'!C:C)^0.165,0.01)</f>
        <v>0.06</v>
      </c>
      <c r="Z203" s="18">
        <f>ROUND(_xlfn.XLOOKUP(B203,'Base stats'!B:B,'Base stats'!AQ:AQ)*_xlfn.XLOOKUP(_xlfn.XLOOKUP(B203,'Base stats'!B:B,'Base stats'!E:E),Groups!A:A,Groups!H:H)/1000,2)</f>
        <v>0.13</v>
      </c>
      <c r="AA203" s="18">
        <f>ROUND((1/2)*(_xlfn.XLOOKUP(_xlfn.XLOOKUP(B203,'Base stats'!B:B,'Base stats'!E:E),Groups!A:A,Groups!H:H)*_xlfn.XLOOKUP(_xlfn.XLOOKUP(B203,'Base stats'!B:B,'Base stats'!E:E),Groups!A:A,Groups!I:I))*_xlfn.XLOOKUP(B203,'Base stats'!B:B,'Base stats'!AQ:AQ)*0.01,2)</f>
        <v>0.99</v>
      </c>
      <c r="AB203" s="18">
        <f>250*(Animals!AO203+Animals!AP203)</f>
        <v>875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Toxscorpion</v>
      </c>
      <c r="B204" s="6" t="str">
        <f>Animals!B204</f>
        <v>Toxoscorpio bellator</v>
      </c>
      <c r="C204" s="1" t="str">
        <f>Animals!C204</f>
        <v>&lt;li&gt;VAEWaste_Toxscorpion&lt;/li&gt;</v>
      </c>
      <c r="D204" s="47">
        <f>MAX(MROUND(_xlfn.XLOOKUP(B204,'Base stats'!B:B,'Base stats'!BS:BS) * (_xlfn.XLOOKUP(B204,'Base stats'!B:B,'Base stats'!AO:AO)*5%)^0.9 / 21,0.1),0.05)</f>
        <v>4.9000000000000004</v>
      </c>
      <c r="E204" s="11">
        <f>MAX(0.01,MROUND(_xlfn.XLOOKUP(B204,'Base stats'!B:B,'Base stats'!BG:BG) * 0.01 * 2, 0.01))</f>
        <v>4.5600000000000005</v>
      </c>
      <c r="F204" s="7">
        <f>MROUND(_xlfn.XLOOKUP(B204,'Base stats'!B:B,'Base stats'!BD:BD)^0.25 / (_xlfn.XLOOKUP(B204,'Base stats'!B:B,'Base stats'!BK:BK) * 10) * 150 + 0.5 + _xlfn.XLOOKUP(B204,'Base stats'!B:B,'Base stats'!BW:BW), 0.05)</f>
        <v>3.4000000000000004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MAX(0.01,MROUND(_xlfn.XLOOKUP(B204,'Base stats'!B:B,'Base stats'!BH:BH) * 0.01 * 2, 0.01))
)</f>
        <v>No</v>
      </c>
      <c r="I204" s="11" t="str">
        <f>IF(G204="No","No",IF(_xlfn.XLOOKUP(B204,'Base stats'!B:B,'Base stats'!U:U)="No","No",
MAX(0.01,MROUND(_xlfn.XLOOKUP(B204,'Base stats'!B:B,'Base stats'!BT:BT)/10000,0.01))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41.2</v>
      </c>
      <c r="L204" s="11">
        <f>IF(K204="No","No",
MAX(0.01,MROUND(_xlfn.XLOOKUP(B204,'Base stats'!B:B,'Base stats'!BI:BI) * 0.01 *2, 0.01))
)</f>
        <v>29.23</v>
      </c>
      <c r="M204" s="5">
        <f>IF(K204="No","No",IF(_xlfn.XLOOKUP(_xlfn.XLOOKUP(B204,'Base stats'!B:B,'Base stats'!E:E),Groups!A:A,Groups!BD:BD)=1,"No",
MAX(0.01,MROUND(_xlfn.XLOOKUP(B204,'Base stats'!B:B,'Base stats'!BU:BU)/10000,0.01))
))</f>
        <v>1.59</v>
      </c>
      <c r="N204" s="4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5.1000000000000005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38.1</v>
      </c>
      <c r="P204" s="11">
        <f>IF(O204="No","No",
MAX(0.01,MROUND(_xlfn.XLOOKUP(B204,'Base stats'!B:B,'Base stats'!BJ:BJ) * 0.01 * 2, 0.01))
)</f>
        <v>30.45</v>
      </c>
      <c r="Q204" s="5">
        <f>IF(O204="No","No",
MAX(0.01,MROUND(_xlfn.XLOOKUP(B204,'Base stats'!B:B,'Base stats'!BV:BV)/10000,0.01))
)</f>
        <v>0.9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3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40.800000000000004</v>
      </c>
      <c r="T204" s="11">
        <f>IF(S204="No","No",
MAX(0.01,MROUND(_xlfn.XLOOKUP(B204,'Base stats'!B:B,'Base stats'!BH:BH) * 0.01 * 2, 0.01))
)</f>
        <v>24.36</v>
      </c>
      <c r="U204" s="5">
        <f>IF(S204="No","No",IF(_xlfn.XLOOKUP(B204,'Base stats'!B:B,'Base stats'!U:U)="No","No",
MAX(0.01,MROUND(_xlfn.XLOOKUP(B204,'Base stats'!B:B,'Base stats'!BT:BT)/10000,0.01))
))</f>
        <v>7.19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3.6</v>
      </c>
      <c r="W204" s="8">
        <f>MROUND(_xlfn.XLOOKUP(_xlfn.XLOOKUP(B204,'Base stats'!B:B,'Base stats'!E:E),Groups!A:A,Groups!BG:BG)*_xlfn.XLOOKUP(B204,'Base stats'!B:B,'Base stats'!C:C)^-0.165,0.01)</f>
        <v>0.09</v>
      </c>
      <c r="X204" s="1">
        <f>MROUND(_xlfn.XLOOKUP(_xlfn.XLOOKUP(B204,'Base stats'!B:B,'Base stats'!E:E),Groups!A:A,Groups!BH:BH)*_xlfn.XLOOKUP(B204,'Base stats'!B:B,'Base stats'!C:C)^0.165,0.01)</f>
        <v>0.27</v>
      </c>
      <c r="Y204" s="8">
        <f>MROUND(_xlfn.XLOOKUP(_xlfn.XLOOKUP(B204,'Base stats'!B:B,'Base stats'!E:E),Groups!A:A,Groups!BI:BI)*_xlfn.XLOOKUP(B204,'Base stats'!B:B,'Base stats'!C:C)^0.165,0.01)</f>
        <v>7.0000000000000007E-2</v>
      </c>
      <c r="Z204" s="18">
        <f>ROUND(_xlfn.XLOOKUP(B204,'Base stats'!B:B,'Base stats'!AQ:AQ)*_xlfn.XLOOKUP(_xlfn.XLOOKUP(B204,'Base stats'!B:B,'Base stats'!E:E),Groups!A:A,Groups!H:H)/1000,2)</f>
        <v>1.86</v>
      </c>
      <c r="AA204" s="18">
        <f>ROUND((1/2)*(_xlfn.XLOOKUP(_xlfn.XLOOKUP(B204,'Base stats'!B:B,'Base stats'!E:E),Groups!A:A,Groups!H:H)*_xlfn.XLOOKUP(_xlfn.XLOOKUP(B204,'Base stats'!B:B,'Base stats'!E:E),Groups!A:A,Groups!I:I))*_xlfn.XLOOKUP(B204,'Base stats'!B:B,'Base stats'!AQ:AQ)*0.01,2)</f>
        <v>0.19</v>
      </c>
      <c r="AB204" s="18">
        <f>250*(Animals!AO204+Animals!AP204)</f>
        <v>1375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Wasteboar</v>
      </c>
      <c r="B205" s="6" t="str">
        <f>Animals!B205</f>
        <v>Sus toxiscrofa</v>
      </c>
      <c r="C205" s="1" t="str">
        <f>Animals!C205</f>
        <v>&lt;li&gt;VAEWaste_Wasteboar&lt;/li&gt;</v>
      </c>
      <c r="D205" s="47">
        <f>MAX(MROUND(_xlfn.XLOOKUP(B205,'Base stats'!B:B,'Base stats'!BS:BS) * (_xlfn.XLOOKUP(B205,'Base stats'!B:B,'Base stats'!AO:AO)*5%)^0.9 / 21,0.1),0.05)</f>
        <v>4.3</v>
      </c>
      <c r="E205" s="11">
        <f>MAX(0.01,MROUND(_xlfn.XLOOKUP(B205,'Base stats'!B:B,'Base stats'!BG:BG) * 0.01 * 2, 0.01))</f>
        <v>3.74</v>
      </c>
      <c r="F205" s="7">
        <f>MROUND(_xlfn.XLOOKUP(B205,'Base stats'!B:B,'Base stats'!BD:BD)^0.25 / (_xlfn.XLOOKUP(B205,'Base stats'!B:B,'Base stats'!BK:BK) * 10) * 150 + 0.5 + _xlfn.XLOOKUP(B205,'Base stats'!B:B,'Base stats'!BW:BW), 0.05)</f>
        <v>1.75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MAX(0.01,MROUND(_xlfn.XLOOKUP(B205,'Base stats'!B:B,'Base stats'!BH:BH) * 0.01 * 2, 0.01))
)</f>
        <v>No</v>
      </c>
      <c r="I205" s="11" t="str">
        <f>IF(G205="No","No",IF(_xlfn.XLOOKUP(B205,'Base stats'!B:B,'Base stats'!U:U)="No","No",
MAX(0.01,MROUND(_xlfn.XLOOKUP(B205,'Base stats'!B:B,'Base stats'!BT:BT)/10000,0.01))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25.400000000000002</v>
      </c>
      <c r="L205" s="11">
        <f>IF(K205="No","No",
MAX(0.01,MROUND(_xlfn.XLOOKUP(B205,'Base stats'!B:B,'Base stats'!BI:BI) * 0.01 *2, 0.01))
)</f>
        <v>9.120000000000001</v>
      </c>
      <c r="M205" s="5">
        <f>IF(K205="No","No",IF(_xlfn.XLOOKUP(_xlfn.XLOOKUP(B205,'Base stats'!B:B,'Base stats'!E:E),Groups!A:A,Groups!BD:BD)=1,"No",
MAX(0.01,MROUND(_xlfn.XLOOKUP(B205,'Base stats'!B:B,'Base stats'!BU:BU)/10000,0.01))
))</f>
        <v>0.55000000000000004</v>
      </c>
      <c r="N205" s="4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3.3000000000000003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23.3</v>
      </c>
      <c r="P205" s="11">
        <f>IF(O205="No","No",
MAX(0.01,MROUND(_xlfn.XLOOKUP(B205,'Base stats'!B:B,'Base stats'!BJ:BJ) * 0.01 * 2, 0.01))
)</f>
        <v>7.6000000000000005</v>
      </c>
      <c r="Q205" s="5">
        <f>IF(O205="No","No",
MAX(0.01,MROUND(_xlfn.XLOOKUP(B205,'Base stats'!B:B,'Base stats'!BV:BV)/10000,0.01))
)</f>
        <v>0.33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2.85</v>
      </c>
      <c r="S205" s="3" t="str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No</v>
      </c>
      <c r="T205" s="11" t="str">
        <f>IF(S205="No","No",
MAX(0.01,MROUND(_xlfn.XLOOKUP(B205,'Base stats'!B:B,'Base stats'!BH:BH) * 0.01 * 2, 0.01))
)</f>
        <v>No</v>
      </c>
      <c r="U205" s="5" t="str">
        <f>IF(S205="No","No",IF(_xlfn.XLOOKUP(B205,'Base stats'!B:B,'Base stats'!U:U)="No","No",
MAX(0.01,MROUND(_xlfn.XLOOKUP(B205,'Base stats'!B:B,'Base stats'!BT:BT)/10000,0.01))
))</f>
        <v>No</v>
      </c>
      <c r="V205" s="4" t="str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No</v>
      </c>
      <c r="W205" s="8">
        <f>MROUND(_xlfn.XLOOKUP(_xlfn.XLOOKUP(B205,'Base stats'!B:B,'Base stats'!E:E),Groups!A:A,Groups!BG:BG)*_xlfn.XLOOKUP(B205,'Base stats'!B:B,'Base stats'!C:C)^-0.165,0.01)</f>
        <v>0.22</v>
      </c>
      <c r="X205" s="1">
        <f>MROUND(_xlfn.XLOOKUP(_xlfn.XLOOKUP(B205,'Base stats'!B:B,'Base stats'!E:E),Groups!A:A,Groups!BH:BH)*_xlfn.XLOOKUP(B205,'Base stats'!B:B,'Base stats'!C:C)^0.165,0.01)</f>
        <v>0.23</v>
      </c>
      <c r="Y205" s="8">
        <f>MROUND(_xlfn.XLOOKUP(_xlfn.XLOOKUP(B205,'Base stats'!B:B,'Base stats'!E:E),Groups!A:A,Groups!BI:BI)*_xlfn.XLOOKUP(B205,'Base stats'!B:B,'Base stats'!C:C)^0.165,0.01)</f>
        <v>0.06</v>
      </c>
      <c r="Z205" s="18">
        <f>ROUND(_xlfn.XLOOKUP(B205,'Base stats'!B:B,'Base stats'!AQ:AQ)*_xlfn.XLOOKUP(_xlfn.XLOOKUP(B205,'Base stats'!B:B,'Base stats'!E:E),Groups!A:A,Groups!H:H)/1000,2)</f>
        <v>0.05</v>
      </c>
      <c r="AA205" s="18">
        <f>ROUND((1/2)*(_xlfn.XLOOKUP(_xlfn.XLOOKUP(B205,'Base stats'!B:B,'Base stats'!E:E),Groups!A:A,Groups!H:H)*_xlfn.XLOOKUP(_xlfn.XLOOKUP(B205,'Base stats'!B:B,'Base stats'!E:E),Groups!A:A,Groups!I:I))*_xlfn.XLOOKUP(B205,'Base stats'!B:B,'Base stats'!AQ:AQ)*0.01,2)</f>
        <v>0.28999999999999998</v>
      </c>
      <c r="AB205" s="18">
        <f>250*(Animals!AO205+Animals!AP205)</f>
        <v>750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Wastedeer</v>
      </c>
      <c r="B206" s="6" t="str">
        <f>Animals!B206</f>
        <v>Odocoileus toxus</v>
      </c>
      <c r="C206" s="1" t="str">
        <f>Animals!C206</f>
        <v>&lt;li&gt;VAEWaste_Wastedeer&lt;/li&gt;</v>
      </c>
      <c r="D206" s="47">
        <f>MAX(MROUND(_xlfn.XLOOKUP(B206,'Base stats'!B:B,'Base stats'!BS:BS) * (_xlfn.XLOOKUP(B206,'Base stats'!B:B,'Base stats'!AO:AO)*5%)^0.9 / 21,0.1),0.05)</f>
        <v>2.3000000000000003</v>
      </c>
      <c r="E206" s="11">
        <f>MAX(0.01,MROUND(_xlfn.XLOOKUP(B206,'Base stats'!B:B,'Base stats'!BG:BG) * 0.01 * 2, 0.01))</f>
        <v>1.87</v>
      </c>
      <c r="F206" s="7">
        <f>MROUND(_xlfn.XLOOKUP(B206,'Base stats'!B:B,'Base stats'!BD:BD)^0.25 / (_xlfn.XLOOKUP(B206,'Base stats'!B:B,'Base stats'!BK:BK) * 10) * 150 + 0.5 + _xlfn.XLOOKUP(B206,'Base stats'!B:B,'Base stats'!BW:BW), 0.05)</f>
        <v>1.6500000000000001</v>
      </c>
      <c r="G206" s="3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4.3</v>
      </c>
      <c r="H206" s="11">
        <f>IF(G206="No","No",
MAX(0.01,MROUND(_xlfn.XLOOKUP(B206,'Base stats'!B:B,'Base stats'!BH:BH) * 0.01 * 2, 0.01))
)</f>
        <v>2.4</v>
      </c>
      <c r="I206" s="11" t="str">
        <f>IF(G206="No","No",IF(_xlfn.XLOOKUP(B206,'Base stats'!B:B,'Base stats'!U:U)="No","No",
MAX(0.01,MROUND(_xlfn.XLOOKUP(B206,'Base stats'!B:B,'Base stats'!BT:BT)/10000,0.01))
))</f>
        <v>No</v>
      </c>
      <c r="J206" s="4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2.1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15.3</v>
      </c>
      <c r="L206" s="11">
        <f>IF(K206="No","No",
MAX(0.01,MROUND(_xlfn.XLOOKUP(B206,'Base stats'!B:B,'Base stats'!BI:BI) * 0.01 *2, 0.01))
)</f>
        <v>2.88</v>
      </c>
      <c r="M206" s="5">
        <f>IF(K206="No","No",IF(_xlfn.XLOOKUP(_xlfn.XLOOKUP(B206,'Base stats'!B:B,'Base stats'!E:E),Groups!A:A,Groups!BD:BD)=1,"No",
MAX(0.01,MROUND(_xlfn.XLOOKUP(B206,'Base stats'!B:B,'Base stats'!BU:BU)/10000,0.01))
))</f>
        <v>0.19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2.85</v>
      </c>
      <c r="O206" s="3" t="str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No</v>
      </c>
      <c r="P206" s="11" t="str">
        <f>IF(O206="No","No",
MAX(0.01,MROUND(_xlfn.XLOOKUP(B206,'Base stats'!B:B,'Base stats'!BJ:BJ) * 0.01 * 2, 0.01))
)</f>
        <v>No</v>
      </c>
      <c r="Q206" s="5" t="str">
        <f>IF(O206="No","No",
MAX(0.01,MROUND(_xlfn.XLOOKUP(B206,'Base stats'!B:B,'Base stats'!BV:BV)/10000,0.01))
)</f>
        <v>No</v>
      </c>
      <c r="R206" s="4" t="str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No</v>
      </c>
      <c r="S206" s="3" t="str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No</v>
      </c>
      <c r="T206" s="11" t="str">
        <f>IF(S206="No","No",
MAX(0.01,MROUND(_xlfn.XLOOKUP(B206,'Base stats'!B:B,'Base stats'!BH:BH) * 0.01 * 2, 0.01))
)</f>
        <v>No</v>
      </c>
      <c r="U206" s="5" t="str">
        <f>IF(S206="No","No",IF(_xlfn.XLOOKUP(B206,'Base stats'!B:B,'Base stats'!U:U)="No","No",
MAX(0.01,MROUND(_xlfn.XLOOKUP(B206,'Base stats'!B:B,'Base stats'!BT:BT)/10000,0.01))
))</f>
        <v>No</v>
      </c>
      <c r="V206" s="4" t="str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No</v>
      </c>
      <c r="W206" s="8">
        <f>MROUND(_xlfn.XLOOKUP(_xlfn.XLOOKUP(B206,'Base stats'!B:B,'Base stats'!E:E),Groups!A:A,Groups!BG:BG)*_xlfn.XLOOKUP(B206,'Base stats'!B:B,'Base stats'!C:C)^-0.165,0.01)</f>
        <v>0.25</v>
      </c>
      <c r="X206" s="1">
        <f>MROUND(_xlfn.XLOOKUP(_xlfn.XLOOKUP(B206,'Base stats'!B:B,'Base stats'!E:E),Groups!A:A,Groups!BH:BH)*_xlfn.XLOOKUP(B206,'Base stats'!B:B,'Base stats'!C:C)^0.165,0.01)</f>
        <v>0</v>
      </c>
      <c r="Y206" s="8">
        <f>MROUND(_xlfn.XLOOKUP(_xlfn.XLOOKUP(B206,'Base stats'!B:B,'Base stats'!E:E),Groups!A:A,Groups!BI:BI)*_xlfn.XLOOKUP(B206,'Base stats'!B:B,'Base stats'!C:C)^0.165,0.01)</f>
        <v>0</v>
      </c>
      <c r="Z206" s="18">
        <f>ROUND(_xlfn.XLOOKUP(B206,'Base stats'!B:B,'Base stats'!AQ:AQ)*_xlfn.XLOOKUP(_xlfn.XLOOKUP(B206,'Base stats'!B:B,'Base stats'!E:E),Groups!A:A,Groups!H:H)/1000,2)</f>
        <v>0.04</v>
      </c>
      <c r="AA206" s="18">
        <f>ROUND((1/2)*(_xlfn.XLOOKUP(_xlfn.XLOOKUP(B206,'Base stats'!B:B,'Base stats'!E:E),Groups!A:A,Groups!H:H)*_xlfn.XLOOKUP(_xlfn.XLOOKUP(B206,'Base stats'!B:B,'Base stats'!E:E),Groups!A:A,Groups!I:I))*_xlfn.XLOOKUP(B206,'Base stats'!B:B,'Base stats'!AQ:AQ)*0.01,2)</f>
        <v>0.23</v>
      </c>
      <c r="AB206" s="18">
        <f>250*(Animals!AO206+Animals!AP206)</f>
        <v>500</v>
      </c>
      <c r="AC206" s="18" t="str">
        <f>_xlfn.XLOOKUP(_xlfn.XLOOKUP(B206,'Base stats'!B:B,'Base stats'!E:E),Groups!A:A,Groups!BJ:BJ)</f>
        <v>Quadruped</v>
      </c>
    </row>
    <row r="207" spans="1:29" ht="16.5" thickTop="1" thickBot="1" x14ac:dyDescent="0.3">
      <c r="A207" s="16" t="str">
        <f>Animals!A207</f>
        <v>Wasteffalo</v>
      </c>
      <c r="B207" s="6" t="str">
        <f>Animals!B207</f>
        <v>Pseudobison toxus</v>
      </c>
      <c r="C207" s="1" t="str">
        <f>Animals!C207</f>
        <v>&lt;li&gt;VAEWaste_Wasteffalo&lt;/li&gt;</v>
      </c>
      <c r="D207" s="47">
        <f>MAX(MROUND(_xlfn.XLOOKUP(B207,'Base stats'!B:B,'Base stats'!BS:BS) * (_xlfn.XLOOKUP(B207,'Base stats'!B:B,'Base stats'!AO:AO)*5%)^0.9 / 21,0.1),0.05)</f>
        <v>9.8000000000000007</v>
      </c>
      <c r="E207" s="11">
        <f>MAX(0.01,MROUND(_xlfn.XLOOKUP(B207,'Base stats'!B:B,'Base stats'!BG:BG) * 0.01 * 2, 0.01))</f>
        <v>9.11</v>
      </c>
      <c r="F207" s="7">
        <f>MROUND(_xlfn.XLOOKUP(B207,'Base stats'!B:B,'Base stats'!BD:BD)^0.25 / (_xlfn.XLOOKUP(B207,'Base stats'!B:B,'Base stats'!BK:BK) * 10) * 150 + 0.5 + _xlfn.XLOOKUP(B207,'Base stats'!B:B,'Base stats'!BW:BW), 0.05)</f>
        <v>1.9000000000000001</v>
      </c>
      <c r="G207" s="3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16.5</v>
      </c>
      <c r="H207" s="11">
        <f>IF(G207="No","No",
MAX(0.01,MROUND(_xlfn.XLOOKUP(B207,'Base stats'!B:B,'Base stats'!BH:BH) * 0.01 * 2, 0.01))
)</f>
        <v>10.620000000000001</v>
      </c>
      <c r="I207" s="11" t="str">
        <f>IF(G207="No","No",IF(_xlfn.XLOOKUP(B207,'Base stats'!B:B,'Base stats'!U:U)="No","No",
MAX(0.01,MROUND(_xlfn.XLOOKUP(B207,'Base stats'!B:B,'Base stats'!BT:BT)/10000,0.01))
))</f>
        <v>No</v>
      </c>
      <c r="J207" s="4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2.75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29.400000000000002</v>
      </c>
      <c r="L207" s="11">
        <f>IF(K207="No","No",
MAX(0.01,MROUND(_xlfn.XLOOKUP(B207,'Base stats'!B:B,'Base stats'!BI:BI) * 0.01 *2, 0.01))
)</f>
        <v>12.74</v>
      </c>
      <c r="M207" s="5">
        <f>IF(K207="No","No",IF(_xlfn.XLOOKUP(_xlfn.XLOOKUP(B207,'Base stats'!B:B,'Base stats'!E:E),Groups!A:A,Groups!BD:BD)=1,"No",
MAX(0.01,MROUND(_xlfn.XLOOKUP(B207,'Base stats'!B:B,'Base stats'!BU:BU)/10000,0.01))
))</f>
        <v>0.69000000000000006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3.2</v>
      </c>
      <c r="O207" s="3" t="str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No</v>
      </c>
      <c r="P207" s="11" t="str">
        <f>IF(O207="No","No",
MAX(0.01,MROUND(_xlfn.XLOOKUP(B207,'Base stats'!B:B,'Base stats'!BJ:BJ) * 0.01 * 2, 0.01))
)</f>
        <v>No</v>
      </c>
      <c r="Q207" s="5" t="str">
        <f>IF(O207="No","No",
MAX(0.01,MROUND(_xlfn.XLOOKUP(B207,'Base stats'!B:B,'Base stats'!BV:BV)/10000,0.01))
)</f>
        <v>No</v>
      </c>
      <c r="R207" s="4" t="str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No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MAX(0.01,MROUND(_xlfn.XLOOKUP(B207,'Base stats'!B:B,'Base stats'!BH:BH) * 0.01 * 2, 0.01))
)</f>
        <v>No</v>
      </c>
      <c r="U207" s="5" t="str">
        <f>IF(S207="No","No",IF(_xlfn.XLOOKUP(B207,'Base stats'!B:B,'Base stats'!U:U)="No","No",
MAX(0.01,MROUND(_xlfn.XLOOKUP(B207,'Base stats'!B:B,'Base stats'!BT:BT)/10000,0.01))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stats'!C:C)^-0.165,0.01)</f>
        <v>0.19</v>
      </c>
      <c r="X207" s="1">
        <f>MROUND(_xlfn.XLOOKUP(_xlfn.XLOOKUP(B207,'Base stats'!B:B,'Base stats'!E:E),Groups!A:A,Groups!BH:BH)*_xlfn.XLOOKUP(B207,'Base stats'!B:B,'Base stats'!C:C)^0.165,0.01)</f>
        <v>0</v>
      </c>
      <c r="Y207" s="8">
        <f>MROUND(_xlfn.XLOOKUP(_xlfn.XLOOKUP(B207,'Base stats'!B:B,'Base stats'!E:E),Groups!A:A,Groups!BI:BI)*_xlfn.XLOOKUP(B207,'Base stats'!B:B,'Base stats'!C:C)^0.165,0.01)</f>
        <v>0</v>
      </c>
      <c r="Z207" s="18">
        <f>ROUND(_xlfn.XLOOKUP(B207,'Base stats'!B:B,'Base stats'!AQ:AQ)*_xlfn.XLOOKUP(_xlfn.XLOOKUP(B207,'Base stats'!B:B,'Base stats'!E:E),Groups!A:A,Groups!H:H)/1000,2)</f>
        <v>7.0000000000000007E-2</v>
      </c>
      <c r="AA207" s="18">
        <f>ROUND((1/2)*(_xlfn.XLOOKUP(_xlfn.XLOOKUP(B207,'Base stats'!B:B,'Base stats'!E:E),Groups!A:A,Groups!H:H)*_xlfn.XLOOKUP(_xlfn.XLOOKUP(B207,'Base stats'!B:B,'Base stats'!E:E),Groups!A:A,Groups!I:I))*_xlfn.XLOOKUP(B207,'Base stats'!B:B,'Base stats'!AQ:AQ)*0.01,2)</f>
        <v>0.39</v>
      </c>
      <c r="AB207" s="18">
        <f>250*(Animals!AO207+Animals!AP207)</f>
        <v>1375</v>
      </c>
      <c r="AC207" s="18" t="str">
        <f>_xlfn.XLOOKUP(_xlfn.XLOOKUP(B207,'Base stats'!B:B,'Base stats'!E:E),Groups!A:A,Groups!BJ:BJ)</f>
        <v>Quadruped</v>
      </c>
    </row>
    <row r="20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60"/>
  <sheetViews>
    <sheetView topLeftCell="K1" zoomScale="85" zoomScaleNormal="85" workbookViewId="0">
      <selection activeCell="P26" sqref="P26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1147</v>
      </c>
      <c r="T1" t="s">
        <v>1148</v>
      </c>
      <c r="U1" t="s">
        <v>1149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Animals!$C$65</f>
        <v>&lt;li&gt;Crow&lt;/li&gt;</v>
      </c>
      <c r="M5" t="str">
        <f>Animals!$C$23</f>
        <v>&lt;li&gt;Hare&lt;/li&gt;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Animals!$C$23</f>
        <v>&lt;li&gt;Hare&lt;/li&gt;</v>
      </c>
      <c r="K6" t="str">
        <f>Animals!$C$65</f>
        <v>&lt;li&gt;Crow&lt;/li&gt;</v>
      </c>
      <c r="L6" t="str">
        <f>Animals!$C$23</f>
        <v>&lt;li&gt;Hare&lt;/li&gt;</v>
      </c>
      <c r="M6" t="str">
        <f>Animals!$C$73</f>
        <v>&lt;li&gt;Vulture&lt;/li&gt;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Animals!$C$23</f>
        <v>&lt;li&gt;Hare&lt;/li&gt;</v>
      </c>
      <c r="L7" t="str">
        <f>Animals!$C$73</f>
        <v>&lt;li&gt;Vulture&lt;/li&gt;</v>
      </c>
      <c r="M7" t="str">
        <f>Animals!$C$81</f>
        <v>&lt;li&gt;Armadillo&lt;/li&gt;</v>
      </c>
      <c r="N7" t="str">
        <f>Animals!$C$22</f>
        <v>&lt;li&gt;Donkey&lt;/li&gt;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Animals!$C$41</f>
        <v>&lt;li&gt;Boomrat&lt;/li&gt;</v>
      </c>
      <c r="N8" t="str">
        <f>Animals!$C$12</f>
        <v>&lt;li&gt;Dromedary&lt;/li&gt;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Animals!$C$176</f>
        <v>&lt;li&gt;AEXP_RockhopperPenguin&lt;/li&gt;</v>
      </c>
      <c r="C9" t="str">
        <f>Animals!$C$176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s="16" t="str">
        <f>Animals!$C$117</f>
        <v>&lt;li&gt;AEXP_Koala&lt;/li&gt;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Animals!$C$115</f>
        <v>&lt;li&gt;AEXP_Boombat&lt;/li&gt;</v>
      </c>
      <c r="N9" t="str">
        <f>Animals!$C$124</f>
        <v>&lt;li&gt;AEXP_GilaMonster&lt;/li&gt;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Animals!$C$198</f>
        <v>&lt;li&gt;VAEWaste_Megatardi&lt;/li&gt;</v>
      </c>
      <c r="C10" t="str">
        <f>Animals!$C$198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Animals!$C$4</f>
        <v>&lt;li&gt;Raccoon&lt;/li&gt;</v>
      </c>
      <c r="I10" t="str">
        <f>Animals!$C$4</f>
        <v>&lt;li&gt;Raccoon&lt;/li&gt;</v>
      </c>
      <c r="J10" t="str">
        <f>Animals!$C$41</f>
        <v>&lt;li&gt;Boomrat&lt;/li&gt;</v>
      </c>
      <c r="K10" t="str">
        <f>Animals!$C$117</f>
        <v>&lt;li&gt;AEXP_Koala&lt;/li&gt;</v>
      </c>
      <c r="L10" t="str">
        <f>Animals!$C$41</f>
        <v>&lt;li&gt;Boomrat&lt;/li&gt;</v>
      </c>
      <c r="M10" t="str">
        <f>Animals!$C$54</f>
        <v>&lt;li&gt;Gazelle&lt;/li&gt;</v>
      </c>
      <c r="N10" t="str">
        <f>Animals!$C$126</f>
        <v>&lt;li&gt;AEXP_Rattlesnake&lt;/li&gt;</v>
      </c>
      <c r="O10" t="str">
        <f>Animals!$C$117</f>
        <v>&lt;li&gt;AEXP_Koala&lt;/li&gt;</v>
      </c>
      <c r="P10" t="str">
        <f>Animals!$C$117</f>
        <v>&lt;li&gt;AEXP_Koala&lt;/li&gt;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Animals!$C$128</f>
        <v>&lt;li&gt;AEXP_RedPanda&lt;/li&gt;</v>
      </c>
      <c r="I11" t="str">
        <f>Animals!$C$128</f>
        <v>&lt;li&gt;AEXP_RedPanda&lt;/li&gt;</v>
      </c>
      <c r="J11" s="16" t="str">
        <f>Animals!$C$115</f>
        <v>&lt;li&gt;AEXP_Boombat&lt;/li&gt;</v>
      </c>
      <c r="K11" t="str">
        <f>Animals!$C$41</f>
        <v>&lt;li&gt;Boomrat&lt;/li&gt;</v>
      </c>
      <c r="L11" t="str">
        <f>Animals!$C$115</f>
        <v>&lt;li&gt;AEXP_Boombat&lt;/li&gt;</v>
      </c>
      <c r="M11" t="str">
        <f>Animals!$C$122</f>
        <v>&lt;li&gt;AEXP_DesertTortoise&lt;/li&gt;</v>
      </c>
      <c r="N11" t="str">
        <f>Animals!$C$60</f>
        <v xml:space="preserve">&lt;li&gt;Fox_Fennec&lt;/li&gt; </v>
      </c>
      <c r="O11" t="str">
        <f>Animals!$C$81</f>
        <v>&lt;li&gt;Armadillo&lt;/li&gt;</v>
      </c>
      <c r="P11" t="str">
        <f>Animals!$C$81</f>
        <v>&lt;li&gt;Armadillo&lt;/li&gt;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Animals!$C$8</f>
        <v>&lt;li&gt;Turkey&lt;/li&gt;</v>
      </c>
      <c r="I12" t="str">
        <f>Animals!$C$8</f>
        <v>&lt;li&gt;Turkey&lt;/li&gt;</v>
      </c>
      <c r="J12" t="str">
        <f>Animals!$C$54</f>
        <v>&lt;li&gt;Gazelle&lt;/li&gt;</v>
      </c>
      <c r="K12" t="str">
        <f>Animals!$C$115</f>
        <v>&lt;li&gt;AEXP_Boombat&lt;/li&gt;</v>
      </c>
      <c r="L12" t="str">
        <f>Animals!$C$54</f>
        <v>&lt;li&gt;Gazelle&lt;/li&gt;</v>
      </c>
      <c r="M12" t="str">
        <f>Animals!$C$7</f>
        <v>&lt;li&gt;Emu&lt;/li&gt;</v>
      </c>
      <c r="N12" t="str">
        <f>Animals!$C$101</f>
        <v>&lt;li&gt;StoneCrab&lt;/li&gt;</v>
      </c>
      <c r="O12" t="str">
        <f>Animals!$C$41</f>
        <v>&lt;li&gt;Boomrat&lt;/li&gt;</v>
      </c>
      <c r="P12" t="str">
        <f>Animals!$C$41</f>
        <v>&lt;li&gt;Boomrat&lt;/li&gt;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Animals!$C$94</f>
        <v>&lt;li&gt;Porcupine&lt;/li&gt;</v>
      </c>
      <c r="I13" t="str">
        <f>Animals!$C$94</f>
        <v>&lt;li&gt;Porcupine&lt;/li&gt;</v>
      </c>
      <c r="J13" s="16" t="str">
        <f>Animals!$C$122</f>
        <v>&lt;li&gt;AEXP_DesertTortoise&lt;/li&gt;</v>
      </c>
      <c r="K13" t="str">
        <f>Animals!$C$54</f>
        <v>&lt;li&gt;Gazelle&lt;/li&gt;</v>
      </c>
      <c r="L13" t="str">
        <f>Animals!$C$122</f>
        <v>&lt;li&gt;AEXP_DesertTortoise&lt;/li&gt;</v>
      </c>
      <c r="M13" t="str">
        <f>Animals!$C$116</f>
        <v>&lt;li&gt;AEXP_Kangaroo&lt;/li&gt;</v>
      </c>
      <c r="N13" s="16" t="str">
        <f>Animals!$C$102</f>
        <v>&lt;li&gt;HermitCrab&lt;/li&gt;</v>
      </c>
      <c r="O13" s="16" t="str">
        <f>Animals!$C$72</f>
        <v>&lt;li&gt;Peacock&lt;/li&gt;</v>
      </c>
      <c r="P13" t="str">
        <f>Animals!$C$72</f>
        <v>&lt;li&gt;Peacock&lt;/li&gt;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Animals!$C$84</f>
        <v>&lt;li&gt;Badger&lt;/li&gt;</v>
      </c>
      <c r="I14" t="str">
        <f>Animals!$C$84</f>
        <v>&lt;li&gt;Badger&lt;/li&gt;</v>
      </c>
      <c r="J14" s="16" t="str">
        <f>Animals!$C$7</f>
        <v>&lt;li&gt;Emu&lt;/li&gt;</v>
      </c>
      <c r="K14" t="str">
        <f>Animals!$C$122</f>
        <v>&lt;li&gt;AEXP_DesertTortoise&lt;/li&gt;</v>
      </c>
      <c r="L14" t="str">
        <f>Animals!$C$7</f>
        <v>&lt;li&gt;Emu&lt;/li&gt;</v>
      </c>
      <c r="M14" t="str">
        <f>Animals!$C$5</f>
        <v>&lt;li&gt;Ostrich&lt;/li&gt;</v>
      </c>
      <c r="N14" t="str">
        <f>Animals!$C$61</f>
        <v>&lt;li&gt;WasteRat&lt;/li&gt;</v>
      </c>
      <c r="O14" t="str">
        <f>Animals!$C$32</f>
        <v>&lt;li&gt;Iguana&lt;/li&gt;</v>
      </c>
      <c r="P14" t="str">
        <f>Animals!$C$32</f>
        <v>&lt;li&gt;Iguana&lt;/li&gt;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Animals!$C$41</f>
        <v>&lt;li&gt;Boomrat&lt;/li&gt;</v>
      </c>
      <c r="I15" t="str">
        <f>Animals!$C$41</f>
        <v>&lt;li&gt;Boomrat&lt;/li&gt;</v>
      </c>
      <c r="J15" s="16" t="str">
        <f>Animals!$C$116</f>
        <v>&lt;li&gt;AEXP_Kangaroo&lt;/li&gt;</v>
      </c>
      <c r="K15" t="str">
        <f>Animals!$C$7</f>
        <v>&lt;li&gt;Emu&lt;/li&gt;</v>
      </c>
      <c r="L15" t="str">
        <f>Animals!$C$116</f>
        <v>&lt;li&gt;AEXP_Kangaroo&lt;/li&gt;</v>
      </c>
      <c r="M15" t="str">
        <f>Animals!$C$47</f>
        <v>&lt;li&gt;Boomalope&lt;/li&gt;</v>
      </c>
      <c r="N15" t="str">
        <f>Animals!$C$48</f>
        <v>&lt;li&gt;Toxalope&lt;/li&gt;</v>
      </c>
      <c r="O15" s="16" t="str">
        <f>Animals!$C$34</f>
        <v>&lt;li&gt;Tortoise&lt;/li&gt;</v>
      </c>
      <c r="P15" s="16" t="str">
        <f>Animals!$C$34</f>
        <v>&lt;li&gt;Tortoise&lt;/li&gt;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Animals!$C$53</f>
        <v>&lt;li&gt;Deer&lt;/li&gt;</v>
      </c>
      <c r="I16" t="str">
        <f>Animals!$C$53</f>
        <v>&lt;li&gt;Deer&lt;/li&gt;</v>
      </c>
      <c r="J16" t="str">
        <f>Animals!$C$5</f>
        <v>&lt;li&gt;Ostrich&lt;/li&gt;</v>
      </c>
      <c r="K16" t="str">
        <f>Animals!$C$116</f>
        <v>&lt;li&gt;AEXP_Kangaroo&lt;/li&gt;</v>
      </c>
      <c r="L16" t="str">
        <f>Animals!$C$5</f>
        <v>&lt;li&gt;Ostrich&lt;/li&gt;</v>
      </c>
      <c r="M16" t="str">
        <f>Animals!$C$22</f>
        <v>&lt;li&gt;Donkey&lt;/li&gt;</v>
      </c>
      <c r="N16" t="str">
        <f>Animals!$C$198</f>
        <v>&lt;li&gt;VAEWaste_Megatardi&lt;/li&gt;</v>
      </c>
      <c r="O16" s="16" t="str">
        <f>Animals!$C$134</f>
        <v>&lt;li&gt;AEXP_Mandrill&lt;/li&gt;</v>
      </c>
      <c r="P16" t="str">
        <f>Animals!$C$134</f>
        <v>&lt;li&gt;AEXP_Mandrill&lt;/li&gt;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4:18" x14ac:dyDescent="0.25"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Animals!$C$29</f>
        <v>&lt;li&gt;WildBoar&lt;/li&gt;</v>
      </c>
      <c r="I17" t="str">
        <f>Animals!$C$29</f>
        <v>&lt;li&gt;WildBoar&lt;/li&gt;</v>
      </c>
      <c r="J17" t="str">
        <f>Animals!$C$47</f>
        <v>&lt;li&gt;Boomalope&lt;/li&gt;</v>
      </c>
      <c r="K17" t="str">
        <f>Animals!$C$5</f>
        <v>&lt;li&gt;Ostrich&lt;/li&gt;</v>
      </c>
      <c r="L17" t="str">
        <f>Animals!$C$47</f>
        <v>&lt;li&gt;Boomalope&lt;/li&gt;</v>
      </c>
      <c r="M17" t="str">
        <f>Animals!$C$112</f>
        <v>&lt;li&gt;AEXP_Wildebeest&lt;/li&gt;</v>
      </c>
      <c r="N17" t="str">
        <f>Animals!$C$197</f>
        <v>&lt;li&gt;VAEWaste_Hydra&lt;/li&gt;</v>
      </c>
      <c r="O17" s="16" t="str">
        <f>Animals!$C$6</f>
        <v>&lt;li&gt;Cassowary&lt;/li&gt;</v>
      </c>
      <c r="P17" t="str">
        <f>Animals!$C$6</f>
        <v>&lt;li&gt;Cassowary&lt;/li&gt;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4:18" x14ac:dyDescent="0.25"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Animals!$C$47</f>
        <v>&lt;li&gt;Boomalope&lt;/li&gt;</v>
      </c>
      <c r="I18" t="str">
        <f>Animals!$C$47</f>
        <v>&lt;li&gt;Boomalope&lt;/li&gt;</v>
      </c>
      <c r="J18" t="str">
        <f>Animals!$C$22</f>
        <v>&lt;li&gt;Donkey&lt;/li&gt;</v>
      </c>
      <c r="K18" t="str">
        <f>Animals!$C$47</f>
        <v>&lt;li&gt;Boomalope&lt;/li&gt;</v>
      </c>
      <c r="L18" t="str">
        <f>Animals!$C$22</f>
        <v>&lt;li&gt;Donkey&lt;/li&gt;</v>
      </c>
      <c r="M18" t="str">
        <f>Animals!$C$111</f>
        <v>&lt;li&gt;AEXP_Zebra&lt;/li&gt;</v>
      </c>
      <c r="N18" t="str">
        <f>Animals!$C$204</f>
        <v>&lt;li&gt;VAEWaste_Toxscorpion&lt;/li&gt;</v>
      </c>
      <c r="O18" t="str">
        <f>Animals!$C$39</f>
        <v>&lt;li&gt;Capybara&lt;/li&gt;</v>
      </c>
      <c r="P18" t="str">
        <f>Animals!$C$39</f>
        <v>&lt;li&gt;Capybara&lt;/li&gt;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4:18" x14ac:dyDescent="0.25">
      <c r="D19" t="str">
        <f>Animals!$C$176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Animals!$C$46</f>
        <v>&lt;li&gt;Elk&lt;/li&gt;</v>
      </c>
      <c r="I19" t="str">
        <f>Animals!$C$46</f>
        <v>&lt;li&gt;Elk&lt;/li&gt;</v>
      </c>
      <c r="J19" s="16" t="str">
        <f>Animals!$C$112</f>
        <v>&lt;li&gt;AEXP_Wildebeest&lt;/li&gt;</v>
      </c>
      <c r="K19" t="str">
        <f>Animals!$C$22</f>
        <v>&lt;li&gt;Donkey&lt;/li&gt;</v>
      </c>
      <c r="L19" t="str">
        <f>Animals!$C$112</f>
        <v>&lt;li&gt;AEXP_Wildebeest&lt;/li&gt;</v>
      </c>
      <c r="M19" t="str">
        <f>Animals!$C$12</f>
        <v>&lt;li&gt;Dromedary&lt;/li&gt;</v>
      </c>
      <c r="O19" t="str">
        <f>Animals!$C$29</f>
        <v>&lt;li&gt;WildBoar&lt;/li&gt;</v>
      </c>
      <c r="P19" t="str">
        <f>Animals!$C$29</f>
        <v>&lt;li&gt;WildBoar&lt;/li&gt;</v>
      </c>
      <c r="Q19" t="str">
        <f>Animals!$C$89</f>
        <v>&lt;li&gt;Gorilla&lt;/li&gt;</v>
      </c>
      <c r="R19" t="str">
        <f>Animals!$C$197</f>
        <v>&lt;li&gt;VAEWaste_Hydra&lt;/li&gt;</v>
      </c>
    </row>
    <row r="20" spans="4:18" x14ac:dyDescent="0.25">
      <c r="D20" t="str">
        <f>Animals!$C$198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Animals!$C$44</f>
        <v>&lt;li&gt;Muffalo&lt;/li&gt;</v>
      </c>
      <c r="I20" t="str">
        <f>Animals!$C$44</f>
        <v>&lt;li&gt;Muffalo&lt;/li&gt;</v>
      </c>
      <c r="J20" s="16" t="str">
        <f>Animals!$C$111</f>
        <v>&lt;li&gt;AEXP_Zebra&lt;/li&gt;</v>
      </c>
      <c r="K20" t="str">
        <f>Animals!$C$112</f>
        <v>&lt;li&gt;AEXP_Wildebeest&lt;/li&gt;</v>
      </c>
      <c r="L20" t="str">
        <f>Animals!$C$111</f>
        <v>&lt;li&gt;AEXP_Zebra&lt;/li&gt;</v>
      </c>
      <c r="M20" t="str">
        <f>Animals!$C$124</f>
        <v>&lt;li&gt;AEXP_GilaMonster&lt;/li&gt;</v>
      </c>
      <c r="O20" t="str">
        <f>Animals!$C$89</f>
        <v>&lt;li&gt;Gorilla&lt;/li&gt;</v>
      </c>
      <c r="P20" t="str">
        <f>Animals!$C$89</f>
        <v>&lt;li&gt;Gorilla&lt;/li&gt;</v>
      </c>
      <c r="Q20" t="str">
        <f>Animals!$C$47</f>
        <v>&lt;li&gt;Boomalope&lt;/li&gt;</v>
      </c>
      <c r="R20" s="16" t="str">
        <f>Animals!$C$198</f>
        <v>&lt;li&gt;VAEWaste_Megatardi&lt;/li&gt;</v>
      </c>
    </row>
    <row r="21" spans="4:18" x14ac:dyDescent="0.25">
      <c r="D21" t="str">
        <f>Animals!$C$200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Animals!$C$21</f>
        <v>&lt;li&gt;Horse&lt;/li&gt;</v>
      </c>
      <c r="I21" t="str">
        <f>Animals!$C$21</f>
        <v>&lt;li&gt;Horse&lt;/li&gt;</v>
      </c>
      <c r="J21" t="str">
        <f>Animals!$C$21</f>
        <v>&lt;li&gt;Horse&lt;/li&gt;</v>
      </c>
      <c r="K21" t="str">
        <f>Animals!$C$111</f>
        <v>&lt;li&gt;AEXP_Zebra&lt;/li&gt;</v>
      </c>
      <c r="L21" t="str">
        <f>Animals!$C$12</f>
        <v>&lt;li&gt;Dromedary&lt;/li&gt;</v>
      </c>
      <c r="M21" t="str">
        <f>Animals!$C$126</f>
        <v>&lt;li&gt;AEXP_Rattlesnake&lt;/li&gt;</v>
      </c>
      <c r="O21" t="str">
        <f>Animals!$C$47</f>
        <v>&lt;li&gt;Boomalope&lt;/li&gt;</v>
      </c>
      <c r="P21" t="str">
        <f>Animals!$C$47</f>
        <v>&lt;li&gt;Boomalope&lt;/li&gt;</v>
      </c>
      <c r="Q21" t="str">
        <f>Animals!$C$135</f>
        <v>&lt;li&gt;AEXP_Tapir&lt;/li&gt;</v>
      </c>
      <c r="R21" s="16" t="str">
        <f>Animals!$C$199</f>
        <v>&lt;li&gt;VAEWaste_Pestigator&lt;/li&gt;</v>
      </c>
    </row>
    <row r="22" spans="4:18" x14ac:dyDescent="0.25">
      <c r="D22" s="16" t="str">
        <f>Animals!$C$201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Animals!$C$96</f>
        <v>&lt;li&gt;Moose&lt;/li&gt;</v>
      </c>
      <c r="I22" t="str">
        <f>Animals!$C$96</f>
        <v>&lt;li&gt;Moose&lt;/li&gt;</v>
      </c>
      <c r="J22" t="str">
        <f>Animals!$C$12</f>
        <v>&lt;li&gt;Dromedary&lt;/li&gt;</v>
      </c>
      <c r="K22" t="str">
        <f>Animals!$C$21</f>
        <v>&lt;li&gt;Horse&lt;/li&gt;</v>
      </c>
      <c r="L22" t="str">
        <f>Animals!$C$124</f>
        <v>&lt;li&gt;AEXP_GilaMonster&lt;/li&gt;</v>
      </c>
      <c r="M22" t="str">
        <f>Animals!$C$60</f>
        <v xml:space="preserve">&lt;li&gt;Fox_Fennec&lt;/li&gt; </v>
      </c>
      <c r="O22" s="16" t="str">
        <f>Animals!$C$135</f>
        <v>&lt;li&gt;AEXP_Tapir&lt;/li&gt;</v>
      </c>
      <c r="P22" t="str">
        <f>Animals!$C$135</f>
        <v>&lt;li&gt;AEXP_Tapir&lt;/li&gt;</v>
      </c>
      <c r="Q22" t="str">
        <f>Animals!$C$137</f>
        <v>&lt;li&gt;AEXP_IndianElephant&lt;/li&gt;</v>
      </c>
      <c r="R22" s="16" t="str">
        <f>Animals!$C$200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Animals!$C$42</f>
        <v>&lt;li&gt;Bison&lt;/li&gt;</v>
      </c>
      <c r="I23" t="str">
        <f>Animals!$C$42</f>
        <v>&lt;li&gt;Bison&lt;/li&gt;</v>
      </c>
      <c r="J23" s="16" t="str">
        <f>Animals!$C$110</f>
        <v>&lt;li&gt;AEXP_Giraffe&lt;/li&gt;</v>
      </c>
      <c r="K23" t="str">
        <f>Animals!$C$42</f>
        <v>&lt;li&gt;Bison&lt;/li&gt;</v>
      </c>
      <c r="L23" t="str">
        <f>Animals!$C$126</f>
        <v>&lt;li&gt;AEXP_Rattlesnake&lt;/li&gt;</v>
      </c>
      <c r="M23" t="str">
        <f>Animals!$C$109</f>
        <v>&lt;li&gt;AEXP_Coyote&lt;/li&gt;</v>
      </c>
      <c r="O23" s="16" t="str">
        <f>Animals!$C$137</f>
        <v>&lt;li&gt;AEXP_IndianElephant&lt;/li&gt;</v>
      </c>
      <c r="P23" t="str">
        <f>Animals!$C$137</f>
        <v>&lt;li&gt;AEXP_IndianElephant&lt;/li&gt;</v>
      </c>
      <c r="Q23" t="str">
        <f>Animals!$C$33</f>
        <v>&lt;li&gt;Cobra&lt;/li&gt;</v>
      </c>
      <c r="R23" s="16" t="str">
        <f>Animals!$C$201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Animals!$C$28</f>
        <v>&lt;li&gt;Megasloth&lt;/li&gt;</v>
      </c>
      <c r="I24" t="str">
        <f>Animals!$C$28</f>
        <v>&lt;li&gt;Megasloth&lt;/li&gt;</v>
      </c>
      <c r="J24" t="str">
        <f>Animals!$C$25</f>
        <v>&lt;li&gt;Rhinoceros&lt;/li&gt;</v>
      </c>
      <c r="K24" t="str">
        <f>Animals!$C$110</f>
        <v>&lt;li&gt;AEXP_Giraffe&lt;/li&gt;</v>
      </c>
      <c r="L24" t="str">
        <f>Animals!$C$60</f>
        <v xml:space="preserve">&lt;li&gt;Fox_Fennec&lt;/li&gt; </v>
      </c>
      <c r="M24" t="str">
        <f>Animals!$C$114</f>
        <v>&lt;li&gt;AEXP_Cheetah&lt;/li&gt;</v>
      </c>
      <c r="O24" t="str">
        <f>Animals!$C$33</f>
        <v>&lt;li&gt;Cobra&lt;/li&gt;</v>
      </c>
      <c r="P24" t="str">
        <f>Animals!$C$33</f>
        <v>&lt;li&gt;Cobra&lt;/li&gt;</v>
      </c>
      <c r="Q24" t="str">
        <f>Animals!$C$18</f>
        <v>&lt;li&gt;Panther&lt;/li&gt;</v>
      </c>
      <c r="R24" s="16" t="str">
        <f>Animals!$C$202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Animals!$C$62</f>
        <v>&lt;li&gt;Panda&lt;/li&gt;</v>
      </c>
      <c r="I25" t="str">
        <f>Animals!$C$62</f>
        <v>&lt;li&gt;Panda&lt;/li&gt;</v>
      </c>
      <c r="J25" s="16" t="str">
        <f>Animals!$C$26</f>
        <v>&lt;li&gt;Elephant&lt;/li&gt;</v>
      </c>
      <c r="K25" t="str">
        <f>Animals!$C$25</f>
        <v>&lt;li&gt;Rhinoceros&lt;/li&gt;</v>
      </c>
      <c r="L25" t="str">
        <f>Animals!$C$109</f>
        <v>&lt;li&gt;AEXP_Coyote&lt;/li&gt;</v>
      </c>
      <c r="M25" t="str">
        <f>Animals!$C$17</f>
        <v>&lt;li&gt;Cougar&lt;/li&gt;</v>
      </c>
      <c r="O25" t="str">
        <f>Animals!$C$18</f>
        <v>&lt;li&gt;Panther&lt;/li&gt;</v>
      </c>
      <c r="P25" t="str">
        <f>Animals!$C$18</f>
        <v>&lt;li&gt;Panther&lt;/li&gt;</v>
      </c>
      <c r="Q25" t="str">
        <f>Animals!$C$132</f>
        <v>&lt;li&gt;AEXP_Jaguar&lt;/li&gt;</v>
      </c>
      <c r="R25" s="16" t="str">
        <f>Animals!$C$203</f>
        <v>&lt;li&gt;VAEWaste_Toxlion&lt;/li&gt;</v>
      </c>
    </row>
    <row r="26" spans="4:18" x14ac:dyDescent="0.25"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Animals!$C$83</f>
        <v>&lt;li&gt;Mink&lt;/li&gt;</v>
      </c>
      <c r="I26" t="str">
        <f>Animals!$C$83</f>
        <v>&lt;li&gt;Mink&lt;/li&gt;</v>
      </c>
      <c r="J26" s="16" t="str">
        <f>Animals!$C$124</f>
        <v>&lt;li&gt;AEXP_GilaMonster&lt;/li&gt;</v>
      </c>
      <c r="K26" t="str">
        <f>Animals!$C$28</f>
        <v>&lt;li&gt;Megasloth&lt;/li&gt;</v>
      </c>
      <c r="L26" t="str">
        <f>Animals!$C$114</f>
        <v>&lt;li&gt;AEXP_Cheetah&lt;/li&gt;</v>
      </c>
      <c r="M26" t="str">
        <f>Animals!$C$121</f>
        <v>&lt;li&gt;AEXP_Hyena&lt;/li&gt;</v>
      </c>
      <c r="O26" s="16" t="str">
        <f>Animals!$C$132</f>
        <v>&lt;li&gt;AEXP_Jaguar&lt;/li&gt;</v>
      </c>
      <c r="P26" t="str">
        <f>Animals!$C$132</f>
        <v>&lt;li&gt;AEXP_Jaguar&lt;/li&gt;</v>
      </c>
      <c r="Q26" t="str">
        <f>Animals!$C$74</f>
        <v>&lt;li&gt;Tiger&lt;/li&gt;</v>
      </c>
      <c r="R26" s="16" t="str">
        <f>Animals!$C$204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Animals!$C$58</f>
        <v>&lt;li&gt;Fox_Red&lt;/li&gt;</v>
      </c>
      <c r="I27" t="str">
        <f>Animals!$C$58</f>
        <v>&lt;li&gt;Fox_Red&lt;/li&gt;</v>
      </c>
      <c r="J27" s="16" t="str">
        <f>Animals!$C$126</f>
        <v>&lt;li&gt;AEXP_Rattlesnake&lt;/li&gt;</v>
      </c>
      <c r="K27" t="str">
        <f>Animals!$C$26</f>
        <v>&lt;li&gt;Elephant&lt;/li&gt;</v>
      </c>
      <c r="L27" t="str">
        <f>Animals!$C$90</f>
        <v>&lt;li&gt;MonitorLizard&lt;/li&gt;</v>
      </c>
      <c r="M27" t="str">
        <f>Animals!$C$123</f>
        <v>&lt;li&gt;AEXP_Lion&lt;/li&gt;</v>
      </c>
      <c r="O27" s="16" t="str">
        <f>Animals!$C$74</f>
        <v>&lt;li&gt;Tiger&lt;/li&gt;</v>
      </c>
      <c r="P27" t="str">
        <f>Animals!$C$74</f>
        <v>&lt;li&gt;Tiger&lt;/li&gt;</v>
      </c>
      <c r="Q27" t="str">
        <f>Animals!$C$92</f>
        <v>&lt;li&gt;SeaTurtle&lt;/li&gt;</v>
      </c>
      <c r="R27" s="16" t="str">
        <f>Animals!$C$205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Animals!$C$60</f>
        <v xml:space="preserve">&lt;li&gt;Fox_Fennec&lt;/li&gt; </v>
      </c>
      <c r="K28" t="str">
        <f>Animals!$C$109</f>
        <v>&lt;li&gt;AEXP_Coyote&lt;/li&gt;</v>
      </c>
      <c r="L28" s="16" t="str">
        <f>Animals!$C$17</f>
        <v>&lt;li&gt;Cougar&lt;/li&gt;</v>
      </c>
      <c r="M28" t="str">
        <f>Animals!$C$92</f>
        <v>&lt;li&gt;SeaTurtle&lt;/li&gt;</v>
      </c>
      <c r="O28" t="str">
        <f>Animals!$C$92</f>
        <v>&lt;li&gt;SeaTurtle&lt;/li&gt;</v>
      </c>
      <c r="P28" t="str">
        <f>Animals!$C$92</f>
        <v>&lt;li&gt;SeaTurtle&lt;/li&gt;</v>
      </c>
      <c r="Q28" s="16" t="str">
        <f>Animals!$C$101</f>
        <v>&lt;li&gt;StoneCrab&lt;/li&gt;</v>
      </c>
      <c r="R28" s="16" t="str">
        <f>Animals!$C$206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Animals!$C$109</f>
        <v>&lt;li&gt;AEXP_Coyote&lt;/li&gt;</v>
      </c>
      <c r="K29" t="str">
        <f>Animals!$C$114</f>
        <v>&lt;li&gt;AEXP_Cheetah&lt;/li&gt;</v>
      </c>
      <c r="L29" t="str">
        <f>Animals!$C$123</f>
        <v>&lt;li&gt;AEXP_Lion&lt;/li&gt;</v>
      </c>
      <c r="M29" t="str">
        <f>Animals!$C$101</f>
        <v>&lt;li&gt;StoneCrab&lt;/li&gt;</v>
      </c>
      <c r="O29" t="str">
        <f>Animals!$C$101</f>
        <v>&lt;li&gt;StoneCrab&lt;/li&gt;</v>
      </c>
      <c r="P29" s="16" t="str">
        <f>Animals!$C$101</f>
        <v>&lt;li&gt;StoneCrab&lt;/li&gt;</v>
      </c>
      <c r="Q29" t="str">
        <f>Animals!$C$102</f>
        <v>&lt;li&gt;HermitCrab&lt;/li&gt;</v>
      </c>
      <c r="R29" s="16" t="str">
        <f>Animals!$C$207</f>
        <v>&lt;li&gt;VAEWaste_Wasteffalo&lt;/li&gt;</v>
      </c>
    </row>
    <row r="30" spans="4:18" x14ac:dyDescent="0.25"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Animals!$C$114</f>
        <v>&lt;li&gt;AEXP_Cheetah&lt;/li&gt;</v>
      </c>
      <c r="K30" t="str">
        <f>Animals!$C$90</f>
        <v>&lt;li&gt;MonitorLizard&lt;/li&gt;</v>
      </c>
      <c r="L30" t="str">
        <f>Animals!$C$92</f>
        <v>&lt;li&gt;SeaTurtle&lt;/li&gt;</v>
      </c>
      <c r="M30" s="16" t="str">
        <f>Animals!$C$102</f>
        <v>&lt;li&gt;HermitCrab&lt;/li&gt;</v>
      </c>
      <c r="O30" s="16" t="str">
        <f>Animals!$C$102</f>
        <v>&lt;li&gt;HermitCrab&lt;/li&gt;</v>
      </c>
      <c r="P30" s="16" t="str">
        <f>Animals!$C$102</f>
        <v>&lt;li&gt;HermitCrab&lt;/li&gt;</v>
      </c>
      <c r="Q30" t="str">
        <f>Animals!$C$113</f>
        <v>&lt;li&gt;AEXP_Crocodile&lt;/li&gt;</v>
      </c>
      <c r="R30" s="16"/>
    </row>
    <row r="31" spans="4:18" x14ac:dyDescent="0.25">
      <c r="E31" s="16" t="str">
        <f>Animals!$C$87</f>
        <v>&lt;li&gt;Seal&lt;/li&gt;</v>
      </c>
      <c r="F31" t="str">
        <f>Animals!$C$198</f>
        <v>&lt;li&gt;VAEWaste_Megatardi&lt;/li&gt;</v>
      </c>
      <c r="G31" s="16" t="str">
        <f>Animals!$C$69</f>
        <v>&lt;li&gt;Heron&lt;/li&gt;</v>
      </c>
      <c r="H31" s="16" t="str">
        <f>Animals!$C$17</f>
        <v>&lt;li&gt;Cougar&lt;/li&gt;</v>
      </c>
      <c r="I31" t="str">
        <f>Animals!$C$17</f>
        <v>&lt;li&gt;Cougar&lt;/li&gt;</v>
      </c>
      <c r="J31" t="str">
        <f>Animals!$C$90</f>
        <v>&lt;li&gt;MonitorLizard&lt;/li&gt;</v>
      </c>
      <c r="K31" t="str">
        <f>Animals!$C$121</f>
        <v>&lt;li&gt;AEXP_Hyena&lt;/li&gt;</v>
      </c>
      <c r="L31" t="str">
        <f>Animals!$C$101</f>
        <v>&lt;li&gt;StoneCrab&lt;/li&gt;</v>
      </c>
      <c r="M31" t="str">
        <f>Animals!$C$61</f>
        <v>&lt;li&gt;WasteRat&lt;/li&gt;</v>
      </c>
      <c r="O31" s="16" t="str">
        <f>Animals!$C$113</f>
        <v>&lt;li&gt;AEXP_Crocodile&lt;/li&gt;</v>
      </c>
      <c r="P31" s="16" t="str">
        <f>Animals!$C$113</f>
        <v>&lt;li&gt;AEXP_Crocodile&lt;/li&gt;</v>
      </c>
      <c r="Q31" t="str">
        <f>Animals!$C$76</f>
        <v>&lt;li&gt;Bullfrog&lt;/li&gt;</v>
      </c>
      <c r="R31" s="16"/>
    </row>
    <row r="32" spans="4:18" s="16" customFormat="1" x14ac:dyDescent="0.25">
      <c r="E32" s="16" t="str">
        <f>Animals!$C$198</f>
        <v>&lt;li&gt;VAEWaste_Megatardi&lt;/li&gt;</v>
      </c>
      <c r="F32" t="str">
        <f>Animals!$C$200</f>
        <v>&lt;li&gt;VAEWaste_Toxafox&lt;/li&gt;</v>
      </c>
      <c r="G32" t="str">
        <f>Animals!$C$85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Animals!$C$121</f>
        <v>&lt;li&gt;AEXP_Hyena&lt;/li&gt;</v>
      </c>
      <c r="K32" t="str">
        <f>Animals!$C$123</f>
        <v>&lt;li&gt;AEXP_Lion&lt;/li&gt;</v>
      </c>
      <c r="L32" t="str">
        <f>Animals!$C$102</f>
        <v>&lt;li&gt;HermitCrab&lt;/li&gt;</v>
      </c>
      <c r="M32" s="16" t="str">
        <f>Animals!$C$48</f>
        <v>&lt;li&gt;Toxalope&lt;/li&gt;</v>
      </c>
      <c r="O32" t="str">
        <f>Animals!$C$61</f>
        <v>&lt;li&gt;WasteRat&lt;/li&gt;</v>
      </c>
      <c r="P32" s="16" t="str">
        <f>Animals!$C$76</f>
        <v>&lt;li&gt;Bullfrog&lt;/li&gt;</v>
      </c>
      <c r="Q32" t="str">
        <f>Animals!$C$69</f>
        <v>&lt;li&gt;Heron&lt;/li&gt;</v>
      </c>
    </row>
    <row r="33" spans="5:18" x14ac:dyDescent="0.25">
      <c r="E33" s="16" t="str">
        <f>Animals!$C$200</f>
        <v>&lt;li&gt;VAEWaste_Toxafox&lt;/li&gt;</v>
      </c>
      <c r="F33" t="str">
        <f>Animals!$C$201</f>
        <v>&lt;li&gt;VAEWaste_Toxbear&lt;/li&gt;</v>
      </c>
      <c r="G33" t="str">
        <f>Animals!$C$130</f>
        <v>&lt;li&gt;AEXP_Beaver&lt;/li&gt;</v>
      </c>
      <c r="H33" s="16" t="str">
        <f>Animals!$C$55</f>
        <v>&lt;li&gt;Warg&lt;/li&gt;</v>
      </c>
      <c r="I33" t="str">
        <f>Animals!$C$55</f>
        <v>&lt;li&gt;Warg&lt;/li&gt;</v>
      </c>
      <c r="J33" t="str">
        <f>Animals!$C$17</f>
        <v>&lt;li&gt;Cougar&lt;/li&gt;</v>
      </c>
      <c r="K33" t="str">
        <f>Animals!$C$92</f>
        <v>&lt;li&gt;SeaTurtle&lt;/li&gt;</v>
      </c>
      <c r="L33" s="16" t="str">
        <f>Animals!$C$113</f>
        <v>&lt;li&gt;AEXP_Crocodile&lt;/li&gt;</v>
      </c>
      <c r="M33" t="str">
        <f>Animals!$C$179</f>
        <v>&lt;li&gt;AEXP_AfricanWildDog&lt;/li&gt;</v>
      </c>
      <c r="O33" t="str">
        <f>Animals!$C$48</f>
        <v>&lt;li&gt;Toxalope&lt;/li&gt;</v>
      </c>
      <c r="P33" s="16" t="str">
        <f>Animals!$C$69</f>
        <v>&lt;li&gt;Heron&lt;/li&gt;</v>
      </c>
      <c r="Q33" t="str">
        <f>Animals!$C$77</f>
        <v>&lt;li&gt;ColossusToad&lt;/li&gt;</v>
      </c>
      <c r="R33" s="16"/>
    </row>
    <row r="34" spans="5:18" x14ac:dyDescent="0.25">
      <c r="E34" s="16" t="str">
        <f>Animals!$C$201</f>
        <v>&lt;li&gt;VAEWaste_Toxbear&lt;/li&gt;</v>
      </c>
      <c r="F34" s="16" t="str">
        <f>Animals!$C$205</f>
        <v>&lt;li&gt;VAEWaste_Wasteboar&lt;/li&gt;</v>
      </c>
      <c r="G34" t="str">
        <f>Animals!$C$129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Animals!$C$123</f>
        <v>&lt;li&gt;AEXP_Lion&lt;/li&gt;</v>
      </c>
      <c r="K34" t="str">
        <f>Animals!$C$101</f>
        <v>&lt;li&gt;StoneCrab&lt;/li&gt;</v>
      </c>
      <c r="L34" t="str">
        <f>Animals!$C$61</f>
        <v>&lt;li&gt;WasteRat&lt;/li&gt;</v>
      </c>
      <c r="M34" t="str">
        <f>Animals!$C$198</f>
        <v>&lt;li&gt;VAEWaste_Megatardi&lt;/li&gt;</v>
      </c>
      <c r="O34" t="str">
        <f>Animals!$C$173</f>
        <v>&lt;li&gt;AEXP_Bonobo&lt;/li&gt;</v>
      </c>
      <c r="P34" s="16" t="str">
        <f>Animals!$C$70</f>
        <v>&lt;li&gt;Flamingo&lt;/li&gt;</v>
      </c>
      <c r="Q34" t="str">
        <f>Animals!$C$78</f>
        <v>&lt;li&gt;Hippo&lt;/li&gt;</v>
      </c>
      <c r="R34" s="16"/>
    </row>
    <row r="35" spans="5:18" x14ac:dyDescent="0.25">
      <c r="E35" t="str">
        <f>Animals!$C$206</f>
        <v>&lt;li&gt;VAEWaste_Wastedeer&lt;/li&gt;</v>
      </c>
      <c r="F35" s="16" t="str">
        <f>Animals!$C$206</f>
        <v>&lt;li&gt;VAEWaste_Wastedeer&lt;/li&gt;</v>
      </c>
      <c r="G35" t="str">
        <f>Animals!$C$61</f>
        <v>&lt;li&gt;WasteRat&lt;/li&gt;</v>
      </c>
      <c r="H35" s="16" t="str">
        <f>Animals!$C$86</f>
        <v>&lt;li&gt;SeaLion&lt;/li&gt;</v>
      </c>
      <c r="I35" t="str">
        <f>Animals!$C$86</f>
        <v>&lt;li&gt;SeaLion&lt;/li&gt;</v>
      </c>
      <c r="J35" s="16" t="str">
        <f>Animals!$C$92</f>
        <v>&lt;li&gt;SeaTurtle&lt;/li&gt;</v>
      </c>
      <c r="K35" s="16" t="str">
        <f>Animals!$C$102</f>
        <v>&lt;li&gt;HermitCrab&lt;/li&gt;</v>
      </c>
      <c r="L35" t="str">
        <f>Animals!$C$48</f>
        <v>&lt;li&gt;Toxalope&lt;/li&gt;</v>
      </c>
      <c r="M35" t="str">
        <f>Animals!$C$197</f>
        <v>&lt;li&gt;VAEWaste_Hydra&lt;/li&gt;</v>
      </c>
      <c r="O35" t="str">
        <f>Animals!$C$163</f>
        <v>&lt;li&gt;VAERoy_Orangutan&lt;/li&gt;</v>
      </c>
      <c r="P35" s="16" t="str">
        <f>Animals!$C$77</f>
        <v>&lt;li&gt;ColossusToad&lt;/li&gt;</v>
      </c>
      <c r="Q35" t="str">
        <f>Animals!$C$136</f>
        <v>&lt;li&gt;AEXP_Anaconda&lt;/li&gt;</v>
      </c>
    </row>
    <row r="36" spans="5:18" x14ac:dyDescent="0.25">
      <c r="E36" t="str">
        <f>Animals!$C$207</f>
        <v>&lt;li&gt;VAEWaste_Wasteffalo&lt;/li&gt;</v>
      </c>
      <c r="F36" s="16" t="str">
        <f>Animals!$C$207</f>
        <v>&lt;li&gt;VAEWaste_Wasteffalo&lt;/li&gt;</v>
      </c>
      <c r="G36" t="str">
        <f>Animals!$C$48</f>
        <v>&lt;li&gt;Toxalope&lt;/li&gt;</v>
      </c>
      <c r="H36" s="16" t="str">
        <f>Animals!$C$87</f>
        <v>&lt;li&gt;Seal&lt;/li&gt;</v>
      </c>
      <c r="I36" s="16" t="str">
        <f>Animals!$C$87</f>
        <v>&lt;li&gt;Seal&lt;/li&gt;</v>
      </c>
      <c r="J36" s="16" t="str">
        <f>Animals!$C$101</f>
        <v>&lt;li&gt;StoneCrab&lt;/li&gt;</v>
      </c>
      <c r="K36" s="16" t="str">
        <f>Animals!$C$113</f>
        <v>&lt;li&gt;AEXP_Crocodile&lt;/li&gt;</v>
      </c>
      <c r="L36" t="str">
        <f>Animals!$C$175</f>
        <v>&lt;li&gt;AEXP_Quagga&lt;/li&gt;</v>
      </c>
      <c r="M36" t="str">
        <f>Animals!$C$203</f>
        <v>&lt;li&gt;VAEWaste_Toxlion&lt;/li&gt;</v>
      </c>
      <c r="O36" s="16" t="str">
        <f>Animals!$C$198</f>
        <v>&lt;li&gt;VAEWaste_Megatardi&lt;/li&gt;</v>
      </c>
      <c r="P36" t="str">
        <f>Animals!$C$78</f>
        <v>&lt;li&gt;Hippo&lt;/li&gt;</v>
      </c>
      <c r="Q36" t="str">
        <f>Animals!$C$91</f>
        <v>&lt;li&gt;Alligator&lt;/li&gt;</v>
      </c>
    </row>
    <row r="37" spans="5:18" x14ac:dyDescent="0.25">
      <c r="E37" s="16"/>
      <c r="G37" t="str">
        <f>Animals!$C$198</f>
        <v>&lt;li&gt;VAEWaste_Megatardi&lt;/li&gt;</v>
      </c>
      <c r="H37" s="16" t="str">
        <f>Animals!$C$101</f>
        <v>&lt;li&gt;StoneCrab&lt;/li&gt;</v>
      </c>
      <c r="I37" t="str">
        <f>Animals!$C$101</f>
        <v>&lt;li&gt;StoneCrab&lt;/li&gt;</v>
      </c>
      <c r="J37" s="16" t="str">
        <f>Animals!$C$102</f>
        <v>&lt;li&gt;HermitCrab&lt;/li&gt;</v>
      </c>
      <c r="K37" t="str">
        <f>Animals!$C$61</f>
        <v>&lt;li&gt;WasteRat&lt;/li&gt;</v>
      </c>
      <c r="L37" t="str">
        <f>Animals!$C$179</f>
        <v>&lt;li&gt;AEXP_AfricanWildDog&lt;/li&gt;</v>
      </c>
      <c r="M37" s="16" t="str">
        <f>Animals!$C$204</f>
        <v>&lt;li&gt;VAEWaste_Toxscorpion&lt;/li&gt;</v>
      </c>
      <c r="O37" s="16" t="str">
        <f>Animals!$C$197</f>
        <v>&lt;li&gt;VAEWaste_Hydra&lt;/li&gt;</v>
      </c>
      <c r="P37" t="str">
        <f>Animals!$C$136</f>
        <v>&lt;li&gt;AEXP_Anaconda&lt;/li&gt;</v>
      </c>
      <c r="Q37" t="str">
        <f>Animals!$C$61</f>
        <v>&lt;li&gt;WasteRat&lt;/li&gt;</v>
      </c>
    </row>
    <row r="38" spans="5:18" s="16" customFormat="1" x14ac:dyDescent="0.25">
      <c r="G38" s="16" t="str">
        <f>Animals!$C$200</f>
        <v>&lt;li&gt;VAEWaste_Toxafox&lt;/li&gt;</v>
      </c>
      <c r="H38" s="16" t="str">
        <f>Animals!$C$61</f>
        <v>&lt;li&gt;WasteRat&lt;/li&gt;</v>
      </c>
      <c r="I38" t="str">
        <f>Animals!$C$76</f>
        <v>&lt;li&gt;Bullfrog&lt;/li&gt;</v>
      </c>
      <c r="J38" t="str">
        <f>Animals!$C$113</f>
        <v>&lt;li&gt;AEXP_Crocodile&lt;/li&gt;</v>
      </c>
      <c r="K38" s="16" t="str">
        <f>Animals!$C$48</f>
        <v>&lt;li&gt;Toxalope&lt;/li&gt;</v>
      </c>
      <c r="L38" s="16" t="str">
        <f>Animals!$C$180</f>
        <v>&lt;li&gt;AEXP_Pangolin&lt;/li&gt;</v>
      </c>
      <c r="O38" s="16" t="str">
        <f>Animals!$C$202</f>
        <v>&lt;li&gt;VAEWaste_Toxiguana&lt;/li&gt;</v>
      </c>
      <c r="P38" t="str">
        <f>Animals!$C$91</f>
        <v>&lt;li&gt;Alligator&lt;/li&gt;</v>
      </c>
      <c r="Q38" s="16" t="str">
        <f>Animals!$C$48</f>
        <v>&lt;li&gt;Toxalope&lt;/li&gt;</v>
      </c>
    </row>
    <row r="39" spans="5:18" s="16" customFormat="1" x14ac:dyDescent="0.25">
      <c r="G39" s="16" t="str">
        <f>Animals!$C$201</f>
        <v>&lt;li&gt;VAEWaste_Toxbear&lt;/li&gt;</v>
      </c>
      <c r="H39" s="16" t="str">
        <f>Animals!$C$48</f>
        <v>&lt;li&gt;Toxalope&lt;/li&gt;</v>
      </c>
      <c r="I39" t="str">
        <f>Animals!$C$118</f>
        <v>&lt;li&gt;AEXP_Platypus&lt;/li&gt;</v>
      </c>
      <c r="J39" s="16" t="str">
        <f>Animals!$C$61</f>
        <v>&lt;li&gt;WasteRat&lt;/li&gt;</v>
      </c>
      <c r="K39" s="16" t="str">
        <f>Animals!$C$175</f>
        <v>&lt;li&gt;AEXP_Quagga&lt;/li&gt;</v>
      </c>
      <c r="L39" t="str">
        <f>Animals!$C$178</f>
        <v>&lt;li&gt;AEXP_Thylacine&lt;/li&gt;</v>
      </c>
      <c r="O39" t="str">
        <f>Animals!$C$204</f>
        <v>&lt;li&gt;VAEWaste_Toxscorpion&lt;/li&gt;</v>
      </c>
      <c r="P39" t="str">
        <f>Animals!$C$61</f>
        <v>&lt;li&gt;WasteRat&lt;/li&gt;</v>
      </c>
      <c r="Q39" s="16" t="str">
        <f>Animals!$C$173</f>
        <v>&lt;li&gt;AEXP_Bonobo&lt;/li&gt;</v>
      </c>
    </row>
    <row r="40" spans="5:18" x14ac:dyDescent="0.25">
      <c r="G40" t="str">
        <f>Animals!$C$205</f>
        <v>&lt;li&gt;VAEWaste_Wasteboar&lt;/li&gt;</v>
      </c>
      <c r="H40" s="16" t="str">
        <f>Animals!$C$174</f>
        <v>&lt;li&gt;AEXP_Moa&lt;/li&gt;</v>
      </c>
      <c r="I40" s="16" t="str">
        <f>Animals!$C$10</f>
        <v>&lt;li&gt;Duck&lt;/li&gt;</v>
      </c>
      <c r="J40" t="str">
        <f>Animals!$C$48</f>
        <v>&lt;li&gt;Toxalope&lt;/li&gt;</v>
      </c>
      <c r="K40" t="str">
        <f>Animals!$C$172</f>
        <v>&lt;li&gt;AEXP_BlackRhino&lt;/li&gt;</v>
      </c>
      <c r="L40" t="str">
        <f>Animals!$C$171</f>
        <v>&lt;li&gt;AEXP_BlackFootedFerret&lt;/li&gt;</v>
      </c>
      <c r="O40" t="str">
        <f>Animals!$C$205</f>
        <v>&lt;li&gt;VAEWaste_Wasteboar&lt;/li&gt;</v>
      </c>
      <c r="P40" t="str">
        <f>Animals!$C$48</f>
        <v>&lt;li&gt;Toxalope&lt;/li&gt;</v>
      </c>
      <c r="Q40" t="str">
        <f>Animals!$C$163</f>
        <v>&lt;li&gt;VAERoy_Orangutan&lt;/li&gt;</v>
      </c>
    </row>
    <row r="41" spans="5:18" x14ac:dyDescent="0.25">
      <c r="G41" t="str">
        <f>Animals!$C$206</f>
        <v>&lt;li&gt;VAEWaste_Wastedeer&lt;/li&gt;</v>
      </c>
      <c r="H41" s="16" t="str">
        <f>Animals!$C$177</f>
        <v>&lt;li&gt;AEXP_TasmanianDevil&lt;/li&gt;</v>
      </c>
      <c r="I41" t="str">
        <f>Animals!$C$68</f>
        <v>&lt;li&gt;Swan&lt;/li&gt;</v>
      </c>
      <c r="J41" t="str">
        <f>Animals!$C$175</f>
        <v>&lt;li&gt;AEXP_Quagga&lt;/li&gt;</v>
      </c>
      <c r="K41" t="str">
        <f>Animals!$C$179</f>
        <v>&lt;li&gt;AEXP_AfricanWildDog&lt;/li&gt;</v>
      </c>
      <c r="L41" t="str">
        <f>Animals!$C$198</f>
        <v>&lt;li&gt;VAEWaste_Megatardi&lt;/li&gt;</v>
      </c>
      <c r="P41" t="str">
        <f>Animals!$C$173</f>
        <v>&lt;li&gt;AEXP_Bonobo&lt;/li&gt;</v>
      </c>
      <c r="Q41" t="str">
        <f>Animals!$C$198</f>
        <v>&lt;li&gt;VAEWaste_Megatardi&lt;/li&gt;</v>
      </c>
    </row>
    <row r="42" spans="5:18" x14ac:dyDescent="0.25">
      <c r="G42" t="str">
        <f>Animals!$C$207</f>
        <v>&lt;li&gt;VAEWaste_Wasteffalo&lt;/li&gt;</v>
      </c>
      <c r="H42" s="16" t="str">
        <f>Animals!$C$178</f>
        <v>&lt;li&gt;AEXP_Thylacine&lt;/li&gt;</v>
      </c>
      <c r="I42" t="str">
        <f>Animals!$C$69</f>
        <v>&lt;li&gt;Heron&lt;/li&gt;</v>
      </c>
      <c r="J42" t="str">
        <f>Animals!$C$172</f>
        <v>&lt;li&gt;AEXP_BlackRhino&lt;/li&gt;</v>
      </c>
      <c r="K42" s="16" t="str">
        <f>Animals!$C$180</f>
        <v>&lt;li&gt;AEXP_Pangolin&lt;/li&gt;</v>
      </c>
      <c r="L42" t="str">
        <f>Animals!$C$197</f>
        <v>&lt;li&gt;VAEWaste_Hydra&lt;/li&gt;</v>
      </c>
      <c r="P42" t="str">
        <f>Animals!$C$163</f>
        <v>&lt;li&gt;VAERoy_Orangutan&lt;/li&gt;</v>
      </c>
      <c r="Q42" t="str">
        <f>Animals!$C$197</f>
        <v>&lt;li&gt;VAEWaste_Hydra&lt;/li&gt;</v>
      </c>
    </row>
    <row r="43" spans="5:18" x14ac:dyDescent="0.25">
      <c r="E43" s="16"/>
      <c r="H43" s="16" t="str">
        <f>Animals!$C$162</f>
        <v>&lt;li&gt;VAERoy_Pheasant&lt;/li&gt;</v>
      </c>
      <c r="I43" t="str">
        <f>Animals!$C$130</f>
        <v>&lt;li&gt;AEXP_Beaver&lt;/li&gt;</v>
      </c>
      <c r="J43" t="str">
        <f>Animals!$C$179</f>
        <v>&lt;li&gt;AEXP_AfricanWildDog&lt;/li&gt;</v>
      </c>
      <c r="K43" t="str">
        <f>Animals!$C$178</f>
        <v>&lt;li&gt;AEXP_Thylacine&lt;/li&gt;</v>
      </c>
      <c r="L43" t="str">
        <f>Animals!$C$203</f>
        <v>&lt;li&gt;VAEWaste_Toxlion&lt;/li&gt;</v>
      </c>
      <c r="P43" t="str">
        <f>Animals!$C$198</f>
        <v>&lt;li&gt;VAEWaste_Megatardi&lt;/li&gt;</v>
      </c>
      <c r="Q43" t="str">
        <f>Animals!$C$199</f>
        <v>&lt;li&gt;VAEWaste_Pestigator&lt;/li&gt;</v>
      </c>
    </row>
    <row r="44" spans="5:18" x14ac:dyDescent="0.25">
      <c r="E44" s="16"/>
      <c r="H44" s="16" t="str">
        <f>Animals!$C$165</f>
        <v>&lt;li&gt;VAERoy_Crane&lt;/li&gt;</v>
      </c>
      <c r="I44" t="str">
        <f>Animals!$C$85</f>
        <v>&lt;li&gt;Otter&lt;/li&gt;</v>
      </c>
      <c r="J44" s="16" t="str">
        <f>Animals!$C$180</f>
        <v>&lt;li&gt;AEXP_Pangolin&lt;/li&gt;</v>
      </c>
      <c r="K44" t="str">
        <f>Animals!$C$171</f>
        <v>&lt;li&gt;AEXP_BlackFootedFerret&lt;/li&gt;</v>
      </c>
      <c r="L44" t="str">
        <f>Animals!$C$204</f>
        <v>&lt;li&gt;VAEWaste_Toxscorpion&lt;/li&gt;</v>
      </c>
      <c r="P44" t="str">
        <f>Animals!$C$197</f>
        <v>&lt;li&gt;VAEWaste_Hydra&lt;/li&gt;</v>
      </c>
      <c r="Q44" t="str">
        <f>Animals!$C$204</f>
        <v>&lt;li&gt;VAEWaste_Toxscorpion&lt;/li&gt;</v>
      </c>
    </row>
    <row r="45" spans="5:18" x14ac:dyDescent="0.25">
      <c r="H45" s="16" t="str">
        <f>Animals!$C$198</f>
        <v>&lt;li&gt;VAEWaste_Megatardi&lt;/li&gt;</v>
      </c>
      <c r="I45" t="str">
        <f>Animals!$C$129</f>
        <v>&lt;li&gt;AEXP_WildGoose&lt;/li&gt;</v>
      </c>
      <c r="J45" t="str">
        <f>Animals!$C$178</f>
        <v>&lt;li&gt;AEXP_Thylacine&lt;/li&gt;</v>
      </c>
      <c r="K45" t="str">
        <f>Animals!$C$198</f>
        <v>&lt;li&gt;VAEWaste_Megatardi&lt;/li&gt;</v>
      </c>
      <c r="P45" t="str">
        <f>Animals!$C$199</f>
        <v>&lt;li&gt;VAEWaste_Pestigator&lt;/li&gt;</v>
      </c>
      <c r="Q45" t="str">
        <f>Animals!$C$205</f>
        <v>&lt;li&gt;VAEWaste_Wasteboar&lt;/li&gt;</v>
      </c>
    </row>
    <row r="46" spans="5:18" x14ac:dyDescent="0.25">
      <c r="H46" s="16" t="str">
        <f>Animals!$C$200</f>
        <v>&lt;li&gt;VAEWaste_Toxafox&lt;/li&gt;</v>
      </c>
      <c r="I46" t="str">
        <f>Animals!$C$91</f>
        <v>&lt;li&gt;Alligator&lt;/li&gt;</v>
      </c>
      <c r="J46" t="str">
        <f>Animals!$C$171</f>
        <v>&lt;li&gt;AEXP_BlackFootedFerret&lt;/li&gt;</v>
      </c>
      <c r="K46" t="str">
        <f>Animals!$C$197</f>
        <v>&lt;li&gt;VAEWaste_Hydra&lt;/li&gt;</v>
      </c>
      <c r="P46" t="str">
        <f>Animals!$C$202</f>
        <v>&lt;li&gt;VAEWaste_Toxiguana&lt;/li&gt;</v>
      </c>
    </row>
    <row r="47" spans="5:18" x14ac:dyDescent="0.25">
      <c r="H47" s="16" t="str">
        <f>Animals!$C$201</f>
        <v>&lt;li&gt;VAEWaste_Toxbear&lt;/li&gt;</v>
      </c>
      <c r="I47" t="str">
        <f>Animals!$C$61</f>
        <v>&lt;li&gt;WasteRat&lt;/li&gt;</v>
      </c>
      <c r="J47" t="str">
        <f>Animals!$C$198</f>
        <v>&lt;li&gt;VAEWaste_Megatardi&lt;/li&gt;</v>
      </c>
      <c r="K47" t="str">
        <f>Animals!$C$203</f>
        <v>&lt;li&gt;VAEWaste_Toxlion&lt;/li&gt;</v>
      </c>
      <c r="P47" t="str">
        <f>Animals!$C$204</f>
        <v>&lt;li&gt;VAEWaste_Toxscorpion&lt;/li&gt;</v>
      </c>
    </row>
    <row r="48" spans="5:18" x14ac:dyDescent="0.25">
      <c r="H48" s="16" t="str">
        <f>Animals!$C$205</f>
        <v>&lt;li&gt;VAEWaste_Wasteboar&lt;/li&gt;</v>
      </c>
      <c r="I48" t="str">
        <f>Animals!$C$48</f>
        <v>&lt;li&gt;Toxalope&lt;/li&gt;</v>
      </c>
      <c r="J48" t="str">
        <f>Animals!$C$197</f>
        <v>&lt;li&gt;VAEWaste_Hydra&lt;/li&gt;</v>
      </c>
      <c r="K48" t="str">
        <f>Animals!$C$204</f>
        <v>&lt;li&gt;VAEWaste_Toxscorpion&lt;/li&gt;</v>
      </c>
      <c r="P48" t="str">
        <f>Animals!$C$205</f>
        <v>&lt;li&gt;VAEWaste_Wasteboar&lt;/li&gt;</v>
      </c>
    </row>
    <row r="49" spans="8:10" x14ac:dyDescent="0.25">
      <c r="H49" s="16" t="str">
        <f>Animals!$C$206</f>
        <v>&lt;li&gt;VAEWaste_Wastedeer&lt;/li&gt;</v>
      </c>
      <c r="I49" t="str">
        <f>Animals!$C$174</f>
        <v>&lt;li&gt;AEXP_Moa&lt;/li&gt;</v>
      </c>
      <c r="J49" s="16" t="str">
        <f>Animals!$C$203</f>
        <v>&lt;li&gt;VAEWaste_Toxlion&lt;/li&gt;</v>
      </c>
    </row>
    <row r="50" spans="8:10" x14ac:dyDescent="0.25">
      <c r="H50" s="16" t="str">
        <f>Animals!$C$207</f>
        <v>&lt;li&gt;VAEWaste_Wasteffalo&lt;/li&gt;</v>
      </c>
      <c r="I50" t="str">
        <f>Animals!$C$177</f>
        <v>&lt;li&gt;AEXP_TasmanianDevil&lt;/li&gt;</v>
      </c>
      <c r="J50" t="str">
        <f>Animals!$C$204</f>
        <v>&lt;li&gt;VAEWaste_Toxscorpion&lt;/li&gt;</v>
      </c>
    </row>
    <row r="51" spans="8:10" x14ac:dyDescent="0.25">
      <c r="I51" t="str">
        <f>Animals!$C$178</f>
        <v>&lt;li&gt;AEXP_Thylacine&lt;/li&gt;</v>
      </c>
    </row>
    <row r="52" spans="8:10" x14ac:dyDescent="0.25">
      <c r="I52" t="str">
        <f>Animals!$C$162</f>
        <v>&lt;li&gt;VAERoy_Pheasant&lt;/li&gt;</v>
      </c>
    </row>
    <row r="53" spans="8:10" x14ac:dyDescent="0.25">
      <c r="I53" t="str">
        <f>Animals!$C$165</f>
        <v>&lt;li&gt;VAERoy_Crane&lt;/li&gt;</v>
      </c>
    </row>
    <row r="54" spans="8:10" x14ac:dyDescent="0.25">
      <c r="I54" t="str">
        <f>Animals!$C$198</f>
        <v>&lt;li&gt;VAEWaste_Megatardi&lt;/li&gt;</v>
      </c>
    </row>
    <row r="55" spans="8:10" x14ac:dyDescent="0.25">
      <c r="I55" t="str">
        <f>Animals!$C$199</f>
        <v>&lt;li&gt;VAEWaste_Pestigator&lt;/li&gt;</v>
      </c>
    </row>
    <row r="56" spans="8:10" x14ac:dyDescent="0.25">
      <c r="I56" t="str">
        <f>Animals!$C$200</f>
        <v>&lt;li&gt;VAEWaste_Toxafox&lt;/li&gt;</v>
      </c>
    </row>
    <row r="57" spans="8:10" x14ac:dyDescent="0.25">
      <c r="I57" t="str">
        <f>Animals!$C$201</f>
        <v>&lt;li&gt;VAEWaste_Toxbear&lt;/li&gt;</v>
      </c>
    </row>
    <row r="58" spans="8:10" x14ac:dyDescent="0.25">
      <c r="I58" t="str">
        <f>Animals!$C$205</f>
        <v>&lt;li&gt;VAEWaste_Wasteboar&lt;/li&gt;</v>
      </c>
    </row>
    <row r="59" spans="8:10" x14ac:dyDescent="0.25">
      <c r="I59" t="str">
        <f>Animals!$C$206</f>
        <v>&lt;li&gt;VAEWaste_Wastedeer&lt;/li&gt;</v>
      </c>
    </row>
    <row r="60" spans="8:10" x14ac:dyDescent="0.25">
      <c r="I60" t="str">
        <f>Animals!$C$207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1166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1187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1188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1255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1257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Animals!A202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Animals!A197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0.35000000000000003</v>
      </c>
      <c r="C58" s="16">
        <f>_xlfn.XLOOKUP(A58,Animals!A:A,Animals!AQ:AQ)</f>
        <v>0.30000000000000004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_xlfn.XLOOKUP(A59,Animals!A:A,Animals!AO:AO)</f>
        <v>0.25</v>
      </c>
      <c r="C59" s="16">
        <f>_xlfn.XLOOKUP(A59,Animals!A:A,Animals!AQ:AQ)</f>
        <v>0.25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2"/>
  <sheetViews>
    <sheetView topLeftCell="A16" workbookViewId="0">
      <selection activeCell="C39" sqref="C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1216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1233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  <row r="32" spans="1:7" x14ac:dyDescent="0.25">
      <c r="A32" t="s">
        <v>1380</v>
      </c>
      <c r="B32">
        <v>1.7</v>
      </c>
      <c r="C32">
        <v>0.7</v>
      </c>
      <c r="D32">
        <v>0.7</v>
      </c>
      <c r="E32">
        <v>0.15</v>
      </c>
      <c r="F32">
        <v>14</v>
      </c>
      <c r="G32">
        <v>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2026-04-20T21:52:26Z</dcterms:modified>
</cp:coreProperties>
</file>