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oopia2159547.sharepoint.com/sites/MerlinMetis/Shared Documents/Uppdrag/Pågående uppdrag/73_SENS_PHS and BESS in Finland/Arbetsmaterial/"/>
    </mc:Choice>
  </mc:AlternateContent>
  <xr:revisionPtr revIDLastSave="23" documentId="8_{6E06C166-8F7B-40C9-863F-56C326284766}" xr6:coauthVersionLast="47" xr6:coauthVersionMax="47" xr10:uidLastSave="{EBE64E51-4D94-44B1-8CDA-9E48FBD57184}"/>
  <bookViews>
    <workbookView xWindow="15430" yWindow="4820" windowWidth="14950" windowHeight="10510" tabRatio="732" xr2:uid="{00000000-000D-0000-FFFF-FFFF00000000}"/>
  </bookViews>
  <sheets>
    <sheet name="BESS" sheetId="31" r:id="rId1"/>
    <sheet name="Capex BESS" sheetId="42" r:id="rId2"/>
    <sheet name="BESS assumptions" sheetId="37" state="hidden" r:id="rId3"/>
    <sheet name="Property tax BESS" sheetId="39" state="hidden" r:id="rId4"/>
    <sheet name="Mine" sheetId="30" r:id="rId5"/>
    <sheet name="Capex mine 125m" sheetId="25" state="hidden" r:id="rId6"/>
    <sheet name="Property tax mine" sheetId="38" state="hidden" r:id="rId7"/>
    <sheet name="CapaloAI" sheetId="40" state="hidden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31" l="1"/>
  <c r="J45" i="31"/>
  <c r="M16" i="31"/>
  <c r="E20" i="31"/>
  <c r="F8" i="31"/>
  <c r="F45" i="30"/>
  <c r="E30" i="30"/>
  <c r="E32" i="30"/>
  <c r="I32" i="30"/>
  <c r="F19" i="42" l="1"/>
  <c r="E25" i="31" s="1"/>
  <c r="D18" i="42"/>
  <c r="F18" i="42"/>
  <c r="D19" i="42"/>
  <c r="C24" i="31"/>
  <c r="E24" i="31" s="1"/>
  <c r="D14" i="42"/>
  <c r="D13" i="42"/>
  <c r="E19" i="31"/>
  <c r="C19" i="31" s="1"/>
  <c r="C17" i="31"/>
  <c r="E17" i="31" s="1"/>
  <c r="C20" i="31" l="1"/>
  <c r="C25" i="31"/>
  <c r="F12" i="42" l="1"/>
  <c r="F11" i="42"/>
  <c r="F15" i="42" s="1"/>
  <c r="F20" i="42" s="1"/>
  <c r="E26" i="31" l="1"/>
  <c r="C26" i="31" s="1"/>
  <c r="F21" i="42"/>
  <c r="D15" i="42"/>
  <c r="D20" i="42"/>
  <c r="E27" i="31" s="1"/>
  <c r="E18" i="31"/>
  <c r="C18" i="31" s="1"/>
  <c r="D12" i="42"/>
  <c r="E11" i="40"/>
  <c r="M19" i="31"/>
  <c r="E21" i="31" l="1"/>
  <c r="E18" i="39"/>
  <c r="D21" i="42" l="1"/>
  <c r="F23" i="42"/>
  <c r="E29" i="31"/>
  <c r="F21" i="31" s="1"/>
  <c r="C21" i="31"/>
  <c r="AB4" i="31"/>
  <c r="AA4" i="31"/>
  <c r="AD4" i="31"/>
  <c r="AE4" i="31"/>
  <c r="AC4" i="31"/>
  <c r="Z4" i="31"/>
  <c r="Y4" i="31"/>
  <c r="X4" i="31"/>
  <c r="W4" i="31"/>
  <c r="F27" i="31" l="1"/>
  <c r="G23" i="42"/>
  <c r="G19" i="42"/>
  <c r="G18" i="42"/>
  <c r="G14" i="42"/>
  <c r="G13" i="42"/>
  <c r="G12" i="42"/>
  <c r="G11" i="42"/>
  <c r="G15" i="42"/>
  <c r="G20" i="42"/>
  <c r="G21" i="42"/>
  <c r="D23" i="42"/>
  <c r="F25" i="42"/>
  <c r="F26" i="42" s="1"/>
  <c r="F17" i="31"/>
  <c r="F24" i="31"/>
  <c r="F29" i="31"/>
  <c r="F20" i="31"/>
  <c r="F25" i="31"/>
  <c r="F19" i="31"/>
  <c r="F18" i="31"/>
  <c r="F26" i="31"/>
  <c r="E30" i="37"/>
  <c r="D26" i="42" l="1"/>
  <c r="G26" i="42"/>
  <c r="D25" i="42"/>
  <c r="G25" i="42"/>
  <c r="K13" i="30"/>
  <c r="J54" i="31" l="1"/>
  <c r="E18" i="38"/>
  <c r="E12" i="39"/>
  <c r="E7" i="39"/>
  <c r="E15" i="39" s="1"/>
  <c r="F14" i="39"/>
  <c r="G14" i="39" s="1"/>
  <c r="H14" i="39" s="1"/>
  <c r="I14" i="39" s="1"/>
  <c r="J14" i="39" s="1"/>
  <c r="K14" i="39" s="1"/>
  <c r="L14" i="39" s="1"/>
  <c r="M14" i="39" s="1"/>
  <c r="N14" i="39" s="1"/>
  <c r="O14" i="39" s="1"/>
  <c r="P14" i="39" s="1"/>
  <c r="Q14" i="39" s="1"/>
  <c r="R14" i="39" s="1"/>
  <c r="S14" i="39" s="1"/>
  <c r="T14" i="39" s="1"/>
  <c r="U14" i="39" s="1"/>
  <c r="V14" i="39" s="1"/>
  <c r="W14" i="39" s="1"/>
  <c r="X14" i="39" s="1"/>
  <c r="Y14" i="39" s="1"/>
  <c r="Z14" i="39" s="1"/>
  <c r="AA14" i="39" s="1"/>
  <c r="AB14" i="39" s="1"/>
  <c r="AC14" i="39" s="1"/>
  <c r="AD14" i="39" s="1"/>
  <c r="AE14" i="39" s="1"/>
  <c r="AF14" i="39" s="1"/>
  <c r="AG14" i="39" s="1"/>
  <c r="AH14" i="39" s="1"/>
  <c r="AI14" i="39" s="1"/>
  <c r="AJ14" i="39" s="1"/>
  <c r="AK14" i="39" s="1"/>
  <c r="AL14" i="39" s="1"/>
  <c r="AM14" i="39" s="1"/>
  <c r="AN14" i="39" s="1"/>
  <c r="AO14" i="39" s="1"/>
  <c r="AP14" i="39" s="1"/>
  <c r="AQ14" i="39" s="1"/>
  <c r="AR14" i="39" s="1"/>
  <c r="AS14" i="39" s="1"/>
  <c r="AT14" i="39" s="1"/>
  <c r="AU14" i="39" s="1"/>
  <c r="AV14" i="39" s="1"/>
  <c r="AW14" i="39" s="1"/>
  <c r="AX14" i="39" s="1"/>
  <c r="AY14" i="39" s="1"/>
  <c r="AZ14" i="39" s="1"/>
  <c r="BA14" i="39" s="1"/>
  <c r="BB14" i="39" s="1"/>
  <c r="AT19" i="39" l="1"/>
  <c r="AA19" i="39"/>
  <c r="AV19" i="39"/>
  <c r="AB19" i="39"/>
  <c r="AJ19" i="39"/>
  <c r="BB16" i="39"/>
  <c r="V16" i="39"/>
  <c r="AL19" i="39"/>
  <c r="AW19" i="39"/>
  <c r="R16" i="39"/>
  <c r="S16" i="39"/>
  <c r="T16" i="39"/>
  <c r="U16" i="39"/>
  <c r="L19" i="39"/>
  <c r="AX19" i="39"/>
  <c r="AD16" i="39"/>
  <c r="M19" i="39"/>
  <c r="AM19" i="39"/>
  <c r="AE16" i="39"/>
  <c r="AN19" i="39"/>
  <c r="AF16" i="39"/>
  <c r="G16" i="39"/>
  <c r="P19" i="39"/>
  <c r="AH16" i="39"/>
  <c r="I16" i="39"/>
  <c r="AP16" i="39"/>
  <c r="Y19" i="39"/>
  <c r="AY19" i="39"/>
  <c r="AR16" i="39"/>
  <c r="AS16" i="39"/>
  <c r="AT16" i="39"/>
  <c r="AK19" i="39"/>
  <c r="N19" i="39"/>
  <c r="F16" i="39"/>
  <c r="O19" i="39"/>
  <c r="AG16" i="39"/>
  <c r="H16" i="39"/>
  <c r="X19" i="39"/>
  <c r="J16" i="39"/>
  <c r="AQ16" i="39"/>
  <c r="Z19" i="39"/>
  <c r="AZ19" i="39"/>
  <c r="X16" i="39"/>
  <c r="E11" i="39"/>
  <c r="E16" i="39"/>
  <c r="Q16" i="39"/>
  <c r="AC16" i="39"/>
  <c r="AO16" i="39"/>
  <c r="BA16" i="39"/>
  <c r="K19" i="39"/>
  <c r="W19" i="39"/>
  <c r="AI19" i="39"/>
  <c r="AU19" i="39"/>
  <c r="W16" i="39"/>
  <c r="AU16" i="39"/>
  <c r="E19" i="39"/>
  <c r="Q19" i="39"/>
  <c r="AC19" i="39"/>
  <c r="AO19" i="39"/>
  <c r="BA19" i="39"/>
  <c r="AJ16" i="39"/>
  <c r="F19" i="39"/>
  <c r="R19" i="39"/>
  <c r="AD19" i="39"/>
  <c r="AP19" i="39"/>
  <c r="BB19" i="39"/>
  <c r="M16" i="39"/>
  <c r="AQ19" i="39"/>
  <c r="L16" i="39"/>
  <c r="Y16" i="39"/>
  <c r="G19" i="39"/>
  <c r="H19" i="39"/>
  <c r="AF19" i="39"/>
  <c r="AR19" i="39"/>
  <c r="AI16" i="39"/>
  <c r="AV16" i="39"/>
  <c r="AW16" i="39"/>
  <c r="S19" i="39"/>
  <c r="N16" i="39"/>
  <c r="Z16" i="39"/>
  <c r="AL16" i="39"/>
  <c r="AX16" i="39"/>
  <c r="T19" i="39"/>
  <c r="O16" i="39"/>
  <c r="AA16" i="39"/>
  <c r="AM16" i="39"/>
  <c r="AY16" i="39"/>
  <c r="I19" i="39"/>
  <c r="U19" i="39"/>
  <c r="AG19" i="39"/>
  <c r="AS19" i="39"/>
  <c r="K16" i="39"/>
  <c r="AK16" i="39"/>
  <c r="AE19" i="39"/>
  <c r="P16" i="39"/>
  <c r="AB16" i="39"/>
  <c r="AN16" i="39"/>
  <c r="AZ16" i="39"/>
  <c r="J19" i="39"/>
  <c r="V19" i="39"/>
  <c r="AH19" i="39"/>
  <c r="E17" i="39" l="1"/>
  <c r="F15" i="39" s="1"/>
  <c r="E20" i="39"/>
  <c r="E22" i="39" s="1"/>
  <c r="F17" i="39" l="1"/>
  <c r="G15" i="39" s="1"/>
  <c r="F18" i="39"/>
  <c r="F20" i="39" s="1"/>
  <c r="F22" i="39" s="1"/>
  <c r="G18" i="39" l="1"/>
  <c r="G20" i="39" s="1"/>
  <c r="G22" i="39" s="1"/>
  <c r="G17" i="39"/>
  <c r="H15" i="39" s="1"/>
  <c r="H18" i="39" l="1"/>
  <c r="H20" i="39" s="1"/>
  <c r="H22" i="39" s="1"/>
  <c r="H17" i="39"/>
  <c r="I15" i="39" s="1"/>
  <c r="I18" i="39" l="1"/>
  <c r="I20" i="39" s="1"/>
  <c r="I22" i="39" s="1"/>
  <c r="I17" i="39"/>
  <c r="J15" i="39" s="1"/>
  <c r="J18" i="39" l="1"/>
  <c r="J20" i="39" s="1"/>
  <c r="J22" i="39" s="1"/>
  <c r="J17" i="39"/>
  <c r="K15" i="39" s="1"/>
  <c r="K18" i="39" l="1"/>
  <c r="K20" i="39" s="1"/>
  <c r="K22" i="39" s="1"/>
  <c r="K17" i="39"/>
  <c r="L15" i="39" s="1"/>
  <c r="L18" i="39" l="1"/>
  <c r="L20" i="39" s="1"/>
  <c r="L22" i="39" s="1"/>
  <c r="L17" i="39"/>
  <c r="M15" i="39" s="1"/>
  <c r="M17" i="39" l="1"/>
  <c r="N15" i="39" s="1"/>
  <c r="M18" i="39"/>
  <c r="M20" i="39" s="1"/>
  <c r="M22" i="39" s="1"/>
  <c r="N17" i="39" l="1"/>
  <c r="O15" i="39" s="1"/>
  <c r="N18" i="39"/>
  <c r="N20" i="39" s="1"/>
  <c r="N22" i="39" s="1"/>
  <c r="O18" i="39" l="1"/>
  <c r="O20" i="39" s="1"/>
  <c r="O22" i="39" s="1"/>
  <c r="O17" i="39"/>
  <c r="P15" i="39" s="1"/>
  <c r="P18" i="39" l="1"/>
  <c r="P20" i="39" s="1"/>
  <c r="P22" i="39" s="1"/>
  <c r="P17" i="39"/>
  <c r="Q15" i="39" s="1"/>
  <c r="Q18" i="39" l="1"/>
  <c r="Q20" i="39" s="1"/>
  <c r="Q22" i="39" s="1"/>
  <c r="Q17" i="39"/>
  <c r="R15" i="39" s="1"/>
  <c r="R18" i="39" l="1"/>
  <c r="R20" i="39" s="1"/>
  <c r="R22" i="39" s="1"/>
  <c r="R17" i="39"/>
  <c r="S15" i="39" s="1"/>
  <c r="S17" i="39" l="1"/>
  <c r="T15" i="39" s="1"/>
  <c r="S18" i="39"/>
  <c r="S20" i="39" s="1"/>
  <c r="S22" i="39" s="1"/>
  <c r="T17" i="39" l="1"/>
  <c r="U15" i="39" s="1"/>
  <c r="T18" i="39"/>
  <c r="T20" i="39" s="1"/>
  <c r="T22" i="39" s="1"/>
  <c r="U18" i="39" l="1"/>
  <c r="U20" i="39" s="1"/>
  <c r="U22" i="39" s="1"/>
  <c r="U17" i="39"/>
  <c r="V15" i="39" s="1"/>
  <c r="V17" i="39" l="1"/>
  <c r="W15" i="39" s="1"/>
  <c r="V18" i="39"/>
  <c r="V20" i="39" s="1"/>
  <c r="V22" i="39" s="1"/>
  <c r="W18" i="39" l="1"/>
  <c r="W20" i="39" s="1"/>
  <c r="W22" i="39" s="1"/>
  <c r="W17" i="39"/>
  <c r="X15" i="39" s="1"/>
  <c r="X18" i="39" l="1"/>
  <c r="X20" i="39" s="1"/>
  <c r="X22" i="39" s="1"/>
  <c r="X17" i="39"/>
  <c r="Y15" i="39" s="1"/>
  <c r="Y17" i="39" l="1"/>
  <c r="Z15" i="39" s="1"/>
  <c r="Y18" i="39"/>
  <c r="Y20" i="39" s="1"/>
  <c r="Y22" i="39" s="1"/>
  <c r="Z17" i="39" l="1"/>
  <c r="AA15" i="39" s="1"/>
  <c r="Z18" i="39"/>
  <c r="Z20" i="39" s="1"/>
  <c r="Z22" i="39" s="1"/>
  <c r="AA17" i="39" l="1"/>
  <c r="AB15" i="39" s="1"/>
  <c r="AA18" i="39"/>
  <c r="AA20" i="39" s="1"/>
  <c r="AA22" i="39" s="1"/>
  <c r="AB18" i="39" l="1"/>
  <c r="AB20" i="39" s="1"/>
  <c r="AB22" i="39" s="1"/>
  <c r="AB17" i="39"/>
  <c r="AC15" i="39" s="1"/>
  <c r="AC18" i="39" l="1"/>
  <c r="AC20" i="39" s="1"/>
  <c r="AC22" i="39" s="1"/>
  <c r="AC17" i="39"/>
  <c r="AD15" i="39" s="1"/>
  <c r="AD17" i="39" l="1"/>
  <c r="AE15" i="39" s="1"/>
  <c r="AD18" i="39"/>
  <c r="AD20" i="39" s="1"/>
  <c r="AD22" i="39" s="1"/>
  <c r="AE17" i="39" l="1"/>
  <c r="AF15" i="39" s="1"/>
  <c r="AE18" i="39"/>
  <c r="AE20" i="39" s="1"/>
  <c r="AE22" i="39" s="1"/>
  <c r="AF17" i="39" l="1"/>
  <c r="AG15" i="39" s="1"/>
  <c r="AF18" i="39"/>
  <c r="AF20" i="39" s="1"/>
  <c r="AF22" i="39" s="1"/>
  <c r="AG18" i="39" l="1"/>
  <c r="AG20" i="39" s="1"/>
  <c r="AG22" i="39" s="1"/>
  <c r="AG17" i="39"/>
  <c r="AH15" i="39" s="1"/>
  <c r="AH18" i="39" l="1"/>
  <c r="AH20" i="39" s="1"/>
  <c r="AH22" i="39" s="1"/>
  <c r="AH17" i="39"/>
  <c r="AI15" i="39" s="1"/>
  <c r="AI17" i="39" l="1"/>
  <c r="AJ15" i="39" s="1"/>
  <c r="AI18" i="39"/>
  <c r="AI20" i="39" s="1"/>
  <c r="AI22" i="39" s="1"/>
  <c r="AJ18" i="39" l="1"/>
  <c r="AJ20" i="39" s="1"/>
  <c r="AJ22" i="39" s="1"/>
  <c r="AJ17" i="39"/>
  <c r="AK15" i="39" s="1"/>
  <c r="AK17" i="39" l="1"/>
  <c r="AL15" i="39" s="1"/>
  <c r="AK18" i="39"/>
  <c r="AK20" i="39" s="1"/>
  <c r="AK22" i="39" s="1"/>
  <c r="AL17" i="39" l="1"/>
  <c r="AM15" i="39" s="1"/>
  <c r="AL18" i="39"/>
  <c r="AL20" i="39" s="1"/>
  <c r="AL22" i="39" s="1"/>
  <c r="AM18" i="39" l="1"/>
  <c r="AM20" i="39" s="1"/>
  <c r="AM22" i="39" s="1"/>
  <c r="AM17" i="39"/>
  <c r="AN15" i="39" s="1"/>
  <c r="AN17" i="39" l="1"/>
  <c r="AO15" i="39" s="1"/>
  <c r="AN18" i="39"/>
  <c r="AN20" i="39" s="1"/>
  <c r="AN22" i="39" s="1"/>
  <c r="AO18" i="39" l="1"/>
  <c r="AO20" i="39" s="1"/>
  <c r="AO22" i="39" s="1"/>
  <c r="AO17" i="39"/>
  <c r="AP15" i="39" s="1"/>
  <c r="AP18" i="39" l="1"/>
  <c r="AP20" i="39" s="1"/>
  <c r="AP22" i="39" s="1"/>
  <c r="AP17" i="39"/>
  <c r="AQ15" i="39" s="1"/>
  <c r="AQ18" i="39" l="1"/>
  <c r="AQ20" i="39" s="1"/>
  <c r="AQ22" i="39" s="1"/>
  <c r="AQ17" i="39"/>
  <c r="AR15" i="39" s="1"/>
  <c r="AR18" i="39" l="1"/>
  <c r="AR20" i="39" s="1"/>
  <c r="AR22" i="39" s="1"/>
  <c r="AR17" i="39"/>
  <c r="AS15" i="39" s="1"/>
  <c r="AS18" i="39" l="1"/>
  <c r="AS20" i="39" s="1"/>
  <c r="AS22" i="39" s="1"/>
  <c r="AS17" i="39"/>
  <c r="AT15" i="39" s="1"/>
  <c r="AT18" i="39" l="1"/>
  <c r="AT20" i="39" s="1"/>
  <c r="AT22" i="39" s="1"/>
  <c r="AT17" i="39"/>
  <c r="AU15" i="39" s="1"/>
  <c r="AU18" i="39" l="1"/>
  <c r="AU20" i="39" s="1"/>
  <c r="AU22" i="39" s="1"/>
  <c r="AU17" i="39"/>
  <c r="AV15" i="39" s="1"/>
  <c r="AV18" i="39" l="1"/>
  <c r="AV20" i="39" s="1"/>
  <c r="AV22" i="39" s="1"/>
  <c r="AV17" i="39"/>
  <c r="AW15" i="39" s="1"/>
  <c r="AW17" i="39" l="1"/>
  <c r="AX15" i="39" s="1"/>
  <c r="AW18" i="39"/>
  <c r="AW20" i="39" s="1"/>
  <c r="AW22" i="39" s="1"/>
  <c r="AX17" i="39" l="1"/>
  <c r="AY15" i="39" s="1"/>
  <c r="AX18" i="39"/>
  <c r="AX20" i="39" s="1"/>
  <c r="AX22" i="39" s="1"/>
  <c r="AY18" i="39" l="1"/>
  <c r="AY20" i="39" s="1"/>
  <c r="AY22" i="39" s="1"/>
  <c r="AY17" i="39"/>
  <c r="AZ15" i="39" s="1"/>
  <c r="AZ18" i="39" l="1"/>
  <c r="AZ20" i="39" s="1"/>
  <c r="AZ22" i="39" s="1"/>
  <c r="AZ17" i="39"/>
  <c r="BA15" i="39" s="1"/>
  <c r="BA18" i="39" l="1"/>
  <c r="BA20" i="39" s="1"/>
  <c r="BA22" i="39" s="1"/>
  <c r="BA17" i="39"/>
  <c r="BB15" i="39" s="1"/>
  <c r="BB17" i="39" l="1"/>
  <c r="BB18" i="39"/>
  <c r="BB20" i="39" s="1"/>
  <c r="BB22" i="39" s="1"/>
  <c r="G21" i="38" l="1"/>
  <c r="F21" i="38"/>
  <c r="E21" i="38"/>
  <c r="F24" i="38"/>
  <c r="E24" i="38"/>
  <c r="G24" i="38"/>
  <c r="G26" i="38" s="1"/>
  <c r="G28" i="38" s="1"/>
  <c r="E26" i="38"/>
  <c r="E28" i="38" s="1"/>
  <c r="F22" i="38"/>
  <c r="G22" i="38"/>
  <c r="H22" i="38"/>
  <c r="I22" i="38"/>
  <c r="J22" i="38"/>
  <c r="K22" i="38"/>
  <c r="L22" i="38"/>
  <c r="M22" i="38"/>
  <c r="N22" i="38"/>
  <c r="O22" i="38"/>
  <c r="P22" i="38"/>
  <c r="Q22" i="38"/>
  <c r="R22" i="38"/>
  <c r="S22" i="38"/>
  <c r="T22" i="38"/>
  <c r="U22" i="38"/>
  <c r="V22" i="38"/>
  <c r="W22" i="38"/>
  <c r="X22" i="38"/>
  <c r="Y22" i="38"/>
  <c r="Z22" i="38"/>
  <c r="AA22" i="38"/>
  <c r="AB22" i="38"/>
  <c r="AC22" i="38"/>
  <c r="AD22" i="38"/>
  <c r="AE22" i="38"/>
  <c r="AF22" i="38"/>
  <c r="AG22" i="38"/>
  <c r="AH22" i="38"/>
  <c r="AI22" i="38"/>
  <c r="AJ22" i="38"/>
  <c r="AK22" i="38"/>
  <c r="AL22" i="38"/>
  <c r="AM22" i="38"/>
  <c r="AN22" i="38"/>
  <c r="AO22" i="38"/>
  <c r="AP22" i="38"/>
  <c r="AQ22" i="38"/>
  <c r="AR22" i="38"/>
  <c r="AS22" i="38"/>
  <c r="AT22" i="38"/>
  <c r="AU22" i="38"/>
  <c r="AV22" i="38"/>
  <c r="AW22" i="38"/>
  <c r="AX22" i="38"/>
  <c r="AY22" i="38"/>
  <c r="AZ22" i="38"/>
  <c r="BA22" i="38"/>
  <c r="BB22" i="38"/>
  <c r="F23" i="38"/>
  <c r="G23" i="38"/>
  <c r="H21" i="38" s="1"/>
  <c r="F25" i="38"/>
  <c r="G25" i="38"/>
  <c r="H25" i="38"/>
  <c r="I25" i="38"/>
  <c r="J25" i="38"/>
  <c r="K25" i="38"/>
  <c r="L25" i="38"/>
  <c r="M25" i="38"/>
  <c r="N25" i="38"/>
  <c r="O25" i="38"/>
  <c r="P25" i="38"/>
  <c r="Q25" i="38"/>
  <c r="R25" i="38"/>
  <c r="S25" i="38"/>
  <c r="T25" i="38"/>
  <c r="U25" i="38"/>
  <c r="V25" i="38"/>
  <c r="W25" i="38"/>
  <c r="X25" i="38"/>
  <c r="Y25" i="38"/>
  <c r="Z25" i="38"/>
  <c r="AA25" i="38"/>
  <c r="AB25" i="38"/>
  <c r="AC25" i="38"/>
  <c r="AD25" i="38"/>
  <c r="AE25" i="38"/>
  <c r="AF25" i="38"/>
  <c r="AG25" i="38"/>
  <c r="AH25" i="38"/>
  <c r="AI25" i="38"/>
  <c r="AJ25" i="38"/>
  <c r="AK25" i="38"/>
  <c r="AL25" i="38"/>
  <c r="AM25" i="38"/>
  <c r="AN25" i="38"/>
  <c r="AO25" i="38"/>
  <c r="AP25" i="38"/>
  <c r="AQ25" i="38"/>
  <c r="AR25" i="38"/>
  <c r="AS25" i="38"/>
  <c r="AT25" i="38"/>
  <c r="AU25" i="38"/>
  <c r="AV25" i="38"/>
  <c r="AW25" i="38"/>
  <c r="AX25" i="38"/>
  <c r="AY25" i="38"/>
  <c r="AZ25" i="38"/>
  <c r="BA25" i="38"/>
  <c r="BB25" i="38"/>
  <c r="F26" i="38"/>
  <c r="F28" i="38" s="1"/>
  <c r="E25" i="38"/>
  <c r="E17" i="38"/>
  <c r="AV20" i="38"/>
  <c r="AW20" i="38" s="1"/>
  <c r="AX20" i="38" s="1"/>
  <c r="AY20" i="38" s="1"/>
  <c r="AZ20" i="38" s="1"/>
  <c r="BA20" i="38" s="1"/>
  <c r="BB20" i="38" s="1"/>
  <c r="X20" i="38"/>
  <c r="Y20" i="38" s="1"/>
  <c r="Z20" i="38" s="1"/>
  <c r="AA20" i="38" s="1"/>
  <c r="AB20" i="38" s="1"/>
  <c r="AC20" i="38" s="1"/>
  <c r="AD20" i="38" s="1"/>
  <c r="AE20" i="38" s="1"/>
  <c r="AF20" i="38" s="1"/>
  <c r="AG20" i="38" s="1"/>
  <c r="AH20" i="38" s="1"/>
  <c r="AI20" i="38" s="1"/>
  <c r="AJ20" i="38" s="1"/>
  <c r="AK20" i="38" s="1"/>
  <c r="AL20" i="38" s="1"/>
  <c r="AM20" i="38" s="1"/>
  <c r="AN20" i="38" s="1"/>
  <c r="AO20" i="38" s="1"/>
  <c r="AP20" i="38" s="1"/>
  <c r="AQ20" i="38" s="1"/>
  <c r="AR20" i="38" s="1"/>
  <c r="AS20" i="38" s="1"/>
  <c r="AT20" i="38" s="1"/>
  <c r="AU20" i="38" s="1"/>
  <c r="G20" i="38"/>
  <c r="H20" i="38" s="1"/>
  <c r="I20" i="38" s="1"/>
  <c r="J20" i="38" s="1"/>
  <c r="K20" i="38" s="1"/>
  <c r="L20" i="38" s="1"/>
  <c r="M20" i="38" s="1"/>
  <c r="N20" i="38" s="1"/>
  <c r="O20" i="38" s="1"/>
  <c r="P20" i="38" s="1"/>
  <c r="Q20" i="38" s="1"/>
  <c r="R20" i="38" s="1"/>
  <c r="S20" i="38" s="1"/>
  <c r="T20" i="38" s="1"/>
  <c r="U20" i="38" s="1"/>
  <c r="V20" i="38" s="1"/>
  <c r="W20" i="38" s="1"/>
  <c r="F20" i="38"/>
  <c r="E22" i="38"/>
  <c r="E23" i="38" s="1"/>
  <c r="E13" i="38"/>
  <c r="E13" i="25"/>
  <c r="H23" i="38" l="1"/>
  <c r="I21" i="38" s="1"/>
  <c r="H24" i="38"/>
  <c r="H26" i="38" s="1"/>
  <c r="H28" i="38" s="1"/>
  <c r="I23" i="38" l="1"/>
  <c r="J21" i="38" s="1"/>
  <c r="I24" i="38"/>
  <c r="I26" i="38" s="1"/>
  <c r="I28" i="38" s="1"/>
  <c r="C33" i="30"/>
  <c r="C32" i="30"/>
  <c r="D22" i="25"/>
  <c r="E31" i="37"/>
  <c r="E13" i="37"/>
  <c r="E20" i="37" s="1"/>
  <c r="E9" i="37"/>
  <c r="E36" i="30"/>
  <c r="E15" i="25"/>
  <c r="J24" i="38" l="1"/>
  <c r="J26" i="38" s="1"/>
  <c r="J28" i="38" s="1"/>
  <c r="J23" i="38"/>
  <c r="K21" i="38" s="1"/>
  <c r="E21" i="37"/>
  <c r="E34" i="37" s="1"/>
  <c r="E14" i="37"/>
  <c r="U13" i="31" l="1"/>
  <c r="U8" i="31"/>
  <c r="U7" i="31"/>
  <c r="U6" i="31"/>
  <c r="U9" i="31"/>
  <c r="K24" i="38"/>
  <c r="K26" i="38" s="1"/>
  <c r="K28" i="38" s="1"/>
  <c r="K23" i="38"/>
  <c r="L21" i="38" s="1"/>
  <c r="E8" i="25"/>
  <c r="E9" i="25"/>
  <c r="E10" i="25"/>
  <c r="E11" i="25"/>
  <c r="E12" i="25"/>
  <c r="E14" i="25"/>
  <c r="E16" i="25"/>
  <c r="E17" i="25"/>
  <c r="E18" i="25"/>
  <c r="E19" i="25"/>
  <c r="E20" i="25"/>
  <c r="E22" i="25"/>
  <c r="E24" i="25"/>
  <c r="E7" i="25"/>
  <c r="E27" i="30"/>
  <c r="U10" i="31" l="1"/>
  <c r="U11" i="31"/>
  <c r="U12" i="31"/>
  <c r="U14" i="31"/>
  <c r="L23" i="38"/>
  <c r="M21" i="38" s="1"/>
  <c r="L24" i="38"/>
  <c r="L26" i="38" s="1"/>
  <c r="L28" i="38" s="1"/>
  <c r="M23" i="38" l="1"/>
  <c r="N21" i="38" s="1"/>
  <c r="M24" i="38"/>
  <c r="M26" i="38" s="1"/>
  <c r="M28" i="38" s="1"/>
  <c r="N23" i="38" l="1"/>
  <c r="O21" i="38" s="1"/>
  <c r="N24" i="38"/>
  <c r="N26" i="38" s="1"/>
  <c r="N28" i="38" s="1"/>
  <c r="I20" i="25"/>
  <c r="F42" i="30"/>
  <c r="O24" i="38" l="1"/>
  <c r="O26" i="38" s="1"/>
  <c r="O28" i="38" s="1"/>
  <c r="O23" i="38"/>
  <c r="P21" i="38" s="1"/>
  <c r="P24" i="38" l="1"/>
  <c r="P26" i="38" s="1"/>
  <c r="P28" i="38" s="1"/>
  <c r="P23" i="38"/>
  <c r="Q21" i="38" s="1"/>
  <c r="Q23" i="38" l="1"/>
  <c r="R21" i="38" s="1"/>
  <c r="Q24" i="38"/>
  <c r="Q26" i="38" s="1"/>
  <c r="Q28" i="38" s="1"/>
  <c r="R23" i="38" l="1"/>
  <c r="S21" i="38" s="1"/>
  <c r="R24" i="38"/>
  <c r="R26" i="38" s="1"/>
  <c r="R28" i="38" s="1"/>
  <c r="S23" i="38" l="1"/>
  <c r="T21" i="38" s="1"/>
  <c r="S24" i="38"/>
  <c r="S26" i="38" s="1"/>
  <c r="S28" i="38" s="1"/>
  <c r="T24" i="38" l="1"/>
  <c r="T26" i="38" s="1"/>
  <c r="T28" i="38" s="1"/>
  <c r="T23" i="38"/>
  <c r="U21" i="38" s="1"/>
  <c r="U23" i="38" l="1"/>
  <c r="V21" i="38" s="1"/>
  <c r="U24" i="38"/>
  <c r="U26" i="38" s="1"/>
  <c r="U28" i="38" s="1"/>
  <c r="V23" i="38" l="1"/>
  <c r="W21" i="38" s="1"/>
  <c r="V24" i="38"/>
  <c r="V26" i="38" s="1"/>
  <c r="V28" i="38" s="1"/>
  <c r="W24" i="38" l="1"/>
  <c r="W26" i="38" s="1"/>
  <c r="W28" i="38" s="1"/>
  <c r="W23" i="38"/>
  <c r="X21" i="38" s="1"/>
  <c r="X24" i="38" l="1"/>
  <c r="X26" i="38" s="1"/>
  <c r="X28" i="38" s="1"/>
  <c r="X23" i="38"/>
  <c r="Y21" i="38" s="1"/>
  <c r="Y23" i="38" l="1"/>
  <c r="Z21" i="38" s="1"/>
  <c r="Y24" i="38"/>
  <c r="Y26" i="38" s="1"/>
  <c r="Y28" i="38" s="1"/>
  <c r="Z24" i="38" l="1"/>
  <c r="Z26" i="38" s="1"/>
  <c r="Z28" i="38" s="1"/>
  <c r="Z23" i="38"/>
  <c r="AA21" i="38" s="1"/>
  <c r="AA24" i="38" l="1"/>
  <c r="AA26" i="38" s="1"/>
  <c r="AA28" i="38" s="1"/>
  <c r="AA23" i="38"/>
  <c r="AB21" i="38" s="1"/>
  <c r="AB24" i="38" l="1"/>
  <c r="AB26" i="38" s="1"/>
  <c r="AB28" i="38" s="1"/>
  <c r="AB23" i="38"/>
  <c r="AC21" i="38" s="1"/>
  <c r="AC23" i="38" l="1"/>
  <c r="AD21" i="38" s="1"/>
  <c r="AC24" i="38"/>
  <c r="AC26" i="38" s="1"/>
  <c r="AC28" i="38" s="1"/>
  <c r="AD24" i="38" l="1"/>
  <c r="AD26" i="38" s="1"/>
  <c r="AD28" i="38" s="1"/>
  <c r="AD23" i="38"/>
  <c r="AE21" i="38" s="1"/>
  <c r="AE23" i="38" l="1"/>
  <c r="AF21" i="38" s="1"/>
  <c r="AE24" i="38"/>
  <c r="AE26" i="38" s="1"/>
  <c r="AE28" i="38" s="1"/>
  <c r="AF23" i="38" l="1"/>
  <c r="AG21" i="38" s="1"/>
  <c r="AF24" i="38"/>
  <c r="AF26" i="38" s="1"/>
  <c r="AF28" i="38" s="1"/>
  <c r="AG23" i="38" l="1"/>
  <c r="AH21" i="38" s="1"/>
  <c r="AG24" i="38"/>
  <c r="AG26" i="38" s="1"/>
  <c r="AG28" i="38" s="1"/>
  <c r="AH23" i="38" l="1"/>
  <c r="AI21" i="38" s="1"/>
  <c r="AH24" i="38"/>
  <c r="AH26" i="38" s="1"/>
  <c r="AH28" i="38" s="1"/>
  <c r="AI24" i="38" l="1"/>
  <c r="AI26" i="38" s="1"/>
  <c r="AI28" i="38" s="1"/>
  <c r="AI23" i="38"/>
  <c r="AJ21" i="38" s="1"/>
  <c r="AJ23" i="38" l="1"/>
  <c r="AK21" i="38" s="1"/>
  <c r="AJ24" i="38"/>
  <c r="AJ26" i="38" s="1"/>
  <c r="AJ28" i="38" s="1"/>
  <c r="AK23" i="38" l="1"/>
  <c r="AL21" i="38" s="1"/>
  <c r="AK24" i="38"/>
  <c r="AK26" i="38" s="1"/>
  <c r="AK28" i="38" s="1"/>
  <c r="AL24" i="38" l="1"/>
  <c r="AL26" i="38" s="1"/>
  <c r="AL28" i="38" s="1"/>
  <c r="AL23" i="38"/>
  <c r="AM21" i="38" s="1"/>
  <c r="AM24" i="38" l="1"/>
  <c r="AM26" i="38" s="1"/>
  <c r="AM28" i="38" s="1"/>
  <c r="AM23" i="38"/>
  <c r="AN21" i="38" s="1"/>
  <c r="AN24" i="38" l="1"/>
  <c r="AN26" i="38" s="1"/>
  <c r="AN28" i="38" s="1"/>
  <c r="AN23" i="38"/>
  <c r="AO21" i="38" s="1"/>
  <c r="AO23" i="38" l="1"/>
  <c r="AP21" i="38" s="1"/>
  <c r="AO24" i="38"/>
  <c r="AO26" i="38" s="1"/>
  <c r="AO28" i="38" s="1"/>
  <c r="AP23" i="38" l="1"/>
  <c r="AQ21" i="38" s="1"/>
  <c r="AP24" i="38"/>
  <c r="AP26" i="38" s="1"/>
  <c r="AP28" i="38" s="1"/>
  <c r="AQ23" i="38" l="1"/>
  <c r="AR21" i="38" s="1"/>
  <c r="AQ24" i="38"/>
  <c r="AQ26" i="38" s="1"/>
  <c r="AQ28" i="38" s="1"/>
  <c r="AR23" i="38" l="1"/>
  <c r="AS21" i="38" s="1"/>
  <c r="AR24" i="38"/>
  <c r="AR26" i="38" s="1"/>
  <c r="AR28" i="38" s="1"/>
  <c r="AS24" i="38" l="1"/>
  <c r="AS26" i="38" s="1"/>
  <c r="AS28" i="38" s="1"/>
  <c r="AS23" i="38"/>
  <c r="AT21" i="38" s="1"/>
  <c r="AT23" i="38" l="1"/>
  <c r="AU21" i="38" s="1"/>
  <c r="AT24" i="38"/>
  <c r="AT26" i="38" s="1"/>
  <c r="AT28" i="38" s="1"/>
  <c r="AU24" i="38" l="1"/>
  <c r="AU26" i="38" s="1"/>
  <c r="AU28" i="38" s="1"/>
  <c r="AU23" i="38"/>
  <c r="AV21" i="38" s="1"/>
  <c r="AV23" i="38" l="1"/>
  <c r="AW21" i="38" s="1"/>
  <c r="AV24" i="38"/>
  <c r="AV26" i="38" s="1"/>
  <c r="AV28" i="38" s="1"/>
  <c r="AW23" i="38" l="1"/>
  <c r="AX21" i="38" s="1"/>
  <c r="AW24" i="38"/>
  <c r="AW26" i="38" s="1"/>
  <c r="AW28" i="38" s="1"/>
  <c r="AX24" i="38" l="1"/>
  <c r="AX26" i="38" s="1"/>
  <c r="AX28" i="38" s="1"/>
  <c r="AX23" i="38"/>
  <c r="AY21" i="38" s="1"/>
  <c r="AY24" i="38" l="1"/>
  <c r="AY26" i="38" s="1"/>
  <c r="AY28" i="38" s="1"/>
  <c r="AY23" i="38"/>
  <c r="AZ21" i="38" s="1"/>
  <c r="AZ24" i="38" l="1"/>
  <c r="AZ26" i="38" s="1"/>
  <c r="AZ28" i="38" s="1"/>
  <c r="AZ23" i="38"/>
  <c r="BA21" i="38" s="1"/>
  <c r="BA24" i="38" l="1"/>
  <c r="BA26" i="38" s="1"/>
  <c r="BA28" i="38" s="1"/>
  <c r="BA23" i="38"/>
  <c r="BB21" i="38" s="1"/>
  <c r="BB24" i="38" l="1"/>
  <c r="BB26" i="38" s="1"/>
  <c r="BB28" i="38" s="1"/>
  <c r="BB23" i="38"/>
  <c r="C27" i="31" l="1"/>
  <c r="C29" i="31" l="1"/>
  <c r="E31" i="31" l="1"/>
  <c r="F31" i="31" s="1"/>
  <c r="C31" i="31" l="1"/>
  <c r="E32" i="31"/>
  <c r="F32" i="31" s="1"/>
  <c r="C6" i="31"/>
  <c r="C32" i="31" l="1"/>
  <c r="J51" i="31"/>
  <c r="C7" i="31"/>
  <c r="E42" i="30" l="1"/>
  <c r="E43" i="30"/>
  <c r="F41" i="30"/>
  <c r="K8" i="25" l="1"/>
  <c r="K9" i="25"/>
  <c r="K10" i="25"/>
  <c r="K11" i="25"/>
  <c r="K12" i="25"/>
  <c r="K13" i="25"/>
  <c r="K14" i="25"/>
  <c r="K15" i="25"/>
  <c r="K16" i="25"/>
  <c r="K17" i="25"/>
  <c r="K18" i="25"/>
  <c r="K19" i="25"/>
  <c r="K20" i="25"/>
  <c r="K22" i="25"/>
  <c r="K7" i="25"/>
  <c r="D24" i="25"/>
  <c r="I24" i="25"/>
  <c r="E25" i="30"/>
  <c r="F17" i="30" l="1"/>
  <c r="E28" i="30"/>
  <c r="F21" i="30"/>
  <c r="F20" i="30"/>
  <c r="K24" i="25"/>
  <c r="F19" i="30"/>
  <c r="F18" i="30"/>
  <c r="F23" i="30"/>
  <c r="F22" i="30"/>
  <c r="F24" i="30"/>
  <c r="F27" i="30"/>
  <c r="F16" i="30"/>
  <c r="C27" i="30"/>
  <c r="E34" i="30" l="1"/>
  <c r="F25" i="30"/>
  <c r="E38" i="30" l="1"/>
  <c r="C36" i="30"/>
  <c r="C24" i="30"/>
  <c r="C23" i="30"/>
  <c r="C22" i="30"/>
  <c r="C21" i="30"/>
  <c r="C20" i="30"/>
  <c r="C19" i="30"/>
  <c r="C18" i="30"/>
  <c r="C17" i="30"/>
  <c r="C16" i="30"/>
  <c r="C6" i="30" l="1"/>
  <c r="C38" i="30"/>
  <c r="C7" i="30" l="1"/>
  <c r="I29" i="30"/>
  <c r="G20" i="25" l="1"/>
  <c r="F20" i="25"/>
  <c r="D20" i="25"/>
  <c r="V5" i="3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73C764-9C54-684E-AEC9-D5FA82CE29CE}" keepAlive="1" name="Query - 283_2021-01-01T0000_2024-02-22T2300 (3)" description="Connection to the '283_2021-01-01T0000_2024-02-22T2300 (3)' query in the workbook." type="5" refreshedVersion="8" background="1" saveData="1">
    <dbPr connection="Provider=Microsoft.Mashup.OleDb.1;Data Source=$Workbook$;Location=&quot;283_2021-01-01T0000_2024-02-22T2300 (3)&quot;;Extended Properties=&quot;&quot;" command="SELECT * FROM [283_2021-01-01T0000_2024-02-22T2300 (3)]"/>
  </connection>
</connections>
</file>

<file path=xl/sharedStrings.xml><?xml version="1.0" encoding="utf-8"?>
<sst xmlns="http://schemas.openxmlformats.org/spreadsheetml/2006/main" count="247" uniqueCount="147">
  <si>
    <t>Illustrative Equity IRR analysis</t>
  </si>
  <si>
    <t>Investment and financing</t>
  </si>
  <si>
    <t>Cash flow and value</t>
  </si>
  <si>
    <t>EUR k</t>
  </si>
  <si>
    <t>Production inputs</t>
  </si>
  <si>
    <t>MW</t>
  </si>
  <si>
    <t>Transaction value (EURk)</t>
  </si>
  <si>
    <t>Cash flow (pre-tax)</t>
  </si>
  <si>
    <t>Capacity</t>
  </si>
  <si>
    <t xml:space="preserve"> - EURm/MW</t>
  </si>
  <si>
    <t>NPV (pre-tax cash flow)</t>
  </si>
  <si>
    <t>Capex</t>
  </si>
  <si>
    <t>WACC</t>
  </si>
  <si>
    <t xml:space="preserve"> </t>
  </si>
  <si>
    <t>EUR k/MW</t>
  </si>
  <si>
    <t>EUR</t>
  </si>
  <si>
    <t>%</t>
  </si>
  <si>
    <t>Upper reservoir</t>
  </si>
  <si>
    <t>Upper inlet</t>
  </si>
  <si>
    <t>Pressure shaft</t>
  </si>
  <si>
    <t>Surge tank</t>
  </si>
  <si>
    <t>Commissioning date</t>
  </si>
  <si>
    <t>date</t>
  </si>
  <si>
    <t>Vertical pressure shaft</t>
  </si>
  <si>
    <t>Technical lifetime</t>
  </si>
  <si>
    <t>years</t>
  </si>
  <si>
    <t>Rock trap</t>
  </si>
  <si>
    <t>Power house</t>
  </si>
  <si>
    <t>Lower reservoir</t>
  </si>
  <si>
    <t>Equipment</t>
  </si>
  <si>
    <t>Subsidy</t>
  </si>
  <si>
    <t>Opex</t>
  </si>
  <si>
    <t>Sensitivity</t>
  </si>
  <si>
    <t>CAPEX</t>
  </si>
  <si>
    <t>Revenue</t>
  </si>
  <si>
    <t>k€ p.a.</t>
  </si>
  <si>
    <t>Inflation</t>
  </si>
  <si>
    <t>Tax</t>
  </si>
  <si>
    <t>CAPEX 125 mEUR</t>
  </si>
  <si>
    <t>75 MW</t>
  </si>
  <si>
    <t>Optional +75 MW plant</t>
  </si>
  <si>
    <t>Yhteensä (75+75 MW</t>
  </si>
  <si>
    <t>investment costs MEUR</t>
  </si>
  <si>
    <t>% of total</t>
  </si>
  <si>
    <t>Total investment MEUR</t>
  </si>
  <si>
    <t>Hydro equipment</t>
  </si>
  <si>
    <t>Mechanical equipment</t>
  </si>
  <si>
    <t>Electrical equipment</t>
  </si>
  <si>
    <t>Other costs and contigencies</t>
  </si>
  <si>
    <t>Total</t>
  </si>
  <si>
    <t>Project management</t>
  </si>
  <si>
    <t>Construction</t>
  </si>
  <si>
    <t>Operation</t>
  </si>
  <si>
    <t>PPHES plant operation and maintenance</t>
  </si>
  <si>
    <t>Mine infrastructure operation and maintenance</t>
  </si>
  <si>
    <t>Contingency + Extra costs</t>
  </si>
  <si>
    <t>Tidigare, EUR</t>
  </si>
  <si>
    <t>Difference</t>
  </si>
  <si>
    <t>Contingency (10%)</t>
  </si>
  <si>
    <t>Admin</t>
  </si>
  <si>
    <t>Grid fee (DSO)</t>
  </si>
  <si>
    <t>Property tax</t>
  </si>
  <si>
    <t>€/MW</t>
  </si>
  <si>
    <t>Insurance</t>
  </si>
  <si>
    <t>% revenues</t>
  </si>
  <si>
    <t>Land lease</t>
  </si>
  <si>
    <t>Trading fee</t>
  </si>
  <si>
    <t>% capex</t>
  </si>
  <si>
    <t>O&amp;M</t>
  </si>
  <si>
    <t>Grid connection</t>
  </si>
  <si>
    <t>Installation &amp; preparation of land</t>
  </si>
  <si>
    <t>Other infrastructure</t>
  </si>
  <si>
    <t>Battery system</t>
  </si>
  <si>
    <t>Capex assumptions</t>
  </si>
  <si>
    <t>Debt, % of CAPEX</t>
  </si>
  <si>
    <t>Debt, EUR</t>
  </si>
  <si>
    <t>Installments after x years</t>
  </si>
  <si>
    <t>Years of installments</t>
  </si>
  <si>
    <t>Interest rate, %</t>
  </si>
  <si>
    <t>DEBT</t>
  </si>
  <si>
    <t>Project IRR (unleveraged, excluding taxes)</t>
  </si>
  <si>
    <t>Consumptions fee</t>
  </si>
  <si>
    <t>High voltage time</t>
  </si>
  <si>
    <t>Fixed fee per annum</t>
  </si>
  <si>
    <t>None high voltage time</t>
  </si>
  <si>
    <t>Cost - High voltage time</t>
  </si>
  <si>
    <t>Cost - None high voltage time</t>
  </si>
  <si>
    <t>Hours per day</t>
  </si>
  <si>
    <t>Days per year</t>
  </si>
  <si>
    <t>EUR/MWH high voltage</t>
  </si>
  <si>
    <t>EUR/MWH none high voltage</t>
  </si>
  <si>
    <t>Load fee</t>
  </si>
  <si>
    <t>EUR/MWH uttag från nätet</t>
  </si>
  <si>
    <t>EUR/MWH uppladdning till nätet</t>
  </si>
  <si>
    <t>Cost - download</t>
  </si>
  <si>
    <t>Cost - upload</t>
  </si>
  <si>
    <t>Yearly DSO cost estimate (example from Caruna tariffs)</t>
  </si>
  <si>
    <t>Assumptions</t>
  </si>
  <si>
    <t>Revenues per year optimization model (2023 base case)</t>
  </si>
  <si>
    <t>Revenues inflation</t>
  </si>
  <si>
    <t>Revenues 2024</t>
  </si>
  <si>
    <t>Total gross capex mine</t>
  </si>
  <si>
    <t>Grid Connection</t>
  </si>
  <si>
    <t>Grid Station</t>
  </si>
  <si>
    <t>Gross capex mine + contingency</t>
  </si>
  <si>
    <t>Grid fee</t>
  </si>
  <si>
    <t>euribor + 2-300 punkter</t>
  </si>
  <si>
    <t>Project IRR (excluding taxes)</t>
  </si>
  <si>
    <t>Project IRR (including  taxes)</t>
  </si>
  <si>
    <t>Capex + contingency + grid - subsidy</t>
  </si>
  <si>
    <t>Repurchase value</t>
  </si>
  <si>
    <t>Ingående anskaffningsvärde</t>
  </si>
  <si>
    <t>Utågende anskaffningsvärde</t>
  </si>
  <si>
    <t>Årlig avskrivning</t>
  </si>
  <si>
    <t>Minimum rrepurchase value</t>
  </si>
  <si>
    <t>Real repurchase value</t>
  </si>
  <si>
    <t>Real growth</t>
  </si>
  <si>
    <t>Industry and power market charges</t>
  </si>
  <si>
    <t>% property value</t>
  </si>
  <si>
    <t>€/MW/month</t>
  </si>
  <si>
    <t>New water treatment plant</t>
  </si>
  <si>
    <t>Capex, kEUR</t>
  </si>
  <si>
    <t>Revenue potential, base year 2023, kEUR</t>
  </si>
  <si>
    <t>Gross capex mine + contingency + grid + other</t>
  </si>
  <si>
    <t>Project development Callio</t>
  </si>
  <si>
    <t>Day-ahead revenue</t>
  </si>
  <si>
    <t>Energy compensation per market</t>
  </si>
  <si>
    <t>Penalty</t>
  </si>
  <si>
    <t>Total in report</t>
  </si>
  <si>
    <t>Preparation of land</t>
  </si>
  <si>
    <t>Hardware</t>
  </si>
  <si>
    <t>Total Hardware</t>
  </si>
  <si>
    <t>Development and other</t>
  </si>
  <si>
    <t>Project devlopment</t>
  </si>
  <si>
    <t>Transformer</t>
  </si>
  <si>
    <t>EUR SEK</t>
  </si>
  <si>
    <t>Total development &amp; other</t>
  </si>
  <si>
    <t>Total capex hardware + development</t>
  </si>
  <si>
    <t>Total capex + contingency</t>
  </si>
  <si>
    <t>Grid station / Gridge Edge Solution</t>
  </si>
  <si>
    <t>Development and installation</t>
  </si>
  <si>
    <t>Infrastructure (cables) and hardware installation</t>
  </si>
  <si>
    <t>Project IRR (unleveraged, including taxes)</t>
  </si>
  <si>
    <t>Installments starting year</t>
  </si>
  <si>
    <t>Real growth (5 yeras)</t>
  </si>
  <si>
    <t>Number of cycles</t>
  </si>
  <si>
    <t>cost per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</si>
</sst>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0.0%"/>
    <numFmt numFmtId="166" formatCode="#,##0.0"/>
    <numFmt numFmtId="167" formatCode="0.0"/>
    <numFmt numFmtId="168" formatCode="#,##0\ _k_r"/>
    <numFmt numFmtId="169" formatCode="#,##0\ _k_r;\-#,##0\ _k_r"/>
    <numFmt numFmtId="170" formatCode="#,##0.00\ _k_r"/>
  </numFmts>
  <fonts count="32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2"/>
      <scheme val="maj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FF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u/>
      <sz val="10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rgb="FF0000FF"/>
      </left>
      <right style="dotted">
        <color rgb="FF0000FF"/>
      </right>
      <top style="dotted">
        <color rgb="FF0000FF"/>
      </top>
      <bottom style="dotted">
        <color rgb="FF0000FF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rgb="FFFFFFFF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0" fontId="7" fillId="0" borderId="0"/>
    <xf numFmtId="0" fontId="6" fillId="0" borderId="0"/>
    <xf numFmtId="0" fontId="8" fillId="0" borderId="0"/>
    <xf numFmtId="164" fontId="6" fillId="0" borderId="0" applyFont="0" applyFill="0" applyBorder="0" applyAlignment="0" applyProtection="0"/>
    <xf numFmtId="0" fontId="5" fillId="0" borderId="0"/>
    <xf numFmtId="10" fontId="18" fillId="6" borderId="10" applyNumberFormat="0" applyAlignment="0">
      <protection locked="0"/>
    </xf>
    <xf numFmtId="9" fontId="19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/>
    <xf numFmtId="0" fontId="3" fillId="0" borderId="0"/>
    <xf numFmtId="9" fontId="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10" fillId="3" borderId="0" xfId="8" applyFont="1" applyFill="1"/>
    <xf numFmtId="10" fontId="10" fillId="3" borderId="0" xfId="8" applyNumberFormat="1" applyFont="1" applyFill="1"/>
    <xf numFmtId="165" fontId="10" fillId="3" borderId="0" xfId="8" applyNumberFormat="1" applyFont="1" applyFill="1"/>
    <xf numFmtId="9" fontId="10" fillId="3" borderId="0" xfId="8" applyNumberFormat="1" applyFont="1" applyFill="1"/>
    <xf numFmtId="0" fontId="10" fillId="3" borderId="2" xfId="8" applyFont="1" applyFill="1" applyBorder="1"/>
    <xf numFmtId="3" fontId="10" fillId="3" borderId="0" xfId="8" applyNumberFormat="1" applyFont="1" applyFill="1"/>
    <xf numFmtId="0" fontId="9" fillId="3" borderId="0" xfId="8" applyFont="1" applyFill="1"/>
    <xf numFmtId="4" fontId="10" fillId="3" borderId="0" xfId="8" applyNumberFormat="1" applyFont="1" applyFill="1"/>
    <xf numFmtId="9" fontId="10" fillId="5" borderId="8" xfId="8" applyNumberFormat="1" applyFont="1" applyFill="1" applyBorder="1"/>
    <xf numFmtId="0" fontId="10" fillId="3" borderId="7" xfId="8" applyFont="1" applyFill="1" applyBorder="1"/>
    <xf numFmtId="0" fontId="10" fillId="3" borderId="1" xfId="8" applyFont="1" applyFill="1" applyBorder="1"/>
    <xf numFmtId="3" fontId="10" fillId="5" borderId="6" xfId="8" applyNumberFormat="1" applyFont="1" applyFill="1" applyBorder="1"/>
    <xf numFmtId="165" fontId="10" fillId="5" borderId="6" xfId="8" applyNumberFormat="1" applyFont="1" applyFill="1" applyBorder="1"/>
    <xf numFmtId="0" fontId="12" fillId="2" borderId="5" xfId="8" applyFont="1" applyFill="1" applyBorder="1"/>
    <xf numFmtId="4" fontId="12" fillId="2" borderId="4" xfId="8" applyNumberFormat="1" applyFont="1" applyFill="1" applyBorder="1"/>
    <xf numFmtId="0" fontId="12" fillId="2" borderId="4" xfId="8" applyFont="1" applyFill="1" applyBorder="1"/>
    <xf numFmtId="0" fontId="11" fillId="2" borderId="3" xfId="8" applyFont="1" applyFill="1" applyBorder="1"/>
    <xf numFmtId="3" fontId="13" fillId="3" borderId="0" xfId="8" applyNumberFormat="1" applyFont="1" applyFill="1" applyAlignment="1">
      <alignment horizontal="right" vertical="center"/>
    </xf>
    <xf numFmtId="0" fontId="13" fillId="3" borderId="1" xfId="8" applyFont="1" applyFill="1" applyBorder="1" applyAlignment="1">
      <alignment vertical="center"/>
    </xf>
    <xf numFmtId="14" fontId="10" fillId="5" borderId="6" xfId="8" applyNumberFormat="1" applyFont="1" applyFill="1" applyBorder="1"/>
    <xf numFmtId="0" fontId="12" fillId="2" borderId="9" xfId="8" applyFont="1" applyFill="1" applyBorder="1"/>
    <xf numFmtId="3" fontId="14" fillId="3" borderId="0" xfId="8" applyNumberFormat="1" applyFont="1" applyFill="1" applyAlignment="1">
      <alignment horizontal="right" vertical="center"/>
    </xf>
    <xf numFmtId="167" fontId="10" fillId="5" borderId="6" xfId="8" applyNumberFormat="1" applyFont="1" applyFill="1" applyBorder="1"/>
    <xf numFmtId="3" fontId="10" fillId="3" borderId="6" xfId="8" applyNumberFormat="1" applyFont="1" applyFill="1" applyBorder="1"/>
    <xf numFmtId="0" fontId="10" fillId="3" borderId="1" xfId="8" applyFont="1" applyFill="1" applyBorder="1" applyAlignment="1">
      <alignment horizontal="left" indent="1"/>
    </xf>
    <xf numFmtId="0" fontId="17" fillId="3" borderId="6" xfId="8" applyFont="1" applyFill="1" applyBorder="1" applyAlignment="1">
      <alignment horizontal="center"/>
    </xf>
    <xf numFmtId="0" fontId="12" fillId="2" borderId="6" xfId="8" applyFont="1" applyFill="1" applyBorder="1"/>
    <xf numFmtId="0" fontId="11" fillId="2" borderId="1" xfId="8" applyFont="1" applyFill="1" applyBorder="1"/>
    <xf numFmtId="0" fontId="12" fillId="2" borderId="5" xfId="8" applyFont="1" applyFill="1" applyBorder="1" applyAlignment="1">
      <alignment horizontal="right"/>
    </xf>
    <xf numFmtId="0" fontId="9" fillId="3" borderId="1" xfId="8" applyFont="1" applyFill="1" applyBorder="1"/>
    <xf numFmtId="0" fontId="9" fillId="3" borderId="7" xfId="8" applyFont="1" applyFill="1" applyBorder="1"/>
    <xf numFmtId="0" fontId="9" fillId="3" borderId="2" xfId="8" applyFont="1" applyFill="1" applyBorder="1"/>
    <xf numFmtId="0" fontId="9" fillId="5" borderId="8" xfId="8" applyFont="1" applyFill="1" applyBorder="1"/>
    <xf numFmtId="166" fontId="14" fillId="3" borderId="6" xfId="8" applyNumberFormat="1" applyFont="1" applyFill="1" applyBorder="1" applyAlignment="1">
      <alignment horizontal="right" vertical="center"/>
    </xf>
    <xf numFmtId="0" fontId="3" fillId="0" borderId="0" xfId="12"/>
    <xf numFmtId="3" fontId="20" fillId="0" borderId="0" xfId="12" applyNumberFormat="1" applyFont="1"/>
    <xf numFmtId="10" fontId="20" fillId="0" borderId="0" xfId="12" applyNumberFormat="1" applyFont="1"/>
    <xf numFmtId="0" fontId="20" fillId="0" borderId="0" xfId="12" applyFont="1"/>
    <xf numFmtId="3" fontId="21" fillId="0" borderId="0" xfId="12" applyNumberFormat="1" applyFont="1"/>
    <xf numFmtId="0" fontId="21" fillId="0" borderId="0" xfId="12" applyFont="1"/>
    <xf numFmtId="3" fontId="14" fillId="5" borderId="6" xfId="8" applyNumberFormat="1" applyFont="1" applyFill="1" applyBorder="1" applyAlignment="1">
      <alignment horizontal="right" vertical="center"/>
    </xf>
    <xf numFmtId="167" fontId="10" fillId="3" borderId="0" xfId="8" applyNumberFormat="1" applyFont="1" applyFill="1"/>
    <xf numFmtId="0" fontId="10" fillId="3" borderId="8" xfId="8" applyFont="1" applyFill="1" applyBorder="1"/>
    <xf numFmtId="0" fontId="10" fillId="0" borderId="0" xfId="8" applyFont="1"/>
    <xf numFmtId="0" fontId="10" fillId="5" borderId="0" xfId="8" applyFont="1" applyFill="1"/>
    <xf numFmtId="9" fontId="12" fillId="3" borderId="4" xfId="7" applyFont="1" applyFill="1" applyBorder="1" applyAlignment="1">
      <alignment horizontal="center"/>
    </xf>
    <xf numFmtId="9" fontId="12" fillId="3" borderId="5" xfId="7" applyFont="1" applyFill="1" applyBorder="1" applyAlignment="1">
      <alignment horizontal="center"/>
    </xf>
    <xf numFmtId="0" fontId="16" fillId="3" borderId="0" xfId="8" applyFont="1" applyFill="1"/>
    <xf numFmtId="169" fontId="9" fillId="5" borderId="0" xfId="8" applyNumberFormat="1" applyFont="1" applyFill="1" applyAlignment="1">
      <alignment horizontal="center"/>
    </xf>
    <xf numFmtId="169" fontId="9" fillId="5" borderId="6" xfId="8" applyNumberFormat="1" applyFont="1" applyFill="1" applyBorder="1" applyAlignment="1">
      <alignment horizontal="center"/>
    </xf>
    <xf numFmtId="3" fontId="14" fillId="0" borderId="6" xfId="8" applyNumberFormat="1" applyFont="1" applyBorder="1" applyAlignment="1">
      <alignment horizontal="right" vertical="center"/>
    </xf>
    <xf numFmtId="165" fontId="10" fillId="3" borderId="6" xfId="8" applyNumberFormat="1" applyFont="1" applyFill="1" applyBorder="1"/>
    <xf numFmtId="0" fontId="10" fillId="3" borderId="3" xfId="8" applyFont="1" applyFill="1" applyBorder="1"/>
    <xf numFmtId="9" fontId="10" fillId="5" borderId="2" xfId="8" applyNumberFormat="1" applyFont="1" applyFill="1" applyBorder="1"/>
    <xf numFmtId="9" fontId="10" fillId="0" borderId="8" xfId="8" applyNumberFormat="1" applyFont="1" applyBorder="1"/>
    <xf numFmtId="166" fontId="14" fillId="3" borderId="0" xfId="8" applyNumberFormat="1" applyFont="1" applyFill="1" applyAlignment="1">
      <alignment horizontal="right" vertical="center"/>
    </xf>
    <xf numFmtId="0" fontId="12" fillId="0" borderId="0" xfId="8" applyFont="1"/>
    <xf numFmtId="0" fontId="10" fillId="3" borderId="5" xfId="8" applyFont="1" applyFill="1" applyBorder="1"/>
    <xf numFmtId="0" fontId="2" fillId="0" borderId="0" xfId="12" applyFont="1"/>
    <xf numFmtId="9" fontId="10" fillId="3" borderId="0" xfId="7" applyFont="1" applyFill="1"/>
    <xf numFmtId="166" fontId="10" fillId="3" borderId="0" xfId="8" applyNumberFormat="1" applyFont="1" applyFill="1"/>
    <xf numFmtId="9" fontId="10" fillId="3" borderId="8" xfId="8" applyNumberFormat="1" applyFont="1" applyFill="1" applyBorder="1"/>
    <xf numFmtId="0" fontId="10" fillId="3" borderId="7" xfId="8" applyFont="1" applyFill="1" applyBorder="1" applyAlignment="1">
      <alignment horizontal="left"/>
    </xf>
    <xf numFmtId="2" fontId="10" fillId="3" borderId="0" xfId="8" applyNumberFormat="1" applyFont="1" applyFill="1"/>
    <xf numFmtId="14" fontId="12" fillId="2" borderId="5" xfId="8" applyNumberFormat="1" applyFont="1" applyFill="1" applyBorder="1"/>
    <xf numFmtId="14" fontId="12" fillId="2" borderId="4" xfId="8" applyNumberFormat="1" applyFont="1" applyFill="1" applyBorder="1"/>
    <xf numFmtId="165" fontId="10" fillId="3" borderId="8" xfId="8" applyNumberFormat="1" applyFont="1" applyFill="1" applyBorder="1"/>
    <xf numFmtId="9" fontId="9" fillId="5" borderId="6" xfId="8" applyNumberFormat="1" applyFont="1" applyFill="1" applyBorder="1"/>
    <xf numFmtId="0" fontId="5" fillId="0" borderId="0" xfId="0" applyFont="1"/>
    <xf numFmtId="0" fontId="13" fillId="3" borderId="0" xfId="8" applyFont="1" applyFill="1" applyAlignment="1">
      <alignment vertical="center"/>
    </xf>
    <xf numFmtId="0" fontId="10" fillId="3" borderId="4" xfId="8" applyFont="1" applyFill="1" applyBorder="1"/>
    <xf numFmtId="0" fontId="9" fillId="0" borderId="0" xfId="8" applyFont="1"/>
    <xf numFmtId="0" fontId="24" fillId="0" borderId="0" xfId="0" applyFont="1"/>
    <xf numFmtId="0" fontId="12" fillId="2" borderId="3" xfId="8" applyFont="1" applyFill="1" applyBorder="1"/>
    <xf numFmtId="165" fontId="10" fillId="5" borderId="8" xfId="8" applyNumberFormat="1" applyFont="1" applyFill="1" applyBorder="1"/>
    <xf numFmtId="0" fontId="10" fillId="7" borderId="4" xfId="8" applyFont="1" applyFill="1" applyBorder="1"/>
    <xf numFmtId="165" fontId="10" fillId="0" borderId="0" xfId="8" applyNumberFormat="1" applyFont="1"/>
    <xf numFmtId="3" fontId="14" fillId="5" borderId="0" xfId="8" applyNumberFormat="1" applyFont="1" applyFill="1" applyAlignment="1">
      <alignment horizontal="right" vertical="center"/>
    </xf>
    <xf numFmtId="168" fontId="0" fillId="0" borderId="0" xfId="0" applyNumberFormat="1"/>
    <xf numFmtId="0" fontId="25" fillId="0" borderId="0" xfId="0" applyFont="1"/>
    <xf numFmtId="168" fontId="0" fillId="8" borderId="0" xfId="0" applyNumberFormat="1" applyFill="1"/>
    <xf numFmtId="165" fontId="0" fillId="8" borderId="0" xfId="7" applyNumberFormat="1" applyFont="1" applyFill="1"/>
    <xf numFmtId="170" fontId="0" fillId="8" borderId="0" xfId="0" applyNumberFormat="1" applyFill="1"/>
    <xf numFmtId="168" fontId="0" fillId="9" borderId="0" xfId="0" applyNumberFormat="1" applyFill="1"/>
    <xf numFmtId="0" fontId="26" fillId="0" borderId="0" xfId="0" applyFont="1"/>
    <xf numFmtId="168" fontId="26" fillId="9" borderId="0" xfId="0" applyNumberFormat="1" applyFont="1" applyFill="1"/>
    <xf numFmtId="0" fontId="0" fillId="8" borderId="0" xfId="0" applyFill="1"/>
    <xf numFmtId="9" fontId="10" fillId="5" borderId="6" xfId="7" applyFont="1" applyFill="1" applyBorder="1"/>
    <xf numFmtId="0" fontId="9" fillId="3" borderId="0" xfId="8" applyFont="1" applyFill="1" applyAlignment="1">
      <alignment horizontal="left"/>
    </xf>
    <xf numFmtId="0" fontId="10" fillId="3" borderId="0" xfId="8" applyFont="1" applyFill="1" applyAlignment="1">
      <alignment horizontal="left"/>
    </xf>
    <xf numFmtId="168" fontId="10" fillId="0" borderId="6" xfId="8" applyNumberFormat="1" applyFont="1" applyBorder="1"/>
    <xf numFmtId="0" fontId="9" fillId="3" borderId="8" xfId="8" applyFont="1" applyFill="1" applyBorder="1" applyAlignment="1">
      <alignment horizontal="left"/>
    </xf>
    <xf numFmtId="3" fontId="14" fillId="0" borderId="0" xfId="8" applyNumberFormat="1" applyFont="1" applyAlignment="1">
      <alignment horizontal="right" vertical="center"/>
    </xf>
    <xf numFmtId="3" fontId="10" fillId="10" borderId="6" xfId="8" applyNumberFormat="1" applyFont="1" applyFill="1" applyBorder="1"/>
    <xf numFmtId="3" fontId="0" fillId="0" borderId="0" xfId="0" applyNumberFormat="1"/>
    <xf numFmtId="9" fontId="0" fillId="0" borderId="0" xfId="7" applyFont="1" applyBorder="1"/>
    <xf numFmtId="10" fontId="0" fillId="0" borderId="0" xfId="0" applyNumberFormat="1"/>
    <xf numFmtId="165" fontId="10" fillId="10" borderId="6" xfId="8" applyNumberFormat="1" applyFont="1" applyFill="1" applyBorder="1"/>
    <xf numFmtId="9" fontId="10" fillId="10" borderId="6" xfId="8" applyNumberFormat="1" applyFont="1" applyFill="1" applyBorder="1"/>
    <xf numFmtId="168" fontId="10" fillId="10" borderId="6" xfId="7" applyNumberFormat="1" applyFont="1" applyFill="1" applyBorder="1"/>
    <xf numFmtId="3" fontId="10" fillId="5" borderId="4" xfId="8" applyNumberFormat="1" applyFont="1" applyFill="1" applyBorder="1"/>
    <xf numFmtId="3" fontId="10" fillId="5" borderId="5" xfId="8" applyNumberFormat="1" applyFont="1" applyFill="1" applyBorder="1"/>
    <xf numFmtId="3" fontId="10" fillId="5" borderId="0" xfId="8" applyNumberFormat="1" applyFont="1" applyFill="1"/>
    <xf numFmtId="10" fontId="10" fillId="10" borderId="6" xfId="7" applyNumberFormat="1" applyFont="1" applyFill="1" applyBorder="1"/>
    <xf numFmtId="167" fontId="10" fillId="0" borderId="6" xfId="8" applyNumberFormat="1" applyFont="1" applyBorder="1"/>
    <xf numFmtId="166" fontId="10" fillId="0" borderId="6" xfId="8" applyNumberFormat="1" applyFont="1" applyBorder="1"/>
    <xf numFmtId="0" fontId="27" fillId="3" borderId="0" xfId="8" applyFont="1" applyFill="1"/>
    <xf numFmtId="165" fontId="27" fillId="3" borderId="0" xfId="8" applyNumberFormat="1" applyFont="1" applyFill="1" applyAlignment="1">
      <alignment horizontal="left"/>
    </xf>
    <xf numFmtId="0" fontId="28" fillId="3" borderId="0" xfId="8" applyFont="1" applyFill="1"/>
    <xf numFmtId="0" fontId="10" fillId="3" borderId="11" xfId="8" applyFont="1" applyFill="1" applyBorder="1"/>
    <xf numFmtId="0" fontId="13" fillId="3" borderId="12" xfId="8" applyFont="1" applyFill="1" applyBorder="1" applyAlignment="1">
      <alignment vertical="center"/>
    </xf>
    <xf numFmtId="0" fontId="10" fillId="3" borderId="13" xfId="8" applyFont="1" applyFill="1" applyBorder="1"/>
    <xf numFmtId="0" fontId="13" fillId="3" borderId="14" xfId="8" applyFont="1" applyFill="1" applyBorder="1" applyAlignment="1">
      <alignment vertical="center"/>
    </xf>
    <xf numFmtId="0" fontId="13" fillId="3" borderId="15" xfId="8" applyFont="1" applyFill="1" applyBorder="1" applyAlignment="1">
      <alignment vertical="center"/>
    </xf>
    <xf numFmtId="3" fontId="14" fillId="5" borderId="16" xfId="8" applyNumberFormat="1" applyFont="1" applyFill="1" applyBorder="1" applyAlignment="1">
      <alignment horizontal="right" vertical="center"/>
    </xf>
    <xf numFmtId="0" fontId="15" fillId="4" borderId="15" xfId="8" applyFont="1" applyFill="1" applyBorder="1" applyAlignment="1">
      <alignment vertical="center"/>
    </xf>
    <xf numFmtId="167" fontId="9" fillId="4" borderId="0" xfId="8" applyNumberFormat="1" applyFont="1" applyFill="1"/>
    <xf numFmtId="0" fontId="9" fillId="4" borderId="0" xfId="8" applyFont="1" applyFill="1"/>
    <xf numFmtId="3" fontId="23" fillId="4" borderId="16" xfId="8" applyNumberFormat="1" applyFont="1" applyFill="1" applyBorder="1" applyAlignment="1">
      <alignment horizontal="right" vertical="center"/>
    </xf>
    <xf numFmtId="3" fontId="14" fillId="0" borderId="16" xfId="8" applyNumberFormat="1" applyFont="1" applyBorder="1" applyAlignment="1">
      <alignment horizontal="right" vertical="center"/>
    </xf>
    <xf numFmtId="0" fontId="10" fillId="3" borderId="15" xfId="8" applyFont="1" applyFill="1" applyBorder="1"/>
    <xf numFmtId="0" fontId="10" fillId="3" borderId="16" xfId="8" applyFont="1" applyFill="1" applyBorder="1"/>
    <xf numFmtId="3" fontId="14" fillId="10" borderId="16" xfId="8" applyNumberFormat="1" applyFont="1" applyFill="1" applyBorder="1" applyAlignment="1">
      <alignment horizontal="right" vertical="center"/>
    </xf>
    <xf numFmtId="3" fontId="14" fillId="3" borderId="16" xfId="8" applyNumberFormat="1" applyFont="1" applyFill="1" applyBorder="1" applyAlignment="1">
      <alignment horizontal="right" vertical="center"/>
    </xf>
    <xf numFmtId="0" fontId="15" fillId="4" borderId="17" xfId="8" applyFont="1" applyFill="1" applyBorder="1" applyAlignment="1">
      <alignment vertical="center"/>
    </xf>
    <xf numFmtId="3" fontId="15" fillId="4" borderId="18" xfId="8" applyNumberFormat="1" applyFont="1" applyFill="1" applyBorder="1" applyAlignment="1">
      <alignment horizontal="right" vertical="center"/>
    </xf>
    <xf numFmtId="3" fontId="15" fillId="4" borderId="19" xfId="8" applyNumberFormat="1" applyFont="1" applyFill="1" applyBorder="1" applyAlignment="1">
      <alignment horizontal="right" vertical="center"/>
    </xf>
    <xf numFmtId="9" fontId="13" fillId="3" borderId="20" xfId="8" applyNumberFormat="1" applyFont="1" applyFill="1" applyBorder="1" applyAlignment="1">
      <alignment vertical="center"/>
    </xf>
    <xf numFmtId="9" fontId="10" fillId="3" borderId="21" xfId="8" applyNumberFormat="1" applyFont="1" applyFill="1" applyBorder="1" applyAlignment="1">
      <alignment horizontal="left" indent="6"/>
    </xf>
    <xf numFmtId="0" fontId="10" fillId="3" borderId="21" xfId="8" applyFont="1" applyFill="1" applyBorder="1"/>
    <xf numFmtId="9" fontId="10" fillId="3" borderId="22" xfId="8" applyNumberFormat="1" applyFont="1" applyFill="1" applyBorder="1" applyAlignment="1">
      <alignment horizontal="left" indent="6"/>
    </xf>
    <xf numFmtId="168" fontId="5" fillId="8" borderId="0" xfId="0" applyNumberFormat="1" applyFont="1" applyFill="1"/>
    <xf numFmtId="0" fontId="16" fillId="3" borderId="18" xfId="8" applyFont="1" applyFill="1" applyBorder="1"/>
    <xf numFmtId="0" fontId="10" fillId="3" borderId="18" xfId="8" applyFont="1" applyFill="1" applyBorder="1"/>
    <xf numFmtId="165" fontId="12" fillId="3" borderId="4" xfId="8" applyNumberFormat="1" applyFont="1" applyFill="1" applyBorder="1"/>
    <xf numFmtId="9" fontId="12" fillId="3" borderId="0" xfId="7" applyFont="1" applyFill="1" applyBorder="1" applyAlignment="1">
      <alignment horizontal="center"/>
    </xf>
    <xf numFmtId="0" fontId="12" fillId="3" borderId="2" xfId="8" applyFont="1" applyFill="1" applyBorder="1"/>
    <xf numFmtId="0" fontId="10" fillId="5" borderId="21" xfId="8" applyFont="1" applyFill="1" applyBorder="1"/>
    <xf numFmtId="168" fontId="10" fillId="5" borderId="21" xfId="8" applyNumberFormat="1" applyFont="1" applyFill="1" applyBorder="1"/>
    <xf numFmtId="0" fontId="10" fillId="5" borderId="22" xfId="8" applyFont="1" applyFill="1" applyBorder="1"/>
    <xf numFmtId="9" fontId="10" fillId="3" borderId="0" xfId="7" applyFont="1" applyFill="1" applyBorder="1" applyAlignment="1">
      <alignment horizontal="center"/>
    </xf>
    <xf numFmtId="9" fontId="10" fillId="3" borderId="6" xfId="7" applyFont="1" applyFill="1" applyBorder="1" applyAlignment="1">
      <alignment horizontal="center"/>
    </xf>
    <xf numFmtId="0" fontId="10" fillId="5" borderId="11" xfId="8" applyFont="1" applyFill="1" applyBorder="1"/>
    <xf numFmtId="3" fontId="14" fillId="3" borderId="6" xfId="8" applyNumberFormat="1" applyFont="1" applyFill="1" applyBorder="1" applyAlignment="1">
      <alignment horizontal="right" vertical="center"/>
    </xf>
    <xf numFmtId="0" fontId="10" fillId="3" borderId="23" xfId="8" applyFont="1" applyFill="1" applyBorder="1"/>
    <xf numFmtId="170" fontId="0" fillId="0" borderId="0" xfId="0" applyNumberFormat="1"/>
    <xf numFmtId="170" fontId="26" fillId="0" borderId="0" xfId="0" applyNumberFormat="1" applyFont="1"/>
    <xf numFmtId="1" fontId="10" fillId="0" borderId="0" xfId="8" applyNumberFormat="1" applyFont="1" applyAlignment="1">
      <alignment horizontal="right" indent="3"/>
    </xf>
    <xf numFmtId="1" fontId="10" fillId="5" borderId="0" xfId="8" applyNumberFormat="1" applyFont="1" applyFill="1" applyAlignment="1">
      <alignment horizontal="right" indent="3"/>
    </xf>
    <xf numFmtId="3" fontId="14" fillId="3" borderId="5" xfId="8" applyNumberFormat="1" applyFont="1" applyFill="1" applyBorder="1" applyAlignment="1">
      <alignment horizontal="right" vertical="center"/>
    </xf>
    <xf numFmtId="0" fontId="15" fillId="4" borderId="7" xfId="8" applyFont="1" applyFill="1" applyBorder="1" applyAlignment="1">
      <alignment vertical="center"/>
    </xf>
    <xf numFmtId="3" fontId="15" fillId="4" borderId="2" xfId="8" applyNumberFormat="1" applyFont="1" applyFill="1" applyBorder="1" applyAlignment="1">
      <alignment horizontal="right" vertical="center"/>
    </xf>
    <xf numFmtId="3" fontId="15" fillId="4" borderId="8" xfId="8" applyNumberFormat="1" applyFont="1" applyFill="1" applyBorder="1" applyAlignment="1">
      <alignment horizontal="right" vertical="center"/>
    </xf>
    <xf numFmtId="0" fontId="10" fillId="3" borderId="6" xfId="8" applyFont="1" applyFill="1" applyBorder="1"/>
    <xf numFmtId="0" fontId="0" fillId="0" borderId="3" xfId="0" applyBorder="1"/>
    <xf numFmtId="9" fontId="10" fillId="3" borderId="0" xfId="8" applyNumberFormat="1" applyFont="1" applyFill="1" applyAlignment="1">
      <alignment horizontal="left" indent="6"/>
    </xf>
    <xf numFmtId="1" fontId="10" fillId="0" borderId="4" xfId="8" applyNumberFormat="1" applyFont="1" applyBorder="1" applyAlignment="1">
      <alignment horizontal="right" indent="3"/>
    </xf>
    <xf numFmtId="0" fontId="29" fillId="3" borderId="1" xfId="8" applyFont="1" applyFill="1" applyBorder="1" applyAlignment="1">
      <alignment vertical="center"/>
    </xf>
    <xf numFmtId="0" fontId="15" fillId="3" borderId="7" xfId="8" applyFont="1" applyFill="1" applyBorder="1" applyAlignment="1">
      <alignment vertical="center"/>
    </xf>
    <xf numFmtId="3" fontId="23" fillId="5" borderId="8" xfId="8" applyNumberFormat="1" applyFont="1" applyFill="1" applyBorder="1" applyAlignment="1">
      <alignment horizontal="right" vertical="center"/>
    </xf>
    <xf numFmtId="0" fontId="13" fillId="3" borderId="3" xfId="8" applyFont="1" applyFill="1" applyBorder="1" applyAlignment="1">
      <alignment vertical="center"/>
    </xf>
    <xf numFmtId="3" fontId="14" fillId="0" borderId="5" xfId="8" applyNumberFormat="1" applyFont="1" applyBorder="1" applyAlignment="1">
      <alignment horizontal="right" vertical="center"/>
    </xf>
    <xf numFmtId="0" fontId="15" fillId="0" borderId="0" xfId="8" applyFont="1" applyAlignment="1">
      <alignment vertical="center"/>
    </xf>
    <xf numFmtId="0" fontId="13" fillId="0" borderId="3" xfId="8" applyFont="1" applyBorder="1" applyAlignment="1">
      <alignment vertical="center"/>
    </xf>
    <xf numFmtId="0" fontId="10" fillId="0" borderId="4" xfId="8" applyFont="1" applyBorder="1"/>
    <xf numFmtId="0" fontId="15" fillId="0" borderId="7" xfId="8" applyFont="1" applyBorder="1" applyAlignment="1">
      <alignment vertical="center"/>
    </xf>
    <xf numFmtId="0" fontId="9" fillId="0" borderId="2" xfId="8" applyFont="1" applyBorder="1"/>
    <xf numFmtId="3" fontId="23" fillId="0" borderId="8" xfId="8" applyNumberFormat="1" applyFont="1" applyBorder="1" applyAlignment="1">
      <alignment horizontal="right" vertical="center"/>
    </xf>
    <xf numFmtId="0" fontId="11" fillId="2" borderId="9" xfId="8" applyFont="1" applyFill="1" applyBorder="1"/>
    <xf numFmtId="0" fontId="5" fillId="0" borderId="1" xfId="0" applyFont="1" applyBorder="1"/>
    <xf numFmtId="0" fontId="0" fillId="0" borderId="6" xfId="0" applyBorder="1"/>
    <xf numFmtId="0" fontId="5" fillId="0" borderId="7" xfId="0" applyFont="1" applyBorder="1"/>
    <xf numFmtId="0" fontId="0" fillId="0" borderId="8" xfId="0" applyBorder="1"/>
    <xf numFmtId="0" fontId="11" fillId="0" borderId="3" xfId="8" applyFont="1" applyBorder="1"/>
    <xf numFmtId="0" fontId="11" fillId="0" borderId="5" xfId="8" applyFont="1" applyBorder="1"/>
    <xf numFmtId="1" fontId="9" fillId="4" borderId="2" xfId="8" applyNumberFormat="1" applyFont="1" applyFill="1" applyBorder="1" applyAlignment="1">
      <alignment horizontal="right" indent="3"/>
    </xf>
    <xf numFmtId="0" fontId="12" fillId="2" borderId="5" xfId="8" applyFont="1" applyFill="1" applyBorder="1" applyAlignment="1">
      <alignment horizontal="center"/>
    </xf>
    <xf numFmtId="0" fontId="10" fillId="0" borderId="0" xfId="0" applyFont="1"/>
    <xf numFmtId="0" fontId="10" fillId="0" borderId="9" xfId="0" applyFont="1" applyBorder="1"/>
    <xf numFmtId="0" fontId="10" fillId="0" borderId="24" xfId="0" applyFont="1" applyBorder="1"/>
    <xf numFmtId="9" fontId="30" fillId="0" borderId="24" xfId="7" applyFont="1" applyBorder="1"/>
    <xf numFmtId="9" fontId="31" fillId="0" borderId="24" xfId="7" applyFont="1" applyBorder="1"/>
    <xf numFmtId="9" fontId="31" fillId="0" borderId="25" xfId="7" applyFont="1" applyBorder="1"/>
    <xf numFmtId="1" fontId="9" fillId="0" borderId="0" xfId="8" applyNumberFormat="1" applyFont="1" applyAlignment="1">
      <alignment horizontal="right" indent="3"/>
    </xf>
    <xf numFmtId="3" fontId="15" fillId="0" borderId="0" xfId="8" applyNumberFormat="1" applyFont="1" applyAlignment="1">
      <alignment horizontal="right" vertical="center"/>
    </xf>
    <xf numFmtId="3" fontId="10" fillId="3" borderId="5" xfId="8" applyNumberFormat="1" applyFont="1" applyFill="1" applyBorder="1"/>
    <xf numFmtId="165" fontId="10" fillId="3" borderId="6" xfId="8" applyNumberFormat="1" applyFont="1" applyFill="1" applyBorder="1" applyAlignment="1">
      <alignment horizontal="center"/>
    </xf>
    <xf numFmtId="165" fontId="10" fillId="3" borderId="8" xfId="8" applyNumberFormat="1" applyFont="1" applyFill="1" applyBorder="1" applyAlignment="1">
      <alignment horizontal="center"/>
    </xf>
    <xf numFmtId="168" fontId="10" fillId="0" borderId="0" xfId="8" applyNumberFormat="1" applyFont="1"/>
    <xf numFmtId="0" fontId="22" fillId="0" borderId="2" xfId="8" applyFont="1" applyBorder="1" applyAlignment="1">
      <alignment horizontal="center" vertical="center"/>
    </xf>
    <xf numFmtId="0" fontId="22" fillId="0" borderId="0" xfId="8" applyFont="1" applyAlignment="1">
      <alignment horizontal="center" vertical="center" textRotation="90" wrapText="1"/>
    </xf>
    <xf numFmtId="0" fontId="22" fillId="0" borderId="0" xfId="8" applyFont="1" applyAlignment="1">
      <alignment horizontal="center" vertical="center" textRotation="90"/>
    </xf>
    <xf numFmtId="2" fontId="27" fillId="3" borderId="0" xfId="8" applyNumberFormat="1" applyFont="1" applyFill="1"/>
  </cellXfs>
  <cellStyles count="16">
    <cellStyle name="Assumption" xfId="6" xr:uid="{7430DF44-9287-2B49-A3ED-BB9E00F45ECE}"/>
    <cellStyle name="Comma 2" xfId="10" xr:uid="{2DFB48D8-CB5F-B843-BD6A-F73F466FBE9C}"/>
    <cellStyle name="Normal" xfId="0" builtinId="0"/>
    <cellStyle name="Normal 2" xfId="1" xr:uid="{5F161DFE-78CC-6A44-98D5-4B274C7D1D90}"/>
    <cellStyle name="Normal 2 2" xfId="3" xr:uid="{2CB313B6-0359-4DA5-AD6D-6C2E3B97C797}"/>
    <cellStyle name="Normal 3" xfId="2" xr:uid="{9CA97744-DDC4-4A59-940A-820D4D621338}"/>
    <cellStyle name="Normal 3 2" xfId="8" xr:uid="{BA9D05E0-5269-814C-90ED-6B870AA306D9}"/>
    <cellStyle name="Normal 4" xfId="5" xr:uid="{73B54401-F826-4D71-A6A5-ABEA4B8F3C3D}"/>
    <cellStyle name="Normal 5" xfId="11" xr:uid="{61B23FBB-B1A8-114E-B79B-3E5DFF1583EF}"/>
    <cellStyle name="Normal 6" xfId="12" xr:uid="{860B4E66-D643-684A-8E11-FD58860EBDAB}"/>
    <cellStyle name="Normal 7" xfId="14" xr:uid="{3F15D872-06E7-4D4B-A017-C6A5BAE84276}"/>
    <cellStyle name="Per cent 2" xfId="13" xr:uid="{528FD2A3-CA7B-8349-8C26-1ED061046D02}"/>
    <cellStyle name="Per cent 3" xfId="15" xr:uid="{2081B6C4-3D0A-1C45-BB8C-03609BDF8624}"/>
    <cellStyle name="Percent" xfId="7" builtinId="5"/>
    <cellStyle name="Tusental 2" xfId="4" xr:uid="{BF7DF956-56ED-4939-9E75-47C32B541722}"/>
    <cellStyle name="Tusental 2 2" xfId="9" xr:uid="{9E319DB2-C9D3-9E40-9CD5-52B9BFD76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preadsheetLight Office">
  <a:themeElements>
    <a:clrScheme name="SENS (Mikael)">
      <a:dk1>
        <a:srgbClr val="0E1E49"/>
      </a:dk1>
      <a:lt1>
        <a:srgbClr val="FFFFFF"/>
      </a:lt1>
      <a:dk2>
        <a:srgbClr val="0E1E49"/>
      </a:dk2>
      <a:lt2>
        <a:srgbClr val="EAEAEA"/>
      </a:lt2>
      <a:accent1>
        <a:srgbClr val="F76341"/>
      </a:accent1>
      <a:accent2>
        <a:srgbClr val="0077ED"/>
      </a:accent2>
      <a:accent3>
        <a:srgbClr val="0E1E49"/>
      </a:accent3>
      <a:accent4>
        <a:srgbClr val="EAEAEA"/>
      </a:accent4>
      <a:accent5>
        <a:srgbClr val="FCFCFC"/>
      </a:accent5>
      <a:accent6>
        <a:srgbClr val="44637F"/>
      </a:accent6>
      <a:hlink>
        <a:srgbClr val="0077ED"/>
      </a:hlink>
      <a:folHlink>
        <a:srgbClr val="F76341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4623-F50A-A149-A80B-AA673621CC05}">
  <sheetPr>
    <tabColor theme="5"/>
  </sheetPr>
  <dimension ref="A2:CF60"/>
  <sheetViews>
    <sheetView showGridLines="0" tabSelected="1" topLeftCell="A3" zoomScale="110" zoomScaleNormal="110" workbookViewId="0">
      <selection activeCell="K39" sqref="K39:M44"/>
    </sheetView>
  </sheetViews>
  <sheetFormatPr defaultColWidth="0" defaultRowHeight="13" outlineLevelRow="1" x14ac:dyDescent="0.3"/>
  <cols>
    <col min="1" max="1" width="4.36328125" style="1" customWidth="1"/>
    <col min="2" max="2" width="34.453125" style="1" customWidth="1"/>
    <col min="3" max="3" width="9.6328125" style="1" customWidth="1"/>
    <col min="4" max="4" width="7.1796875" style="1" customWidth="1"/>
    <col min="5" max="5" width="18.6328125" style="1" bestFit="1" customWidth="1"/>
    <col min="6" max="6" width="14.36328125" style="1" customWidth="1"/>
    <col min="7" max="7" width="11.453125" style="1" customWidth="1"/>
    <col min="8" max="8" width="10.81640625" style="1" bestFit="1" customWidth="1"/>
    <col min="9" max="9" width="11.6328125" style="1" customWidth="1"/>
    <col min="10" max="13" width="11.453125" style="1" customWidth="1"/>
    <col min="14" max="21" width="11.453125" style="1" bestFit="1" customWidth="1"/>
    <col min="22" max="22" width="4.1796875" style="1" customWidth="1"/>
    <col min="23" max="70" width="11.453125" style="1" bestFit="1" customWidth="1"/>
    <col min="71" max="73" width="10.453125" style="1" bestFit="1" customWidth="1"/>
    <col min="74" max="74" width="10.453125" style="1" hidden="1" customWidth="1"/>
    <col min="75" max="84" width="0" style="1" hidden="1" customWidth="1"/>
    <col min="85" max="16384" width="10.36328125" style="1" hidden="1"/>
  </cols>
  <sheetData>
    <row r="2" spans="2:31" ht="15.5" x14ac:dyDescent="0.35">
      <c r="B2" s="133" t="s">
        <v>0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</row>
    <row r="3" spans="2:31" ht="18.5" x14ac:dyDescent="0.3">
      <c r="T3" s="44"/>
      <c r="U3" s="44"/>
      <c r="V3" s="190" t="s">
        <v>122</v>
      </c>
      <c r="W3" s="190"/>
      <c r="X3" s="190"/>
      <c r="Y3" s="190"/>
      <c r="Z3" s="190"/>
      <c r="AA3" s="190"/>
      <c r="AB3" s="190"/>
      <c r="AC3" s="190"/>
      <c r="AD3" s="190"/>
      <c r="AE3" s="190"/>
    </row>
    <row r="4" spans="2:31" x14ac:dyDescent="0.3">
      <c r="B4" s="17" t="s">
        <v>1</v>
      </c>
      <c r="C4" s="29"/>
      <c r="E4" s="17" t="s">
        <v>2</v>
      </c>
      <c r="F4" s="29" t="s">
        <v>3</v>
      </c>
      <c r="G4" s="109"/>
      <c r="H4" s="17" t="s">
        <v>4</v>
      </c>
      <c r="I4" s="16"/>
      <c r="J4" s="16"/>
      <c r="K4" s="16"/>
      <c r="L4" s="16"/>
      <c r="M4" s="14"/>
      <c r="T4" s="191" t="s">
        <v>121</v>
      </c>
      <c r="U4" s="143"/>
      <c r="V4" s="45"/>
      <c r="W4" s="49">
        <f t="shared" ref="W4:Y4" si="0">$M$16*(1+W5)</f>
        <v>12000</v>
      </c>
      <c r="X4" s="49">
        <f t="shared" si="0"/>
        <v>12999.999999999998</v>
      </c>
      <c r="Y4" s="49">
        <f t="shared" si="0"/>
        <v>14000</v>
      </c>
      <c r="Z4" s="49">
        <f>$M$16*(1+Z5)</f>
        <v>15000</v>
      </c>
      <c r="AA4" s="49">
        <f t="shared" ref="AA4:AD4" si="1">$M$16*(1+AA5)</f>
        <v>16000.000000000004</v>
      </c>
      <c r="AB4" s="49">
        <f t="shared" si="1"/>
        <v>16999.999999999996</v>
      </c>
      <c r="AC4" s="49">
        <f t="shared" si="1"/>
        <v>18000</v>
      </c>
      <c r="AD4" s="49">
        <f t="shared" si="1"/>
        <v>19000</v>
      </c>
      <c r="AE4" s="50">
        <f>$M$16*(1+AE5)</f>
        <v>20000</v>
      </c>
    </row>
    <row r="5" spans="2:31" x14ac:dyDescent="0.3">
      <c r="B5" s="28"/>
      <c r="C5" s="27"/>
      <c r="E5" s="28"/>
      <c r="F5" s="27"/>
      <c r="G5" s="107"/>
      <c r="H5" s="11"/>
      <c r="M5" s="26" t="s">
        <v>5</v>
      </c>
      <c r="T5" s="192"/>
      <c r="U5" s="138"/>
      <c r="V5" s="135">
        <f>$C$11</f>
        <v>0.378</v>
      </c>
      <c r="W5" s="46">
        <v>-0.24031129153923342</v>
      </c>
      <c r="X5" s="46">
        <v>-0.17700389916750287</v>
      </c>
      <c r="Y5" s="46">
        <v>-0.11369650679577223</v>
      </c>
      <c r="Z5" s="46">
        <v>-5.0389114424041703E-2</v>
      </c>
      <c r="AA5" s="46">
        <v>1.2918277947689114E-2</v>
      </c>
      <c r="AB5" s="46">
        <v>7.6225670319419347E-2</v>
      </c>
      <c r="AC5" s="46">
        <v>0.13953306269114993</v>
      </c>
      <c r="AD5" s="46">
        <v>0.20284045506288068</v>
      </c>
      <c r="AE5" s="47">
        <v>0.26614784743461112</v>
      </c>
    </row>
    <row r="6" spans="2:31" x14ac:dyDescent="0.3">
      <c r="B6" s="53" t="s">
        <v>6</v>
      </c>
      <c r="C6" s="186">
        <f>$E$32/1000*(1+$I$37)</f>
        <v>36321.569565217389</v>
      </c>
      <c r="E6" s="11" t="s">
        <v>7</v>
      </c>
      <c r="F6" s="24">
        <v>181940</v>
      </c>
      <c r="G6" s="107"/>
      <c r="H6" s="11" t="s">
        <v>8</v>
      </c>
      <c r="M6" s="23">
        <v>85</v>
      </c>
      <c r="T6" s="192"/>
      <c r="U6" s="139">
        <f t="shared" ref="U6:U14" si="2">$E$26*(1+V6)/1000</f>
        <v>3450.8931212627613</v>
      </c>
      <c r="V6" s="136">
        <v>0.14961460275841168</v>
      </c>
      <c r="W6" s="141">
        <f t="dataTable" ref="W6:AE14" dt2D="1" dtr="1" r1="I38" r2="I37"/>
        <v>0.378</v>
      </c>
      <c r="X6" s="141">
        <v>0.378</v>
      </c>
      <c r="Y6" s="141">
        <v>0.378</v>
      </c>
      <c r="Z6" s="141">
        <v>0.378</v>
      </c>
      <c r="AA6" s="141">
        <v>0.378</v>
      </c>
      <c r="AB6" s="141">
        <v>0.378</v>
      </c>
      <c r="AC6" s="141">
        <v>0.378</v>
      </c>
      <c r="AD6" s="141">
        <v>0.378</v>
      </c>
      <c r="AE6" s="142">
        <v>0.378</v>
      </c>
    </row>
    <row r="7" spans="2:31" x14ac:dyDescent="0.3">
      <c r="B7" s="25" t="s">
        <v>9</v>
      </c>
      <c r="C7" s="24">
        <f>C6/M6</f>
        <v>427.31258312020458</v>
      </c>
      <c r="E7" s="11" t="s">
        <v>10</v>
      </c>
      <c r="F7" s="24">
        <v>69651</v>
      </c>
      <c r="G7" s="107"/>
      <c r="H7" s="30"/>
      <c r="I7" s="7"/>
      <c r="J7" s="7"/>
      <c r="K7" s="7"/>
      <c r="L7" s="7"/>
      <c r="M7" s="68"/>
      <c r="R7" s="8"/>
      <c r="T7" s="192"/>
      <c r="U7" s="139">
        <f t="shared" si="2"/>
        <v>3318.1664627526566</v>
      </c>
      <c r="V7" s="136">
        <v>0.10539865649847333</v>
      </c>
      <c r="W7" s="141">
        <v>0.378</v>
      </c>
      <c r="X7" s="141">
        <v>0.378</v>
      </c>
      <c r="Y7" s="141">
        <v>0.378</v>
      </c>
      <c r="Z7" s="141">
        <v>0.378</v>
      </c>
      <c r="AA7" s="141">
        <v>0.378</v>
      </c>
      <c r="AB7" s="141">
        <v>0.378</v>
      </c>
      <c r="AC7" s="141">
        <v>0.378</v>
      </c>
      <c r="AD7" s="141">
        <v>0.378</v>
      </c>
      <c r="AE7" s="142">
        <v>0.378</v>
      </c>
    </row>
    <row r="8" spans="2:31" x14ac:dyDescent="0.3">
      <c r="B8" s="25">
        <v>7</v>
      </c>
      <c r="C8" s="24"/>
      <c r="E8" s="11" t="s">
        <v>11</v>
      </c>
      <c r="F8" s="24">
        <f>E26/1000</f>
        <v>3001.7826086956525</v>
      </c>
      <c r="G8" s="107"/>
      <c r="H8" s="11"/>
      <c r="M8" s="34"/>
      <c r="T8" s="192"/>
      <c r="U8" s="139">
        <f t="shared" si="2"/>
        <v>3185.4398042425496</v>
      </c>
      <c r="V8" s="136">
        <v>6.1182710238533985E-2</v>
      </c>
      <c r="W8" s="141">
        <v>0.378</v>
      </c>
      <c r="X8" s="141">
        <v>0.378</v>
      </c>
      <c r="Y8" s="141">
        <v>0.378</v>
      </c>
      <c r="Z8" s="141">
        <v>0.378</v>
      </c>
      <c r="AA8" s="141">
        <v>0.378</v>
      </c>
      <c r="AB8" s="141">
        <v>0.378</v>
      </c>
      <c r="AC8" s="141">
        <v>0.378</v>
      </c>
      <c r="AD8" s="141">
        <v>0.378</v>
      </c>
      <c r="AE8" s="142">
        <v>0.378</v>
      </c>
    </row>
    <row r="9" spans="2:31" x14ac:dyDescent="0.3">
      <c r="B9" s="25"/>
      <c r="C9" s="24"/>
      <c r="E9" s="10" t="s">
        <v>12</v>
      </c>
      <c r="F9" s="62">
        <v>0.1</v>
      </c>
      <c r="G9" s="107"/>
      <c r="H9" s="11"/>
      <c r="M9" s="34"/>
      <c r="T9" s="192"/>
      <c r="U9" s="139">
        <f t="shared" si="2"/>
        <v>3052.7131457324422</v>
      </c>
      <c r="V9" s="136">
        <v>1.6966763978594944E-2</v>
      </c>
      <c r="W9" s="141">
        <v>0.378</v>
      </c>
      <c r="X9" s="141">
        <v>0.378</v>
      </c>
      <c r="Y9" s="141">
        <v>0.378</v>
      </c>
      <c r="Z9" s="141">
        <v>0.378</v>
      </c>
      <c r="AA9" s="141">
        <v>0.378</v>
      </c>
      <c r="AB9" s="141">
        <v>0.378</v>
      </c>
      <c r="AC9" s="141">
        <v>0.378</v>
      </c>
      <c r="AD9" s="141">
        <v>0.378</v>
      </c>
      <c r="AE9" s="142">
        <v>0.378</v>
      </c>
    </row>
    <row r="10" spans="2:31" outlineLevel="1" x14ac:dyDescent="0.3">
      <c r="B10" s="11" t="s">
        <v>142</v>
      </c>
      <c r="C10" s="187">
        <v>0.313</v>
      </c>
      <c r="G10" s="107"/>
      <c r="H10" s="11"/>
      <c r="M10" s="106"/>
      <c r="T10" s="192"/>
      <c r="U10" s="139">
        <f t="shared" si="2"/>
        <v>2919.986487222337</v>
      </c>
      <c r="V10" s="136">
        <v>-2.7249182281343605E-2</v>
      </c>
      <c r="W10" s="141">
        <v>0.378</v>
      </c>
      <c r="X10" s="141">
        <v>0.378</v>
      </c>
      <c r="Y10" s="141">
        <v>0.378</v>
      </c>
      <c r="Z10" s="141">
        <v>0.378</v>
      </c>
      <c r="AA10" s="141">
        <v>0.378</v>
      </c>
      <c r="AB10" s="141">
        <v>0.378</v>
      </c>
      <c r="AC10" s="141">
        <v>0.378</v>
      </c>
      <c r="AD10" s="141">
        <v>0.378</v>
      </c>
      <c r="AE10" s="142">
        <v>0.378</v>
      </c>
    </row>
    <row r="11" spans="2:31" x14ac:dyDescent="0.3">
      <c r="B11" s="10" t="s">
        <v>80</v>
      </c>
      <c r="C11" s="188">
        <v>0.378</v>
      </c>
      <c r="G11" s="107"/>
      <c r="H11" s="11" t="s">
        <v>21</v>
      </c>
      <c r="L11" s="1" t="s">
        <v>22</v>
      </c>
      <c r="M11" s="20">
        <v>45839</v>
      </c>
      <c r="T11" s="192"/>
      <c r="U11" s="139">
        <f t="shared" si="2"/>
        <v>2787.259828712231</v>
      </c>
      <c r="V11" s="136">
        <v>-7.1465128541282577E-2</v>
      </c>
      <c r="W11" s="141">
        <v>0.378</v>
      </c>
      <c r="X11" s="141">
        <v>0.378</v>
      </c>
      <c r="Y11" s="141">
        <v>0.378</v>
      </c>
      <c r="Z11" s="141">
        <v>0.378</v>
      </c>
      <c r="AA11" s="141">
        <v>0.378</v>
      </c>
      <c r="AB11" s="141">
        <v>0.378</v>
      </c>
      <c r="AC11" s="141">
        <v>0.378</v>
      </c>
      <c r="AD11" s="141">
        <v>0.378</v>
      </c>
      <c r="AE11" s="142">
        <v>0.378</v>
      </c>
    </row>
    <row r="12" spans="2:31" x14ac:dyDescent="0.3">
      <c r="E12" s="22"/>
      <c r="G12" s="107"/>
      <c r="H12" s="31" t="s">
        <v>24</v>
      </c>
      <c r="I12" s="32"/>
      <c r="J12" s="32"/>
      <c r="K12" s="32"/>
      <c r="L12" s="32" t="s">
        <v>25</v>
      </c>
      <c r="M12" s="33">
        <v>15</v>
      </c>
      <c r="T12" s="192"/>
      <c r="U12" s="139">
        <f t="shared" si="2"/>
        <v>2654.5331702021253</v>
      </c>
      <c r="V12" s="136">
        <v>-0.11568107480122132</v>
      </c>
      <c r="W12" s="141">
        <v>0.378</v>
      </c>
      <c r="X12" s="141">
        <v>0.378</v>
      </c>
      <c r="Y12" s="141">
        <v>0.378</v>
      </c>
      <c r="Z12" s="141">
        <v>0.378</v>
      </c>
      <c r="AA12" s="141">
        <v>0.378</v>
      </c>
      <c r="AB12" s="141">
        <v>0.378</v>
      </c>
      <c r="AC12" s="141">
        <v>0.378</v>
      </c>
      <c r="AD12" s="141">
        <v>0.378</v>
      </c>
      <c r="AE12" s="142">
        <v>0.378</v>
      </c>
    </row>
    <row r="13" spans="2:31" outlineLevel="1" x14ac:dyDescent="0.3">
      <c r="G13" s="107"/>
      <c r="T13" s="192"/>
      <c r="U13" s="139">
        <f t="shared" si="2"/>
        <v>2521.8065116920188</v>
      </c>
      <c r="V13" s="136">
        <v>-0.15989702106116035</v>
      </c>
      <c r="W13" s="141">
        <v>0.378</v>
      </c>
      <c r="X13" s="141">
        <v>0.378</v>
      </c>
      <c r="Y13" s="141">
        <v>0.378</v>
      </c>
      <c r="Z13" s="141">
        <v>0.378</v>
      </c>
      <c r="AA13" s="141">
        <v>0.378</v>
      </c>
      <c r="AB13" s="141">
        <v>0.378</v>
      </c>
      <c r="AC13" s="141">
        <v>0.378</v>
      </c>
      <c r="AD13" s="141">
        <v>0.378</v>
      </c>
      <c r="AE13" s="142">
        <v>0.378</v>
      </c>
    </row>
    <row r="14" spans="2:31" outlineLevel="1" x14ac:dyDescent="0.3">
      <c r="B14" s="17" t="s">
        <v>73</v>
      </c>
      <c r="C14" s="16" t="s">
        <v>14</v>
      </c>
      <c r="D14" s="16"/>
      <c r="E14" s="177" t="s">
        <v>15</v>
      </c>
      <c r="F14" s="177" t="s">
        <v>16</v>
      </c>
      <c r="G14" s="108"/>
      <c r="H14" s="17" t="s">
        <v>34</v>
      </c>
      <c r="I14" s="16"/>
      <c r="J14" s="66"/>
      <c r="K14" s="66"/>
      <c r="L14" s="66"/>
      <c r="M14" s="65"/>
      <c r="T14" s="192"/>
      <c r="U14" s="139">
        <f t="shared" si="2"/>
        <v>2389.0798531819123</v>
      </c>
      <c r="V14" s="136">
        <v>-0.20411296732109943</v>
      </c>
      <c r="W14" s="141">
        <v>0.378</v>
      </c>
      <c r="X14" s="141">
        <v>0.378</v>
      </c>
      <c r="Y14" s="141">
        <v>0.378</v>
      </c>
      <c r="Z14" s="141">
        <v>0.378</v>
      </c>
      <c r="AA14" s="141">
        <v>0.378</v>
      </c>
      <c r="AB14" s="141">
        <v>0.378</v>
      </c>
      <c r="AC14" s="141">
        <v>0.378</v>
      </c>
      <c r="AD14" s="141">
        <v>0.378</v>
      </c>
      <c r="AE14" s="142">
        <v>0.378</v>
      </c>
    </row>
    <row r="15" spans="2:31" ht="14.5" x14ac:dyDescent="0.35">
      <c r="B15" s="155"/>
      <c r="C15" s="157"/>
      <c r="D15" s="71"/>
      <c r="E15" s="150"/>
      <c r="F15" s="179"/>
      <c r="G15" s="108"/>
      <c r="H15" s="53"/>
      <c r="I15" s="71"/>
      <c r="J15" s="71"/>
      <c r="K15" s="71"/>
      <c r="L15" s="71"/>
      <c r="M15" s="58"/>
      <c r="T15" s="192"/>
      <c r="U15" s="140"/>
      <c r="V15" s="137"/>
      <c r="W15" s="5"/>
      <c r="X15" s="5"/>
      <c r="Y15" s="5"/>
      <c r="Z15" s="5"/>
      <c r="AA15" s="5"/>
      <c r="AB15" s="5"/>
      <c r="AC15" s="5"/>
      <c r="AD15" s="5"/>
      <c r="AE15" s="43"/>
    </row>
    <row r="16" spans="2:31" x14ac:dyDescent="0.3">
      <c r="B16" s="158" t="s">
        <v>130</v>
      </c>
      <c r="C16" s="148"/>
      <c r="E16" s="144"/>
      <c r="F16" s="180"/>
      <c r="G16" s="108"/>
      <c r="H16" s="11" t="s">
        <v>98</v>
      </c>
      <c r="M16" s="100">
        <f>15795.94361*(1+$I$38)</f>
        <v>15795.94361</v>
      </c>
      <c r="N16" s="107"/>
    </row>
    <row r="17" spans="2:14" x14ac:dyDescent="0.3">
      <c r="B17" s="19" t="s">
        <v>72</v>
      </c>
      <c r="C17" s="149">
        <f>'Capex BESS'!D11</f>
        <v>250</v>
      </c>
      <c r="E17" s="144">
        <f>C17*$M$6*1000</f>
        <v>21250000</v>
      </c>
      <c r="F17" s="181">
        <f>E17/$E$29</f>
        <v>0.64355699051025017</v>
      </c>
      <c r="G17" s="108"/>
      <c r="H17" s="11" t="s">
        <v>116</v>
      </c>
      <c r="M17" s="98"/>
      <c r="N17" s="107"/>
    </row>
    <row r="18" spans="2:14" x14ac:dyDescent="0.3">
      <c r="B18" s="19" t="s">
        <v>69</v>
      </c>
      <c r="C18" s="148">
        <f>E18/$M$6/1000</f>
        <v>12</v>
      </c>
      <c r="E18" s="41">
        <f>'Capex BESS'!F12</f>
        <v>1020000</v>
      </c>
      <c r="F18" s="181">
        <f>E18/$E$29</f>
        <v>3.089073554449201E-2</v>
      </c>
      <c r="G18" s="108"/>
      <c r="H18" s="11" t="s">
        <v>36</v>
      </c>
      <c r="M18" s="52">
        <v>0.02</v>
      </c>
    </row>
    <row r="19" spans="2:14" x14ac:dyDescent="0.3">
      <c r="B19" s="19" t="s">
        <v>134</v>
      </c>
      <c r="C19" s="148">
        <f>E19/$M$6/1000</f>
        <v>20</v>
      </c>
      <c r="E19" s="41">
        <f>'Capex BESS'!F13</f>
        <v>1700000</v>
      </c>
      <c r="F19" s="181">
        <f>E19/$E$29</f>
        <v>5.1484559240820016E-2</v>
      </c>
      <c r="G19" s="108"/>
      <c r="H19" s="11" t="s">
        <v>100</v>
      </c>
      <c r="M19" s="91">
        <f>M16*(1+M17+M18)</f>
        <v>16111.8624822</v>
      </c>
    </row>
    <row r="20" spans="2:14" x14ac:dyDescent="0.3">
      <c r="B20" s="19" t="s">
        <v>139</v>
      </c>
      <c r="C20" s="148">
        <f>E20/$M$6/1000</f>
        <v>23.52941176470588</v>
      </c>
      <c r="E20" s="41">
        <f>'Capex BESS'!F14</f>
        <v>2000000</v>
      </c>
      <c r="F20" s="181">
        <f>E20/$E$29</f>
        <v>6.0570069695082371E-2</v>
      </c>
      <c r="G20" s="107"/>
      <c r="H20" s="63"/>
      <c r="I20" s="5"/>
      <c r="J20" s="5"/>
      <c r="K20" s="5"/>
      <c r="L20" s="5"/>
      <c r="M20" s="92"/>
    </row>
    <row r="21" spans="2:14" x14ac:dyDescent="0.3">
      <c r="B21" s="159" t="s">
        <v>131</v>
      </c>
      <c r="C21" s="184">
        <f>E21/$M$6/1000</f>
        <v>305.52941176470591</v>
      </c>
      <c r="D21" s="32"/>
      <c r="E21" s="160">
        <f>SUM(E17:E20)</f>
        <v>25970000</v>
      </c>
      <c r="F21" s="182">
        <f>E21/$E$29</f>
        <v>0.78650235499064458</v>
      </c>
      <c r="G21" s="107"/>
    </row>
    <row r="22" spans="2:14" x14ac:dyDescent="0.3">
      <c r="B22" s="161"/>
      <c r="C22" s="157"/>
      <c r="D22" s="71"/>
      <c r="E22" s="162"/>
      <c r="F22" s="181"/>
      <c r="G22" s="107"/>
    </row>
    <row r="23" spans="2:14" x14ac:dyDescent="0.3">
      <c r="B23" s="158" t="s">
        <v>140</v>
      </c>
      <c r="C23" s="148"/>
      <c r="E23" s="51"/>
      <c r="F23" s="181"/>
      <c r="H23" s="1" t="s">
        <v>145</v>
      </c>
      <c r="I23" s="1">
        <v>8000</v>
      </c>
    </row>
    <row r="24" spans="2:14" x14ac:dyDescent="0.3">
      <c r="B24" s="19" t="s">
        <v>129</v>
      </c>
      <c r="C24" s="149">
        <f>'Capex BESS'!D18</f>
        <v>17.39130434782609</v>
      </c>
      <c r="E24" s="144">
        <f>C24*$M$6*1000</f>
        <v>1478260.8695652178</v>
      </c>
      <c r="F24" s="181">
        <f>E24/$E$29</f>
        <v>4.4769181948539155E-2</v>
      </c>
      <c r="G24" s="107"/>
      <c r="H24" s="1" t="s">
        <v>146</v>
      </c>
      <c r="I24" s="193">
        <f>C32*1000*M6/I23/M6</f>
        <v>53.414072890025572</v>
      </c>
    </row>
    <row r="25" spans="2:14" x14ac:dyDescent="0.3">
      <c r="B25" s="19" t="s">
        <v>141</v>
      </c>
      <c r="C25" s="148">
        <f>E25/$M$6/1000</f>
        <v>30.230179028132991</v>
      </c>
      <c r="E25" s="41">
        <f>'Capex BESS'!F19</f>
        <v>2569565.2173913042</v>
      </c>
      <c r="F25" s="181">
        <f>E25/$E$29</f>
        <v>7.7819372151725394E-2</v>
      </c>
      <c r="G25" s="107"/>
    </row>
    <row r="26" spans="2:14" x14ac:dyDescent="0.3">
      <c r="B26" s="11" t="s">
        <v>133</v>
      </c>
      <c r="C26" s="148">
        <f>E26/$M$6/1000</f>
        <v>35.3150895140665</v>
      </c>
      <c r="E26" s="41">
        <f>'Capex BESS'!F20</f>
        <v>3001782.6086956523</v>
      </c>
      <c r="F26" s="181">
        <f>E26/$E$29</f>
        <v>9.0909090909090925E-2</v>
      </c>
      <c r="G26" s="107"/>
    </row>
    <row r="27" spans="2:14" x14ac:dyDescent="0.3">
      <c r="B27" s="159" t="s">
        <v>136</v>
      </c>
      <c r="C27" s="184">
        <f>E27/$M$6/1000</f>
        <v>82.936572890025573</v>
      </c>
      <c r="D27" s="32"/>
      <c r="E27" s="160">
        <f>SUM(E24:E26)</f>
        <v>7049608.6956521738</v>
      </c>
      <c r="F27" s="182">
        <f>E27/$E$29</f>
        <v>0.21349764500935545</v>
      </c>
      <c r="G27" s="107"/>
    </row>
    <row r="28" spans="2:14" x14ac:dyDescent="0.3">
      <c r="B28" s="164"/>
      <c r="C28" s="157"/>
      <c r="D28" s="165"/>
      <c r="E28" s="162"/>
      <c r="F28" s="181"/>
      <c r="G28" s="107"/>
    </row>
    <row r="29" spans="2:14" x14ac:dyDescent="0.3">
      <c r="B29" s="166" t="s">
        <v>137</v>
      </c>
      <c r="C29" s="184">
        <f>E29/$M$6/1000</f>
        <v>388.46598465473141</v>
      </c>
      <c r="D29" s="167"/>
      <c r="E29" s="168">
        <f>E21+E27</f>
        <v>33019608.695652172</v>
      </c>
      <c r="F29" s="182">
        <f>E29/$E$29</f>
        <v>1</v>
      </c>
      <c r="G29" s="107"/>
    </row>
    <row r="30" spans="2:14" x14ac:dyDescent="0.3">
      <c r="B30" s="164"/>
      <c r="C30" s="157"/>
      <c r="D30" s="165"/>
      <c r="E30" s="162"/>
      <c r="F30" s="181"/>
      <c r="G30" s="107"/>
    </row>
    <row r="31" spans="2:14" x14ac:dyDescent="0.3">
      <c r="B31" s="19" t="s">
        <v>58</v>
      </c>
      <c r="C31" s="148">
        <f>E31/$M$6/1000</f>
        <v>38.846598465473143</v>
      </c>
      <c r="E31" s="144">
        <f>E29*0.1</f>
        <v>3301960.8695652173</v>
      </c>
      <c r="F31" s="181">
        <f>E31/$E$29</f>
        <v>0.1</v>
      </c>
      <c r="G31" s="107"/>
    </row>
    <row r="32" spans="2:14" x14ac:dyDescent="0.3">
      <c r="B32" s="151" t="s">
        <v>138</v>
      </c>
      <c r="C32" s="176">
        <f>E32/$M$6/1000</f>
        <v>427.31258312020464</v>
      </c>
      <c r="D32" s="152"/>
      <c r="E32" s="153">
        <f>E29+E31</f>
        <v>36321569.565217391</v>
      </c>
      <c r="F32" s="183">
        <f>E32/$E$29</f>
        <v>1.1000000000000001</v>
      </c>
      <c r="G32" s="107"/>
    </row>
    <row r="33" spans="2:16" x14ac:dyDescent="0.3">
      <c r="B33" s="163"/>
      <c r="C33" s="185"/>
      <c r="D33" s="185"/>
      <c r="E33" s="185"/>
      <c r="F33" s="156"/>
      <c r="G33" s="107"/>
    </row>
    <row r="34" spans="2:16" x14ac:dyDescent="0.3">
      <c r="B34" s="163"/>
      <c r="C34" s="185"/>
      <c r="D34" s="185"/>
      <c r="E34" s="185"/>
      <c r="F34" s="156"/>
      <c r="G34" s="107"/>
    </row>
    <row r="35" spans="2:16" x14ac:dyDescent="0.3">
      <c r="B35" s="163"/>
      <c r="C35" s="185"/>
      <c r="D35" s="185"/>
      <c r="E35" s="185"/>
      <c r="F35" s="156"/>
      <c r="G35" s="107"/>
      <c r="H35" s="74" t="s">
        <v>32</v>
      </c>
      <c r="I35" s="14"/>
    </row>
    <row r="36" spans="2:16" x14ac:dyDescent="0.3">
      <c r="G36" s="107"/>
      <c r="H36" s="11"/>
      <c r="I36" s="154"/>
      <c r="J36" s="64"/>
      <c r="K36" s="64"/>
      <c r="N36" s="64"/>
      <c r="O36" s="64"/>
      <c r="P36" s="89"/>
    </row>
    <row r="37" spans="2:16" x14ac:dyDescent="0.3">
      <c r="B37" s="17" t="s">
        <v>31</v>
      </c>
      <c r="C37" s="16"/>
      <c r="D37" s="15"/>
      <c r="E37" s="14"/>
      <c r="G37" s="107"/>
      <c r="H37" s="11" t="s">
        <v>33</v>
      </c>
      <c r="I37" s="13">
        <v>0</v>
      </c>
      <c r="J37" s="64"/>
      <c r="K37" s="64"/>
      <c r="N37" s="64"/>
      <c r="O37" s="64"/>
      <c r="P37" s="89"/>
    </row>
    <row r="38" spans="2:16" x14ac:dyDescent="0.3">
      <c r="B38" s="11" t="s">
        <v>68</v>
      </c>
      <c r="C38" s="1" t="s">
        <v>67</v>
      </c>
      <c r="E38" s="13">
        <v>0.02</v>
      </c>
      <c r="G38" s="107"/>
      <c r="H38" s="11" t="s">
        <v>34</v>
      </c>
      <c r="I38" s="13">
        <v>0</v>
      </c>
      <c r="J38" s="64"/>
      <c r="K38" s="64"/>
      <c r="M38" s="61"/>
      <c r="N38" s="64"/>
      <c r="O38" s="64"/>
      <c r="P38" s="89"/>
    </row>
    <row r="39" spans="2:16" x14ac:dyDescent="0.3">
      <c r="B39" s="11" t="s">
        <v>66</v>
      </c>
      <c r="C39" s="1" t="s">
        <v>64</v>
      </c>
      <c r="E39" s="13">
        <v>0.05</v>
      </c>
      <c r="G39" s="107"/>
      <c r="H39" s="10"/>
      <c r="I39" s="43"/>
      <c r="J39" s="64"/>
      <c r="K39" s="64"/>
      <c r="L39" s="61"/>
      <c r="M39" s="61"/>
      <c r="N39" s="64"/>
      <c r="O39" s="64"/>
      <c r="P39" s="4"/>
    </row>
    <row r="40" spans="2:16" x14ac:dyDescent="0.3">
      <c r="B40" s="11" t="s">
        <v>65</v>
      </c>
      <c r="C40" s="1" t="s">
        <v>35</v>
      </c>
      <c r="E40" s="12">
        <v>23.437000000000001</v>
      </c>
      <c r="G40" s="107"/>
      <c r="H40" s="90"/>
      <c r="J40" s="61"/>
      <c r="K40" s="61"/>
      <c r="L40" s="61"/>
      <c r="M40" s="61"/>
      <c r="N40" s="61"/>
      <c r="O40" s="61"/>
      <c r="P40" s="4"/>
    </row>
    <row r="41" spans="2:16" x14ac:dyDescent="0.3">
      <c r="B41" s="11" t="s">
        <v>63</v>
      </c>
      <c r="C41" s="1" t="s">
        <v>62</v>
      </c>
      <c r="E41" s="12">
        <v>1000</v>
      </c>
      <c r="G41" s="107"/>
      <c r="H41" s="7"/>
    </row>
    <row r="42" spans="2:16" x14ac:dyDescent="0.3">
      <c r="B42" s="11" t="s">
        <v>61</v>
      </c>
      <c r="C42" s="1" t="s">
        <v>118</v>
      </c>
      <c r="E42" s="13">
        <v>1.2999999999999999E-2</v>
      </c>
      <c r="G42" s="107"/>
      <c r="H42" s="7"/>
    </row>
    <row r="43" spans="2:16" x14ac:dyDescent="0.3">
      <c r="B43" s="11" t="s">
        <v>117</v>
      </c>
      <c r="C43" s="1" t="s">
        <v>119</v>
      </c>
      <c r="E43" s="12">
        <v>330</v>
      </c>
      <c r="G43" s="107"/>
    </row>
    <row r="44" spans="2:16" x14ac:dyDescent="0.3">
      <c r="B44" s="11" t="s">
        <v>60</v>
      </c>
      <c r="C44" s="1" t="s">
        <v>35</v>
      </c>
      <c r="E44" s="12">
        <v>1300</v>
      </c>
      <c r="G44" s="107"/>
    </row>
    <row r="45" spans="2:16" x14ac:dyDescent="0.3">
      <c r="B45" s="11" t="s">
        <v>59</v>
      </c>
      <c r="C45" s="1" t="s">
        <v>35</v>
      </c>
      <c r="E45" s="12">
        <v>100</v>
      </c>
      <c r="G45" s="107"/>
      <c r="J45" s="1">
        <f>60*17</f>
        <v>1020</v>
      </c>
    </row>
    <row r="46" spans="2:16" x14ac:dyDescent="0.3">
      <c r="B46" s="10" t="s">
        <v>36</v>
      </c>
      <c r="C46" s="5"/>
      <c r="D46" s="5"/>
      <c r="E46" s="9">
        <v>0.02</v>
      </c>
      <c r="G46" s="107"/>
    </row>
    <row r="48" spans="2:16" x14ac:dyDescent="0.3">
      <c r="H48" s="74" t="s">
        <v>79</v>
      </c>
      <c r="I48" s="76"/>
      <c r="J48" s="14"/>
    </row>
    <row r="49" spans="4:12" x14ac:dyDescent="0.3">
      <c r="H49" s="53"/>
      <c r="J49" s="58"/>
    </row>
    <row r="50" spans="4:12" x14ac:dyDescent="0.3">
      <c r="H50" s="11" t="s">
        <v>74</v>
      </c>
      <c r="J50" s="13">
        <v>0</v>
      </c>
    </row>
    <row r="51" spans="4:12" x14ac:dyDescent="0.3">
      <c r="H51" s="11" t="s">
        <v>75</v>
      </c>
      <c r="J51" s="41">
        <f>$C$6*J50</f>
        <v>0</v>
      </c>
    </row>
    <row r="52" spans="4:12" x14ac:dyDescent="0.3">
      <c r="H52" s="11" t="s">
        <v>76</v>
      </c>
      <c r="J52" s="41">
        <v>3</v>
      </c>
    </row>
    <row r="53" spans="4:12" x14ac:dyDescent="0.3">
      <c r="H53" s="11" t="s">
        <v>77</v>
      </c>
      <c r="J53" s="41">
        <v>10</v>
      </c>
    </row>
    <row r="54" spans="4:12" x14ac:dyDescent="0.3">
      <c r="H54" s="10" t="s">
        <v>78</v>
      </c>
      <c r="I54" s="5"/>
      <c r="J54" s="75">
        <f>3.711%+2.5%</f>
        <v>6.2109999999999999E-2</v>
      </c>
      <c r="L54" s="1" t="s">
        <v>106</v>
      </c>
    </row>
    <row r="55" spans="4:12" x14ac:dyDescent="0.3">
      <c r="J55" s="77"/>
    </row>
    <row r="56" spans="4:12" x14ac:dyDescent="0.3">
      <c r="D56" s="3"/>
    </row>
    <row r="58" spans="4:12" x14ac:dyDescent="0.3">
      <c r="D58" s="3"/>
      <c r="E58" s="2"/>
    </row>
    <row r="60" spans="4:12" x14ac:dyDescent="0.3">
      <c r="I60" s="2"/>
    </row>
  </sheetData>
  <mergeCells count="2">
    <mergeCell ref="V3:AE3"/>
    <mergeCell ref="T4:T1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01726-E794-3D47-A78E-08FB92E0DDC2}">
  <dimension ref="C2:G26"/>
  <sheetViews>
    <sheetView showGridLines="0" zoomScale="120" zoomScaleNormal="120" workbookViewId="0">
      <selection activeCell="D30" sqref="D30"/>
    </sheetView>
  </sheetViews>
  <sheetFormatPr defaultColWidth="10.90625" defaultRowHeight="14.5" x14ac:dyDescent="0.35"/>
  <cols>
    <col min="3" max="3" width="34" customWidth="1"/>
    <col min="6" max="6" width="14.36328125" bestFit="1" customWidth="1"/>
    <col min="7" max="7" width="5.453125" style="178" bestFit="1" customWidth="1"/>
    <col min="8" max="8" width="2.81640625" customWidth="1"/>
  </cols>
  <sheetData>
    <row r="2" spans="3:7" x14ac:dyDescent="0.35">
      <c r="C2" s="17" t="s">
        <v>97</v>
      </c>
      <c r="D2" s="169"/>
    </row>
    <row r="3" spans="3:7" x14ac:dyDescent="0.35">
      <c r="C3" s="174"/>
      <c r="D3" s="175"/>
    </row>
    <row r="4" spans="3:7" x14ac:dyDescent="0.35">
      <c r="C4" s="170" t="s">
        <v>5</v>
      </c>
      <c r="D4" s="171">
        <v>85</v>
      </c>
    </row>
    <row r="5" spans="3:7" x14ac:dyDescent="0.35">
      <c r="C5" s="170" t="s">
        <v>135</v>
      </c>
      <c r="D5" s="171">
        <v>11.5</v>
      </c>
    </row>
    <row r="6" spans="3:7" x14ac:dyDescent="0.35">
      <c r="C6" s="172"/>
      <c r="D6" s="173"/>
    </row>
    <row r="8" spans="3:7" x14ac:dyDescent="0.35">
      <c r="C8" s="17" t="s">
        <v>73</v>
      </c>
      <c r="D8" s="16" t="s">
        <v>14</v>
      </c>
      <c r="E8" s="16"/>
      <c r="F8" s="177" t="s">
        <v>15</v>
      </c>
      <c r="G8" s="177" t="s">
        <v>16</v>
      </c>
    </row>
    <row r="9" spans="3:7" ht="5" customHeight="1" x14ac:dyDescent="0.35">
      <c r="C9" s="155"/>
      <c r="D9" s="157"/>
      <c r="E9" s="71"/>
      <c r="F9" s="150"/>
      <c r="G9" s="179"/>
    </row>
    <row r="10" spans="3:7" x14ac:dyDescent="0.35">
      <c r="C10" s="158" t="s">
        <v>130</v>
      </c>
      <c r="D10" s="148"/>
      <c r="E10" s="1"/>
      <c r="F10" s="144"/>
      <c r="G10" s="180"/>
    </row>
    <row r="11" spans="3:7" x14ac:dyDescent="0.35">
      <c r="C11" s="19" t="s">
        <v>72</v>
      </c>
      <c r="D11" s="149">
        <v>250</v>
      </c>
      <c r="E11" s="1"/>
      <c r="F11" s="144">
        <f>D11*$D$4*1000</f>
        <v>21250000</v>
      </c>
      <c r="G11" s="181">
        <f>F11/$F$23</f>
        <v>0.64355699051025017</v>
      </c>
    </row>
    <row r="12" spans="3:7" x14ac:dyDescent="0.35">
      <c r="C12" s="19" t="s">
        <v>69</v>
      </c>
      <c r="D12" s="148">
        <f>F12/$D$4/1000</f>
        <v>12</v>
      </c>
      <c r="E12" s="1"/>
      <c r="F12" s="41">
        <f>1020000</f>
        <v>1020000</v>
      </c>
      <c r="G12" s="181">
        <f>F12/$F$23</f>
        <v>3.089073554449201E-2</v>
      </c>
    </row>
    <row r="13" spans="3:7" x14ac:dyDescent="0.35">
      <c r="C13" s="19" t="s">
        <v>134</v>
      </c>
      <c r="D13" s="148">
        <f>F13/$D$4/1000</f>
        <v>20</v>
      </c>
      <c r="E13" s="1"/>
      <c r="F13" s="41">
        <v>1700000</v>
      </c>
      <c r="G13" s="181">
        <f>F13/$F$23</f>
        <v>5.1484559240820016E-2</v>
      </c>
    </row>
    <row r="14" spans="3:7" x14ac:dyDescent="0.35">
      <c r="C14" s="19" t="s">
        <v>139</v>
      </c>
      <c r="D14" s="148">
        <f>F14/$D$4/1000</f>
        <v>23.52941176470588</v>
      </c>
      <c r="E14" s="1"/>
      <c r="F14" s="41">
        <v>2000000</v>
      </c>
      <c r="G14" s="181">
        <f>F14/$F$23</f>
        <v>6.0570069695082371E-2</v>
      </c>
    </row>
    <row r="15" spans="3:7" x14ac:dyDescent="0.35">
      <c r="C15" s="159" t="s">
        <v>131</v>
      </c>
      <c r="D15" s="184">
        <f>F15/$D$4/1000</f>
        <v>305.52941176470591</v>
      </c>
      <c r="E15" s="32"/>
      <c r="F15" s="160">
        <f>SUM(F11:F14)</f>
        <v>25970000</v>
      </c>
      <c r="G15" s="182">
        <f>F15/$F$23</f>
        <v>0.78650235499064458</v>
      </c>
    </row>
    <row r="16" spans="3:7" ht="5" customHeight="1" x14ac:dyDescent="0.35">
      <c r="C16" s="161"/>
      <c r="D16" s="157"/>
      <c r="E16" s="71"/>
      <c r="F16" s="162"/>
      <c r="G16" s="181"/>
    </row>
    <row r="17" spans="3:7" x14ac:dyDescent="0.35">
      <c r="C17" s="158" t="s">
        <v>132</v>
      </c>
      <c r="D17" s="148"/>
      <c r="E17" s="1"/>
      <c r="F17" s="51"/>
      <c r="G17" s="181"/>
    </row>
    <row r="18" spans="3:7" x14ac:dyDescent="0.35">
      <c r="C18" s="19" t="s">
        <v>129</v>
      </c>
      <c r="D18" s="149">
        <f>200000/D5/1000</f>
        <v>17.39130434782609</v>
      </c>
      <c r="E18" s="1"/>
      <c r="F18" s="144">
        <f>D18*$D$4*1000</f>
        <v>1478260.8695652178</v>
      </c>
      <c r="G18" s="181">
        <f>F18/$F$23</f>
        <v>4.4769181948539155E-2</v>
      </c>
    </row>
    <row r="19" spans="3:7" x14ac:dyDescent="0.35">
      <c r="C19" s="19" t="s">
        <v>141</v>
      </c>
      <c r="D19" s="148">
        <f>F19/$D$4/1000</f>
        <v>30.230179028132991</v>
      </c>
      <c r="E19" s="1"/>
      <c r="F19" s="41">
        <f>(2800+5000)*300+20*40*6*550/D5</f>
        <v>2569565.2173913042</v>
      </c>
      <c r="G19" s="181">
        <f>F19/$F$23</f>
        <v>7.7819372151725394E-2</v>
      </c>
    </row>
    <row r="20" spans="3:7" x14ac:dyDescent="0.35">
      <c r="C20" s="11" t="s">
        <v>133</v>
      </c>
      <c r="D20" s="148">
        <f>F20/$D$4/1000</f>
        <v>35.3150895140665</v>
      </c>
      <c r="E20" s="1"/>
      <c r="F20" s="41">
        <f>(F15+F18+F19)*0.1</f>
        <v>3001782.6086956523</v>
      </c>
      <c r="G20" s="181">
        <f>F20/$F$23</f>
        <v>9.0909090909090925E-2</v>
      </c>
    </row>
    <row r="21" spans="3:7" x14ac:dyDescent="0.35">
      <c r="C21" s="159" t="s">
        <v>136</v>
      </c>
      <c r="D21" s="184">
        <f>F21/$D$4/1000</f>
        <v>82.936572890025573</v>
      </c>
      <c r="E21" s="32"/>
      <c r="F21" s="160">
        <f>SUM(F18:F20)</f>
        <v>7049608.6956521738</v>
      </c>
      <c r="G21" s="182">
        <f>F21/$F$23</f>
        <v>0.21349764500935545</v>
      </c>
    </row>
    <row r="22" spans="3:7" ht="5" customHeight="1" x14ac:dyDescent="0.35">
      <c r="C22" s="164"/>
      <c r="D22" s="157"/>
      <c r="E22" s="165"/>
      <c r="F22" s="162"/>
      <c r="G22" s="181"/>
    </row>
    <row r="23" spans="3:7" x14ac:dyDescent="0.35">
      <c r="C23" s="166" t="s">
        <v>137</v>
      </c>
      <c r="D23" s="184">
        <f>F23/$D$4/1000</f>
        <v>388.46598465473141</v>
      </c>
      <c r="E23" s="167"/>
      <c r="F23" s="168">
        <f>F15+F21</f>
        <v>33019608.695652172</v>
      </c>
      <c r="G23" s="182">
        <f>F23/$F$23</f>
        <v>1</v>
      </c>
    </row>
    <row r="24" spans="3:7" ht="5" customHeight="1" x14ac:dyDescent="0.35">
      <c r="C24" s="164"/>
      <c r="D24" s="157"/>
      <c r="E24" s="165"/>
      <c r="F24" s="162"/>
      <c r="G24" s="181"/>
    </row>
    <row r="25" spans="3:7" x14ac:dyDescent="0.35">
      <c r="C25" s="19" t="s">
        <v>58</v>
      </c>
      <c r="D25" s="148">
        <f>F25/$D$4/1000</f>
        <v>38.846598465473143</v>
      </c>
      <c r="E25" s="1"/>
      <c r="F25" s="144">
        <f>F23*0.1</f>
        <v>3301960.8695652173</v>
      </c>
      <c r="G25" s="181">
        <f>F25/$F$23</f>
        <v>0.1</v>
      </c>
    </row>
    <row r="26" spans="3:7" x14ac:dyDescent="0.35">
      <c r="C26" s="151" t="s">
        <v>138</v>
      </c>
      <c r="D26" s="176">
        <f>F26/$D$4/1000</f>
        <v>427.31258312020464</v>
      </c>
      <c r="E26" s="152"/>
      <c r="F26" s="153">
        <f>F23+F25</f>
        <v>36321569.565217391</v>
      </c>
      <c r="G26" s="183">
        <f>F26/$F$23</f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4578-C092-6743-B8C6-24B153108CB9}">
  <dimension ref="C2:J34"/>
  <sheetViews>
    <sheetView showGridLines="0" workbookViewId="0">
      <selection activeCell="E33" sqref="E33"/>
    </sheetView>
  </sheetViews>
  <sheetFormatPr defaultColWidth="10.90625" defaultRowHeight="14.5" x14ac:dyDescent="0.35"/>
  <cols>
    <col min="3" max="3" width="15.1796875" customWidth="1"/>
  </cols>
  <sheetData>
    <row r="2" spans="3:10" x14ac:dyDescent="0.35">
      <c r="C2" s="73" t="s">
        <v>96</v>
      </c>
    </row>
    <row r="4" spans="3:10" x14ac:dyDescent="0.35">
      <c r="C4" s="69" t="s">
        <v>97</v>
      </c>
    </row>
    <row r="5" spans="3:10" x14ac:dyDescent="0.35">
      <c r="C5" s="69" t="s">
        <v>5</v>
      </c>
      <c r="E5" s="132">
        <v>85</v>
      </c>
    </row>
    <row r="6" spans="3:10" x14ac:dyDescent="0.35">
      <c r="C6" s="69" t="s">
        <v>88</v>
      </c>
      <c r="E6" s="81">
        <v>365</v>
      </c>
    </row>
    <row r="9" spans="3:10" x14ac:dyDescent="0.35">
      <c r="C9" s="69" t="s">
        <v>83</v>
      </c>
      <c r="E9" s="84">
        <f>19500*12</f>
        <v>234000</v>
      </c>
    </row>
    <row r="11" spans="3:10" x14ac:dyDescent="0.35">
      <c r="C11" s="80" t="s">
        <v>81</v>
      </c>
    </row>
    <row r="13" spans="3:10" x14ac:dyDescent="0.35">
      <c r="C13" s="69" t="s">
        <v>82</v>
      </c>
      <c r="E13" s="82">
        <f>0.25*0.5*100%</f>
        <v>0.125</v>
      </c>
      <c r="J13" s="87"/>
    </row>
    <row r="14" spans="3:10" x14ac:dyDescent="0.35">
      <c r="C14" s="69" t="s">
        <v>84</v>
      </c>
      <c r="E14" s="82">
        <f>100%-E13</f>
        <v>0.875</v>
      </c>
    </row>
    <row r="15" spans="3:10" x14ac:dyDescent="0.35">
      <c r="C15" s="69" t="s">
        <v>87</v>
      </c>
      <c r="E15" s="81">
        <v>5</v>
      </c>
    </row>
    <row r="16" spans="3:10" x14ac:dyDescent="0.35">
      <c r="C16" s="69"/>
      <c r="E16" s="79"/>
    </row>
    <row r="17" spans="3:5" x14ac:dyDescent="0.35">
      <c r="C17" s="69" t="s">
        <v>89</v>
      </c>
      <c r="E17" s="83">
        <v>9.91</v>
      </c>
    </row>
    <row r="18" spans="3:5" x14ac:dyDescent="0.35">
      <c r="C18" s="69" t="s">
        <v>90</v>
      </c>
      <c r="E18" s="83">
        <v>3.29</v>
      </c>
    </row>
    <row r="19" spans="3:5" x14ac:dyDescent="0.35">
      <c r="C19" s="69"/>
      <c r="E19" s="79"/>
    </row>
    <row r="20" spans="3:5" x14ac:dyDescent="0.35">
      <c r="C20" s="69" t="s">
        <v>85</v>
      </c>
      <c r="E20" s="84">
        <f>$E$5*$E$15*$E$6*E13*$E$17</f>
        <v>192161.09375</v>
      </c>
    </row>
    <row r="21" spans="3:5" x14ac:dyDescent="0.35">
      <c r="C21" s="69" t="s">
        <v>86</v>
      </c>
      <c r="E21" s="84">
        <f>E5*5*365*(1-E13)*$E$18</f>
        <v>446566.09375</v>
      </c>
    </row>
    <row r="23" spans="3:5" x14ac:dyDescent="0.35">
      <c r="C23" s="80" t="s">
        <v>91</v>
      </c>
    </row>
    <row r="25" spans="3:5" x14ac:dyDescent="0.35">
      <c r="C25" s="69" t="s">
        <v>87</v>
      </c>
      <c r="E25" s="81">
        <v>5</v>
      </c>
    </row>
    <row r="27" spans="3:5" x14ac:dyDescent="0.35">
      <c r="C27" s="69" t="s">
        <v>92</v>
      </c>
      <c r="E27" s="83">
        <v>1.81</v>
      </c>
    </row>
    <row r="28" spans="3:5" x14ac:dyDescent="0.35">
      <c r="C28" s="69" t="s">
        <v>93</v>
      </c>
      <c r="E28" s="83">
        <v>0.78</v>
      </c>
    </row>
    <row r="30" spans="3:5" x14ac:dyDescent="0.35">
      <c r="C30" s="69" t="s">
        <v>94</v>
      </c>
      <c r="E30" s="84">
        <f>$E$5*$E$6*$E$25*E27</f>
        <v>280776.25</v>
      </c>
    </row>
    <row r="31" spans="3:5" x14ac:dyDescent="0.35">
      <c r="C31" s="69" t="s">
        <v>95</v>
      </c>
      <c r="E31" s="84">
        <f>$E$5*$E$6*$E$25*E28</f>
        <v>120997.5</v>
      </c>
    </row>
    <row r="32" spans="3:5" x14ac:dyDescent="0.35">
      <c r="E32" s="79"/>
    </row>
    <row r="34" spans="3:5" x14ac:dyDescent="0.35">
      <c r="C34" s="85" t="s">
        <v>49</v>
      </c>
      <c r="D34" s="85"/>
      <c r="E34" s="86">
        <f>E9+E20+E21+E30+E31</f>
        <v>1274500.9375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D5E5-963B-7946-A849-9C9D2FA5C606}">
  <dimension ref="D5:BB22"/>
  <sheetViews>
    <sheetView showGridLines="0" workbookViewId="0">
      <selection activeCell="E15" sqref="E15"/>
    </sheetView>
  </sheetViews>
  <sheetFormatPr defaultColWidth="10.90625" defaultRowHeight="14.5" x14ac:dyDescent="0.35"/>
  <cols>
    <col min="4" max="4" width="22.6328125" bestFit="1" customWidth="1"/>
  </cols>
  <sheetData>
    <row r="5" spans="4:54" x14ac:dyDescent="0.35">
      <c r="D5" s="19" t="s">
        <v>71</v>
      </c>
      <c r="E5" s="41">
        <v>1000000</v>
      </c>
      <c r="F5" s="1"/>
    </row>
    <row r="6" spans="4:54" x14ac:dyDescent="0.35">
      <c r="D6" s="19" t="s">
        <v>70</v>
      </c>
      <c r="E6" s="41">
        <v>1000000</v>
      </c>
      <c r="F6" s="1"/>
    </row>
    <row r="7" spans="4:54" x14ac:dyDescent="0.35">
      <c r="D7" s="70" t="s">
        <v>49</v>
      </c>
      <c r="E7" s="95">
        <f>SUM(E5:E6)</f>
        <v>2000000</v>
      </c>
    </row>
    <row r="10" spans="4:54" x14ac:dyDescent="0.35">
      <c r="D10" s="70" t="s">
        <v>110</v>
      </c>
      <c r="E10" s="96">
        <v>0.75</v>
      </c>
    </row>
    <row r="11" spans="4:54" x14ac:dyDescent="0.35">
      <c r="E11">
        <f>E7*E10</f>
        <v>1500000</v>
      </c>
    </row>
    <row r="12" spans="4:54" x14ac:dyDescent="0.35">
      <c r="D12" s="69" t="s">
        <v>37</v>
      </c>
      <c r="E12" s="97">
        <f>BESS!E42</f>
        <v>1.2999999999999999E-2</v>
      </c>
    </row>
    <row r="14" spans="4:54" x14ac:dyDescent="0.35">
      <c r="E14">
        <v>1</v>
      </c>
      <c r="F14">
        <f>E14+1</f>
        <v>2</v>
      </c>
      <c r="G14">
        <f t="shared" ref="G14:BB14" si="0">F14+1</f>
        <v>3</v>
      </c>
      <c r="H14">
        <f t="shared" si="0"/>
        <v>4</v>
      </c>
      <c r="I14">
        <f t="shared" si="0"/>
        <v>5</v>
      </c>
      <c r="J14">
        <f t="shared" si="0"/>
        <v>6</v>
      </c>
      <c r="K14">
        <f t="shared" si="0"/>
        <v>7</v>
      </c>
      <c r="L14">
        <f t="shared" si="0"/>
        <v>8</v>
      </c>
      <c r="M14">
        <f t="shared" si="0"/>
        <v>9</v>
      </c>
      <c r="N14">
        <f t="shared" si="0"/>
        <v>10</v>
      </c>
      <c r="O14">
        <f t="shared" si="0"/>
        <v>11</v>
      </c>
      <c r="P14">
        <f t="shared" si="0"/>
        <v>12</v>
      </c>
      <c r="Q14">
        <f t="shared" si="0"/>
        <v>13</v>
      </c>
      <c r="R14">
        <f t="shared" si="0"/>
        <v>14</v>
      </c>
      <c r="S14">
        <f t="shared" si="0"/>
        <v>15</v>
      </c>
      <c r="T14">
        <f t="shared" si="0"/>
        <v>16</v>
      </c>
      <c r="U14">
        <f t="shared" si="0"/>
        <v>17</v>
      </c>
      <c r="V14">
        <f t="shared" si="0"/>
        <v>18</v>
      </c>
      <c r="W14">
        <f t="shared" si="0"/>
        <v>19</v>
      </c>
      <c r="X14">
        <f t="shared" si="0"/>
        <v>20</v>
      </c>
      <c r="Y14">
        <f t="shared" si="0"/>
        <v>21</v>
      </c>
      <c r="Z14">
        <f t="shared" si="0"/>
        <v>22</v>
      </c>
      <c r="AA14">
        <f t="shared" si="0"/>
        <v>23</v>
      </c>
      <c r="AB14">
        <f t="shared" si="0"/>
        <v>24</v>
      </c>
      <c r="AC14">
        <f t="shared" si="0"/>
        <v>25</v>
      </c>
      <c r="AD14">
        <f t="shared" si="0"/>
        <v>26</v>
      </c>
      <c r="AE14">
        <f t="shared" si="0"/>
        <v>27</v>
      </c>
      <c r="AF14">
        <f t="shared" si="0"/>
        <v>28</v>
      </c>
      <c r="AG14">
        <f t="shared" si="0"/>
        <v>29</v>
      </c>
      <c r="AH14">
        <f t="shared" si="0"/>
        <v>30</v>
      </c>
      <c r="AI14">
        <f t="shared" si="0"/>
        <v>31</v>
      </c>
      <c r="AJ14">
        <f t="shared" si="0"/>
        <v>32</v>
      </c>
      <c r="AK14">
        <f t="shared" si="0"/>
        <v>33</v>
      </c>
      <c r="AL14">
        <f t="shared" si="0"/>
        <v>34</v>
      </c>
      <c r="AM14">
        <f t="shared" si="0"/>
        <v>35</v>
      </c>
      <c r="AN14">
        <f t="shared" si="0"/>
        <v>36</v>
      </c>
      <c r="AO14">
        <f t="shared" si="0"/>
        <v>37</v>
      </c>
      <c r="AP14">
        <f t="shared" si="0"/>
        <v>38</v>
      </c>
      <c r="AQ14">
        <f t="shared" si="0"/>
        <v>39</v>
      </c>
      <c r="AR14">
        <f t="shared" si="0"/>
        <v>40</v>
      </c>
      <c r="AS14">
        <f t="shared" si="0"/>
        <v>41</v>
      </c>
      <c r="AT14">
        <f t="shared" si="0"/>
        <v>42</v>
      </c>
      <c r="AU14">
        <f t="shared" si="0"/>
        <v>43</v>
      </c>
      <c r="AV14">
        <f>AU14+1</f>
        <v>44</v>
      </c>
      <c r="AW14">
        <f t="shared" si="0"/>
        <v>45</v>
      </c>
      <c r="AX14">
        <f t="shared" si="0"/>
        <v>46</v>
      </c>
      <c r="AY14">
        <f t="shared" si="0"/>
        <v>47</v>
      </c>
      <c r="AZ14">
        <f t="shared" si="0"/>
        <v>48</v>
      </c>
      <c r="BA14">
        <f t="shared" si="0"/>
        <v>49</v>
      </c>
      <c r="BB14">
        <f t="shared" si="0"/>
        <v>50</v>
      </c>
    </row>
    <row r="15" spans="4:54" x14ac:dyDescent="0.35">
      <c r="D15" s="69" t="s">
        <v>111</v>
      </c>
      <c r="E15" s="95">
        <f>E7</f>
        <v>2000000</v>
      </c>
      <c r="F15" s="95">
        <f>E17</f>
        <v>1960000</v>
      </c>
      <c r="G15" s="95">
        <f t="shared" ref="G15:BB15" si="1">F17</f>
        <v>1920000</v>
      </c>
      <c r="H15" s="95">
        <f t="shared" si="1"/>
        <v>1880000</v>
      </c>
      <c r="I15" s="95">
        <f t="shared" si="1"/>
        <v>1840000</v>
      </c>
      <c r="J15" s="95">
        <f t="shared" si="1"/>
        <v>1800000</v>
      </c>
      <c r="K15" s="95">
        <f t="shared" si="1"/>
        <v>1760000</v>
      </c>
      <c r="L15" s="95">
        <f t="shared" si="1"/>
        <v>1720000</v>
      </c>
      <c r="M15" s="95">
        <f t="shared" si="1"/>
        <v>1680000</v>
      </c>
      <c r="N15" s="95">
        <f t="shared" si="1"/>
        <v>1640000</v>
      </c>
      <c r="O15" s="95">
        <f t="shared" si="1"/>
        <v>1600000</v>
      </c>
      <c r="P15" s="95">
        <f t="shared" si="1"/>
        <v>1560000</v>
      </c>
      <c r="Q15" s="95">
        <f t="shared" si="1"/>
        <v>1520000</v>
      </c>
      <c r="R15" s="95">
        <f t="shared" si="1"/>
        <v>1480000</v>
      </c>
      <c r="S15" s="95">
        <f t="shared" si="1"/>
        <v>1440000</v>
      </c>
      <c r="T15" s="95">
        <f t="shared" si="1"/>
        <v>1400000</v>
      </c>
      <c r="U15" s="95">
        <f t="shared" si="1"/>
        <v>1360000</v>
      </c>
      <c r="V15" s="95">
        <f t="shared" si="1"/>
        <v>1320000</v>
      </c>
      <c r="W15" s="95">
        <f t="shared" si="1"/>
        <v>1280000</v>
      </c>
      <c r="X15" s="95">
        <f t="shared" si="1"/>
        <v>1240000</v>
      </c>
      <c r="Y15" s="95">
        <f t="shared" si="1"/>
        <v>1200000</v>
      </c>
      <c r="Z15" s="95">
        <f t="shared" si="1"/>
        <v>1160000</v>
      </c>
      <c r="AA15" s="95">
        <f t="shared" si="1"/>
        <v>1120000</v>
      </c>
      <c r="AB15" s="95">
        <f t="shared" si="1"/>
        <v>1080000</v>
      </c>
      <c r="AC15" s="95">
        <f t="shared" si="1"/>
        <v>1040000</v>
      </c>
      <c r="AD15" s="95">
        <f t="shared" si="1"/>
        <v>1000000</v>
      </c>
      <c r="AE15" s="95">
        <f t="shared" si="1"/>
        <v>960000</v>
      </c>
      <c r="AF15" s="95">
        <f t="shared" si="1"/>
        <v>920000</v>
      </c>
      <c r="AG15" s="95">
        <f t="shared" si="1"/>
        <v>880000</v>
      </c>
      <c r="AH15" s="95">
        <f t="shared" si="1"/>
        <v>840000</v>
      </c>
      <c r="AI15" s="95">
        <f t="shared" si="1"/>
        <v>800000</v>
      </c>
      <c r="AJ15" s="95">
        <f t="shared" si="1"/>
        <v>760000</v>
      </c>
      <c r="AK15" s="95">
        <f t="shared" si="1"/>
        <v>720000</v>
      </c>
      <c r="AL15" s="95">
        <f t="shared" si="1"/>
        <v>680000</v>
      </c>
      <c r="AM15" s="95">
        <f t="shared" si="1"/>
        <v>640000</v>
      </c>
      <c r="AN15" s="95">
        <f t="shared" si="1"/>
        <v>600000</v>
      </c>
      <c r="AO15" s="95">
        <f t="shared" si="1"/>
        <v>560000</v>
      </c>
      <c r="AP15" s="95">
        <f t="shared" si="1"/>
        <v>520000</v>
      </c>
      <c r="AQ15" s="95">
        <f t="shared" si="1"/>
        <v>480000</v>
      </c>
      <c r="AR15" s="95">
        <f t="shared" si="1"/>
        <v>440000</v>
      </c>
      <c r="AS15" s="95">
        <f t="shared" si="1"/>
        <v>400000</v>
      </c>
      <c r="AT15" s="95">
        <f t="shared" si="1"/>
        <v>360000</v>
      </c>
      <c r="AU15" s="95">
        <f t="shared" si="1"/>
        <v>320000</v>
      </c>
      <c r="AV15" s="95">
        <f t="shared" si="1"/>
        <v>280000</v>
      </c>
      <c r="AW15" s="95">
        <f t="shared" si="1"/>
        <v>240000</v>
      </c>
      <c r="AX15" s="95">
        <f t="shared" si="1"/>
        <v>200000</v>
      </c>
      <c r="AY15" s="95">
        <f t="shared" si="1"/>
        <v>160000</v>
      </c>
      <c r="AZ15" s="95">
        <f t="shared" si="1"/>
        <v>120000</v>
      </c>
      <c r="BA15" s="95">
        <f t="shared" si="1"/>
        <v>80000</v>
      </c>
      <c r="BB15" s="95">
        <f t="shared" si="1"/>
        <v>40000</v>
      </c>
    </row>
    <row r="16" spans="4:54" x14ac:dyDescent="0.35">
      <c r="D16" s="69" t="s">
        <v>113</v>
      </c>
      <c r="E16" s="95">
        <f>$E$7*0.02</f>
        <v>40000</v>
      </c>
      <c r="F16" s="95">
        <f t="shared" ref="F16:BB16" si="2">$E$7*0.02</f>
        <v>40000</v>
      </c>
      <c r="G16" s="95">
        <f t="shared" si="2"/>
        <v>40000</v>
      </c>
      <c r="H16" s="95">
        <f t="shared" si="2"/>
        <v>40000</v>
      </c>
      <c r="I16" s="95">
        <f t="shared" si="2"/>
        <v>40000</v>
      </c>
      <c r="J16" s="95">
        <f t="shared" si="2"/>
        <v>40000</v>
      </c>
      <c r="K16" s="95">
        <f t="shared" si="2"/>
        <v>40000</v>
      </c>
      <c r="L16" s="95">
        <f t="shared" si="2"/>
        <v>40000</v>
      </c>
      <c r="M16" s="95">
        <f t="shared" si="2"/>
        <v>40000</v>
      </c>
      <c r="N16" s="95">
        <f t="shared" si="2"/>
        <v>40000</v>
      </c>
      <c r="O16" s="95">
        <f t="shared" si="2"/>
        <v>40000</v>
      </c>
      <c r="P16" s="95">
        <f t="shared" si="2"/>
        <v>40000</v>
      </c>
      <c r="Q16" s="95">
        <f t="shared" si="2"/>
        <v>40000</v>
      </c>
      <c r="R16" s="95">
        <f t="shared" si="2"/>
        <v>40000</v>
      </c>
      <c r="S16" s="95">
        <f t="shared" si="2"/>
        <v>40000</v>
      </c>
      <c r="T16" s="95">
        <f t="shared" si="2"/>
        <v>40000</v>
      </c>
      <c r="U16" s="95">
        <f t="shared" si="2"/>
        <v>40000</v>
      </c>
      <c r="V16" s="95">
        <f t="shared" si="2"/>
        <v>40000</v>
      </c>
      <c r="W16" s="95">
        <f t="shared" si="2"/>
        <v>40000</v>
      </c>
      <c r="X16" s="95">
        <f t="shared" si="2"/>
        <v>40000</v>
      </c>
      <c r="Y16" s="95">
        <f t="shared" si="2"/>
        <v>40000</v>
      </c>
      <c r="Z16" s="95">
        <f t="shared" si="2"/>
        <v>40000</v>
      </c>
      <c r="AA16" s="95">
        <f t="shared" si="2"/>
        <v>40000</v>
      </c>
      <c r="AB16" s="95">
        <f t="shared" si="2"/>
        <v>40000</v>
      </c>
      <c r="AC16" s="95">
        <f t="shared" si="2"/>
        <v>40000</v>
      </c>
      <c r="AD16" s="95">
        <f t="shared" si="2"/>
        <v>40000</v>
      </c>
      <c r="AE16" s="95">
        <f t="shared" si="2"/>
        <v>40000</v>
      </c>
      <c r="AF16" s="95">
        <f t="shared" si="2"/>
        <v>40000</v>
      </c>
      <c r="AG16" s="95">
        <f t="shared" si="2"/>
        <v>40000</v>
      </c>
      <c r="AH16" s="95">
        <f t="shared" si="2"/>
        <v>40000</v>
      </c>
      <c r="AI16" s="95">
        <f t="shared" si="2"/>
        <v>40000</v>
      </c>
      <c r="AJ16" s="95">
        <f t="shared" si="2"/>
        <v>40000</v>
      </c>
      <c r="AK16" s="95">
        <f t="shared" si="2"/>
        <v>40000</v>
      </c>
      <c r="AL16" s="95">
        <f t="shared" si="2"/>
        <v>40000</v>
      </c>
      <c r="AM16" s="95">
        <f t="shared" si="2"/>
        <v>40000</v>
      </c>
      <c r="AN16" s="95">
        <f t="shared" si="2"/>
        <v>40000</v>
      </c>
      <c r="AO16" s="95">
        <f t="shared" si="2"/>
        <v>40000</v>
      </c>
      <c r="AP16" s="95">
        <f t="shared" si="2"/>
        <v>40000</v>
      </c>
      <c r="AQ16" s="95">
        <f t="shared" si="2"/>
        <v>40000</v>
      </c>
      <c r="AR16" s="95">
        <f t="shared" si="2"/>
        <v>40000</v>
      </c>
      <c r="AS16" s="95">
        <f t="shared" si="2"/>
        <v>40000</v>
      </c>
      <c r="AT16" s="95">
        <f t="shared" si="2"/>
        <v>40000</v>
      </c>
      <c r="AU16" s="95">
        <f t="shared" si="2"/>
        <v>40000</v>
      </c>
      <c r="AV16" s="95">
        <f t="shared" si="2"/>
        <v>40000</v>
      </c>
      <c r="AW16" s="95">
        <f t="shared" si="2"/>
        <v>40000</v>
      </c>
      <c r="AX16" s="95">
        <f t="shared" si="2"/>
        <v>40000</v>
      </c>
      <c r="AY16" s="95">
        <f t="shared" si="2"/>
        <v>40000</v>
      </c>
      <c r="AZ16" s="95">
        <f t="shared" si="2"/>
        <v>40000</v>
      </c>
      <c r="BA16" s="95">
        <f t="shared" si="2"/>
        <v>40000</v>
      </c>
      <c r="BB16" s="95">
        <f t="shared" si="2"/>
        <v>40000</v>
      </c>
    </row>
    <row r="17" spans="4:54" x14ac:dyDescent="0.35">
      <c r="D17" s="69" t="s">
        <v>112</v>
      </c>
      <c r="E17" s="95">
        <f>E15-E16</f>
        <v>1960000</v>
      </c>
      <c r="F17" s="95">
        <f t="shared" ref="F17:BB17" si="3">F15-F16</f>
        <v>1920000</v>
      </c>
      <c r="G17" s="95">
        <f t="shared" si="3"/>
        <v>1880000</v>
      </c>
      <c r="H17" s="95">
        <f t="shared" si="3"/>
        <v>1840000</v>
      </c>
      <c r="I17" s="95">
        <f t="shared" si="3"/>
        <v>1800000</v>
      </c>
      <c r="J17" s="95">
        <f t="shared" si="3"/>
        <v>1760000</v>
      </c>
      <c r="K17" s="95">
        <f t="shared" si="3"/>
        <v>1720000</v>
      </c>
      <c r="L17" s="95">
        <f t="shared" si="3"/>
        <v>1680000</v>
      </c>
      <c r="M17" s="95">
        <f t="shared" si="3"/>
        <v>1640000</v>
      </c>
      <c r="N17" s="95">
        <f t="shared" si="3"/>
        <v>1600000</v>
      </c>
      <c r="O17" s="95">
        <f t="shared" si="3"/>
        <v>1560000</v>
      </c>
      <c r="P17" s="95">
        <f t="shared" si="3"/>
        <v>1520000</v>
      </c>
      <c r="Q17" s="95">
        <f t="shared" si="3"/>
        <v>1480000</v>
      </c>
      <c r="R17" s="95">
        <f t="shared" si="3"/>
        <v>1440000</v>
      </c>
      <c r="S17" s="95">
        <f t="shared" si="3"/>
        <v>1400000</v>
      </c>
      <c r="T17" s="95">
        <f t="shared" si="3"/>
        <v>1360000</v>
      </c>
      <c r="U17" s="95">
        <f t="shared" si="3"/>
        <v>1320000</v>
      </c>
      <c r="V17" s="95">
        <f t="shared" si="3"/>
        <v>1280000</v>
      </c>
      <c r="W17" s="95">
        <f t="shared" si="3"/>
        <v>1240000</v>
      </c>
      <c r="X17" s="95">
        <f t="shared" si="3"/>
        <v>1200000</v>
      </c>
      <c r="Y17" s="95">
        <f t="shared" si="3"/>
        <v>1160000</v>
      </c>
      <c r="Z17" s="95">
        <f t="shared" si="3"/>
        <v>1120000</v>
      </c>
      <c r="AA17" s="95">
        <f t="shared" si="3"/>
        <v>1080000</v>
      </c>
      <c r="AB17" s="95">
        <f t="shared" si="3"/>
        <v>1040000</v>
      </c>
      <c r="AC17" s="95">
        <f t="shared" si="3"/>
        <v>1000000</v>
      </c>
      <c r="AD17" s="95">
        <f t="shared" si="3"/>
        <v>960000</v>
      </c>
      <c r="AE17" s="95">
        <f t="shared" si="3"/>
        <v>920000</v>
      </c>
      <c r="AF17" s="95">
        <f t="shared" si="3"/>
        <v>880000</v>
      </c>
      <c r="AG17" s="95">
        <f t="shared" si="3"/>
        <v>840000</v>
      </c>
      <c r="AH17" s="95">
        <f t="shared" si="3"/>
        <v>800000</v>
      </c>
      <c r="AI17" s="95">
        <f t="shared" si="3"/>
        <v>760000</v>
      </c>
      <c r="AJ17" s="95">
        <f t="shared" si="3"/>
        <v>720000</v>
      </c>
      <c r="AK17" s="95">
        <f t="shared" si="3"/>
        <v>680000</v>
      </c>
      <c r="AL17" s="95">
        <f t="shared" si="3"/>
        <v>640000</v>
      </c>
      <c r="AM17" s="95">
        <f t="shared" si="3"/>
        <v>600000</v>
      </c>
      <c r="AN17" s="95">
        <f t="shared" si="3"/>
        <v>560000</v>
      </c>
      <c r="AO17" s="95">
        <f t="shared" si="3"/>
        <v>520000</v>
      </c>
      <c r="AP17" s="95">
        <f t="shared" si="3"/>
        <v>480000</v>
      </c>
      <c r="AQ17" s="95">
        <f t="shared" si="3"/>
        <v>440000</v>
      </c>
      <c r="AR17" s="95">
        <f t="shared" si="3"/>
        <v>400000</v>
      </c>
      <c r="AS17" s="95">
        <f t="shared" si="3"/>
        <v>360000</v>
      </c>
      <c r="AT17" s="95">
        <f t="shared" si="3"/>
        <v>320000</v>
      </c>
      <c r="AU17" s="95">
        <f t="shared" si="3"/>
        <v>280000</v>
      </c>
      <c r="AV17" s="95">
        <f t="shared" si="3"/>
        <v>240000</v>
      </c>
      <c r="AW17" s="95">
        <f t="shared" si="3"/>
        <v>200000</v>
      </c>
      <c r="AX17" s="95">
        <f t="shared" si="3"/>
        <v>160000</v>
      </c>
      <c r="AY17" s="95">
        <f t="shared" si="3"/>
        <v>120000</v>
      </c>
      <c r="AZ17" s="95">
        <f t="shared" si="3"/>
        <v>80000</v>
      </c>
      <c r="BA17" s="95">
        <f t="shared" si="3"/>
        <v>40000</v>
      </c>
      <c r="BB17" s="95">
        <f t="shared" si="3"/>
        <v>0</v>
      </c>
    </row>
    <row r="18" spans="4:54" x14ac:dyDescent="0.35">
      <c r="D18" s="69" t="s">
        <v>110</v>
      </c>
      <c r="E18" s="95">
        <f>E15*$E$10</f>
        <v>1500000</v>
      </c>
      <c r="F18" s="95">
        <f>F15*$E$10</f>
        <v>1470000</v>
      </c>
      <c r="G18" s="95">
        <f t="shared" ref="G18:BB18" si="4">G15*$E$10</f>
        <v>1440000</v>
      </c>
      <c r="H18" s="95">
        <f t="shared" si="4"/>
        <v>1410000</v>
      </c>
      <c r="I18" s="95">
        <f t="shared" si="4"/>
        <v>1380000</v>
      </c>
      <c r="J18" s="95">
        <f t="shared" si="4"/>
        <v>1350000</v>
      </c>
      <c r="K18" s="95">
        <f t="shared" si="4"/>
        <v>1320000</v>
      </c>
      <c r="L18" s="95">
        <f t="shared" si="4"/>
        <v>1290000</v>
      </c>
      <c r="M18" s="95">
        <f t="shared" si="4"/>
        <v>1260000</v>
      </c>
      <c r="N18" s="95">
        <f t="shared" si="4"/>
        <v>1230000</v>
      </c>
      <c r="O18" s="95">
        <f t="shared" si="4"/>
        <v>1200000</v>
      </c>
      <c r="P18" s="95">
        <f t="shared" si="4"/>
        <v>1170000</v>
      </c>
      <c r="Q18" s="95">
        <f t="shared" si="4"/>
        <v>1140000</v>
      </c>
      <c r="R18" s="95">
        <f t="shared" si="4"/>
        <v>1110000</v>
      </c>
      <c r="S18" s="95">
        <f t="shared" si="4"/>
        <v>1080000</v>
      </c>
      <c r="T18" s="95">
        <f t="shared" si="4"/>
        <v>1050000</v>
      </c>
      <c r="U18" s="95">
        <f t="shared" si="4"/>
        <v>1020000</v>
      </c>
      <c r="V18" s="95">
        <f t="shared" si="4"/>
        <v>990000</v>
      </c>
      <c r="W18" s="95">
        <f t="shared" si="4"/>
        <v>960000</v>
      </c>
      <c r="X18" s="95">
        <f t="shared" si="4"/>
        <v>930000</v>
      </c>
      <c r="Y18" s="95">
        <f t="shared" si="4"/>
        <v>900000</v>
      </c>
      <c r="Z18" s="95">
        <f t="shared" si="4"/>
        <v>870000</v>
      </c>
      <c r="AA18" s="95">
        <f t="shared" si="4"/>
        <v>840000</v>
      </c>
      <c r="AB18" s="95">
        <f t="shared" si="4"/>
        <v>810000</v>
      </c>
      <c r="AC18" s="95">
        <f t="shared" si="4"/>
        <v>780000</v>
      </c>
      <c r="AD18" s="95">
        <f t="shared" si="4"/>
        <v>750000</v>
      </c>
      <c r="AE18" s="95">
        <f t="shared" si="4"/>
        <v>720000</v>
      </c>
      <c r="AF18" s="95">
        <f t="shared" si="4"/>
        <v>690000</v>
      </c>
      <c r="AG18" s="95">
        <f t="shared" si="4"/>
        <v>660000</v>
      </c>
      <c r="AH18" s="95">
        <f t="shared" si="4"/>
        <v>630000</v>
      </c>
      <c r="AI18" s="95">
        <f t="shared" si="4"/>
        <v>600000</v>
      </c>
      <c r="AJ18" s="95">
        <f t="shared" si="4"/>
        <v>570000</v>
      </c>
      <c r="AK18" s="95">
        <f t="shared" si="4"/>
        <v>540000</v>
      </c>
      <c r="AL18" s="95">
        <f t="shared" si="4"/>
        <v>510000</v>
      </c>
      <c r="AM18" s="95">
        <f t="shared" si="4"/>
        <v>480000</v>
      </c>
      <c r="AN18" s="95">
        <f t="shared" si="4"/>
        <v>450000</v>
      </c>
      <c r="AO18" s="95">
        <f t="shared" si="4"/>
        <v>420000</v>
      </c>
      <c r="AP18" s="95">
        <f t="shared" si="4"/>
        <v>390000</v>
      </c>
      <c r="AQ18" s="95">
        <f t="shared" si="4"/>
        <v>360000</v>
      </c>
      <c r="AR18" s="95">
        <f t="shared" si="4"/>
        <v>330000</v>
      </c>
      <c r="AS18" s="95">
        <f t="shared" si="4"/>
        <v>300000</v>
      </c>
      <c r="AT18" s="95">
        <f t="shared" si="4"/>
        <v>270000</v>
      </c>
      <c r="AU18" s="95">
        <f t="shared" si="4"/>
        <v>240000</v>
      </c>
      <c r="AV18" s="95">
        <f t="shared" si="4"/>
        <v>210000</v>
      </c>
      <c r="AW18" s="95">
        <f t="shared" si="4"/>
        <v>180000</v>
      </c>
      <c r="AX18" s="95">
        <f t="shared" si="4"/>
        <v>150000</v>
      </c>
      <c r="AY18" s="95">
        <f t="shared" si="4"/>
        <v>120000</v>
      </c>
      <c r="AZ18" s="95">
        <f t="shared" si="4"/>
        <v>90000</v>
      </c>
      <c r="BA18" s="95">
        <f t="shared" si="4"/>
        <v>60000</v>
      </c>
      <c r="BB18" s="95">
        <f t="shared" si="4"/>
        <v>30000</v>
      </c>
    </row>
    <row r="19" spans="4:54" x14ac:dyDescent="0.35">
      <c r="D19" s="69" t="s">
        <v>114</v>
      </c>
      <c r="E19" s="95">
        <f>$E$7*0.4</f>
        <v>800000</v>
      </c>
      <c r="F19" s="95">
        <f t="shared" ref="F19:BB19" si="5">$E$7*0.4</f>
        <v>800000</v>
      </c>
      <c r="G19" s="95">
        <f t="shared" si="5"/>
        <v>800000</v>
      </c>
      <c r="H19" s="95">
        <f t="shared" si="5"/>
        <v>800000</v>
      </c>
      <c r="I19" s="95">
        <f t="shared" si="5"/>
        <v>800000</v>
      </c>
      <c r="J19" s="95">
        <f t="shared" si="5"/>
        <v>800000</v>
      </c>
      <c r="K19" s="95">
        <f t="shared" si="5"/>
        <v>800000</v>
      </c>
      <c r="L19" s="95">
        <f t="shared" si="5"/>
        <v>800000</v>
      </c>
      <c r="M19" s="95">
        <f t="shared" si="5"/>
        <v>800000</v>
      </c>
      <c r="N19" s="95">
        <f t="shared" si="5"/>
        <v>800000</v>
      </c>
      <c r="O19" s="95">
        <f t="shared" si="5"/>
        <v>800000</v>
      </c>
      <c r="P19" s="95">
        <f t="shared" si="5"/>
        <v>800000</v>
      </c>
      <c r="Q19" s="95">
        <f t="shared" si="5"/>
        <v>800000</v>
      </c>
      <c r="R19" s="95">
        <f t="shared" si="5"/>
        <v>800000</v>
      </c>
      <c r="S19" s="95">
        <f t="shared" si="5"/>
        <v>800000</v>
      </c>
      <c r="T19" s="95">
        <f t="shared" si="5"/>
        <v>800000</v>
      </c>
      <c r="U19" s="95">
        <f t="shared" si="5"/>
        <v>800000</v>
      </c>
      <c r="V19" s="95">
        <f t="shared" si="5"/>
        <v>800000</v>
      </c>
      <c r="W19" s="95">
        <f t="shared" si="5"/>
        <v>800000</v>
      </c>
      <c r="X19" s="95">
        <f t="shared" si="5"/>
        <v>800000</v>
      </c>
      <c r="Y19" s="95">
        <f t="shared" si="5"/>
        <v>800000</v>
      </c>
      <c r="Z19" s="95">
        <f t="shared" si="5"/>
        <v>800000</v>
      </c>
      <c r="AA19" s="95">
        <f t="shared" si="5"/>
        <v>800000</v>
      </c>
      <c r="AB19" s="95">
        <f t="shared" si="5"/>
        <v>800000</v>
      </c>
      <c r="AC19" s="95">
        <f t="shared" si="5"/>
        <v>800000</v>
      </c>
      <c r="AD19" s="95">
        <f t="shared" si="5"/>
        <v>800000</v>
      </c>
      <c r="AE19" s="95">
        <f t="shared" si="5"/>
        <v>800000</v>
      </c>
      <c r="AF19" s="95">
        <f t="shared" si="5"/>
        <v>800000</v>
      </c>
      <c r="AG19" s="95">
        <f t="shared" si="5"/>
        <v>800000</v>
      </c>
      <c r="AH19" s="95">
        <f t="shared" si="5"/>
        <v>800000</v>
      </c>
      <c r="AI19" s="95">
        <f t="shared" si="5"/>
        <v>800000</v>
      </c>
      <c r="AJ19" s="95">
        <f t="shared" si="5"/>
        <v>800000</v>
      </c>
      <c r="AK19" s="95">
        <f t="shared" si="5"/>
        <v>800000</v>
      </c>
      <c r="AL19" s="95">
        <f t="shared" si="5"/>
        <v>800000</v>
      </c>
      <c r="AM19" s="95">
        <f t="shared" si="5"/>
        <v>800000</v>
      </c>
      <c r="AN19" s="95">
        <f t="shared" si="5"/>
        <v>800000</v>
      </c>
      <c r="AO19" s="95">
        <f t="shared" si="5"/>
        <v>800000</v>
      </c>
      <c r="AP19" s="95">
        <f t="shared" si="5"/>
        <v>800000</v>
      </c>
      <c r="AQ19" s="95">
        <f t="shared" si="5"/>
        <v>800000</v>
      </c>
      <c r="AR19" s="95">
        <f t="shared" si="5"/>
        <v>800000</v>
      </c>
      <c r="AS19" s="95">
        <f t="shared" si="5"/>
        <v>800000</v>
      </c>
      <c r="AT19" s="95">
        <f t="shared" si="5"/>
        <v>800000</v>
      </c>
      <c r="AU19" s="95">
        <f t="shared" si="5"/>
        <v>800000</v>
      </c>
      <c r="AV19" s="95">
        <f t="shared" si="5"/>
        <v>800000</v>
      </c>
      <c r="AW19" s="95">
        <f t="shared" si="5"/>
        <v>800000</v>
      </c>
      <c r="AX19" s="95">
        <f t="shared" si="5"/>
        <v>800000</v>
      </c>
      <c r="AY19" s="95">
        <f t="shared" si="5"/>
        <v>800000</v>
      </c>
      <c r="AZ19" s="95">
        <f t="shared" si="5"/>
        <v>800000</v>
      </c>
      <c r="BA19" s="95">
        <f t="shared" si="5"/>
        <v>800000</v>
      </c>
      <c r="BB19" s="95">
        <f t="shared" si="5"/>
        <v>800000</v>
      </c>
    </row>
    <row r="20" spans="4:54" x14ac:dyDescent="0.35">
      <c r="D20" s="69" t="s">
        <v>115</v>
      </c>
      <c r="E20" s="95">
        <f>IF(E18&gt;E19,E18,E19)</f>
        <v>1500000</v>
      </c>
      <c r="F20" s="95">
        <f t="shared" ref="F20:BB20" si="6">IF(F18&gt;F19,F18,F19)</f>
        <v>1470000</v>
      </c>
      <c r="G20" s="95">
        <f t="shared" si="6"/>
        <v>1440000</v>
      </c>
      <c r="H20" s="95">
        <f t="shared" si="6"/>
        <v>1410000</v>
      </c>
      <c r="I20" s="95">
        <f t="shared" si="6"/>
        <v>1380000</v>
      </c>
      <c r="J20" s="95">
        <f t="shared" si="6"/>
        <v>1350000</v>
      </c>
      <c r="K20" s="95">
        <f t="shared" si="6"/>
        <v>1320000</v>
      </c>
      <c r="L20" s="95">
        <f t="shared" si="6"/>
        <v>1290000</v>
      </c>
      <c r="M20" s="95">
        <f t="shared" si="6"/>
        <v>1260000</v>
      </c>
      <c r="N20" s="95">
        <f t="shared" si="6"/>
        <v>1230000</v>
      </c>
      <c r="O20" s="95">
        <f t="shared" si="6"/>
        <v>1200000</v>
      </c>
      <c r="P20" s="95">
        <f t="shared" si="6"/>
        <v>1170000</v>
      </c>
      <c r="Q20" s="95">
        <f t="shared" si="6"/>
        <v>1140000</v>
      </c>
      <c r="R20" s="95">
        <f t="shared" si="6"/>
        <v>1110000</v>
      </c>
      <c r="S20" s="95">
        <f t="shared" si="6"/>
        <v>1080000</v>
      </c>
      <c r="T20" s="95">
        <f t="shared" si="6"/>
        <v>1050000</v>
      </c>
      <c r="U20" s="95">
        <f t="shared" si="6"/>
        <v>1020000</v>
      </c>
      <c r="V20" s="95">
        <f t="shared" si="6"/>
        <v>990000</v>
      </c>
      <c r="W20" s="95">
        <f t="shared" si="6"/>
        <v>960000</v>
      </c>
      <c r="X20" s="95">
        <f t="shared" si="6"/>
        <v>930000</v>
      </c>
      <c r="Y20" s="95">
        <f t="shared" si="6"/>
        <v>900000</v>
      </c>
      <c r="Z20" s="95">
        <f t="shared" si="6"/>
        <v>870000</v>
      </c>
      <c r="AA20" s="95">
        <f t="shared" si="6"/>
        <v>840000</v>
      </c>
      <c r="AB20" s="95">
        <f t="shared" si="6"/>
        <v>810000</v>
      </c>
      <c r="AC20" s="95">
        <f t="shared" si="6"/>
        <v>800000</v>
      </c>
      <c r="AD20" s="95">
        <f t="shared" si="6"/>
        <v>800000</v>
      </c>
      <c r="AE20" s="95">
        <f t="shared" si="6"/>
        <v>800000</v>
      </c>
      <c r="AF20" s="95">
        <f t="shared" si="6"/>
        <v>800000</v>
      </c>
      <c r="AG20" s="95">
        <f t="shared" si="6"/>
        <v>800000</v>
      </c>
      <c r="AH20" s="95">
        <f t="shared" si="6"/>
        <v>800000</v>
      </c>
      <c r="AI20" s="95">
        <f t="shared" si="6"/>
        <v>800000</v>
      </c>
      <c r="AJ20" s="95">
        <f t="shared" si="6"/>
        <v>800000</v>
      </c>
      <c r="AK20" s="95">
        <f t="shared" si="6"/>
        <v>800000</v>
      </c>
      <c r="AL20" s="95">
        <f t="shared" si="6"/>
        <v>800000</v>
      </c>
      <c r="AM20" s="95">
        <f t="shared" si="6"/>
        <v>800000</v>
      </c>
      <c r="AN20" s="95">
        <f t="shared" si="6"/>
        <v>800000</v>
      </c>
      <c r="AO20" s="95">
        <f t="shared" si="6"/>
        <v>800000</v>
      </c>
      <c r="AP20" s="95">
        <f t="shared" si="6"/>
        <v>800000</v>
      </c>
      <c r="AQ20" s="95">
        <f t="shared" si="6"/>
        <v>800000</v>
      </c>
      <c r="AR20" s="95">
        <f t="shared" si="6"/>
        <v>800000</v>
      </c>
      <c r="AS20" s="95">
        <f t="shared" si="6"/>
        <v>800000</v>
      </c>
      <c r="AT20" s="95">
        <f t="shared" si="6"/>
        <v>800000</v>
      </c>
      <c r="AU20" s="95">
        <f t="shared" si="6"/>
        <v>800000</v>
      </c>
      <c r="AV20" s="95">
        <f t="shared" si="6"/>
        <v>800000</v>
      </c>
      <c r="AW20" s="95">
        <f t="shared" si="6"/>
        <v>800000</v>
      </c>
      <c r="AX20" s="95">
        <f t="shared" si="6"/>
        <v>800000</v>
      </c>
      <c r="AY20" s="95">
        <f t="shared" si="6"/>
        <v>800000</v>
      </c>
      <c r="AZ20" s="95">
        <f t="shared" si="6"/>
        <v>800000</v>
      </c>
      <c r="BA20" s="95">
        <f t="shared" si="6"/>
        <v>800000</v>
      </c>
      <c r="BB20" s="95">
        <f t="shared" si="6"/>
        <v>800000</v>
      </c>
    </row>
    <row r="21" spans="4:54" x14ac:dyDescent="0.35"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</row>
    <row r="22" spans="4:54" x14ac:dyDescent="0.35">
      <c r="D22" s="69" t="s">
        <v>37</v>
      </c>
      <c r="E22" s="95">
        <f>$E$12*E20</f>
        <v>19500</v>
      </c>
      <c r="F22" s="95">
        <f>$E$12*F20</f>
        <v>19110</v>
      </c>
      <c r="G22" s="95">
        <f t="shared" ref="G22:BB22" si="7">$E$12*G20</f>
        <v>18720</v>
      </c>
      <c r="H22" s="95">
        <f t="shared" si="7"/>
        <v>18330</v>
      </c>
      <c r="I22" s="95">
        <f t="shared" si="7"/>
        <v>17940</v>
      </c>
      <c r="J22" s="95">
        <f t="shared" si="7"/>
        <v>17550</v>
      </c>
      <c r="K22" s="95">
        <f t="shared" si="7"/>
        <v>17160</v>
      </c>
      <c r="L22" s="95">
        <f t="shared" si="7"/>
        <v>16770</v>
      </c>
      <c r="M22" s="95">
        <f t="shared" si="7"/>
        <v>16380</v>
      </c>
      <c r="N22" s="95">
        <f t="shared" si="7"/>
        <v>15990</v>
      </c>
      <c r="O22" s="95">
        <f t="shared" si="7"/>
        <v>15600</v>
      </c>
      <c r="P22" s="95">
        <f t="shared" si="7"/>
        <v>15210</v>
      </c>
      <c r="Q22" s="95">
        <f t="shared" si="7"/>
        <v>14820</v>
      </c>
      <c r="R22" s="95">
        <f t="shared" si="7"/>
        <v>14430</v>
      </c>
      <c r="S22" s="95">
        <f t="shared" si="7"/>
        <v>14040</v>
      </c>
      <c r="T22" s="95">
        <f t="shared" si="7"/>
        <v>13650</v>
      </c>
      <c r="U22" s="95">
        <f t="shared" si="7"/>
        <v>13260</v>
      </c>
      <c r="V22" s="95">
        <f t="shared" si="7"/>
        <v>12870</v>
      </c>
      <c r="W22" s="95">
        <f t="shared" si="7"/>
        <v>12480</v>
      </c>
      <c r="X22" s="95">
        <f t="shared" si="7"/>
        <v>12090</v>
      </c>
      <c r="Y22" s="95">
        <f t="shared" si="7"/>
        <v>11700</v>
      </c>
      <c r="Z22" s="95">
        <f t="shared" si="7"/>
        <v>11310</v>
      </c>
      <c r="AA22" s="95">
        <f t="shared" si="7"/>
        <v>10920</v>
      </c>
      <c r="AB22" s="95">
        <f t="shared" si="7"/>
        <v>10530</v>
      </c>
      <c r="AC22" s="95">
        <f t="shared" si="7"/>
        <v>10400</v>
      </c>
      <c r="AD22" s="95">
        <f t="shared" si="7"/>
        <v>10400</v>
      </c>
      <c r="AE22" s="95">
        <f t="shared" si="7"/>
        <v>10400</v>
      </c>
      <c r="AF22" s="95">
        <f t="shared" si="7"/>
        <v>10400</v>
      </c>
      <c r="AG22" s="95">
        <f t="shared" si="7"/>
        <v>10400</v>
      </c>
      <c r="AH22" s="95">
        <f t="shared" si="7"/>
        <v>10400</v>
      </c>
      <c r="AI22" s="95">
        <f t="shared" si="7"/>
        <v>10400</v>
      </c>
      <c r="AJ22" s="95">
        <f t="shared" si="7"/>
        <v>10400</v>
      </c>
      <c r="AK22" s="95">
        <f t="shared" si="7"/>
        <v>10400</v>
      </c>
      <c r="AL22" s="95">
        <f t="shared" si="7"/>
        <v>10400</v>
      </c>
      <c r="AM22" s="95">
        <f t="shared" si="7"/>
        <v>10400</v>
      </c>
      <c r="AN22" s="95">
        <f t="shared" si="7"/>
        <v>10400</v>
      </c>
      <c r="AO22" s="95">
        <f t="shared" si="7"/>
        <v>10400</v>
      </c>
      <c r="AP22" s="95">
        <f t="shared" si="7"/>
        <v>10400</v>
      </c>
      <c r="AQ22" s="95">
        <f t="shared" si="7"/>
        <v>10400</v>
      </c>
      <c r="AR22" s="95">
        <f t="shared" si="7"/>
        <v>10400</v>
      </c>
      <c r="AS22" s="95">
        <f t="shared" si="7"/>
        <v>10400</v>
      </c>
      <c r="AT22" s="95">
        <f t="shared" si="7"/>
        <v>10400</v>
      </c>
      <c r="AU22" s="95">
        <f t="shared" si="7"/>
        <v>10400</v>
      </c>
      <c r="AV22" s="95">
        <f t="shared" si="7"/>
        <v>10400</v>
      </c>
      <c r="AW22" s="95">
        <f t="shared" si="7"/>
        <v>10400</v>
      </c>
      <c r="AX22" s="95">
        <f t="shared" si="7"/>
        <v>10400</v>
      </c>
      <c r="AY22" s="95">
        <f t="shared" si="7"/>
        <v>10400</v>
      </c>
      <c r="AZ22" s="95">
        <f t="shared" si="7"/>
        <v>10400</v>
      </c>
      <c r="BA22" s="95">
        <f t="shared" si="7"/>
        <v>10400</v>
      </c>
      <c r="BB22" s="95">
        <f t="shared" si="7"/>
        <v>10400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B4DE-8388-8341-A609-436A0E935DBB}">
  <sheetPr>
    <tabColor theme="5"/>
  </sheetPr>
  <dimension ref="A2:CF54"/>
  <sheetViews>
    <sheetView showGridLines="0" topLeftCell="A3" zoomScale="110" zoomScaleNormal="110" workbookViewId="0">
      <selection activeCell="K32" sqref="K32"/>
    </sheetView>
  </sheetViews>
  <sheetFormatPr defaultColWidth="0" defaultRowHeight="13" outlineLevelRow="1" x14ac:dyDescent="0.3"/>
  <cols>
    <col min="1" max="1" width="4.36328125" style="1" customWidth="1"/>
    <col min="2" max="2" width="34.36328125" style="1" customWidth="1"/>
    <col min="3" max="3" width="8.36328125" style="1" customWidth="1"/>
    <col min="4" max="4" width="11.453125" style="1" customWidth="1"/>
    <col min="5" max="5" width="10.6328125" style="1" bestFit="1" customWidth="1"/>
    <col min="6" max="6" width="13.26953125" style="1" bestFit="1" customWidth="1"/>
    <col min="7" max="7" width="11.453125" style="1" customWidth="1"/>
    <col min="8" max="8" width="10.81640625" style="1" bestFit="1" customWidth="1"/>
    <col min="9" max="9" width="11.6328125" style="1" customWidth="1"/>
    <col min="10" max="13" width="11.453125" style="1" customWidth="1"/>
    <col min="14" max="55" width="11.453125" style="1" bestFit="1" customWidth="1"/>
    <col min="56" max="58" width="10.453125" style="1" bestFit="1" customWidth="1"/>
    <col min="59" max="59" width="10.453125" style="1" hidden="1" customWidth="1"/>
    <col min="60" max="73" width="0" style="1" hidden="1" customWidth="1"/>
    <col min="74" max="74" width="10.453125" style="1" hidden="1" customWidth="1"/>
    <col min="75" max="84" width="0" style="1" hidden="1" customWidth="1"/>
    <col min="85" max="16384" width="10.36328125" style="1" hidden="1"/>
  </cols>
  <sheetData>
    <row r="2" spans="2:16" ht="15.5" x14ac:dyDescent="0.35">
      <c r="B2" s="48" t="s">
        <v>0</v>
      </c>
      <c r="P2" s="44"/>
    </row>
    <row r="3" spans="2:16" ht="32" customHeight="1" x14ac:dyDescent="0.3">
      <c r="P3" s="44"/>
    </row>
    <row r="4" spans="2:16" ht="15" customHeight="1" x14ac:dyDescent="0.3">
      <c r="B4" s="17" t="s">
        <v>1</v>
      </c>
      <c r="C4" s="29"/>
      <c r="G4" s="17" t="s">
        <v>4</v>
      </c>
      <c r="H4" s="16"/>
      <c r="I4" s="16"/>
      <c r="J4" s="16"/>
      <c r="K4" s="14"/>
      <c r="L4" s="57"/>
      <c r="M4" s="57"/>
    </row>
    <row r="5" spans="2:16" x14ac:dyDescent="0.3">
      <c r="B5" s="28"/>
      <c r="C5" s="27"/>
      <c r="G5" s="11"/>
      <c r="K5" s="26" t="s">
        <v>5</v>
      </c>
      <c r="L5" s="44"/>
      <c r="M5" s="44"/>
    </row>
    <row r="6" spans="2:16" ht="14" customHeight="1" x14ac:dyDescent="0.3">
      <c r="B6" s="11" t="s">
        <v>6</v>
      </c>
      <c r="C6" s="24">
        <f>Mine!E38/1000</f>
        <v>123842.06790000001</v>
      </c>
      <c r="G6" s="11" t="s">
        <v>8</v>
      </c>
      <c r="K6" s="23">
        <v>75</v>
      </c>
      <c r="L6" s="44"/>
      <c r="M6" s="44"/>
    </row>
    <row r="7" spans="2:16" x14ac:dyDescent="0.3">
      <c r="B7" s="25" t="s">
        <v>9</v>
      </c>
      <c r="C7" s="24">
        <f>C6/K6</f>
        <v>1651.227572</v>
      </c>
      <c r="G7" s="11"/>
      <c r="H7" s="7"/>
      <c r="I7" s="7"/>
      <c r="J7" s="7"/>
      <c r="K7" s="105"/>
      <c r="L7" s="72"/>
      <c r="M7" s="72"/>
    </row>
    <row r="8" spans="2:16" x14ac:dyDescent="0.3">
      <c r="B8" s="25"/>
      <c r="C8" s="24"/>
      <c r="G8" s="11" t="s">
        <v>21</v>
      </c>
      <c r="I8" s="1" t="s">
        <v>22</v>
      </c>
      <c r="K8" s="20">
        <v>46753</v>
      </c>
      <c r="L8" s="44"/>
      <c r="M8" s="44"/>
    </row>
    <row r="9" spans="2:16" x14ac:dyDescent="0.3">
      <c r="B9" s="25"/>
      <c r="C9" s="24"/>
      <c r="G9" s="31" t="s">
        <v>24</v>
      </c>
      <c r="H9" s="32"/>
      <c r="I9" s="32" t="s">
        <v>25</v>
      </c>
      <c r="J9" s="32"/>
      <c r="K9" s="33">
        <v>50</v>
      </c>
      <c r="L9" s="72"/>
      <c r="M9" s="72"/>
    </row>
    <row r="10" spans="2:16" outlineLevel="1" x14ac:dyDescent="0.3">
      <c r="B10" s="10" t="s">
        <v>108</v>
      </c>
      <c r="C10" s="67">
        <v>0.11799999999999999</v>
      </c>
      <c r="L10" s="44"/>
      <c r="M10" s="44"/>
      <c r="O10" s="56"/>
    </row>
    <row r="11" spans="2:16" x14ac:dyDescent="0.3">
      <c r="B11" s="10" t="s">
        <v>107</v>
      </c>
      <c r="C11" s="67">
        <v>0.127</v>
      </c>
      <c r="G11" s="17" t="s">
        <v>34</v>
      </c>
      <c r="H11" s="16"/>
      <c r="I11" s="16"/>
      <c r="J11" s="16"/>
      <c r="K11" s="14"/>
      <c r="L11" s="44"/>
      <c r="M11" s="44"/>
      <c r="O11" s="56"/>
    </row>
    <row r="12" spans="2:16" x14ac:dyDescent="0.3">
      <c r="E12" s="22"/>
      <c r="G12" s="53"/>
      <c r="H12" s="71"/>
      <c r="I12" s="71"/>
      <c r="J12" s="71"/>
      <c r="K12" s="58"/>
      <c r="O12" s="56"/>
    </row>
    <row r="13" spans="2:16" outlineLevel="1" x14ac:dyDescent="0.3">
      <c r="G13" s="11" t="s">
        <v>98</v>
      </c>
      <c r="K13" s="100">
        <f>15795.94361*(75/85)</f>
        <v>13937.597302941176</v>
      </c>
      <c r="O13" s="56"/>
    </row>
    <row r="14" spans="2:16" outlineLevel="1" x14ac:dyDescent="0.3">
      <c r="B14" s="17" t="s">
        <v>13</v>
      </c>
      <c r="C14" s="16" t="s">
        <v>14</v>
      </c>
      <c r="D14" s="16"/>
      <c r="E14" s="14" t="s">
        <v>15</v>
      </c>
      <c r="F14" s="21" t="s">
        <v>16</v>
      </c>
      <c r="G14" s="11" t="s">
        <v>144</v>
      </c>
      <c r="K14" s="99">
        <v>0.05</v>
      </c>
      <c r="O14" s="56"/>
    </row>
    <row r="15" spans="2:16" x14ac:dyDescent="0.3">
      <c r="B15" s="110"/>
      <c r="C15" s="111"/>
      <c r="D15" s="112"/>
      <c r="E15" s="113"/>
      <c r="F15" s="128"/>
      <c r="G15" s="10" t="s">
        <v>99</v>
      </c>
      <c r="H15" s="5"/>
      <c r="I15" s="5"/>
      <c r="J15" s="5"/>
      <c r="K15" s="62">
        <v>0.02</v>
      </c>
      <c r="O15" s="56"/>
    </row>
    <row r="16" spans="2:16" x14ac:dyDescent="0.3">
      <c r="B16" s="114" t="s">
        <v>17</v>
      </c>
      <c r="C16" s="42">
        <f t="shared" ref="C16:C24" si="0">E16/$K$6/1000</f>
        <v>4.24</v>
      </c>
      <c r="E16" s="115">
        <v>318000</v>
      </c>
      <c r="F16" s="129">
        <f>E16/$E$25</f>
        <v>2.5384602876527321E-3</v>
      </c>
      <c r="K16" s="189"/>
      <c r="L16" s="7"/>
      <c r="M16" s="7"/>
      <c r="N16" s="7"/>
      <c r="O16" s="56"/>
    </row>
    <row r="17" spans="2:15" x14ac:dyDescent="0.3">
      <c r="B17" s="114" t="s">
        <v>18</v>
      </c>
      <c r="C17" s="42">
        <f t="shared" si="0"/>
        <v>12.679466666666666</v>
      </c>
      <c r="E17" s="115">
        <v>950960</v>
      </c>
      <c r="F17" s="129">
        <f t="shared" ref="F17:F24" si="1">E17/$E$25</f>
        <v>7.5911138212145972E-3</v>
      </c>
      <c r="O17" s="56"/>
    </row>
    <row r="18" spans="2:15" x14ac:dyDescent="0.3">
      <c r="B18" s="114" t="s">
        <v>19</v>
      </c>
      <c r="C18" s="42">
        <f t="shared" si="0"/>
        <v>31.610666666666667</v>
      </c>
      <c r="E18" s="115">
        <v>2370800</v>
      </c>
      <c r="F18" s="129">
        <f t="shared" si="1"/>
        <v>1.892509952819842E-2</v>
      </c>
      <c r="G18" s="16" t="s">
        <v>32</v>
      </c>
      <c r="H18" s="16"/>
      <c r="I18" s="57"/>
      <c r="J18" s="57"/>
      <c r="O18" s="56"/>
    </row>
    <row r="19" spans="2:15" x14ac:dyDescent="0.3">
      <c r="B19" s="114" t="s">
        <v>20</v>
      </c>
      <c r="C19" s="42">
        <f t="shared" si="0"/>
        <v>3.8213333333333335</v>
      </c>
      <c r="E19" s="115">
        <v>286600</v>
      </c>
      <c r="F19" s="129">
        <f t="shared" si="1"/>
        <v>2.287807290695827E-3</v>
      </c>
      <c r="G19" s="53"/>
      <c r="H19" s="58"/>
      <c r="I19" s="44"/>
      <c r="J19" s="44"/>
    </row>
    <row r="20" spans="2:15" x14ac:dyDescent="0.3">
      <c r="B20" s="114" t="s">
        <v>23</v>
      </c>
      <c r="C20" s="42">
        <f t="shared" si="0"/>
        <v>106.32530666666668</v>
      </c>
      <c r="E20" s="115">
        <v>7974398</v>
      </c>
      <c r="F20" s="129">
        <f t="shared" si="1"/>
        <v>6.3656266166469716E-2</v>
      </c>
      <c r="G20" s="11" t="s">
        <v>31</v>
      </c>
      <c r="H20" s="13">
        <v>0</v>
      </c>
      <c r="I20" s="44"/>
      <c r="J20" s="44"/>
    </row>
    <row r="21" spans="2:15" x14ac:dyDescent="0.3">
      <c r="B21" s="114" t="s">
        <v>26</v>
      </c>
      <c r="C21" s="42">
        <f t="shared" si="0"/>
        <v>115.70433333333332</v>
      </c>
      <c r="E21" s="115">
        <v>8677825</v>
      </c>
      <c r="F21" s="129">
        <f t="shared" si="1"/>
        <v>6.9271428131132295E-2</v>
      </c>
      <c r="G21" s="11" t="s">
        <v>33</v>
      </c>
      <c r="H21" s="13">
        <v>0</v>
      </c>
      <c r="I21" s="44"/>
      <c r="J21" s="44"/>
      <c r="M21" s="6"/>
      <c r="N21" s="60"/>
    </row>
    <row r="22" spans="2:15" x14ac:dyDescent="0.3">
      <c r="B22" s="114" t="s">
        <v>27</v>
      </c>
      <c r="C22" s="42">
        <f t="shared" si="0"/>
        <v>247.92099999999999</v>
      </c>
      <c r="E22" s="115">
        <v>18594075</v>
      </c>
      <c r="F22" s="129">
        <f t="shared" si="1"/>
        <v>0.14842868230546061</v>
      </c>
      <c r="G22" s="11" t="s">
        <v>34</v>
      </c>
      <c r="H22" s="13">
        <v>0</v>
      </c>
      <c r="I22" s="44"/>
      <c r="J22" s="44"/>
      <c r="M22" s="6"/>
      <c r="N22" s="60"/>
    </row>
    <row r="23" spans="2:15" x14ac:dyDescent="0.3">
      <c r="B23" s="114" t="s">
        <v>28</v>
      </c>
      <c r="C23" s="42">
        <f t="shared" si="0"/>
        <v>211.95666666666665</v>
      </c>
      <c r="E23" s="115">
        <v>15896750</v>
      </c>
      <c r="F23" s="129">
        <f t="shared" si="1"/>
        <v>0.12689707099919362</v>
      </c>
      <c r="G23" s="10"/>
      <c r="H23" s="43"/>
      <c r="I23" s="44"/>
      <c r="J23" s="44"/>
      <c r="M23" s="6"/>
      <c r="N23" s="60"/>
    </row>
    <row r="24" spans="2:15" x14ac:dyDescent="0.3">
      <c r="B24" s="114" t="s">
        <v>29</v>
      </c>
      <c r="C24" s="42">
        <f t="shared" si="0"/>
        <v>936.04507999999998</v>
      </c>
      <c r="E24" s="115">
        <v>70203381</v>
      </c>
      <c r="F24" s="129">
        <f t="shared" si="1"/>
        <v>0.56040407146998217</v>
      </c>
      <c r="J24" s="44"/>
      <c r="M24" s="6"/>
      <c r="N24" s="60"/>
    </row>
    <row r="25" spans="2:15" x14ac:dyDescent="0.3">
      <c r="B25" s="116" t="s">
        <v>101</v>
      </c>
      <c r="C25" s="117"/>
      <c r="D25" s="118"/>
      <c r="E25" s="119">
        <f>SUM(E16:E24)</f>
        <v>125272789</v>
      </c>
      <c r="F25" s="129">
        <f>SUM(F16:F24)</f>
        <v>1</v>
      </c>
      <c r="J25" s="44"/>
      <c r="M25" s="6"/>
    </row>
    <row r="26" spans="2:15" x14ac:dyDescent="0.3">
      <c r="B26" s="114"/>
      <c r="C26" s="42"/>
      <c r="E26" s="120"/>
      <c r="F26" s="129"/>
      <c r="G26" s="74" t="s">
        <v>79</v>
      </c>
      <c r="H26" s="76"/>
      <c r="I26" s="14"/>
      <c r="J26" s="57"/>
    </row>
    <row r="27" spans="2:15" x14ac:dyDescent="0.3">
      <c r="B27" s="114" t="s">
        <v>58</v>
      </c>
      <c r="C27" s="42">
        <f>E27/$K$6/1000</f>
        <v>167.03038533333333</v>
      </c>
      <c r="E27" s="115">
        <f>SUM(E16:E24)*10%</f>
        <v>12527278.9</v>
      </c>
      <c r="F27" s="129">
        <f t="shared" ref="F27" si="2">E27/$E$25</f>
        <v>0.1</v>
      </c>
      <c r="G27" s="53"/>
      <c r="I27" s="58"/>
      <c r="J27" s="44"/>
    </row>
    <row r="28" spans="2:15" x14ac:dyDescent="0.3">
      <c r="B28" s="116" t="s">
        <v>104</v>
      </c>
      <c r="C28" s="117"/>
      <c r="D28" s="118"/>
      <c r="E28" s="119">
        <f>SUM(E25:E27)*(1+H21)</f>
        <v>137800067.90000001</v>
      </c>
      <c r="F28" s="129"/>
      <c r="G28" s="11" t="s">
        <v>74</v>
      </c>
      <c r="I28" s="13">
        <v>0.6</v>
      </c>
      <c r="J28" s="77"/>
    </row>
    <row r="29" spans="2:15" x14ac:dyDescent="0.3">
      <c r="B29" s="114"/>
      <c r="C29" s="42"/>
      <c r="E29" s="120"/>
      <c r="F29" s="129"/>
      <c r="G29" s="11" t="s">
        <v>75</v>
      </c>
      <c r="I29" s="51">
        <f>C6*I28</f>
        <v>74305.240740000008</v>
      </c>
      <c r="J29" s="93"/>
    </row>
    <row r="30" spans="2:15" x14ac:dyDescent="0.3">
      <c r="B30" s="121" t="s">
        <v>120</v>
      </c>
      <c r="E30" s="123">
        <f>12500000/2</f>
        <v>6250000</v>
      </c>
      <c r="F30" s="130"/>
      <c r="G30" s="11" t="s">
        <v>143</v>
      </c>
      <c r="I30" s="51">
        <v>2029</v>
      </c>
      <c r="J30" s="93"/>
      <c r="L30" s="78">
        <v>26300000</v>
      </c>
    </row>
    <row r="31" spans="2:15" x14ac:dyDescent="0.3">
      <c r="B31" s="11" t="s">
        <v>124</v>
      </c>
      <c r="E31" s="115">
        <v>1372000</v>
      </c>
      <c r="F31" s="130"/>
      <c r="G31" s="11" t="s">
        <v>77</v>
      </c>
      <c r="I31" s="41">
        <v>20</v>
      </c>
      <c r="J31" s="93"/>
    </row>
    <row r="32" spans="2:15" x14ac:dyDescent="0.3">
      <c r="B32" s="121" t="s">
        <v>102</v>
      </c>
      <c r="C32" s="42">
        <f>E32/$K$6/1000</f>
        <v>13.6</v>
      </c>
      <c r="E32" s="123">
        <f>1020000</f>
        <v>1020000</v>
      </c>
      <c r="F32" s="130"/>
      <c r="G32" s="10" t="s">
        <v>78</v>
      </c>
      <c r="H32" s="5"/>
      <c r="I32" s="75">
        <f>3.467%+2.5%</f>
        <v>5.9670000000000001E-2</v>
      </c>
      <c r="J32" s="77"/>
    </row>
    <row r="33" spans="2:10" x14ac:dyDescent="0.3">
      <c r="B33" s="121" t="s">
        <v>103</v>
      </c>
      <c r="C33" s="42">
        <f>E33/$K$6/1000</f>
        <v>49.333333333333336</v>
      </c>
      <c r="E33" s="123">
        <v>3700000</v>
      </c>
      <c r="F33" s="145"/>
      <c r="J33" s="44"/>
    </row>
    <row r="34" spans="2:10" x14ac:dyDescent="0.3">
      <c r="B34" s="116" t="s">
        <v>123</v>
      </c>
      <c r="C34" s="117"/>
      <c r="D34" s="118"/>
      <c r="E34" s="119">
        <f>SUM(E28:E33)</f>
        <v>150142067.90000001</v>
      </c>
      <c r="F34" s="130"/>
      <c r="J34" s="44"/>
    </row>
    <row r="35" spans="2:10" x14ac:dyDescent="0.3">
      <c r="B35" s="121"/>
      <c r="E35" s="122"/>
      <c r="F35" s="130"/>
    </row>
    <row r="36" spans="2:10" x14ac:dyDescent="0.3">
      <c r="B36" s="114" t="s">
        <v>30</v>
      </c>
      <c r="C36" s="42">
        <f>E36/$K$6/1000</f>
        <v>-350.66666666666669</v>
      </c>
      <c r="E36" s="115">
        <f>-L30</f>
        <v>-26300000</v>
      </c>
      <c r="F36" s="129"/>
    </row>
    <row r="37" spans="2:10" s="44" customFormat="1" x14ac:dyDescent="0.3">
      <c r="B37" s="114"/>
      <c r="C37" s="18"/>
      <c r="D37" s="1"/>
      <c r="E37" s="124"/>
      <c r="F37" s="129"/>
    </row>
    <row r="38" spans="2:10" s="44" customFormat="1" x14ac:dyDescent="0.3">
      <c r="B38" s="125" t="s">
        <v>109</v>
      </c>
      <c r="C38" s="126">
        <f>E38/$K$6/1000</f>
        <v>1651.2275720000002</v>
      </c>
      <c r="D38" s="126"/>
      <c r="E38" s="127">
        <f>SUM(E34:E37)</f>
        <v>123842067.90000001</v>
      </c>
      <c r="F38" s="131"/>
    </row>
    <row r="40" spans="2:10" x14ac:dyDescent="0.3">
      <c r="B40" s="17" t="s">
        <v>31</v>
      </c>
      <c r="C40" s="16"/>
      <c r="D40" s="15"/>
      <c r="E40" s="14" t="s">
        <v>51</v>
      </c>
      <c r="F40" s="14" t="s">
        <v>52</v>
      </c>
    </row>
    <row r="41" spans="2:10" x14ac:dyDescent="0.3">
      <c r="B41" s="53" t="s">
        <v>53</v>
      </c>
      <c r="C41" s="71" t="s">
        <v>35</v>
      </c>
      <c r="D41" s="71"/>
      <c r="E41" s="101"/>
      <c r="F41" s="102">
        <f>1540*(1+H20)</f>
        <v>1540</v>
      </c>
    </row>
    <row r="42" spans="2:10" x14ac:dyDescent="0.3">
      <c r="B42" s="11" t="s">
        <v>54</v>
      </c>
      <c r="C42" s="1" t="s">
        <v>35</v>
      </c>
      <c r="E42" s="103">
        <f>1921*0.8</f>
        <v>1536.8000000000002</v>
      </c>
      <c r="F42" s="12">
        <f>1330*0.8</f>
        <v>1064</v>
      </c>
    </row>
    <row r="43" spans="2:10" x14ac:dyDescent="0.3">
      <c r="B43" s="11" t="s">
        <v>50</v>
      </c>
      <c r="C43" s="1" t="s">
        <v>35</v>
      </c>
      <c r="E43" s="103">
        <f>800*2</f>
        <v>1600</v>
      </c>
      <c r="F43" s="12">
        <v>500</v>
      </c>
    </row>
    <row r="44" spans="2:10" x14ac:dyDescent="0.3">
      <c r="B44" s="11" t="s">
        <v>66</v>
      </c>
      <c r="C44" s="1" t="s">
        <v>64</v>
      </c>
      <c r="E44" s="103"/>
      <c r="F44" s="88">
        <v>0.05</v>
      </c>
    </row>
    <row r="45" spans="2:10" x14ac:dyDescent="0.3">
      <c r="B45" s="11" t="s">
        <v>105</v>
      </c>
      <c r="C45" s="1" t="s">
        <v>35</v>
      </c>
      <c r="E45" s="103"/>
      <c r="F45" s="94">
        <f>450</f>
        <v>450</v>
      </c>
    </row>
    <row r="46" spans="2:10" x14ac:dyDescent="0.3">
      <c r="B46" s="11" t="s">
        <v>117</v>
      </c>
      <c r="C46" s="1" t="s">
        <v>119</v>
      </c>
      <c r="E46" s="103"/>
      <c r="F46" s="94">
        <v>330</v>
      </c>
    </row>
    <row r="47" spans="2:10" x14ac:dyDescent="0.3">
      <c r="B47" s="11" t="s">
        <v>65</v>
      </c>
      <c r="C47" s="1" t="s">
        <v>35</v>
      </c>
      <c r="E47" s="103">
        <v>23.437000000000001</v>
      </c>
      <c r="F47" s="12">
        <v>23.437000000000001</v>
      </c>
    </row>
    <row r="48" spans="2:10" x14ac:dyDescent="0.3">
      <c r="B48" s="11" t="s">
        <v>61</v>
      </c>
      <c r="C48" s="1" t="s">
        <v>118</v>
      </c>
      <c r="E48" s="103"/>
      <c r="F48" s="104">
        <v>1.2999999999999999E-2</v>
      </c>
    </row>
    <row r="49" spans="2:9" x14ac:dyDescent="0.3">
      <c r="B49" s="10" t="s">
        <v>36</v>
      </c>
      <c r="C49" s="5"/>
      <c r="D49" s="5"/>
      <c r="E49" s="54">
        <v>0.02</v>
      </c>
      <c r="F49" s="55">
        <v>0.02</v>
      </c>
    </row>
    <row r="50" spans="2:9" x14ac:dyDescent="0.3">
      <c r="D50" s="3"/>
    </row>
    <row r="52" spans="2:9" x14ac:dyDescent="0.3">
      <c r="D52" s="3"/>
      <c r="E52" s="2"/>
    </row>
    <row r="54" spans="2:9" x14ac:dyDescent="0.3">
      <c r="I54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5FD4-747F-0443-A16C-F0CA58448CD6}">
  <dimension ref="C2:K24"/>
  <sheetViews>
    <sheetView zoomScale="120" zoomScaleNormal="120" workbookViewId="0">
      <selection activeCell="E13" sqref="E13"/>
    </sheetView>
  </sheetViews>
  <sheetFormatPr defaultColWidth="10.81640625" defaultRowHeight="15.5" x14ac:dyDescent="0.35"/>
  <cols>
    <col min="1" max="2" width="10.81640625" style="35"/>
    <col min="3" max="3" width="21.81640625" style="35" bestFit="1" customWidth="1"/>
    <col min="4" max="4" width="18.1796875" style="35" bestFit="1" customWidth="1"/>
    <col min="5" max="5" width="8" style="35" bestFit="1" customWidth="1"/>
    <col min="6" max="6" width="18.1796875" style="35" bestFit="1" customWidth="1"/>
    <col min="7" max="7" width="17.81640625" style="35" bestFit="1" customWidth="1"/>
    <col min="8" max="8" width="10.81640625" style="35"/>
    <col min="9" max="9" width="11.1796875" style="35" bestFit="1" customWidth="1"/>
    <col min="10" max="10" width="10.81640625" style="35"/>
    <col min="11" max="11" width="9.6328125" style="35" bestFit="1" customWidth="1"/>
    <col min="12" max="16384" width="10.81640625" style="35"/>
  </cols>
  <sheetData>
    <row r="2" spans="3:11" x14ac:dyDescent="0.35">
      <c r="C2" s="35" t="s">
        <v>38</v>
      </c>
    </row>
    <row r="4" spans="3:11" x14ac:dyDescent="0.35">
      <c r="I4" s="59" t="s">
        <v>56</v>
      </c>
      <c r="K4" s="35" t="s">
        <v>57</v>
      </c>
    </row>
    <row r="5" spans="3:11" x14ac:dyDescent="0.35">
      <c r="C5" s="38" t="s">
        <v>33</v>
      </c>
      <c r="D5" s="38" t="s">
        <v>39</v>
      </c>
      <c r="E5" s="38"/>
      <c r="F5" s="38" t="s">
        <v>40</v>
      </c>
      <c r="G5" s="38" t="s">
        <v>41</v>
      </c>
      <c r="I5" s="36">
        <v>102901408</v>
      </c>
      <c r="K5" s="38"/>
    </row>
    <row r="6" spans="3:11" x14ac:dyDescent="0.35">
      <c r="C6" s="38"/>
      <c r="D6" s="38" t="s">
        <v>42</v>
      </c>
      <c r="E6" s="38" t="s">
        <v>43</v>
      </c>
      <c r="F6" s="38" t="s">
        <v>42</v>
      </c>
      <c r="G6" s="38" t="s">
        <v>44</v>
      </c>
      <c r="K6" s="38"/>
    </row>
    <row r="7" spans="3:11" x14ac:dyDescent="0.35">
      <c r="C7" s="38" t="s">
        <v>17</v>
      </c>
      <c r="D7" s="36">
        <v>318000</v>
      </c>
      <c r="E7" s="37">
        <f>D7/$D$24</f>
        <v>2.3076911705933924E-3</v>
      </c>
      <c r="F7" s="36">
        <v>105000</v>
      </c>
      <c r="G7" s="36">
        <v>423000</v>
      </c>
      <c r="I7" s="36">
        <v>318000</v>
      </c>
      <c r="K7" s="36">
        <f>D7-I7</f>
        <v>0</v>
      </c>
    </row>
    <row r="8" spans="3:11" x14ac:dyDescent="0.35">
      <c r="C8" s="38" t="s">
        <v>18</v>
      </c>
      <c r="D8" s="36">
        <v>950960</v>
      </c>
      <c r="E8" s="37">
        <f t="shared" ref="E8:E24" si="0">D8/$D$24</f>
        <v>6.9010125647405432E-3</v>
      </c>
      <c r="F8" s="38">
        <v>0</v>
      </c>
      <c r="G8" s="36">
        <v>950960</v>
      </c>
      <c r="I8" s="36">
        <v>950960</v>
      </c>
      <c r="K8" s="36">
        <f t="shared" ref="K8:K24" si="1">D8-I8</f>
        <v>0</v>
      </c>
    </row>
    <row r="9" spans="3:11" x14ac:dyDescent="0.35">
      <c r="C9" s="38" t="s">
        <v>19</v>
      </c>
      <c r="D9" s="36">
        <v>2370800</v>
      </c>
      <c r="E9" s="37">
        <f t="shared" si="0"/>
        <v>1.7204635934725834E-2</v>
      </c>
      <c r="F9" s="38">
        <v>0</v>
      </c>
      <c r="G9" s="36">
        <v>2370800</v>
      </c>
      <c r="I9" s="36">
        <v>2370800</v>
      </c>
      <c r="K9" s="36">
        <f t="shared" si="1"/>
        <v>0</v>
      </c>
    </row>
    <row r="10" spans="3:11" x14ac:dyDescent="0.35">
      <c r="C10" s="38" t="s">
        <v>20</v>
      </c>
      <c r="D10" s="36">
        <v>286600</v>
      </c>
      <c r="E10" s="37">
        <f t="shared" si="0"/>
        <v>2.0798248097234789E-3</v>
      </c>
      <c r="F10" s="38">
        <v>0</v>
      </c>
      <c r="G10" s="36">
        <v>286600</v>
      </c>
      <c r="I10" s="36">
        <v>286600</v>
      </c>
      <c r="K10" s="36">
        <f t="shared" si="1"/>
        <v>0</v>
      </c>
    </row>
    <row r="11" spans="3:11" x14ac:dyDescent="0.35">
      <c r="C11" s="38" t="s">
        <v>23</v>
      </c>
      <c r="D11" s="36">
        <v>7974398</v>
      </c>
      <c r="E11" s="37">
        <f t="shared" si="0"/>
        <v>5.7869332878608834E-2</v>
      </c>
      <c r="F11" s="38">
        <v>0</v>
      </c>
      <c r="G11" s="36">
        <v>7974398</v>
      </c>
      <c r="I11" s="36">
        <v>3651100</v>
      </c>
      <c r="K11" s="36">
        <f t="shared" si="1"/>
        <v>4323298</v>
      </c>
    </row>
    <row r="12" spans="3:11" x14ac:dyDescent="0.35">
      <c r="C12" s="38" t="s">
        <v>26</v>
      </c>
      <c r="D12" s="36">
        <v>8677825</v>
      </c>
      <c r="E12" s="37">
        <f t="shared" si="0"/>
        <v>6.2974025573756628E-2</v>
      </c>
      <c r="F12" s="36">
        <v>1313100</v>
      </c>
      <c r="G12" s="36">
        <v>9990925</v>
      </c>
      <c r="I12" s="36">
        <v>4677825</v>
      </c>
      <c r="K12" s="36">
        <f t="shared" si="1"/>
        <v>4000000</v>
      </c>
    </row>
    <row r="13" spans="3:11" x14ac:dyDescent="0.35">
      <c r="C13" s="38" t="s">
        <v>27</v>
      </c>
      <c r="D13" s="36">
        <v>18594075</v>
      </c>
      <c r="E13" s="37">
        <f>D13/$D$24</f>
        <v>0.13493516573223691</v>
      </c>
      <c r="F13" s="36">
        <v>16799856</v>
      </c>
      <c r="G13" s="36">
        <v>35393931</v>
      </c>
      <c r="I13" s="36">
        <v>16444075</v>
      </c>
      <c r="K13" s="36">
        <f t="shared" si="1"/>
        <v>2150000</v>
      </c>
    </row>
    <row r="14" spans="3:11" x14ac:dyDescent="0.35">
      <c r="C14" s="38" t="s">
        <v>28</v>
      </c>
      <c r="D14" s="36">
        <v>15896750</v>
      </c>
      <c r="E14" s="37">
        <f t="shared" si="0"/>
        <v>0.11536097363563055</v>
      </c>
      <c r="F14" s="36">
        <v>13231250</v>
      </c>
      <c r="G14" s="36">
        <v>29128000</v>
      </c>
      <c r="I14" s="36">
        <v>12888750</v>
      </c>
      <c r="K14" s="36">
        <f t="shared" si="1"/>
        <v>3008000</v>
      </c>
    </row>
    <row r="15" spans="3:11" x14ac:dyDescent="0.35">
      <c r="C15" s="38" t="s">
        <v>29</v>
      </c>
      <c r="D15" s="36">
        <v>70203381</v>
      </c>
      <c r="E15" s="37">
        <f>D15/$D$24</f>
        <v>0.50945824679089291</v>
      </c>
      <c r="F15" s="36">
        <v>39810000</v>
      </c>
      <c r="G15" s="36">
        <v>110013381</v>
      </c>
      <c r="I15" s="36">
        <v>47120000</v>
      </c>
      <c r="K15" s="36">
        <f t="shared" si="1"/>
        <v>23083381</v>
      </c>
    </row>
    <row r="16" spans="3:11" x14ac:dyDescent="0.35">
      <c r="C16" s="40" t="s">
        <v>45</v>
      </c>
      <c r="D16" s="39">
        <v>3612000</v>
      </c>
      <c r="E16" s="37">
        <f t="shared" si="0"/>
        <v>2.6211888390513631E-2</v>
      </c>
      <c r="F16" s="39">
        <v>750000</v>
      </c>
      <c r="G16" s="39">
        <v>4362000</v>
      </c>
      <c r="I16" s="39">
        <v>1200000</v>
      </c>
      <c r="K16" s="36">
        <f t="shared" si="1"/>
        <v>2412000</v>
      </c>
    </row>
    <row r="17" spans="3:11" x14ac:dyDescent="0.35">
      <c r="C17" s="40" t="s">
        <v>46</v>
      </c>
      <c r="D17" s="39">
        <v>46271381</v>
      </c>
      <c r="E17" s="37">
        <f t="shared" si="0"/>
        <v>0.33578634397755619</v>
      </c>
      <c r="F17" s="39">
        <v>21550000</v>
      </c>
      <c r="G17" s="39">
        <v>67821381</v>
      </c>
      <c r="I17" s="39">
        <v>26600000</v>
      </c>
      <c r="K17" s="36">
        <f t="shared" si="1"/>
        <v>19671381</v>
      </c>
    </row>
    <row r="18" spans="3:11" x14ac:dyDescent="0.35">
      <c r="C18" s="40" t="s">
        <v>47</v>
      </c>
      <c r="D18" s="39">
        <v>16890000</v>
      </c>
      <c r="E18" s="37">
        <f t="shared" si="0"/>
        <v>0.12256888009849812</v>
      </c>
      <c r="F18" s="39">
        <v>14180000</v>
      </c>
      <c r="G18" s="39">
        <v>31070000</v>
      </c>
      <c r="I18" s="39">
        <v>15890000</v>
      </c>
      <c r="K18" s="36">
        <f t="shared" si="1"/>
        <v>1000000</v>
      </c>
    </row>
    <row r="19" spans="3:11" x14ac:dyDescent="0.35">
      <c r="C19" s="40" t="s">
        <v>48</v>
      </c>
      <c r="D19" s="39">
        <v>3430000</v>
      </c>
      <c r="E19" s="37">
        <f t="shared" si="0"/>
        <v>2.4891134324324958E-2</v>
      </c>
      <c r="F19" s="39">
        <v>3330000</v>
      </c>
      <c r="G19" s="39">
        <v>6760000</v>
      </c>
      <c r="I19" s="39">
        <v>3430000</v>
      </c>
      <c r="K19" s="36">
        <f t="shared" si="1"/>
        <v>0</v>
      </c>
    </row>
    <row r="20" spans="3:11" x14ac:dyDescent="0.35">
      <c r="C20" s="38" t="s">
        <v>49</v>
      </c>
      <c r="D20" s="36">
        <f>SUM(D7:D15)</f>
        <v>125272789</v>
      </c>
      <c r="E20" s="37">
        <f t="shared" si="0"/>
        <v>0.90909090909090906</v>
      </c>
      <c r="F20" s="36">
        <f>SUM(F7:F15)</f>
        <v>71259206</v>
      </c>
      <c r="G20" s="36">
        <f>SUM(G7:G15)</f>
        <v>196531995</v>
      </c>
      <c r="I20" s="36">
        <f>SUM(I7:I15)</f>
        <v>88708110</v>
      </c>
      <c r="K20" s="36">
        <f t="shared" si="1"/>
        <v>36564679</v>
      </c>
    </row>
    <row r="21" spans="3:11" x14ac:dyDescent="0.35">
      <c r="C21" s="38"/>
      <c r="D21" s="36"/>
      <c r="E21" s="37"/>
      <c r="F21" s="36"/>
      <c r="G21" s="36"/>
      <c r="I21" s="36"/>
      <c r="K21" s="36"/>
    </row>
    <row r="22" spans="3:11" x14ac:dyDescent="0.35">
      <c r="C22" s="38" t="s">
        <v>55</v>
      </c>
      <c r="D22" s="36">
        <f>D20*10%</f>
        <v>12527278.9</v>
      </c>
      <c r="E22" s="37">
        <f t="shared" si="0"/>
        <v>9.0909090909090912E-2</v>
      </c>
      <c r="F22" s="36"/>
      <c r="G22" s="36"/>
      <c r="I22" s="36">
        <v>14193298</v>
      </c>
      <c r="K22" s="36">
        <f t="shared" si="1"/>
        <v>-1666019.0999999996</v>
      </c>
    </row>
    <row r="23" spans="3:11" x14ac:dyDescent="0.35">
      <c r="C23" s="38"/>
      <c r="D23" s="36"/>
      <c r="E23" s="37"/>
      <c r="F23" s="36"/>
      <c r="G23" s="36"/>
      <c r="I23" s="36"/>
      <c r="K23" s="36"/>
    </row>
    <row r="24" spans="3:11" x14ac:dyDescent="0.35">
      <c r="C24" s="38" t="s">
        <v>49</v>
      </c>
      <c r="D24" s="36">
        <f>D20+D22</f>
        <v>137800067.90000001</v>
      </c>
      <c r="E24" s="37">
        <f t="shared" si="0"/>
        <v>1</v>
      </c>
      <c r="F24" s="36"/>
      <c r="G24" s="36"/>
      <c r="I24" s="36">
        <f>I20+I22</f>
        <v>102901408</v>
      </c>
      <c r="K24" s="36">
        <f t="shared" si="1"/>
        <v>34898659.900000006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C9FF2-8AC1-1946-AE65-0333965F847A}">
  <dimension ref="D5:BB28"/>
  <sheetViews>
    <sheetView showGridLines="0" workbookViewId="0">
      <selection activeCell="E19" sqref="E19"/>
    </sheetView>
  </sheetViews>
  <sheetFormatPr defaultColWidth="10.90625" defaultRowHeight="14.5" x14ac:dyDescent="0.35"/>
  <cols>
    <col min="4" max="4" width="22.6328125" bestFit="1" customWidth="1"/>
  </cols>
  <sheetData>
    <row r="5" spans="4:5" x14ac:dyDescent="0.35">
      <c r="D5" s="70" t="s">
        <v>17</v>
      </c>
      <c r="E5" s="78">
        <v>318000</v>
      </c>
    </row>
    <row r="6" spans="4:5" x14ac:dyDescent="0.35">
      <c r="D6" s="70" t="s">
        <v>18</v>
      </c>
      <c r="E6" s="78">
        <v>950960</v>
      </c>
    </row>
    <row r="7" spans="4:5" x14ac:dyDescent="0.35">
      <c r="D7" s="70" t="s">
        <v>19</v>
      </c>
      <c r="E7" s="78">
        <v>2370800</v>
      </c>
    </row>
    <row r="8" spans="4:5" x14ac:dyDescent="0.35">
      <c r="D8" s="70" t="s">
        <v>20</v>
      </c>
      <c r="E8" s="78">
        <v>286600</v>
      </c>
    </row>
    <row r="9" spans="4:5" x14ac:dyDescent="0.35">
      <c r="D9" s="70" t="s">
        <v>23</v>
      </c>
      <c r="E9" s="78">
        <v>7974398</v>
      </c>
    </row>
    <row r="10" spans="4:5" x14ac:dyDescent="0.35">
      <c r="D10" s="70" t="s">
        <v>26</v>
      </c>
      <c r="E10" s="78">
        <v>8677825</v>
      </c>
    </row>
    <row r="11" spans="4:5" x14ac:dyDescent="0.35">
      <c r="D11" s="70" t="s">
        <v>27</v>
      </c>
      <c r="E11" s="78">
        <v>18594075</v>
      </c>
    </row>
    <row r="12" spans="4:5" x14ac:dyDescent="0.35">
      <c r="D12" s="70" t="s">
        <v>28</v>
      </c>
      <c r="E12" s="78">
        <v>15896750</v>
      </c>
    </row>
    <row r="13" spans="4:5" x14ac:dyDescent="0.35">
      <c r="D13" s="70" t="s">
        <v>49</v>
      </c>
      <c r="E13" s="95">
        <f>SUM(E5:E12)</f>
        <v>55069408</v>
      </c>
    </row>
    <row r="16" spans="4:5" x14ac:dyDescent="0.35">
      <c r="D16" s="70" t="s">
        <v>110</v>
      </c>
      <c r="E16" s="96">
        <v>0.75</v>
      </c>
    </row>
    <row r="17" spans="4:54" x14ac:dyDescent="0.35">
      <c r="E17">
        <f>E13*E16</f>
        <v>41302056</v>
      </c>
    </row>
    <row r="18" spans="4:54" x14ac:dyDescent="0.35">
      <c r="D18" s="69" t="s">
        <v>37</v>
      </c>
      <c r="E18" s="97">
        <f>Mine!F48</f>
        <v>1.2999999999999999E-2</v>
      </c>
    </row>
    <row r="20" spans="4:54" x14ac:dyDescent="0.35">
      <c r="E20">
        <v>1</v>
      </c>
      <c r="F20">
        <f>E20+1</f>
        <v>2</v>
      </c>
      <c r="G20">
        <f t="shared" ref="G20:BB20" si="0">F20+1</f>
        <v>3</v>
      </c>
      <c r="H20">
        <f t="shared" si="0"/>
        <v>4</v>
      </c>
      <c r="I20">
        <f t="shared" si="0"/>
        <v>5</v>
      </c>
      <c r="J20">
        <f t="shared" si="0"/>
        <v>6</v>
      </c>
      <c r="K20">
        <f t="shared" si="0"/>
        <v>7</v>
      </c>
      <c r="L20">
        <f t="shared" si="0"/>
        <v>8</v>
      </c>
      <c r="M20">
        <f t="shared" si="0"/>
        <v>9</v>
      </c>
      <c r="N20">
        <f t="shared" si="0"/>
        <v>10</v>
      </c>
      <c r="O20">
        <f t="shared" si="0"/>
        <v>11</v>
      </c>
      <c r="P20">
        <f t="shared" si="0"/>
        <v>12</v>
      </c>
      <c r="Q20">
        <f t="shared" si="0"/>
        <v>13</v>
      </c>
      <c r="R20">
        <f t="shared" si="0"/>
        <v>14</v>
      </c>
      <c r="S20">
        <f t="shared" si="0"/>
        <v>15</v>
      </c>
      <c r="T20">
        <f t="shared" si="0"/>
        <v>16</v>
      </c>
      <c r="U20">
        <f t="shared" si="0"/>
        <v>17</v>
      </c>
      <c r="V20">
        <f t="shared" si="0"/>
        <v>18</v>
      </c>
      <c r="W20">
        <f t="shared" si="0"/>
        <v>19</v>
      </c>
      <c r="X20">
        <f t="shared" si="0"/>
        <v>20</v>
      </c>
      <c r="Y20">
        <f t="shared" si="0"/>
        <v>21</v>
      </c>
      <c r="Z20">
        <f t="shared" si="0"/>
        <v>22</v>
      </c>
      <c r="AA20">
        <f t="shared" si="0"/>
        <v>23</v>
      </c>
      <c r="AB20">
        <f t="shared" si="0"/>
        <v>24</v>
      </c>
      <c r="AC20">
        <f t="shared" si="0"/>
        <v>25</v>
      </c>
      <c r="AD20">
        <f t="shared" si="0"/>
        <v>26</v>
      </c>
      <c r="AE20">
        <f t="shared" si="0"/>
        <v>27</v>
      </c>
      <c r="AF20">
        <f t="shared" si="0"/>
        <v>28</v>
      </c>
      <c r="AG20">
        <f t="shared" si="0"/>
        <v>29</v>
      </c>
      <c r="AH20">
        <f t="shared" si="0"/>
        <v>30</v>
      </c>
      <c r="AI20">
        <f t="shared" si="0"/>
        <v>31</v>
      </c>
      <c r="AJ20">
        <f t="shared" si="0"/>
        <v>32</v>
      </c>
      <c r="AK20">
        <f t="shared" si="0"/>
        <v>33</v>
      </c>
      <c r="AL20">
        <f t="shared" si="0"/>
        <v>34</v>
      </c>
      <c r="AM20">
        <f t="shared" si="0"/>
        <v>35</v>
      </c>
      <c r="AN20">
        <f t="shared" si="0"/>
        <v>36</v>
      </c>
      <c r="AO20">
        <f t="shared" si="0"/>
        <v>37</v>
      </c>
      <c r="AP20">
        <f t="shared" si="0"/>
        <v>38</v>
      </c>
      <c r="AQ20">
        <f t="shared" si="0"/>
        <v>39</v>
      </c>
      <c r="AR20">
        <f t="shared" si="0"/>
        <v>40</v>
      </c>
      <c r="AS20">
        <f t="shared" si="0"/>
        <v>41</v>
      </c>
      <c r="AT20">
        <f t="shared" si="0"/>
        <v>42</v>
      </c>
      <c r="AU20">
        <f t="shared" si="0"/>
        <v>43</v>
      </c>
      <c r="AV20">
        <f>AU20+1</f>
        <v>44</v>
      </c>
      <c r="AW20">
        <f t="shared" si="0"/>
        <v>45</v>
      </c>
      <c r="AX20">
        <f t="shared" si="0"/>
        <v>46</v>
      </c>
      <c r="AY20">
        <f t="shared" si="0"/>
        <v>47</v>
      </c>
      <c r="AZ20">
        <f t="shared" si="0"/>
        <v>48</v>
      </c>
      <c r="BA20">
        <f t="shared" si="0"/>
        <v>49</v>
      </c>
      <c r="BB20">
        <f t="shared" si="0"/>
        <v>50</v>
      </c>
    </row>
    <row r="21" spans="4:54" x14ac:dyDescent="0.35">
      <c r="D21" s="69" t="s">
        <v>111</v>
      </c>
      <c r="E21" s="95">
        <f>E13</f>
        <v>55069408</v>
      </c>
      <c r="F21" s="95">
        <f>E23</f>
        <v>53968019.840000004</v>
      </c>
      <c r="G21" s="95">
        <f t="shared" ref="G21:BB21" si="1">F23</f>
        <v>52866631.680000007</v>
      </c>
      <c r="H21" s="95">
        <f t="shared" si="1"/>
        <v>51765243.520000011</v>
      </c>
      <c r="I21" s="95">
        <f t="shared" si="1"/>
        <v>50663855.360000014</v>
      </c>
      <c r="J21" s="95">
        <f t="shared" si="1"/>
        <v>49562467.200000018</v>
      </c>
      <c r="K21" s="95">
        <f t="shared" si="1"/>
        <v>48461079.040000021</v>
      </c>
      <c r="L21" s="95">
        <f t="shared" si="1"/>
        <v>47359690.880000025</v>
      </c>
      <c r="M21" s="95">
        <f t="shared" si="1"/>
        <v>46258302.720000029</v>
      </c>
      <c r="N21" s="95">
        <f t="shared" si="1"/>
        <v>45156914.560000032</v>
      </c>
      <c r="O21" s="95">
        <f t="shared" si="1"/>
        <v>44055526.400000036</v>
      </c>
      <c r="P21" s="95">
        <f t="shared" si="1"/>
        <v>42954138.240000039</v>
      </c>
      <c r="Q21" s="95">
        <f t="shared" si="1"/>
        <v>41852750.080000043</v>
      </c>
      <c r="R21" s="95">
        <f t="shared" si="1"/>
        <v>40751361.920000046</v>
      </c>
      <c r="S21" s="95">
        <f t="shared" si="1"/>
        <v>39649973.76000005</v>
      </c>
      <c r="T21" s="95">
        <f t="shared" si="1"/>
        <v>38548585.600000054</v>
      </c>
      <c r="U21" s="95">
        <f t="shared" si="1"/>
        <v>37447197.440000057</v>
      </c>
      <c r="V21" s="95">
        <f t="shared" si="1"/>
        <v>36345809.280000061</v>
      </c>
      <c r="W21" s="95">
        <f t="shared" si="1"/>
        <v>35244421.120000064</v>
      </c>
      <c r="X21" s="95">
        <f t="shared" si="1"/>
        <v>34143032.960000068</v>
      </c>
      <c r="Y21" s="95">
        <f t="shared" si="1"/>
        <v>33041644.800000068</v>
      </c>
      <c r="Z21" s="95">
        <f t="shared" si="1"/>
        <v>31940256.640000068</v>
      </c>
      <c r="AA21" s="95">
        <f t="shared" si="1"/>
        <v>30838868.480000068</v>
      </c>
      <c r="AB21" s="95">
        <f t="shared" si="1"/>
        <v>29737480.320000067</v>
      </c>
      <c r="AC21" s="95">
        <f t="shared" si="1"/>
        <v>28636092.160000067</v>
      </c>
      <c r="AD21" s="95">
        <f t="shared" si="1"/>
        <v>27534704.000000067</v>
      </c>
      <c r="AE21" s="95">
        <f t="shared" si="1"/>
        <v>26433315.840000067</v>
      </c>
      <c r="AF21" s="95">
        <f t="shared" si="1"/>
        <v>25331927.680000067</v>
      </c>
      <c r="AG21" s="95">
        <f t="shared" si="1"/>
        <v>24230539.520000067</v>
      </c>
      <c r="AH21" s="95">
        <f t="shared" si="1"/>
        <v>23129151.360000066</v>
      </c>
      <c r="AI21" s="95">
        <f t="shared" si="1"/>
        <v>22027763.200000066</v>
      </c>
      <c r="AJ21" s="95">
        <f t="shared" si="1"/>
        <v>20926375.040000066</v>
      </c>
      <c r="AK21" s="95">
        <f t="shared" si="1"/>
        <v>19824986.880000066</v>
      </c>
      <c r="AL21" s="95">
        <f t="shared" si="1"/>
        <v>18723598.720000066</v>
      </c>
      <c r="AM21" s="95">
        <f t="shared" si="1"/>
        <v>17622210.560000066</v>
      </c>
      <c r="AN21" s="95">
        <f t="shared" si="1"/>
        <v>16520822.400000066</v>
      </c>
      <c r="AO21" s="95">
        <f t="shared" si="1"/>
        <v>15419434.240000065</v>
      </c>
      <c r="AP21" s="95">
        <f t="shared" si="1"/>
        <v>14318046.080000065</v>
      </c>
      <c r="AQ21" s="95">
        <f t="shared" si="1"/>
        <v>13216657.920000065</v>
      </c>
      <c r="AR21" s="95">
        <f t="shared" si="1"/>
        <v>12115269.760000065</v>
      </c>
      <c r="AS21" s="95">
        <f t="shared" si="1"/>
        <v>11013881.600000065</v>
      </c>
      <c r="AT21" s="95">
        <f t="shared" si="1"/>
        <v>9912493.4400000647</v>
      </c>
      <c r="AU21" s="95">
        <f t="shared" si="1"/>
        <v>8811105.2800000645</v>
      </c>
      <c r="AV21" s="95">
        <f t="shared" si="1"/>
        <v>7709717.1200000644</v>
      </c>
      <c r="AW21" s="95">
        <f t="shared" si="1"/>
        <v>6608328.9600000642</v>
      </c>
      <c r="AX21" s="95">
        <f t="shared" si="1"/>
        <v>5506940.8000000641</v>
      </c>
      <c r="AY21" s="95">
        <f t="shared" si="1"/>
        <v>4405552.6400000639</v>
      </c>
      <c r="AZ21" s="95">
        <f t="shared" si="1"/>
        <v>3304164.4800000638</v>
      </c>
      <c r="BA21" s="95">
        <f t="shared" si="1"/>
        <v>2202776.3200000636</v>
      </c>
      <c r="BB21" s="95">
        <f t="shared" si="1"/>
        <v>1101388.1600000637</v>
      </c>
    </row>
    <row r="22" spans="4:54" x14ac:dyDescent="0.35">
      <c r="D22" s="69" t="s">
        <v>113</v>
      </c>
      <c r="E22" s="95">
        <f>$E$13*0.02</f>
        <v>1101388.1599999999</v>
      </c>
      <c r="F22" s="95">
        <f t="shared" ref="F22:BB22" si="2">$E$13*0.02</f>
        <v>1101388.1599999999</v>
      </c>
      <c r="G22" s="95">
        <f t="shared" si="2"/>
        <v>1101388.1599999999</v>
      </c>
      <c r="H22" s="95">
        <f t="shared" si="2"/>
        <v>1101388.1599999999</v>
      </c>
      <c r="I22" s="95">
        <f t="shared" si="2"/>
        <v>1101388.1599999999</v>
      </c>
      <c r="J22" s="95">
        <f t="shared" si="2"/>
        <v>1101388.1599999999</v>
      </c>
      <c r="K22" s="95">
        <f t="shared" si="2"/>
        <v>1101388.1599999999</v>
      </c>
      <c r="L22" s="95">
        <f t="shared" si="2"/>
        <v>1101388.1599999999</v>
      </c>
      <c r="M22" s="95">
        <f t="shared" si="2"/>
        <v>1101388.1599999999</v>
      </c>
      <c r="N22" s="95">
        <f t="shared" si="2"/>
        <v>1101388.1599999999</v>
      </c>
      <c r="O22" s="95">
        <f t="shared" si="2"/>
        <v>1101388.1599999999</v>
      </c>
      <c r="P22" s="95">
        <f t="shared" si="2"/>
        <v>1101388.1599999999</v>
      </c>
      <c r="Q22" s="95">
        <f t="shared" si="2"/>
        <v>1101388.1599999999</v>
      </c>
      <c r="R22" s="95">
        <f t="shared" si="2"/>
        <v>1101388.1599999999</v>
      </c>
      <c r="S22" s="95">
        <f t="shared" si="2"/>
        <v>1101388.1599999999</v>
      </c>
      <c r="T22" s="95">
        <f t="shared" si="2"/>
        <v>1101388.1599999999</v>
      </c>
      <c r="U22" s="95">
        <f t="shared" si="2"/>
        <v>1101388.1599999999</v>
      </c>
      <c r="V22" s="95">
        <f t="shared" si="2"/>
        <v>1101388.1599999999</v>
      </c>
      <c r="W22" s="95">
        <f t="shared" si="2"/>
        <v>1101388.1599999999</v>
      </c>
      <c r="X22" s="95">
        <f t="shared" si="2"/>
        <v>1101388.1599999999</v>
      </c>
      <c r="Y22" s="95">
        <f t="shared" si="2"/>
        <v>1101388.1599999999</v>
      </c>
      <c r="Z22" s="95">
        <f t="shared" si="2"/>
        <v>1101388.1599999999</v>
      </c>
      <c r="AA22" s="95">
        <f t="shared" si="2"/>
        <v>1101388.1599999999</v>
      </c>
      <c r="AB22" s="95">
        <f t="shared" si="2"/>
        <v>1101388.1599999999</v>
      </c>
      <c r="AC22" s="95">
        <f t="shared" si="2"/>
        <v>1101388.1599999999</v>
      </c>
      <c r="AD22" s="95">
        <f t="shared" si="2"/>
        <v>1101388.1599999999</v>
      </c>
      <c r="AE22" s="95">
        <f t="shared" si="2"/>
        <v>1101388.1599999999</v>
      </c>
      <c r="AF22" s="95">
        <f t="shared" si="2"/>
        <v>1101388.1599999999</v>
      </c>
      <c r="AG22" s="95">
        <f t="shared" si="2"/>
        <v>1101388.1599999999</v>
      </c>
      <c r="AH22" s="95">
        <f t="shared" si="2"/>
        <v>1101388.1599999999</v>
      </c>
      <c r="AI22" s="95">
        <f t="shared" si="2"/>
        <v>1101388.1599999999</v>
      </c>
      <c r="AJ22" s="95">
        <f t="shared" si="2"/>
        <v>1101388.1599999999</v>
      </c>
      <c r="AK22" s="95">
        <f t="shared" si="2"/>
        <v>1101388.1599999999</v>
      </c>
      <c r="AL22" s="95">
        <f t="shared" si="2"/>
        <v>1101388.1599999999</v>
      </c>
      <c r="AM22" s="95">
        <f t="shared" si="2"/>
        <v>1101388.1599999999</v>
      </c>
      <c r="AN22" s="95">
        <f t="shared" si="2"/>
        <v>1101388.1599999999</v>
      </c>
      <c r="AO22" s="95">
        <f t="shared" si="2"/>
        <v>1101388.1599999999</v>
      </c>
      <c r="AP22" s="95">
        <f t="shared" si="2"/>
        <v>1101388.1599999999</v>
      </c>
      <c r="AQ22" s="95">
        <f t="shared" si="2"/>
        <v>1101388.1599999999</v>
      </c>
      <c r="AR22" s="95">
        <f t="shared" si="2"/>
        <v>1101388.1599999999</v>
      </c>
      <c r="AS22" s="95">
        <f t="shared" si="2"/>
        <v>1101388.1599999999</v>
      </c>
      <c r="AT22" s="95">
        <f t="shared" si="2"/>
        <v>1101388.1599999999</v>
      </c>
      <c r="AU22" s="95">
        <f t="shared" si="2"/>
        <v>1101388.1599999999</v>
      </c>
      <c r="AV22" s="95">
        <f t="shared" si="2"/>
        <v>1101388.1599999999</v>
      </c>
      <c r="AW22" s="95">
        <f t="shared" si="2"/>
        <v>1101388.1599999999</v>
      </c>
      <c r="AX22" s="95">
        <f t="shared" si="2"/>
        <v>1101388.1599999999</v>
      </c>
      <c r="AY22" s="95">
        <f t="shared" si="2"/>
        <v>1101388.1599999999</v>
      </c>
      <c r="AZ22" s="95">
        <f t="shared" si="2"/>
        <v>1101388.1599999999</v>
      </c>
      <c r="BA22" s="95">
        <f t="shared" si="2"/>
        <v>1101388.1599999999</v>
      </c>
      <c r="BB22" s="95">
        <f t="shared" si="2"/>
        <v>1101388.1599999999</v>
      </c>
    </row>
    <row r="23" spans="4:54" x14ac:dyDescent="0.35">
      <c r="D23" s="69" t="s">
        <v>112</v>
      </c>
      <c r="E23" s="95">
        <f>E21-E22</f>
        <v>53968019.840000004</v>
      </c>
      <c r="F23" s="95">
        <f t="shared" ref="F23:BB23" si="3">F21-F22</f>
        <v>52866631.680000007</v>
      </c>
      <c r="G23" s="95">
        <f t="shared" si="3"/>
        <v>51765243.520000011</v>
      </c>
      <c r="H23" s="95">
        <f t="shared" si="3"/>
        <v>50663855.360000014</v>
      </c>
      <c r="I23" s="95">
        <f t="shared" si="3"/>
        <v>49562467.200000018</v>
      </c>
      <c r="J23" s="95">
        <f t="shared" si="3"/>
        <v>48461079.040000021</v>
      </c>
      <c r="K23" s="95">
        <f t="shared" si="3"/>
        <v>47359690.880000025</v>
      </c>
      <c r="L23" s="95">
        <f t="shared" si="3"/>
        <v>46258302.720000029</v>
      </c>
      <c r="M23" s="95">
        <f t="shared" si="3"/>
        <v>45156914.560000032</v>
      </c>
      <c r="N23" s="95">
        <f t="shared" si="3"/>
        <v>44055526.400000036</v>
      </c>
      <c r="O23" s="95">
        <f t="shared" si="3"/>
        <v>42954138.240000039</v>
      </c>
      <c r="P23" s="95">
        <f t="shared" si="3"/>
        <v>41852750.080000043</v>
      </c>
      <c r="Q23" s="95">
        <f t="shared" si="3"/>
        <v>40751361.920000046</v>
      </c>
      <c r="R23" s="95">
        <f t="shared" si="3"/>
        <v>39649973.76000005</v>
      </c>
      <c r="S23" s="95">
        <f t="shared" si="3"/>
        <v>38548585.600000054</v>
      </c>
      <c r="T23" s="95">
        <f t="shared" si="3"/>
        <v>37447197.440000057</v>
      </c>
      <c r="U23" s="95">
        <f t="shared" si="3"/>
        <v>36345809.280000061</v>
      </c>
      <c r="V23" s="95">
        <f t="shared" si="3"/>
        <v>35244421.120000064</v>
      </c>
      <c r="W23" s="95">
        <f t="shared" si="3"/>
        <v>34143032.960000068</v>
      </c>
      <c r="X23" s="95">
        <f t="shared" si="3"/>
        <v>33041644.800000068</v>
      </c>
      <c r="Y23" s="95">
        <f t="shared" si="3"/>
        <v>31940256.640000068</v>
      </c>
      <c r="Z23" s="95">
        <f t="shared" si="3"/>
        <v>30838868.480000068</v>
      </c>
      <c r="AA23" s="95">
        <f t="shared" si="3"/>
        <v>29737480.320000067</v>
      </c>
      <c r="AB23" s="95">
        <f t="shared" si="3"/>
        <v>28636092.160000067</v>
      </c>
      <c r="AC23" s="95">
        <f t="shared" si="3"/>
        <v>27534704.000000067</v>
      </c>
      <c r="AD23" s="95">
        <f t="shared" si="3"/>
        <v>26433315.840000067</v>
      </c>
      <c r="AE23" s="95">
        <f t="shared" si="3"/>
        <v>25331927.680000067</v>
      </c>
      <c r="AF23" s="95">
        <f t="shared" si="3"/>
        <v>24230539.520000067</v>
      </c>
      <c r="AG23" s="95">
        <f t="shared" si="3"/>
        <v>23129151.360000066</v>
      </c>
      <c r="AH23" s="95">
        <f t="shared" si="3"/>
        <v>22027763.200000066</v>
      </c>
      <c r="AI23" s="95">
        <f t="shared" si="3"/>
        <v>20926375.040000066</v>
      </c>
      <c r="AJ23" s="95">
        <f t="shared" si="3"/>
        <v>19824986.880000066</v>
      </c>
      <c r="AK23" s="95">
        <f t="shared" si="3"/>
        <v>18723598.720000066</v>
      </c>
      <c r="AL23" s="95">
        <f t="shared" si="3"/>
        <v>17622210.560000066</v>
      </c>
      <c r="AM23" s="95">
        <f t="shared" si="3"/>
        <v>16520822.400000066</v>
      </c>
      <c r="AN23" s="95">
        <f t="shared" si="3"/>
        <v>15419434.240000065</v>
      </c>
      <c r="AO23" s="95">
        <f t="shared" si="3"/>
        <v>14318046.080000065</v>
      </c>
      <c r="AP23" s="95">
        <f t="shared" si="3"/>
        <v>13216657.920000065</v>
      </c>
      <c r="AQ23" s="95">
        <f t="shared" si="3"/>
        <v>12115269.760000065</v>
      </c>
      <c r="AR23" s="95">
        <f t="shared" si="3"/>
        <v>11013881.600000065</v>
      </c>
      <c r="AS23" s="95">
        <f t="shared" si="3"/>
        <v>9912493.4400000647</v>
      </c>
      <c r="AT23" s="95">
        <f t="shared" si="3"/>
        <v>8811105.2800000645</v>
      </c>
      <c r="AU23" s="95">
        <f t="shared" si="3"/>
        <v>7709717.1200000644</v>
      </c>
      <c r="AV23" s="95">
        <f t="shared" si="3"/>
        <v>6608328.9600000642</v>
      </c>
      <c r="AW23" s="95">
        <f t="shared" si="3"/>
        <v>5506940.8000000641</v>
      </c>
      <c r="AX23" s="95">
        <f t="shared" si="3"/>
        <v>4405552.6400000639</v>
      </c>
      <c r="AY23" s="95">
        <f t="shared" si="3"/>
        <v>3304164.4800000638</v>
      </c>
      <c r="AZ23" s="95">
        <f t="shared" si="3"/>
        <v>2202776.3200000636</v>
      </c>
      <c r="BA23" s="95">
        <f t="shared" si="3"/>
        <v>1101388.1600000637</v>
      </c>
      <c r="BB23" s="95">
        <f t="shared" si="3"/>
        <v>6.3795596361160278E-8</v>
      </c>
    </row>
    <row r="24" spans="4:54" x14ac:dyDescent="0.35">
      <c r="D24" s="69" t="s">
        <v>110</v>
      </c>
      <c r="E24" s="95">
        <f>E21*$E$16</f>
        <v>41302056</v>
      </c>
      <c r="F24" s="95">
        <f>F21*$E$16</f>
        <v>40476014.880000003</v>
      </c>
      <c r="G24" s="95">
        <f t="shared" ref="G24:BB24" si="4">G21*$E$16</f>
        <v>39649973.760000005</v>
      </c>
      <c r="H24" s="95">
        <f t="shared" si="4"/>
        <v>38823932.640000008</v>
      </c>
      <c r="I24" s="95">
        <f t="shared" si="4"/>
        <v>37997891.520000011</v>
      </c>
      <c r="J24" s="95">
        <f t="shared" si="4"/>
        <v>37171850.400000013</v>
      </c>
      <c r="K24" s="95">
        <f t="shared" si="4"/>
        <v>36345809.280000016</v>
      </c>
      <c r="L24" s="95">
        <f t="shared" si="4"/>
        <v>35519768.160000019</v>
      </c>
      <c r="M24" s="95">
        <f t="shared" si="4"/>
        <v>34693727.040000021</v>
      </c>
      <c r="N24" s="95">
        <f t="shared" si="4"/>
        <v>33867685.920000024</v>
      </c>
      <c r="O24" s="95">
        <f t="shared" si="4"/>
        <v>33041644.800000027</v>
      </c>
      <c r="P24" s="95">
        <f t="shared" si="4"/>
        <v>32215603.68000003</v>
      </c>
      <c r="Q24" s="95">
        <f t="shared" si="4"/>
        <v>31389562.560000032</v>
      </c>
      <c r="R24" s="95">
        <f t="shared" si="4"/>
        <v>30563521.440000035</v>
      </c>
      <c r="S24" s="95">
        <f t="shared" si="4"/>
        <v>29737480.320000038</v>
      </c>
      <c r="T24" s="95">
        <f t="shared" si="4"/>
        <v>28911439.20000004</v>
      </c>
      <c r="U24" s="95">
        <f t="shared" si="4"/>
        <v>28085398.080000043</v>
      </c>
      <c r="V24" s="95">
        <f t="shared" si="4"/>
        <v>27259356.960000046</v>
      </c>
      <c r="W24" s="95">
        <f t="shared" si="4"/>
        <v>26433315.840000048</v>
      </c>
      <c r="X24" s="95">
        <f t="shared" si="4"/>
        <v>25607274.720000051</v>
      </c>
      <c r="Y24" s="95">
        <f t="shared" si="4"/>
        <v>24781233.60000005</v>
      </c>
      <c r="Z24" s="95">
        <f t="shared" si="4"/>
        <v>23955192.480000049</v>
      </c>
      <c r="AA24" s="95">
        <f t="shared" si="4"/>
        <v>23129151.360000052</v>
      </c>
      <c r="AB24" s="95">
        <f t="shared" si="4"/>
        <v>22303110.240000051</v>
      </c>
      <c r="AC24" s="95">
        <f t="shared" si="4"/>
        <v>21477069.120000049</v>
      </c>
      <c r="AD24" s="95">
        <f t="shared" si="4"/>
        <v>20651028.000000052</v>
      </c>
      <c r="AE24" s="95">
        <f t="shared" si="4"/>
        <v>19824986.880000051</v>
      </c>
      <c r="AF24" s="95">
        <f t="shared" si="4"/>
        <v>18998945.76000005</v>
      </c>
      <c r="AG24" s="95">
        <f t="shared" si="4"/>
        <v>18172904.640000049</v>
      </c>
      <c r="AH24" s="95">
        <f t="shared" si="4"/>
        <v>17346863.520000048</v>
      </c>
      <c r="AI24" s="95">
        <f t="shared" si="4"/>
        <v>16520822.400000051</v>
      </c>
      <c r="AJ24" s="95">
        <f t="shared" si="4"/>
        <v>15694781.28000005</v>
      </c>
      <c r="AK24" s="95">
        <f t="shared" si="4"/>
        <v>14868740.160000049</v>
      </c>
      <c r="AL24" s="95">
        <f t="shared" si="4"/>
        <v>14042699.040000049</v>
      </c>
      <c r="AM24" s="95">
        <f t="shared" si="4"/>
        <v>13216657.92000005</v>
      </c>
      <c r="AN24" s="95">
        <f t="shared" si="4"/>
        <v>12390616.800000049</v>
      </c>
      <c r="AO24" s="95">
        <f t="shared" si="4"/>
        <v>11564575.680000048</v>
      </c>
      <c r="AP24" s="95">
        <f t="shared" si="4"/>
        <v>10738534.560000049</v>
      </c>
      <c r="AQ24" s="95">
        <f t="shared" si="4"/>
        <v>9912493.4400000498</v>
      </c>
      <c r="AR24" s="95">
        <f t="shared" si="4"/>
        <v>9086452.3200000487</v>
      </c>
      <c r="AS24" s="95">
        <f t="shared" si="4"/>
        <v>8260411.2000000486</v>
      </c>
      <c r="AT24" s="95">
        <f t="shared" si="4"/>
        <v>7434370.0800000485</v>
      </c>
      <c r="AU24" s="95">
        <f t="shared" si="4"/>
        <v>6608328.9600000484</v>
      </c>
      <c r="AV24" s="95">
        <f t="shared" si="4"/>
        <v>5782287.8400000483</v>
      </c>
      <c r="AW24" s="95">
        <f t="shared" si="4"/>
        <v>4956246.7200000482</v>
      </c>
      <c r="AX24" s="95">
        <f t="shared" si="4"/>
        <v>4130205.6000000481</v>
      </c>
      <c r="AY24" s="95">
        <f t="shared" si="4"/>
        <v>3304164.4800000479</v>
      </c>
      <c r="AZ24" s="95">
        <f t="shared" si="4"/>
        <v>2478123.3600000478</v>
      </c>
      <c r="BA24" s="95">
        <f t="shared" si="4"/>
        <v>1652082.2400000477</v>
      </c>
      <c r="BB24" s="95">
        <f t="shared" si="4"/>
        <v>826041.12000004784</v>
      </c>
    </row>
    <row r="25" spans="4:54" x14ac:dyDescent="0.35">
      <c r="D25" s="69" t="s">
        <v>114</v>
      </c>
      <c r="E25" s="95">
        <f>$E$13*0.4</f>
        <v>22027763.200000003</v>
      </c>
      <c r="F25" s="95">
        <f t="shared" ref="F25:BB25" si="5">$E$13*0.4</f>
        <v>22027763.200000003</v>
      </c>
      <c r="G25" s="95">
        <f t="shared" si="5"/>
        <v>22027763.200000003</v>
      </c>
      <c r="H25" s="95">
        <f t="shared" si="5"/>
        <v>22027763.200000003</v>
      </c>
      <c r="I25" s="95">
        <f t="shared" si="5"/>
        <v>22027763.200000003</v>
      </c>
      <c r="J25" s="95">
        <f t="shared" si="5"/>
        <v>22027763.200000003</v>
      </c>
      <c r="K25" s="95">
        <f t="shared" si="5"/>
        <v>22027763.200000003</v>
      </c>
      <c r="L25" s="95">
        <f t="shared" si="5"/>
        <v>22027763.200000003</v>
      </c>
      <c r="M25" s="95">
        <f t="shared" si="5"/>
        <v>22027763.200000003</v>
      </c>
      <c r="N25" s="95">
        <f t="shared" si="5"/>
        <v>22027763.200000003</v>
      </c>
      <c r="O25" s="95">
        <f t="shared" si="5"/>
        <v>22027763.200000003</v>
      </c>
      <c r="P25" s="95">
        <f t="shared" si="5"/>
        <v>22027763.200000003</v>
      </c>
      <c r="Q25" s="95">
        <f t="shared" si="5"/>
        <v>22027763.200000003</v>
      </c>
      <c r="R25" s="95">
        <f t="shared" si="5"/>
        <v>22027763.200000003</v>
      </c>
      <c r="S25" s="95">
        <f t="shared" si="5"/>
        <v>22027763.200000003</v>
      </c>
      <c r="T25" s="95">
        <f t="shared" si="5"/>
        <v>22027763.200000003</v>
      </c>
      <c r="U25" s="95">
        <f t="shared" si="5"/>
        <v>22027763.200000003</v>
      </c>
      <c r="V25" s="95">
        <f t="shared" si="5"/>
        <v>22027763.200000003</v>
      </c>
      <c r="W25" s="95">
        <f t="shared" si="5"/>
        <v>22027763.200000003</v>
      </c>
      <c r="X25" s="95">
        <f t="shared" si="5"/>
        <v>22027763.200000003</v>
      </c>
      <c r="Y25" s="95">
        <f t="shared" si="5"/>
        <v>22027763.200000003</v>
      </c>
      <c r="Z25" s="95">
        <f t="shared" si="5"/>
        <v>22027763.200000003</v>
      </c>
      <c r="AA25" s="95">
        <f t="shared" si="5"/>
        <v>22027763.200000003</v>
      </c>
      <c r="AB25" s="95">
        <f t="shared" si="5"/>
        <v>22027763.200000003</v>
      </c>
      <c r="AC25" s="95">
        <f t="shared" si="5"/>
        <v>22027763.200000003</v>
      </c>
      <c r="AD25" s="95">
        <f t="shared" si="5"/>
        <v>22027763.200000003</v>
      </c>
      <c r="AE25" s="95">
        <f t="shared" si="5"/>
        <v>22027763.200000003</v>
      </c>
      <c r="AF25" s="95">
        <f t="shared" si="5"/>
        <v>22027763.200000003</v>
      </c>
      <c r="AG25" s="95">
        <f t="shared" si="5"/>
        <v>22027763.200000003</v>
      </c>
      <c r="AH25" s="95">
        <f t="shared" si="5"/>
        <v>22027763.200000003</v>
      </c>
      <c r="AI25" s="95">
        <f t="shared" si="5"/>
        <v>22027763.200000003</v>
      </c>
      <c r="AJ25" s="95">
        <f t="shared" si="5"/>
        <v>22027763.200000003</v>
      </c>
      <c r="AK25" s="95">
        <f t="shared" si="5"/>
        <v>22027763.200000003</v>
      </c>
      <c r="AL25" s="95">
        <f t="shared" si="5"/>
        <v>22027763.200000003</v>
      </c>
      <c r="AM25" s="95">
        <f t="shared" si="5"/>
        <v>22027763.200000003</v>
      </c>
      <c r="AN25" s="95">
        <f t="shared" si="5"/>
        <v>22027763.200000003</v>
      </c>
      <c r="AO25" s="95">
        <f t="shared" si="5"/>
        <v>22027763.200000003</v>
      </c>
      <c r="AP25" s="95">
        <f t="shared" si="5"/>
        <v>22027763.200000003</v>
      </c>
      <c r="AQ25" s="95">
        <f t="shared" si="5"/>
        <v>22027763.200000003</v>
      </c>
      <c r="AR25" s="95">
        <f t="shared" si="5"/>
        <v>22027763.200000003</v>
      </c>
      <c r="AS25" s="95">
        <f t="shared" si="5"/>
        <v>22027763.200000003</v>
      </c>
      <c r="AT25" s="95">
        <f t="shared" si="5"/>
        <v>22027763.200000003</v>
      </c>
      <c r="AU25" s="95">
        <f t="shared" si="5"/>
        <v>22027763.200000003</v>
      </c>
      <c r="AV25" s="95">
        <f t="shared" si="5"/>
        <v>22027763.200000003</v>
      </c>
      <c r="AW25" s="95">
        <f t="shared" si="5"/>
        <v>22027763.200000003</v>
      </c>
      <c r="AX25" s="95">
        <f t="shared" si="5"/>
        <v>22027763.200000003</v>
      </c>
      <c r="AY25" s="95">
        <f t="shared" si="5"/>
        <v>22027763.200000003</v>
      </c>
      <c r="AZ25" s="95">
        <f t="shared" si="5"/>
        <v>22027763.200000003</v>
      </c>
      <c r="BA25" s="95">
        <f t="shared" si="5"/>
        <v>22027763.200000003</v>
      </c>
      <c r="BB25" s="95">
        <f t="shared" si="5"/>
        <v>22027763.200000003</v>
      </c>
    </row>
    <row r="26" spans="4:54" x14ac:dyDescent="0.35">
      <c r="D26" s="69" t="s">
        <v>115</v>
      </c>
      <c r="E26" s="95">
        <f>IF(E24&gt;E25,E24,E25)</f>
        <v>41302056</v>
      </c>
      <c r="F26" s="95">
        <f t="shared" ref="F26:BB26" si="6">IF(F24&gt;F25,F24,F25)</f>
        <v>40476014.880000003</v>
      </c>
      <c r="G26" s="95">
        <f t="shared" si="6"/>
        <v>39649973.760000005</v>
      </c>
      <c r="H26" s="95">
        <f t="shared" si="6"/>
        <v>38823932.640000008</v>
      </c>
      <c r="I26" s="95">
        <f t="shared" si="6"/>
        <v>37997891.520000011</v>
      </c>
      <c r="J26" s="95">
        <f t="shared" si="6"/>
        <v>37171850.400000013</v>
      </c>
      <c r="K26" s="95">
        <f t="shared" si="6"/>
        <v>36345809.280000016</v>
      </c>
      <c r="L26" s="95">
        <f t="shared" si="6"/>
        <v>35519768.160000019</v>
      </c>
      <c r="M26" s="95">
        <f t="shared" si="6"/>
        <v>34693727.040000021</v>
      </c>
      <c r="N26" s="95">
        <f t="shared" si="6"/>
        <v>33867685.920000024</v>
      </c>
      <c r="O26" s="95">
        <f t="shared" si="6"/>
        <v>33041644.800000027</v>
      </c>
      <c r="P26" s="95">
        <f t="shared" si="6"/>
        <v>32215603.68000003</v>
      </c>
      <c r="Q26" s="95">
        <f t="shared" si="6"/>
        <v>31389562.560000032</v>
      </c>
      <c r="R26" s="95">
        <f t="shared" si="6"/>
        <v>30563521.440000035</v>
      </c>
      <c r="S26" s="95">
        <f t="shared" si="6"/>
        <v>29737480.320000038</v>
      </c>
      <c r="T26" s="95">
        <f t="shared" si="6"/>
        <v>28911439.20000004</v>
      </c>
      <c r="U26" s="95">
        <f t="shared" si="6"/>
        <v>28085398.080000043</v>
      </c>
      <c r="V26" s="95">
        <f t="shared" si="6"/>
        <v>27259356.960000046</v>
      </c>
      <c r="W26" s="95">
        <f t="shared" si="6"/>
        <v>26433315.840000048</v>
      </c>
      <c r="X26" s="95">
        <f t="shared" si="6"/>
        <v>25607274.720000051</v>
      </c>
      <c r="Y26" s="95">
        <f t="shared" si="6"/>
        <v>24781233.60000005</v>
      </c>
      <c r="Z26" s="95">
        <f t="shared" si="6"/>
        <v>23955192.480000049</v>
      </c>
      <c r="AA26" s="95">
        <f t="shared" si="6"/>
        <v>23129151.360000052</v>
      </c>
      <c r="AB26" s="95">
        <f t="shared" si="6"/>
        <v>22303110.240000051</v>
      </c>
      <c r="AC26" s="95">
        <f t="shared" si="6"/>
        <v>22027763.200000003</v>
      </c>
      <c r="AD26" s="95">
        <f t="shared" si="6"/>
        <v>22027763.200000003</v>
      </c>
      <c r="AE26" s="95">
        <f t="shared" si="6"/>
        <v>22027763.200000003</v>
      </c>
      <c r="AF26" s="95">
        <f t="shared" si="6"/>
        <v>22027763.200000003</v>
      </c>
      <c r="AG26" s="95">
        <f t="shared" si="6"/>
        <v>22027763.200000003</v>
      </c>
      <c r="AH26" s="95">
        <f t="shared" si="6"/>
        <v>22027763.200000003</v>
      </c>
      <c r="AI26" s="95">
        <f t="shared" si="6"/>
        <v>22027763.200000003</v>
      </c>
      <c r="AJ26" s="95">
        <f t="shared" si="6"/>
        <v>22027763.200000003</v>
      </c>
      <c r="AK26" s="95">
        <f t="shared" si="6"/>
        <v>22027763.200000003</v>
      </c>
      <c r="AL26" s="95">
        <f t="shared" si="6"/>
        <v>22027763.200000003</v>
      </c>
      <c r="AM26" s="95">
        <f t="shared" si="6"/>
        <v>22027763.200000003</v>
      </c>
      <c r="AN26" s="95">
        <f t="shared" si="6"/>
        <v>22027763.200000003</v>
      </c>
      <c r="AO26" s="95">
        <f t="shared" si="6"/>
        <v>22027763.200000003</v>
      </c>
      <c r="AP26" s="95">
        <f t="shared" si="6"/>
        <v>22027763.200000003</v>
      </c>
      <c r="AQ26" s="95">
        <f t="shared" si="6"/>
        <v>22027763.200000003</v>
      </c>
      <c r="AR26" s="95">
        <f t="shared" si="6"/>
        <v>22027763.200000003</v>
      </c>
      <c r="AS26" s="95">
        <f t="shared" si="6"/>
        <v>22027763.200000003</v>
      </c>
      <c r="AT26" s="95">
        <f t="shared" si="6"/>
        <v>22027763.200000003</v>
      </c>
      <c r="AU26" s="95">
        <f t="shared" si="6"/>
        <v>22027763.200000003</v>
      </c>
      <c r="AV26" s="95">
        <f t="shared" si="6"/>
        <v>22027763.200000003</v>
      </c>
      <c r="AW26" s="95">
        <f t="shared" si="6"/>
        <v>22027763.200000003</v>
      </c>
      <c r="AX26" s="95">
        <f t="shared" si="6"/>
        <v>22027763.200000003</v>
      </c>
      <c r="AY26" s="95">
        <f t="shared" si="6"/>
        <v>22027763.200000003</v>
      </c>
      <c r="AZ26" s="95">
        <f t="shared" si="6"/>
        <v>22027763.200000003</v>
      </c>
      <c r="BA26" s="95">
        <f t="shared" si="6"/>
        <v>22027763.200000003</v>
      </c>
      <c r="BB26" s="95">
        <f t="shared" si="6"/>
        <v>22027763.200000003</v>
      </c>
    </row>
    <row r="27" spans="4:54" x14ac:dyDescent="0.35"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  <c r="AO27" s="95"/>
      <c r="AP27" s="95"/>
      <c r="AQ27" s="95"/>
      <c r="AR27" s="95"/>
      <c r="AS27" s="95"/>
      <c r="AT27" s="95"/>
      <c r="AU27" s="95"/>
      <c r="AV27" s="95"/>
      <c r="AW27" s="95"/>
      <c r="AX27" s="95"/>
      <c r="AY27" s="95"/>
      <c r="AZ27" s="95"/>
      <c r="BA27" s="95"/>
      <c r="BB27" s="95"/>
    </row>
    <row r="28" spans="4:54" x14ac:dyDescent="0.35">
      <c r="D28" s="69" t="s">
        <v>37</v>
      </c>
      <c r="E28" s="95">
        <f>$E$18*E26</f>
        <v>536926.728</v>
      </c>
      <c r="F28" s="95">
        <f>$E$18*F26</f>
        <v>526188.19344000006</v>
      </c>
      <c r="G28" s="95">
        <f t="shared" ref="G28:BB28" si="7">$E$18*G26</f>
        <v>515449.65888000006</v>
      </c>
      <c r="H28" s="95">
        <f t="shared" si="7"/>
        <v>504711.12432000006</v>
      </c>
      <c r="I28" s="95">
        <f t="shared" si="7"/>
        <v>493972.58976000012</v>
      </c>
      <c r="J28" s="95">
        <f t="shared" si="7"/>
        <v>483234.05520000018</v>
      </c>
      <c r="K28" s="95">
        <f t="shared" si="7"/>
        <v>472495.52064000018</v>
      </c>
      <c r="L28" s="95">
        <f t="shared" si="7"/>
        <v>461756.98608000024</v>
      </c>
      <c r="M28" s="95">
        <f t="shared" si="7"/>
        <v>451018.45152000024</v>
      </c>
      <c r="N28" s="95">
        <f t="shared" si="7"/>
        <v>440279.91696000029</v>
      </c>
      <c r="O28" s="95">
        <f t="shared" si="7"/>
        <v>429541.38240000035</v>
      </c>
      <c r="P28" s="95">
        <f t="shared" si="7"/>
        <v>418802.84784000035</v>
      </c>
      <c r="Q28" s="95">
        <f t="shared" si="7"/>
        <v>408064.31328000041</v>
      </c>
      <c r="R28" s="95">
        <f t="shared" si="7"/>
        <v>397325.77872000041</v>
      </c>
      <c r="S28" s="95">
        <f t="shared" si="7"/>
        <v>386587.24416000047</v>
      </c>
      <c r="T28" s="95">
        <f t="shared" si="7"/>
        <v>375848.70960000053</v>
      </c>
      <c r="U28" s="95">
        <f t="shared" si="7"/>
        <v>365110.17504000053</v>
      </c>
      <c r="V28" s="95">
        <f t="shared" si="7"/>
        <v>354371.64048000058</v>
      </c>
      <c r="W28" s="95">
        <f t="shared" si="7"/>
        <v>343633.10592000058</v>
      </c>
      <c r="X28" s="95">
        <f t="shared" si="7"/>
        <v>332894.57136000064</v>
      </c>
      <c r="Y28" s="95">
        <f t="shared" si="7"/>
        <v>322156.03680000064</v>
      </c>
      <c r="Z28" s="95">
        <f t="shared" si="7"/>
        <v>311417.50224000064</v>
      </c>
      <c r="AA28" s="95">
        <f t="shared" si="7"/>
        <v>300678.96768000064</v>
      </c>
      <c r="AB28" s="95">
        <f t="shared" si="7"/>
        <v>289940.43312000064</v>
      </c>
      <c r="AC28" s="95">
        <f t="shared" si="7"/>
        <v>286360.9216</v>
      </c>
      <c r="AD28" s="95">
        <f t="shared" si="7"/>
        <v>286360.9216</v>
      </c>
      <c r="AE28" s="95">
        <f t="shared" si="7"/>
        <v>286360.9216</v>
      </c>
      <c r="AF28" s="95">
        <f t="shared" si="7"/>
        <v>286360.9216</v>
      </c>
      <c r="AG28" s="95">
        <f t="shared" si="7"/>
        <v>286360.9216</v>
      </c>
      <c r="AH28" s="95">
        <f t="shared" si="7"/>
        <v>286360.9216</v>
      </c>
      <c r="AI28" s="95">
        <f t="shared" si="7"/>
        <v>286360.9216</v>
      </c>
      <c r="AJ28" s="95">
        <f t="shared" si="7"/>
        <v>286360.9216</v>
      </c>
      <c r="AK28" s="95">
        <f t="shared" si="7"/>
        <v>286360.9216</v>
      </c>
      <c r="AL28" s="95">
        <f t="shared" si="7"/>
        <v>286360.9216</v>
      </c>
      <c r="AM28" s="95">
        <f t="shared" si="7"/>
        <v>286360.9216</v>
      </c>
      <c r="AN28" s="95">
        <f t="shared" si="7"/>
        <v>286360.9216</v>
      </c>
      <c r="AO28" s="95">
        <f t="shared" si="7"/>
        <v>286360.9216</v>
      </c>
      <c r="AP28" s="95">
        <f t="shared" si="7"/>
        <v>286360.9216</v>
      </c>
      <c r="AQ28" s="95">
        <f t="shared" si="7"/>
        <v>286360.9216</v>
      </c>
      <c r="AR28" s="95">
        <f t="shared" si="7"/>
        <v>286360.9216</v>
      </c>
      <c r="AS28" s="95">
        <f t="shared" si="7"/>
        <v>286360.9216</v>
      </c>
      <c r="AT28" s="95">
        <f t="shared" si="7"/>
        <v>286360.9216</v>
      </c>
      <c r="AU28" s="95">
        <f t="shared" si="7"/>
        <v>286360.9216</v>
      </c>
      <c r="AV28" s="95">
        <f t="shared" si="7"/>
        <v>286360.9216</v>
      </c>
      <c r="AW28" s="95">
        <f t="shared" si="7"/>
        <v>286360.9216</v>
      </c>
      <c r="AX28" s="95">
        <f t="shared" si="7"/>
        <v>286360.9216</v>
      </c>
      <c r="AY28" s="95">
        <f t="shared" si="7"/>
        <v>286360.9216</v>
      </c>
      <c r="AZ28" s="95">
        <f t="shared" si="7"/>
        <v>286360.9216</v>
      </c>
      <c r="BA28" s="95">
        <f t="shared" si="7"/>
        <v>286360.9216</v>
      </c>
      <c r="BB28" s="95">
        <f t="shared" si="7"/>
        <v>286360.9216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D7D6-AAB3-1C49-ADE5-ECAE523C0881}">
  <dimension ref="C7:H12"/>
  <sheetViews>
    <sheetView showGridLines="0" workbookViewId="0">
      <selection activeCell="C4" sqref="C4"/>
    </sheetView>
  </sheetViews>
  <sheetFormatPr defaultColWidth="10.90625" defaultRowHeight="14.5" x14ac:dyDescent="0.35"/>
  <cols>
    <col min="3" max="3" width="26.1796875" bestFit="1" customWidth="1"/>
    <col min="5" max="5" width="14.1796875" bestFit="1" customWidth="1"/>
    <col min="7" max="7" width="14.1796875" bestFit="1" customWidth="1"/>
  </cols>
  <sheetData>
    <row r="7" spans="3:8" x14ac:dyDescent="0.35">
      <c r="C7" s="69" t="s">
        <v>125</v>
      </c>
      <c r="E7" s="146">
        <v>14821548.25</v>
      </c>
    </row>
    <row r="8" spans="3:8" x14ac:dyDescent="0.35">
      <c r="C8" s="69" t="s">
        <v>126</v>
      </c>
      <c r="E8" s="146">
        <v>974531.71</v>
      </c>
    </row>
    <row r="9" spans="3:8" x14ac:dyDescent="0.35">
      <c r="C9" s="69" t="s">
        <v>127</v>
      </c>
      <c r="E9" s="146">
        <v>-128.35</v>
      </c>
      <c r="F9" s="146"/>
      <c r="G9" s="146"/>
    </row>
    <row r="10" spans="3:8" x14ac:dyDescent="0.35">
      <c r="E10" s="146"/>
      <c r="F10" s="146"/>
      <c r="G10" s="146"/>
    </row>
    <row r="11" spans="3:8" x14ac:dyDescent="0.35">
      <c r="C11" s="85" t="s">
        <v>49</v>
      </c>
      <c r="D11" s="85"/>
      <c r="E11" s="147">
        <f>SUM(E7:E10)</f>
        <v>15795951.610000001</v>
      </c>
      <c r="F11" s="146"/>
      <c r="G11" s="146">
        <v>15795943.609999999</v>
      </c>
      <c r="H11" s="69" t="s">
        <v>128</v>
      </c>
    </row>
    <row r="12" spans="3:8" x14ac:dyDescent="0.35">
      <c r="E12" s="146"/>
      <c r="F12" s="146"/>
      <c r="G12" s="14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387EDD8C55E54D80759865D9542B69" ma:contentTypeVersion="15" ma:contentTypeDescription="Create a new document." ma:contentTypeScope="" ma:versionID="8ab830bd2b815f3d3cf140884f17572a">
  <xsd:schema xmlns:xsd="http://www.w3.org/2001/XMLSchema" xmlns:xs="http://www.w3.org/2001/XMLSchema" xmlns:p="http://schemas.microsoft.com/office/2006/metadata/properties" xmlns:ns2="f014d427-246c-4f58-aa75-4782c2e674b5" xmlns:ns3="60a11cae-ef66-4927-be8d-635417274eb5" targetNamespace="http://schemas.microsoft.com/office/2006/metadata/properties" ma:root="true" ma:fieldsID="5e459ecd623a8922ca9a01a983f56ded" ns2:_="" ns3:_="">
    <xsd:import namespace="f014d427-246c-4f58-aa75-4782c2e674b5"/>
    <xsd:import namespace="60a11cae-ef66-4927-be8d-635417274e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4d427-246c-4f58-aa75-4782c2e67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ed288b8-acd4-4d92-b472-f379e5e9de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11cae-ef66-4927-be8d-635417274e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436d4d-c9af-4c07-8da3-d6268aa39d55}" ma:internalName="TaxCatchAll" ma:showField="CatchAllData" ma:web="60a11cae-ef66-4927-be8d-635417274e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14d427-246c-4f58-aa75-4782c2e674b5">
      <Terms xmlns="http://schemas.microsoft.com/office/infopath/2007/PartnerControls"/>
    </lcf76f155ced4ddcb4097134ff3c332f>
    <TaxCatchAll xmlns="60a11cae-ef66-4927-be8d-635417274eb5" xsi:nil="true"/>
  </documentManagement>
</p:properties>
</file>

<file path=customXml/itemProps1.xml><?xml version="1.0" encoding="utf-8"?>
<ds:datastoreItem xmlns:ds="http://schemas.openxmlformats.org/officeDocument/2006/customXml" ds:itemID="{3BA95F5B-27AB-4FFA-8148-ABDAABB17E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E8FD7E-F84A-AE47-8D53-0890CA1D309D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0266CB0-ADD5-4293-A835-C3B146FFAF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14d427-246c-4f58-aa75-4782c2e674b5"/>
    <ds:schemaRef ds:uri="60a11cae-ef66-4927-be8d-635417274e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4DED513-C4AB-4183-B5ED-2F51F6C1A9F5}">
  <ds:schemaRefs>
    <ds:schemaRef ds:uri="http://purl.org/dc/elements/1.1/"/>
    <ds:schemaRef ds:uri="http://schemas.openxmlformats.org/package/2006/metadata/core-properties"/>
    <ds:schemaRef ds:uri="77939b27-11ea-4a22-b3bf-17689dc09401"/>
    <ds:schemaRef ds:uri="http://schemas.microsoft.com/office/2006/documentManagement/types"/>
    <ds:schemaRef ds:uri="d7ac069b-7206-42ae-aae8-91b4ae363cf1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f014d427-246c-4f58-aa75-4782c2e674b5"/>
    <ds:schemaRef ds:uri="60a11cae-ef66-4927-be8d-635417274e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BESS</vt:lpstr>
      <vt:lpstr>Capex BESS</vt:lpstr>
      <vt:lpstr>BESS assumptions</vt:lpstr>
      <vt:lpstr>Property tax BESS</vt:lpstr>
      <vt:lpstr>Mine</vt:lpstr>
      <vt:lpstr>Capex mine 125m</vt:lpstr>
      <vt:lpstr>Property tax mine</vt:lpstr>
      <vt:lpstr>CapaloAI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Rikard Tullberg</dc:creator>
  <cp:keywords/>
  <dc:description/>
  <cp:lastModifiedBy>Abolfazl Khodadadi</cp:lastModifiedBy>
  <cp:revision/>
  <dcterms:created xsi:type="dcterms:W3CDTF">2022-02-16T09:59:08Z</dcterms:created>
  <dcterms:modified xsi:type="dcterms:W3CDTF">2024-09-27T16:18:55Z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0x01010090387EDD8C55E54D80759865D9542B69</vt:lpwstr>
  </property>
  <property fmtid="{D5CDD505-2E9C-101B-9397-08002B2CF9AE}" pid="3" name="MediaServiceImageTags">
    <vt:lpwstr/>
  </property>
</Properties>
</file>