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opia2159547.sharepoint.com/sites/MerlinMetis/Shared Documents/Uppdrag/Pågående uppdrag/73_SENS_PHS and BESS in Finland/Arbetsmaterial/"/>
    </mc:Choice>
  </mc:AlternateContent>
  <xr:revisionPtr revIDLastSave="315" documentId="8_{052E7604-C1B5-4F4E-BB5A-E75911AD8627}" xr6:coauthVersionLast="47" xr6:coauthVersionMax="47" xr10:uidLastSave="{7E1AB017-8C88-40D7-AD72-D41A2450C77A}"/>
  <bookViews>
    <workbookView xWindow="28680" yWindow="-120" windowWidth="29040" windowHeight="15720" xr2:uid="{3C126C3F-2299-4179-AD6B-79EB3DD868B1}"/>
  </bookViews>
  <sheets>
    <sheet name="Cost of provision" sheetId="4" r:id="rId1"/>
    <sheet name="CAPEX" sheetId="1" r:id="rId2"/>
    <sheet name="BESS" sheetId="3" r:id="rId3"/>
    <sheet name="PHS" sheetId="2" r:id="rId4"/>
  </sheets>
  <externalReferences>
    <externalReference r:id="rId5"/>
  </externalReferences>
  <definedNames>
    <definedName name="MYPRODS">'Cost of provision'!$B$66:$B$73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4" l="1"/>
  <c r="F30" i="4"/>
  <c r="F31" i="4"/>
  <c r="F32" i="4"/>
  <c r="F33" i="4"/>
  <c r="F29" i="4"/>
  <c r="E30" i="4"/>
  <c r="E31" i="4"/>
  <c r="E32" i="4"/>
  <c r="E33" i="4"/>
  <c r="E29" i="4"/>
  <c r="F7" i="4"/>
  <c r="C31" i="4"/>
  <c r="F5" i="4"/>
  <c r="M6" i="4" s="1"/>
  <c r="K6" i="4"/>
  <c r="M5" i="4"/>
  <c r="M4" i="4"/>
  <c r="L4" i="4"/>
  <c r="K4" i="4"/>
  <c r="E12" i="4"/>
  <c r="E13" i="4" s="1"/>
  <c r="F9" i="4" s="1"/>
  <c r="E8" i="4"/>
  <c r="K5" i="4" s="1"/>
  <c r="H3" i="1"/>
  <c r="D2" i="1"/>
  <c r="E2" i="1"/>
  <c r="F2" i="1"/>
  <c r="G2" i="1"/>
  <c r="G7" i="1" s="1"/>
  <c r="H2" i="1"/>
  <c r="I2" i="1"/>
  <c r="J2" i="1"/>
  <c r="J7" i="1" s="1"/>
  <c r="K2" i="1"/>
  <c r="K7" i="1" s="1"/>
  <c r="L2" i="1"/>
  <c r="M2" i="1"/>
  <c r="N2" i="1"/>
  <c r="O2" i="1"/>
  <c r="O7" i="1" s="1"/>
  <c r="P2" i="1"/>
  <c r="Q2" i="1"/>
  <c r="R2" i="1"/>
  <c r="R7" i="1" s="1"/>
  <c r="S2" i="1"/>
  <c r="S7" i="1" s="1"/>
  <c r="T2" i="1"/>
  <c r="U2" i="1"/>
  <c r="C2" i="1"/>
  <c r="C7" i="1" s="1"/>
  <c r="E7" i="1"/>
  <c r="F7" i="1"/>
  <c r="H7" i="1"/>
  <c r="I7" i="1"/>
  <c r="M7" i="1"/>
  <c r="N7" i="1"/>
  <c r="P7" i="1"/>
  <c r="Q7" i="1"/>
  <c r="U7" i="1"/>
  <c r="D6" i="1"/>
  <c r="E6" i="1"/>
  <c r="F6" i="1"/>
  <c r="G6" i="1"/>
  <c r="H6" i="1"/>
  <c r="I6" i="1"/>
  <c r="L6" i="1"/>
  <c r="M6" i="1"/>
  <c r="N6" i="1"/>
  <c r="O6" i="1"/>
  <c r="P6" i="1"/>
  <c r="Q6" i="1"/>
  <c r="T6" i="1"/>
  <c r="U6" i="1"/>
  <c r="B6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C5" i="1"/>
  <c r="B2" i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Q67" i="4"/>
  <c r="Q66" i="4"/>
  <c r="Q65" i="4"/>
  <c r="T64" i="4"/>
  <c r="T67" i="4" s="1"/>
  <c r="S64" i="4"/>
  <c r="S67" i="4" s="1"/>
  <c r="Q64" i="4"/>
  <c r="H64" i="4"/>
  <c r="Q63" i="4"/>
  <c r="Q62" i="4"/>
  <c r="S65" i="4"/>
  <c r="I20" i="4" l="1"/>
  <c r="H20" i="4"/>
  <c r="G20" i="4"/>
  <c r="F20" i="4"/>
  <c r="E20" i="4"/>
  <c r="L6" i="4"/>
  <c r="F12" i="4"/>
  <c r="S6" i="1"/>
  <c r="K6" i="1"/>
  <c r="R6" i="1"/>
  <c r="J6" i="1"/>
  <c r="T7" i="1"/>
  <c r="L7" i="1"/>
  <c r="C6" i="1"/>
  <c r="D7" i="1"/>
  <c r="T63" i="4"/>
  <c r="T66" i="4" s="1"/>
  <c r="S63" i="4"/>
  <c r="S66" i="4" s="1"/>
  <c r="T65" i="4"/>
  <c r="F13" i="4"/>
  <c r="L5" i="4" l="1"/>
  <c r="E21" i="4"/>
  <c r="F21" i="4"/>
  <c r="H21" i="4"/>
  <c r="I21" i="4"/>
  <c r="G21" i="4"/>
  <c r="I58" i="4"/>
  <c r="O63" i="4"/>
  <c r="U63" i="4" s="1"/>
  <c r="O66" i="4"/>
  <c r="U66" i="4" s="1"/>
  <c r="O65" i="4"/>
  <c r="U65" i="4" s="1"/>
  <c r="O62" i="4"/>
  <c r="U62" i="4" s="1"/>
  <c r="O64" i="4"/>
  <c r="U64" i="4" s="1"/>
  <c r="O67" i="4"/>
  <c r="U67" i="4" s="1"/>
  <c r="I65" i="4" l="1"/>
  <c r="J65" i="4" s="1"/>
  <c r="R65" i="4" s="1"/>
  <c r="I63" i="4"/>
  <c r="J63" i="4" s="1"/>
  <c r="R63" i="4" s="1"/>
  <c r="I64" i="4"/>
  <c r="J64" i="4" s="1"/>
  <c r="R64" i="4" s="1"/>
  <c r="I66" i="4"/>
  <c r="J66" i="4" s="1"/>
  <c r="R66" i="4" s="1"/>
  <c r="I67" i="4"/>
  <c r="J67" i="4" s="1"/>
  <c r="D78" i="4" s="1"/>
  <c r="D79" i="4" s="1"/>
  <c r="I62" i="4"/>
  <c r="J62" i="4" s="1"/>
  <c r="D72" i="4" s="1"/>
  <c r="D74" i="4" l="1"/>
  <c r="D75" i="4"/>
  <c r="D76" i="4"/>
  <c r="D77" i="4" s="1"/>
  <c r="R67" i="4"/>
  <c r="D73" i="4"/>
  <c r="R62" i="4"/>
  <c r="F19" i="3" l="1"/>
  <c r="D19" i="3"/>
  <c r="D18" i="3"/>
  <c r="F18" i="3" s="1"/>
  <c r="F15" i="3"/>
  <c r="D15" i="3"/>
  <c r="D14" i="3"/>
  <c r="D13" i="3"/>
  <c r="F12" i="3"/>
  <c r="D12" i="3"/>
  <c r="F11" i="3"/>
  <c r="F45" i="2"/>
  <c r="E43" i="2"/>
  <c r="F42" i="2"/>
  <c r="E42" i="2"/>
  <c r="F41" i="2"/>
  <c r="E36" i="2"/>
  <c r="C36" i="2" s="1"/>
  <c r="C33" i="2"/>
  <c r="I32" i="2"/>
  <c r="E32" i="2"/>
  <c r="C32" i="2"/>
  <c r="E30" i="2"/>
  <c r="E27" i="2"/>
  <c r="F27" i="2" s="1"/>
  <c r="E25" i="2"/>
  <c r="E28" i="2" s="1"/>
  <c r="E34" i="2" s="1"/>
  <c r="E38" i="2" s="1"/>
  <c r="C38" i="2" s="1"/>
  <c r="F24" i="2"/>
  <c r="C24" i="2"/>
  <c r="L23" i="2"/>
  <c r="C23" i="2"/>
  <c r="C22" i="2"/>
  <c r="F21" i="2"/>
  <c r="C21" i="2"/>
  <c r="C20" i="2"/>
  <c r="C19" i="2"/>
  <c r="C18" i="2"/>
  <c r="F17" i="2"/>
  <c r="C17" i="2"/>
  <c r="C16" i="2"/>
  <c r="K13" i="2"/>
  <c r="C6" i="2"/>
  <c r="C7" i="2" s="1"/>
  <c r="F20" i="3" l="1"/>
  <c r="F21" i="3" s="1"/>
  <c r="F18" i="2"/>
  <c r="F22" i="2"/>
  <c r="C27" i="2"/>
  <c r="F23" i="2"/>
  <c r="F16" i="2"/>
  <c r="F20" i="2"/>
  <c r="I29" i="2"/>
  <c r="F19" i="2"/>
  <c r="D21" i="3" l="1"/>
  <c r="F23" i="3"/>
  <c r="G20" i="3"/>
  <c r="D20" i="3"/>
  <c r="F25" i="2"/>
  <c r="D23" i="3" l="1"/>
  <c r="G14" i="3"/>
  <c r="F25" i="3"/>
  <c r="G23" i="3"/>
  <c r="G19" i="3"/>
  <c r="G11" i="3"/>
  <c r="F26" i="3"/>
  <c r="G13" i="3"/>
  <c r="G15" i="3"/>
  <c r="G18" i="3"/>
  <c r="G12" i="3"/>
  <c r="G21" i="3"/>
  <c r="G26" i="3" l="1"/>
  <c r="D26" i="3"/>
  <c r="D25" i="3"/>
  <c r="G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<sst xmlns="http://schemas.openxmlformats.org/spreadsheetml/2006/main" count="230" uniqueCount="139">
  <si>
    <t>BESS</t>
  </si>
  <si>
    <t>PHS</t>
  </si>
  <si>
    <t>CAPEX [MEUR/MW] - Duration</t>
  </si>
  <si>
    <t>Illustrative Equity IRR analysis</t>
  </si>
  <si>
    <t>Investment and financing</t>
  </si>
  <si>
    <t>Production inputs</t>
  </si>
  <si>
    <t>MW</t>
  </si>
  <si>
    <t>Transaction value (EURk)</t>
  </si>
  <si>
    <t>Capacity</t>
  </si>
  <si>
    <t xml:space="preserve"> - EURm/MW</t>
  </si>
  <si>
    <t>Commissioning date</t>
  </si>
  <si>
    <t>date</t>
  </si>
  <si>
    <t>Technical lifetime</t>
  </si>
  <si>
    <t>years</t>
  </si>
  <si>
    <t>Project IRR (including  taxes)</t>
  </si>
  <si>
    <t>Project IRR (excluding taxes)</t>
  </si>
  <si>
    <t>Revenue</t>
  </si>
  <si>
    <t>Revenues per year optimization model (2023 base case)</t>
  </si>
  <si>
    <t xml:space="preserve"> </t>
  </si>
  <si>
    <t>EUR k/MW</t>
  </si>
  <si>
    <t>EUR</t>
  </si>
  <si>
    <t>%</t>
  </si>
  <si>
    <t>Real growth (5 yeras)</t>
  </si>
  <si>
    <t>Revenues inflation</t>
  </si>
  <si>
    <t>Upper reservoir</t>
  </si>
  <si>
    <t>Upper inlet</t>
  </si>
  <si>
    <t>Pressure shaft</t>
  </si>
  <si>
    <t>Sensitivity</t>
  </si>
  <si>
    <t>Surge tank</t>
  </si>
  <si>
    <t>Vertical pressure shaft</t>
  </si>
  <si>
    <t>Opex</t>
  </si>
  <si>
    <t>Rock trap</t>
  </si>
  <si>
    <t>CAPEX</t>
  </si>
  <si>
    <t>Power house</t>
  </si>
  <si>
    <t>Lower reservoir</t>
  </si>
  <si>
    <t>Equipment</t>
  </si>
  <si>
    <t>Total gross capex mine</t>
  </si>
  <si>
    <t>DEBT</t>
  </si>
  <si>
    <t>Contingency (10%)</t>
  </si>
  <si>
    <t>Gross capex mine + contingency</t>
  </si>
  <si>
    <t>Debt, % of CAPEX</t>
  </si>
  <si>
    <t>Debt, EUR</t>
  </si>
  <si>
    <t>New water treatment plant</t>
  </si>
  <si>
    <t>Installments starting year</t>
  </si>
  <si>
    <t>Project development Callio</t>
  </si>
  <si>
    <t>Years of installments</t>
  </si>
  <si>
    <t>Grid Connection</t>
  </si>
  <si>
    <t>Interest rate, %</t>
  </si>
  <si>
    <t>Grid Station</t>
  </si>
  <si>
    <t>Gross capex mine + contingency + grid + other</t>
  </si>
  <si>
    <t>Subsidy</t>
  </si>
  <si>
    <t>Capex + contingency + grid - subsidy</t>
  </si>
  <si>
    <t>Construction</t>
  </si>
  <si>
    <t>Operation</t>
  </si>
  <si>
    <t>PPHES plant operation and maintenance</t>
  </si>
  <si>
    <t>k€ p.a.</t>
  </si>
  <si>
    <t>Mine infrastructure operation and maintenance</t>
  </si>
  <si>
    <t>Project management</t>
  </si>
  <si>
    <t>Trading fee</t>
  </si>
  <si>
    <t>% revenues</t>
  </si>
  <si>
    <t>Grid fee</t>
  </si>
  <si>
    <t>Industry and power market charges</t>
  </si>
  <si>
    <t>€/MW/month</t>
  </si>
  <si>
    <t>Land lease</t>
  </si>
  <si>
    <t>Property tax</t>
  </si>
  <si>
    <t>% property value</t>
  </si>
  <si>
    <t>Inflation</t>
  </si>
  <si>
    <t>Assumptions</t>
  </si>
  <si>
    <t>EUR SEK</t>
  </si>
  <si>
    <t>Capex assumptions</t>
  </si>
  <si>
    <t>Hardware</t>
  </si>
  <si>
    <t>Battery system</t>
  </si>
  <si>
    <t>Grid connection</t>
  </si>
  <si>
    <t>Transformer</t>
  </si>
  <si>
    <t>Grid station / Gridge Edge Solution</t>
  </si>
  <si>
    <t>Total Hardware</t>
  </si>
  <si>
    <t>Development and other</t>
  </si>
  <si>
    <t>Preparation of land</t>
  </si>
  <si>
    <t>Infrastructure (cables) and hardware installation</t>
  </si>
  <si>
    <t>Project devlopment</t>
  </si>
  <si>
    <t>Total development &amp; other</t>
  </si>
  <si>
    <t>Total capex hardware + development</t>
  </si>
  <si>
    <t>Total capex + contingency</t>
  </si>
  <si>
    <t>Cash flow and value</t>
  </si>
  <si>
    <t>EUR k</t>
  </si>
  <si>
    <t>Cash flow (pre-tax)</t>
  </si>
  <si>
    <t>NPV (pre-tax cash flow)</t>
  </si>
  <si>
    <t>Capex</t>
  </si>
  <si>
    <t>WACC</t>
  </si>
  <si>
    <t>Project IRR (unleveraged, including taxes)</t>
  </si>
  <si>
    <t>Project IRR (unleveraged, excluding taxes)</t>
  </si>
  <si>
    <t>Real growth</t>
  </si>
  <si>
    <t>Revenues 2024</t>
  </si>
  <si>
    <t>Development and installation</t>
  </si>
  <si>
    <t>O&amp;M</t>
  </si>
  <si>
    <t>% capex</t>
  </si>
  <si>
    <t>Insurance</t>
  </si>
  <si>
    <t>€/MW</t>
  </si>
  <si>
    <t>Grid fee (DSO)</t>
  </si>
  <si>
    <t>Admin</t>
  </si>
  <si>
    <t>Installments after x years</t>
  </si>
  <si>
    <t>euribor + 2-300 punkter</t>
  </si>
  <si>
    <t>EUR/SEK:</t>
  </si>
  <si>
    <t>Cost of provision</t>
  </si>
  <si>
    <t>Wind</t>
  </si>
  <si>
    <t>Solar</t>
  </si>
  <si>
    <t>EUR-SEK</t>
  </si>
  <si>
    <t>Nät, elhandel, övrigt</t>
  </si>
  <si>
    <t>Total rörlig spot + övrigt</t>
  </si>
  <si>
    <t>Tradnig fee (EUR/MW,h)</t>
  </si>
  <si>
    <t>Rörliga</t>
  </si>
  <si>
    <t>Alternativkostnad</t>
  </si>
  <si>
    <t>Fasta</t>
  </si>
  <si>
    <t>Antal cykler per MW/MWh</t>
  </si>
  <si>
    <t>SEK/MWH och timme</t>
  </si>
  <si>
    <t>EUR/MW och hour</t>
  </si>
  <si>
    <t>BESS Utility</t>
  </si>
  <si>
    <t>FFR</t>
  </si>
  <si>
    <t>Ja</t>
  </si>
  <si>
    <t>Nej</t>
  </si>
  <si>
    <t>FCR-D up</t>
  </si>
  <si>
    <t>FCR_D dn</t>
  </si>
  <si>
    <t>FCR-N</t>
  </si>
  <si>
    <t>aFRR up</t>
  </si>
  <si>
    <t>aFRR dn</t>
  </si>
  <si>
    <t>EUR/MW and hour</t>
  </si>
  <si>
    <t>Cost/MW</t>
  </si>
  <si>
    <t>Cost per added MW</t>
  </si>
  <si>
    <t>Cycle cost</t>
  </si>
  <si>
    <t xml:space="preserve">Degradation </t>
  </si>
  <si>
    <t>Energy losses</t>
  </si>
  <si>
    <t>Number of cycles</t>
  </si>
  <si>
    <t>UPHS</t>
  </si>
  <si>
    <t>Spot price</t>
  </si>
  <si>
    <t>Spot price:</t>
  </si>
  <si>
    <t>Variable O&amp;M</t>
  </si>
  <si>
    <t>Spot</t>
  </si>
  <si>
    <t>Trading costs</t>
  </si>
  <si>
    <t>FCR-D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</si>
</sst>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0.0%"/>
    <numFmt numFmtId="166" formatCode="#,##0.0"/>
    <numFmt numFmtId="167" formatCode="#,##0\ _k_r"/>
    <numFmt numFmtId="169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u/>
      <sz val="10"/>
      <color rgb="FF00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u/>
      <sz val="10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rgb="FFFFFFFF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Font="1"/>
    <xf numFmtId="0" fontId="3" fillId="2" borderId="0" xfId="2" applyFont="1" applyFill="1"/>
    <xf numFmtId="0" fontId="4" fillId="2" borderId="0" xfId="2" applyFont="1" applyFill="1"/>
    <xf numFmtId="0" fontId="4" fillId="0" borderId="0" xfId="2" applyFont="1"/>
    <xf numFmtId="0" fontId="5" fillId="3" borderId="1" xfId="2" applyFont="1" applyFill="1" applyBorder="1"/>
    <xf numFmtId="0" fontId="6" fillId="3" borderId="2" xfId="2" applyFont="1" applyFill="1" applyBorder="1" applyAlignment="1">
      <alignment horizontal="right"/>
    </xf>
    <xf numFmtId="0" fontId="6" fillId="3" borderId="3" xfId="2" applyFont="1" applyFill="1" applyBorder="1"/>
    <xf numFmtId="0" fontId="6" fillId="3" borderId="2" xfId="2" applyFont="1" applyFill="1" applyBorder="1"/>
    <xf numFmtId="0" fontId="6" fillId="0" borderId="0" xfId="2" applyFont="1"/>
    <xf numFmtId="0" fontId="5" fillId="3" borderId="4" xfId="2" applyFont="1" applyFill="1" applyBorder="1"/>
    <xf numFmtId="0" fontId="6" fillId="3" borderId="5" xfId="2" applyFont="1" applyFill="1" applyBorder="1"/>
    <xf numFmtId="0" fontId="4" fillId="2" borderId="4" xfId="2" applyFont="1" applyFill="1" applyBorder="1"/>
    <xf numFmtId="0" fontId="7" fillId="2" borderId="5" xfId="2" applyFont="1" applyFill="1" applyBorder="1" applyAlignment="1">
      <alignment horizontal="center"/>
    </xf>
    <xf numFmtId="3" fontId="4" fillId="2" borderId="5" xfId="2" applyNumberFormat="1" applyFont="1" applyFill="1" applyBorder="1"/>
    <xf numFmtId="164" fontId="4" fillId="4" borderId="5" xfId="2" applyNumberFormat="1" applyFont="1" applyFill="1" applyBorder="1"/>
    <xf numFmtId="0" fontId="4" fillId="2" borderId="4" xfId="2" applyFont="1" applyFill="1" applyBorder="1" applyAlignment="1">
      <alignment horizontal="left" indent="1"/>
    </xf>
    <xf numFmtId="0" fontId="8" fillId="2" borderId="0" xfId="2" applyFont="1" applyFill="1"/>
    <xf numFmtId="164" fontId="4" fillId="0" borderId="5" xfId="2" applyNumberFormat="1" applyFont="1" applyBorder="1"/>
    <xf numFmtId="0" fontId="8" fillId="0" borderId="0" xfId="2" applyFont="1"/>
    <xf numFmtId="14" fontId="4" fillId="4" borderId="5" xfId="2" applyNumberFormat="1" applyFont="1" applyFill="1" applyBorder="1"/>
    <xf numFmtId="0" fontId="8" fillId="2" borderId="6" xfId="2" applyFont="1" applyFill="1" applyBorder="1"/>
    <xf numFmtId="0" fontId="8" fillId="2" borderId="7" xfId="2" applyFont="1" applyFill="1" applyBorder="1"/>
    <xf numFmtId="0" fontId="8" fillId="4" borderId="8" xfId="2" applyFont="1" applyFill="1" applyBorder="1"/>
    <xf numFmtId="0" fontId="4" fillId="2" borderId="6" xfId="2" applyFont="1" applyFill="1" applyBorder="1"/>
    <xf numFmtId="165" fontId="4" fillId="2" borderId="8" xfId="2" applyNumberFormat="1" applyFont="1" applyFill="1" applyBorder="1"/>
    <xf numFmtId="166" fontId="9" fillId="2" borderId="0" xfId="2" applyNumberFormat="1" applyFont="1" applyFill="1" applyAlignment="1">
      <alignment horizontal="right" vertical="center"/>
    </xf>
    <xf numFmtId="3" fontId="9" fillId="2" borderId="0" xfId="2" applyNumberFormat="1" applyFont="1" applyFill="1" applyAlignment="1">
      <alignment horizontal="right" vertical="center"/>
    </xf>
    <xf numFmtId="0" fontId="4" fillId="2" borderId="1" xfId="2" applyFont="1" applyFill="1" applyBorder="1"/>
    <xf numFmtId="0" fontId="4" fillId="2" borderId="3" xfId="2" applyFont="1" applyFill="1" applyBorder="1"/>
    <xf numFmtId="0" fontId="4" fillId="2" borderId="2" xfId="2" applyFont="1" applyFill="1" applyBorder="1"/>
    <xf numFmtId="167" fontId="4" fillId="5" borderId="5" xfId="1" applyNumberFormat="1" applyFont="1" applyFill="1" applyBorder="1"/>
    <xf numFmtId="0" fontId="6" fillId="3" borderId="9" xfId="2" applyFont="1" applyFill="1" applyBorder="1"/>
    <xf numFmtId="9" fontId="4" fillId="5" borderId="5" xfId="2" applyNumberFormat="1" applyFont="1" applyFill="1" applyBorder="1"/>
    <xf numFmtId="0" fontId="4" fillId="2" borderId="10" xfId="2" applyFont="1" applyFill="1" applyBorder="1"/>
    <xf numFmtId="0" fontId="10" fillId="2" borderId="11" xfId="2" applyFont="1" applyFill="1" applyBorder="1" applyAlignment="1">
      <alignment vertical="center"/>
    </xf>
    <xf numFmtId="0" fontId="4" fillId="2" borderId="12" xfId="2" applyFont="1" applyFill="1" applyBorder="1"/>
    <xf numFmtId="0" fontId="10" fillId="2" borderId="13" xfId="2" applyFont="1" applyFill="1" applyBorder="1" applyAlignment="1">
      <alignment vertical="center"/>
    </xf>
    <xf numFmtId="9" fontId="10" fillId="2" borderId="14" xfId="2" applyNumberFormat="1" applyFont="1" applyFill="1" applyBorder="1" applyAlignment="1">
      <alignment vertical="center"/>
    </xf>
    <xf numFmtId="0" fontId="4" fillId="2" borderId="7" xfId="2" applyFont="1" applyFill="1" applyBorder="1"/>
    <xf numFmtId="9" fontId="4" fillId="2" borderId="8" xfId="2" applyNumberFormat="1" applyFont="1" applyFill="1" applyBorder="1"/>
    <xf numFmtId="0" fontId="10" fillId="2" borderId="15" xfId="2" applyFont="1" applyFill="1" applyBorder="1" applyAlignment="1">
      <alignment vertical="center"/>
    </xf>
    <xf numFmtId="164" fontId="4" fillId="2" borderId="0" xfId="2" applyNumberFormat="1" applyFont="1" applyFill="1"/>
    <xf numFmtId="3" fontId="9" fillId="4" borderId="16" xfId="2" applyNumberFormat="1" applyFont="1" applyFill="1" applyBorder="1" applyAlignment="1">
      <alignment horizontal="right" vertical="center"/>
    </xf>
    <xf numFmtId="9" fontId="4" fillId="2" borderId="17" xfId="2" applyNumberFormat="1" applyFont="1" applyFill="1" applyBorder="1" applyAlignment="1">
      <alignment horizontal="left" indent="6"/>
    </xf>
    <xf numFmtId="167" fontId="4" fillId="0" borderId="0" xfId="2" applyNumberFormat="1" applyFont="1"/>
    <xf numFmtId="165" fontId="4" fillId="4" borderId="5" xfId="2" applyNumberFormat="1" applyFont="1" applyFill="1" applyBorder="1"/>
    <xf numFmtId="3" fontId="4" fillId="2" borderId="0" xfId="2" applyNumberFormat="1" applyFont="1" applyFill="1"/>
    <xf numFmtId="9" fontId="4" fillId="2" borderId="0" xfId="1" applyFont="1" applyFill="1"/>
    <xf numFmtId="0" fontId="4" fillId="2" borderId="8" xfId="2" applyFont="1" applyFill="1" applyBorder="1"/>
    <xf numFmtId="0" fontId="11" fillId="6" borderId="15" xfId="2" applyFont="1" applyFill="1" applyBorder="1" applyAlignment="1">
      <alignment vertical="center"/>
    </xf>
    <xf numFmtId="164" fontId="8" fillId="6" borderId="0" xfId="2" applyNumberFormat="1" applyFont="1" applyFill="1"/>
    <xf numFmtId="0" fontId="8" fillId="6" borderId="0" xfId="2" applyFont="1" applyFill="1"/>
    <xf numFmtId="3" fontId="12" fillId="6" borderId="16" xfId="2" applyNumberFormat="1" applyFont="1" applyFill="1" applyBorder="1" applyAlignment="1">
      <alignment horizontal="right" vertical="center"/>
    </xf>
    <xf numFmtId="3" fontId="9" fillId="0" borderId="16" xfId="2" applyNumberFormat="1" applyFont="1" applyBorder="1" applyAlignment="1">
      <alignment horizontal="right" vertical="center"/>
    </xf>
    <xf numFmtId="0" fontId="6" fillId="3" borderId="1" xfId="2" applyFont="1" applyFill="1" applyBorder="1"/>
    <xf numFmtId="0" fontId="4" fillId="7" borderId="3" xfId="2" applyFont="1" applyFill="1" applyBorder="1"/>
    <xf numFmtId="165" fontId="4" fillId="0" borderId="0" xfId="2" applyNumberFormat="1" applyFont="1"/>
    <xf numFmtId="3" fontId="9" fillId="0" borderId="5" xfId="2" applyNumberFormat="1" applyFont="1" applyBorder="1" applyAlignment="1">
      <alignment horizontal="right" vertical="center"/>
    </xf>
    <xf numFmtId="3" fontId="9" fillId="0" borderId="0" xfId="2" applyNumberFormat="1" applyFont="1" applyAlignment="1">
      <alignment horizontal="right" vertical="center"/>
    </xf>
    <xf numFmtId="0" fontId="4" fillId="2" borderId="15" xfId="2" applyFont="1" applyFill="1" applyBorder="1"/>
    <xf numFmtId="3" fontId="9" fillId="5" borderId="16" xfId="2" applyNumberFormat="1" applyFont="1" applyFill="1" applyBorder="1" applyAlignment="1">
      <alignment horizontal="right" vertical="center"/>
    </xf>
    <xf numFmtId="0" fontId="4" fillId="2" borderId="17" xfId="2" applyFont="1" applyFill="1" applyBorder="1"/>
    <xf numFmtId="3" fontId="9" fillId="4" borderId="0" xfId="2" applyNumberFormat="1" applyFont="1" applyFill="1" applyAlignment="1">
      <alignment horizontal="right" vertical="center"/>
    </xf>
    <xf numFmtId="3" fontId="9" fillId="4" borderId="5" xfId="2" applyNumberFormat="1" applyFont="1" applyFill="1" applyBorder="1" applyAlignment="1">
      <alignment horizontal="right" vertical="center"/>
    </xf>
    <xf numFmtId="165" fontId="4" fillId="4" borderId="8" xfId="2" applyNumberFormat="1" applyFont="1" applyFill="1" applyBorder="1"/>
    <xf numFmtId="0" fontId="4" fillId="2" borderId="18" xfId="2" applyFont="1" applyFill="1" applyBorder="1"/>
    <xf numFmtId="0" fontId="4" fillId="2" borderId="16" xfId="2" applyFont="1" applyFill="1" applyBorder="1"/>
    <xf numFmtId="3" fontId="10" fillId="2" borderId="0" xfId="2" applyNumberFormat="1" applyFont="1" applyFill="1" applyAlignment="1">
      <alignment horizontal="right" vertical="center"/>
    </xf>
    <xf numFmtId="3" fontId="9" fillId="2" borderId="16" xfId="2" applyNumberFormat="1" applyFont="1" applyFill="1" applyBorder="1" applyAlignment="1">
      <alignment horizontal="right" vertical="center"/>
    </xf>
    <xf numFmtId="0" fontId="11" fillId="6" borderId="19" xfId="2" applyFont="1" applyFill="1" applyBorder="1" applyAlignment="1">
      <alignment vertical="center"/>
    </xf>
    <xf numFmtId="3" fontId="11" fillId="6" borderId="20" xfId="2" applyNumberFormat="1" applyFont="1" applyFill="1" applyBorder="1" applyAlignment="1">
      <alignment horizontal="right" vertical="center"/>
    </xf>
    <xf numFmtId="3" fontId="11" fillId="6" borderId="21" xfId="2" applyNumberFormat="1" applyFont="1" applyFill="1" applyBorder="1" applyAlignment="1">
      <alignment horizontal="right" vertical="center"/>
    </xf>
    <xf numFmtId="9" fontId="4" fillId="2" borderId="22" xfId="2" applyNumberFormat="1" applyFont="1" applyFill="1" applyBorder="1" applyAlignment="1">
      <alignment horizontal="left" indent="6"/>
    </xf>
    <xf numFmtId="4" fontId="6" fillId="3" borderId="3" xfId="2" applyNumberFormat="1" applyFont="1" applyFill="1" applyBorder="1"/>
    <xf numFmtId="3" fontId="4" fillId="4" borderId="3" xfId="2" applyNumberFormat="1" applyFont="1" applyFill="1" applyBorder="1"/>
    <xf numFmtId="3" fontId="4" fillId="4" borderId="2" xfId="2" applyNumberFormat="1" applyFont="1" applyFill="1" applyBorder="1"/>
    <xf numFmtId="3" fontId="4" fillId="4" borderId="0" xfId="2" applyNumberFormat="1" applyFont="1" applyFill="1"/>
    <xf numFmtId="3" fontId="4" fillId="4" borderId="5" xfId="2" applyNumberFormat="1" applyFont="1" applyFill="1" applyBorder="1"/>
    <xf numFmtId="9" fontId="4" fillId="4" borderId="5" xfId="1" applyFont="1" applyFill="1" applyBorder="1"/>
    <xf numFmtId="3" fontId="4" fillId="5" borderId="5" xfId="2" applyNumberFormat="1" applyFont="1" applyFill="1" applyBorder="1"/>
    <xf numFmtId="10" fontId="4" fillId="5" borderId="5" xfId="1" applyNumberFormat="1" applyFont="1" applyFill="1" applyBorder="1"/>
    <xf numFmtId="9" fontId="4" fillId="4" borderId="7" xfId="2" applyNumberFormat="1" applyFont="1" applyFill="1" applyBorder="1"/>
    <xf numFmtId="9" fontId="4" fillId="0" borderId="8" xfId="2" applyNumberFormat="1" applyFont="1" applyBorder="1"/>
    <xf numFmtId="165" fontId="4" fillId="2" borderId="0" xfId="2" applyNumberFormat="1" applyFont="1" applyFill="1"/>
    <xf numFmtId="10" fontId="4" fillId="2" borderId="0" xfId="2" applyNumberFormat="1" applyFont="1" applyFill="1"/>
    <xf numFmtId="0" fontId="5" fillId="3" borderId="9" xfId="2" applyFont="1" applyFill="1" applyBorder="1"/>
    <xf numFmtId="0" fontId="4" fillId="0" borderId="0" xfId="0" applyFont="1"/>
    <xf numFmtId="0" fontId="5" fillId="0" borderId="1" xfId="2" applyFont="1" applyBorder="1"/>
    <xf numFmtId="0" fontId="5" fillId="0" borderId="2" xfId="2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6" fillId="3" borderId="2" xfId="2" applyFont="1" applyFill="1" applyBorder="1" applyAlignment="1">
      <alignment horizontal="center"/>
    </xf>
    <xf numFmtId="0" fontId="0" fillId="0" borderId="1" xfId="0" applyBorder="1"/>
    <xf numFmtId="1" fontId="4" fillId="0" borderId="3" xfId="2" applyNumberFormat="1" applyFont="1" applyBorder="1" applyAlignment="1">
      <alignment horizontal="right" indent="3"/>
    </xf>
    <xf numFmtId="3" fontId="9" fillId="2" borderId="2" xfId="2" applyNumberFormat="1" applyFont="1" applyFill="1" applyBorder="1" applyAlignment="1">
      <alignment horizontal="right" vertical="center"/>
    </xf>
    <xf numFmtId="0" fontId="4" fillId="0" borderId="9" xfId="0" applyFont="1" applyBorder="1"/>
    <xf numFmtId="0" fontId="13" fillId="2" borderId="4" xfId="2" applyFont="1" applyFill="1" applyBorder="1" applyAlignment="1">
      <alignment vertical="center"/>
    </xf>
    <xf numFmtId="1" fontId="4" fillId="0" borderId="0" xfId="2" applyNumberFormat="1" applyFont="1" applyAlignment="1">
      <alignment horizontal="right" indent="3"/>
    </xf>
    <xf numFmtId="3" fontId="9" fillId="2" borderId="5" xfId="2" applyNumberFormat="1" applyFont="1" applyFill="1" applyBorder="1" applyAlignment="1">
      <alignment horizontal="right" vertical="center"/>
    </xf>
    <xf numFmtId="0" fontId="4" fillId="0" borderId="23" xfId="0" applyFont="1" applyBorder="1"/>
    <xf numFmtId="0" fontId="10" fillId="2" borderId="4" xfId="2" applyFont="1" applyFill="1" applyBorder="1" applyAlignment="1">
      <alignment vertical="center"/>
    </xf>
    <xf numFmtId="1" fontId="4" fillId="4" borderId="0" xfId="2" applyNumberFormat="1" applyFont="1" applyFill="1" applyAlignment="1">
      <alignment horizontal="right" indent="3"/>
    </xf>
    <xf numFmtId="9" fontId="14" fillId="0" borderId="23" xfId="1" applyFont="1" applyBorder="1"/>
    <xf numFmtId="0" fontId="11" fillId="2" borderId="6" xfId="2" applyFont="1" applyFill="1" applyBorder="1" applyAlignment="1">
      <alignment vertical="center"/>
    </xf>
    <xf numFmtId="1" fontId="8" fillId="0" borderId="0" xfId="2" applyNumberFormat="1" applyFont="1" applyAlignment="1">
      <alignment horizontal="right" indent="3"/>
    </xf>
    <xf numFmtId="3" fontId="12" fillId="4" borderId="8" xfId="2" applyNumberFormat="1" applyFont="1" applyFill="1" applyBorder="1" applyAlignment="1">
      <alignment horizontal="right" vertical="center"/>
    </xf>
    <xf numFmtId="9" fontId="15" fillId="0" borderId="23" xfId="1" applyFont="1" applyBorder="1"/>
    <xf numFmtId="0" fontId="10" fillId="2" borderId="1" xfId="2" applyFont="1" applyFill="1" applyBorder="1" applyAlignment="1">
      <alignment vertical="center"/>
    </xf>
    <xf numFmtId="3" fontId="9" fillId="0" borderId="2" xfId="2" applyNumberFormat="1" applyFont="1" applyBorder="1" applyAlignment="1">
      <alignment horizontal="right" vertical="center"/>
    </xf>
    <xf numFmtId="0" fontId="10" fillId="0" borderId="1" xfId="2" applyFont="1" applyBorder="1" applyAlignment="1">
      <alignment vertical="center"/>
    </xf>
    <xf numFmtId="0" fontId="4" fillId="0" borderId="3" xfId="2" applyFont="1" applyBorder="1"/>
    <xf numFmtId="0" fontId="11" fillId="0" borderId="6" xfId="2" applyFont="1" applyBorder="1" applyAlignment="1">
      <alignment vertical="center"/>
    </xf>
    <xf numFmtId="0" fontId="8" fillId="0" borderId="7" xfId="2" applyFont="1" applyBorder="1"/>
    <xf numFmtId="3" fontId="12" fillId="0" borderId="8" xfId="2" applyNumberFormat="1" applyFont="1" applyBorder="1" applyAlignment="1">
      <alignment horizontal="right" vertical="center"/>
    </xf>
    <xf numFmtId="0" fontId="11" fillId="6" borderId="6" xfId="2" applyFont="1" applyFill="1" applyBorder="1" applyAlignment="1">
      <alignment vertical="center"/>
    </xf>
    <xf numFmtId="1" fontId="8" fillId="6" borderId="7" xfId="2" applyNumberFormat="1" applyFont="1" applyFill="1" applyBorder="1" applyAlignment="1">
      <alignment horizontal="right" indent="3"/>
    </xf>
    <xf numFmtId="3" fontId="11" fillId="6" borderId="7" xfId="2" applyNumberFormat="1" applyFont="1" applyFill="1" applyBorder="1" applyAlignment="1">
      <alignment horizontal="right" vertical="center"/>
    </xf>
    <xf numFmtId="3" fontId="11" fillId="6" borderId="8" xfId="2" applyNumberFormat="1" applyFont="1" applyFill="1" applyBorder="1" applyAlignment="1">
      <alignment horizontal="right" vertical="center"/>
    </xf>
    <xf numFmtId="9" fontId="15" fillId="0" borderId="24" xfId="1" applyFont="1" applyBorder="1"/>
    <xf numFmtId="0" fontId="3" fillId="2" borderId="20" xfId="2" applyFont="1" applyFill="1" applyBorder="1"/>
    <xf numFmtId="0" fontId="4" fillId="2" borderId="20" xfId="2" applyFont="1" applyFill="1" applyBorder="1"/>
    <xf numFmtId="0" fontId="16" fillId="2" borderId="0" xfId="2" applyFont="1" applyFill="1"/>
    <xf numFmtId="0" fontId="17" fillId="2" borderId="0" xfId="2" applyFont="1" applyFill="1"/>
    <xf numFmtId="3" fontId="4" fillId="2" borderId="2" xfId="2" applyNumberFormat="1" applyFont="1" applyFill="1" applyBorder="1"/>
    <xf numFmtId="0" fontId="8" fillId="2" borderId="4" xfId="2" applyFont="1" applyFill="1" applyBorder="1"/>
    <xf numFmtId="9" fontId="8" fillId="4" borderId="5" xfId="2" applyNumberFormat="1" applyFont="1" applyFill="1" applyBorder="1"/>
    <xf numFmtId="166" fontId="9" fillId="2" borderId="5" xfId="2" applyNumberFormat="1" applyFont="1" applyFill="1" applyBorder="1" applyAlignment="1">
      <alignment horizontal="right" vertical="center"/>
    </xf>
    <xf numFmtId="165" fontId="4" fillId="2" borderId="5" xfId="2" applyNumberFormat="1" applyFont="1" applyFill="1" applyBorder="1" applyAlignment="1">
      <alignment horizontal="center"/>
    </xf>
    <xf numFmtId="166" fontId="4" fillId="0" borderId="5" xfId="2" applyNumberFormat="1" applyFont="1" applyBorder="1"/>
    <xf numFmtId="165" fontId="4" fillId="2" borderId="8" xfId="2" applyNumberFormat="1" applyFont="1" applyFill="1" applyBorder="1" applyAlignment="1">
      <alignment horizontal="center"/>
    </xf>
    <xf numFmtId="165" fontId="17" fillId="2" borderId="0" xfId="2" applyNumberFormat="1" applyFont="1" applyFill="1" applyAlignment="1">
      <alignment horizontal="left"/>
    </xf>
    <xf numFmtId="14" fontId="6" fillId="3" borderId="3" xfId="2" applyNumberFormat="1" applyFont="1" applyFill="1" applyBorder="1"/>
    <xf numFmtId="14" fontId="6" fillId="3" borderId="2" xfId="2" applyNumberFormat="1" applyFont="1" applyFill="1" applyBorder="1"/>
    <xf numFmtId="165" fontId="4" fillId="5" borderId="5" xfId="2" applyNumberFormat="1" applyFont="1" applyFill="1" applyBorder="1"/>
    <xf numFmtId="165" fontId="4" fillId="2" borderId="5" xfId="2" applyNumberFormat="1" applyFont="1" applyFill="1" applyBorder="1"/>
    <xf numFmtId="167" fontId="4" fillId="0" borderId="5" xfId="2" applyNumberFormat="1" applyFont="1" applyBorder="1"/>
    <xf numFmtId="0" fontId="4" fillId="2" borderId="6" xfId="2" applyFont="1" applyFill="1" applyBorder="1" applyAlignment="1">
      <alignment horizontal="left"/>
    </xf>
    <xf numFmtId="0" fontId="8" fillId="2" borderId="8" xfId="2" applyFont="1" applyFill="1" applyBorder="1" applyAlignment="1">
      <alignment horizontal="left"/>
    </xf>
    <xf numFmtId="0" fontId="11" fillId="0" borderId="0" xfId="2" applyFont="1" applyAlignment="1">
      <alignment vertical="center"/>
    </xf>
    <xf numFmtId="3" fontId="11" fillId="0" borderId="0" xfId="2" applyNumberFormat="1" applyFont="1" applyAlignment="1">
      <alignment horizontal="right" vertical="center"/>
    </xf>
    <xf numFmtId="9" fontId="4" fillId="2" borderId="0" xfId="2" applyNumberFormat="1" applyFont="1" applyFill="1" applyAlignment="1">
      <alignment horizontal="left" indent="6"/>
    </xf>
    <xf numFmtId="0" fontId="4" fillId="2" borderId="5" xfId="2" applyFont="1" applyFill="1" applyBorder="1"/>
    <xf numFmtId="2" fontId="4" fillId="2" borderId="0" xfId="2" applyNumberFormat="1" applyFont="1" applyFill="1"/>
    <xf numFmtId="166" fontId="4" fillId="2" borderId="0" xfId="2" applyNumberFormat="1" applyFont="1" applyFill="1"/>
    <xf numFmtId="0" fontId="4" fillId="2" borderId="0" xfId="2" applyFont="1" applyFill="1" applyAlignment="1">
      <alignment horizontal="left"/>
    </xf>
    <xf numFmtId="9" fontId="4" fillId="4" borderId="8" xfId="2" applyNumberFormat="1" applyFont="1" applyFill="1" applyBorder="1"/>
    <xf numFmtId="0" fontId="2" fillId="0" borderId="25" xfId="0" applyFont="1" applyBorder="1"/>
    <xf numFmtId="0" fontId="0" fillId="0" borderId="26" xfId="0" applyBorder="1"/>
    <xf numFmtId="4" fontId="0" fillId="0" borderId="0" xfId="0" applyNumberFormat="1"/>
    <xf numFmtId="0" fontId="2" fillId="8" borderId="0" xfId="0" applyFont="1" applyFill="1"/>
    <xf numFmtId="10" fontId="0" fillId="0" borderId="0" xfId="0" applyNumberFormat="1"/>
    <xf numFmtId="2" fontId="0" fillId="0" borderId="0" xfId="0" applyNumberFormat="1"/>
    <xf numFmtId="2" fontId="0" fillId="8" borderId="0" xfId="0" applyNumberFormat="1" applyFill="1" applyAlignment="1">
      <alignment horizontal="center"/>
    </xf>
    <xf numFmtId="169" fontId="0" fillId="0" borderId="0" xfId="3" applyNumberFormat="1" applyFont="1"/>
  </cellXfs>
  <cellStyles count="4">
    <cellStyle name="Normal" xfId="0" builtinId="0"/>
    <cellStyle name="Normal 3 2" xfId="2" xr:uid="{41756EC8-EFD4-41B7-97E6-D6EE227F43E4}"/>
    <cellStyle name="Procent" xfId="1" builtinId="5"/>
    <cellStyle name="Tusental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[1]Blad1!$R$19</c:f>
              <c:strCache>
                <c:ptCount val="1"/>
                <c:pt idx="0">
                  <c:v>BESS Utility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[1]Blad1!$Q$20:$Q$23</c:f>
              <c:strCache>
                <c:ptCount val="4"/>
                <c:pt idx="0">
                  <c:v>FFR</c:v>
                </c:pt>
                <c:pt idx="1">
                  <c:v>FCR-D up</c:v>
                </c:pt>
                <c:pt idx="2">
                  <c:v>FCR_D dn</c:v>
                </c:pt>
                <c:pt idx="3">
                  <c:v>FCR-N</c:v>
                </c:pt>
              </c:strCache>
            </c:strRef>
          </c:cat>
          <c:val>
            <c:numRef>
              <c:f>[1]Blad1!$R$20:$R$23</c:f>
              <c:numCache>
                <c:formatCode>General</c:formatCode>
                <c:ptCount val="4"/>
                <c:pt idx="0">
                  <c:v>2.1055909090909091</c:v>
                </c:pt>
                <c:pt idx="1">
                  <c:v>3.0559090909090907</c:v>
                </c:pt>
                <c:pt idx="2">
                  <c:v>3.0559090909090907</c:v>
                </c:pt>
                <c:pt idx="3">
                  <c:v>19.950454545454548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1-4DD6-96F1-E5D65A31461A}"/>
            </c:ext>
          </c:extLst>
        </c:ser>
        <c:ser>
          <c:idx val="1"/>
          <c:order val="1"/>
          <c:tx>
            <c:strRef>
              <c:f>[1]Blad1!$S$19</c:f>
              <c:strCache>
                <c:ptCount val="1"/>
                <c:pt idx="0">
                  <c:v>BESS Household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[1]Blad1!$Q$20:$Q$23</c:f>
              <c:strCache>
                <c:ptCount val="4"/>
                <c:pt idx="0">
                  <c:v>FFR</c:v>
                </c:pt>
                <c:pt idx="1">
                  <c:v>FCR-D up</c:v>
                </c:pt>
                <c:pt idx="2">
                  <c:v>FCR_D dn</c:v>
                </c:pt>
                <c:pt idx="3">
                  <c:v>FCR-N</c:v>
                </c:pt>
              </c:strCache>
            </c:strRef>
          </c:cat>
          <c:val>
            <c:numRef>
              <c:f>[1]Blad1!$S$20:$S$23</c:f>
              <c:numCache>
                <c:formatCode>General</c:formatCode>
                <c:ptCount val="4"/>
                <c:pt idx="0">
                  <c:v>2.1328636363636364</c:v>
                </c:pt>
                <c:pt idx="1">
                  <c:v>3.3286363636363632</c:v>
                </c:pt>
                <c:pt idx="2">
                  <c:v>3.3286363636363632</c:v>
                </c:pt>
                <c:pt idx="3">
                  <c:v>24.586818181818185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1-4DD6-96F1-E5D65A31461A}"/>
            </c:ext>
          </c:extLst>
        </c:ser>
        <c:ser>
          <c:idx val="2"/>
          <c:order val="2"/>
          <c:tx>
            <c:strRef>
              <c:f>[1]Blad1!$T$19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[1]Blad1!$Q$20:$Q$23</c:f>
              <c:strCache>
                <c:ptCount val="4"/>
                <c:pt idx="0">
                  <c:v>FFR</c:v>
                </c:pt>
                <c:pt idx="1">
                  <c:v>FCR-D up</c:v>
                </c:pt>
                <c:pt idx="2">
                  <c:v>FCR_D dn</c:v>
                </c:pt>
                <c:pt idx="3">
                  <c:v>FCR-N</c:v>
                </c:pt>
              </c:strCache>
            </c:strRef>
          </c:cat>
          <c:val>
            <c:numRef>
              <c:f>[1]Blad1!$T$20:$T$23</c:f>
              <c:numCache>
                <c:formatCode>General</c:formatCode>
                <c:ptCount val="4"/>
                <c:pt idx="1">
                  <c:v>52.454545454545453</c:v>
                </c:pt>
                <c:pt idx="2">
                  <c:v>2.4545454545454546</c:v>
                </c:pt>
                <c:pt idx="3">
                  <c:v>27.454545454545453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41-4DD6-96F1-E5D65A31461A}"/>
            </c:ext>
          </c:extLst>
        </c:ser>
        <c:ser>
          <c:idx val="3"/>
          <c:order val="3"/>
          <c:tx>
            <c:strRef>
              <c:f>[1]Blad1!$U$19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[1]Blad1!$Q$20:$Q$23</c:f>
              <c:strCache>
                <c:ptCount val="4"/>
                <c:pt idx="0">
                  <c:v>FFR</c:v>
                </c:pt>
                <c:pt idx="1">
                  <c:v>FCR-D up</c:v>
                </c:pt>
                <c:pt idx="2">
                  <c:v>FCR_D dn</c:v>
                </c:pt>
                <c:pt idx="3">
                  <c:v>FCR-N</c:v>
                </c:pt>
              </c:strCache>
            </c:strRef>
          </c:cat>
          <c:val>
            <c:numRef>
              <c:f>[1]Blad1!$U$20:$U$23</c:f>
              <c:numCache>
                <c:formatCode>General</c:formatCode>
                <c:ptCount val="4"/>
                <c:pt idx="1">
                  <c:v>54.454545454545453</c:v>
                </c:pt>
                <c:pt idx="2">
                  <c:v>4.4545454545454541</c:v>
                </c:pt>
                <c:pt idx="3">
                  <c:v>29.454545454545453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41-4DD6-96F1-E5D65A31461A}"/>
            </c:ext>
          </c:extLst>
        </c:ser>
        <c:ser>
          <c:idx val="4"/>
          <c:order val="4"/>
          <c:tx>
            <c:strRef>
              <c:f>[1]Blad1!$V$19</c:f>
              <c:strCache>
                <c:ptCount val="1"/>
                <c:pt idx="0">
                  <c:v>PHS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[1]Blad1!$Q$20:$Q$23</c:f>
              <c:strCache>
                <c:ptCount val="4"/>
                <c:pt idx="0">
                  <c:v>FFR</c:v>
                </c:pt>
                <c:pt idx="1">
                  <c:v>FCR-D up</c:v>
                </c:pt>
                <c:pt idx="2">
                  <c:v>FCR_D dn</c:v>
                </c:pt>
                <c:pt idx="3">
                  <c:v>FCR-N</c:v>
                </c:pt>
              </c:strCache>
            </c:strRef>
          </c:cat>
          <c:val>
            <c:numRef>
              <c:f>[1]Blad1!$V$20:$V$23</c:f>
              <c:numCache>
                <c:formatCode>General</c:formatCode>
                <c:ptCount val="4"/>
                <c:pt idx="0">
                  <c:v>2.0900909090909092</c:v>
                </c:pt>
                <c:pt idx="1">
                  <c:v>2.9009090909090909</c:v>
                </c:pt>
                <c:pt idx="2">
                  <c:v>2.9009090909090909</c:v>
                </c:pt>
                <c:pt idx="3">
                  <c:v>17.31545454545455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41-4DD6-96F1-E5D65A31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566720"/>
        <c:axId val="1484563360"/>
      </c:barChart>
      <c:catAx>
        <c:axId val="14845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84563360"/>
        <c:crosses val="autoZero"/>
        <c:auto val="1"/>
        <c:lblAlgn val="ctr"/>
        <c:lblOffset val="100"/>
        <c:noMultiLvlLbl val="0"/>
      </c:catAx>
      <c:valAx>
        <c:axId val="148456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SRMC [EUR/MW,h]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8456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'Cost of provision'!$D$9</c:f>
              <c:strCache>
                <c:ptCount val="1"/>
                <c:pt idx="0">
                  <c:v>Energy losses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'Cost of provision'!$E$7:$F$7</c:f>
              <c:strCache>
                <c:ptCount val="2"/>
                <c:pt idx="0">
                  <c:v>BESS</c:v>
                </c:pt>
                <c:pt idx="1">
                  <c:v>UPHS</c:v>
                </c:pt>
              </c:strCache>
            </c:strRef>
          </c:cat>
          <c:val>
            <c:numRef>
              <c:f>'Cost of provision'!$E$9:$F$9</c:f>
              <c:numCache>
                <c:formatCode>#,##0.00</c:formatCode>
                <c:ptCount val="2"/>
                <c:pt idx="0">
                  <c:v>8.4130434782608692</c:v>
                </c:pt>
                <c:pt idx="1">
                  <c:v>11.778260869565218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7-4CBB-BB7D-3B7CC4BBB4DC}"/>
            </c:ext>
          </c:extLst>
        </c:ser>
        <c:ser>
          <c:idx val="2"/>
          <c:order val="1"/>
          <c:tx>
            <c:strRef>
              <c:f>'Cost of provision'!$D$10</c:f>
              <c:strCache>
                <c:ptCount val="1"/>
                <c:pt idx="0">
                  <c:v>Variable O&amp;M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'Cost of provision'!$E$7:$F$7</c:f>
              <c:strCache>
                <c:ptCount val="2"/>
                <c:pt idx="0">
                  <c:v>BESS</c:v>
                </c:pt>
                <c:pt idx="1">
                  <c:v>UPHS</c:v>
                </c:pt>
              </c:strCache>
            </c:strRef>
          </c:cat>
          <c:val>
            <c:numRef>
              <c:f>'Cost of provision'!$E$10:$F$10</c:f>
              <c:numCache>
                <c:formatCode>#,##0.00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57-4CBB-BB7D-3B7CC4BBB4DC}"/>
            </c:ext>
          </c:extLst>
        </c:ser>
        <c:ser>
          <c:idx val="0"/>
          <c:order val="2"/>
          <c:tx>
            <c:strRef>
              <c:f>'Cost of provision'!$D$8</c:f>
              <c:strCache>
                <c:ptCount val="1"/>
                <c:pt idx="0">
                  <c:v>Degradation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'Cost of provision'!$E$7:$F$7</c:f>
              <c:strCache>
                <c:ptCount val="2"/>
                <c:pt idx="0">
                  <c:v>BESS</c:v>
                </c:pt>
                <c:pt idx="1">
                  <c:v>UPHS</c:v>
                </c:pt>
              </c:strCache>
            </c:strRef>
          </c:cat>
          <c:val>
            <c:numRef>
              <c:f>'Cost of provision'!$E$8:$F$8</c:f>
              <c:numCache>
                <c:formatCode>#,##0.00</c:formatCode>
                <c:ptCount val="2"/>
                <c:pt idx="0">
                  <c:v>56.25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7-4CBB-BB7D-3B7CC4BBB4DC}"/>
            </c:ext>
          </c:extLst>
        </c:ser>
        <c:ser>
          <c:idx val="3"/>
          <c:order val="3"/>
          <c:tx>
            <c:strRef>
              <c:f>'Cost of provision'!$D$14</c:f>
              <c:strCache>
                <c:ptCount val="1"/>
                <c:pt idx="0">
                  <c:v>Trading costs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'Cost of provision'!$E$14:$F$14</c:f>
              <c:numCache>
                <c:formatCode>#,##0.00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7-46DA-8E32-7A02C209E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8470592"/>
        <c:axId val="1118469152"/>
      </c:barChart>
      <c:catAx>
        <c:axId val="11184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18469152"/>
        <c:crosses val="autoZero"/>
        <c:auto val="1"/>
        <c:lblAlgn val="ctr"/>
        <c:lblOffset val="100"/>
        <c:noMultiLvlLbl val="0"/>
      </c:catAx>
      <c:valAx>
        <c:axId val="11184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 per cycle,</a:t>
                </a:r>
                <a:r>
                  <a:rPr lang="en-US" baseline="0"/>
                  <a:t> 1 MWh </a:t>
                </a:r>
                <a:r>
                  <a:rPr lang="en-US"/>
                  <a:t>[EUR]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184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'Cost of provision'!$D$20</c:f>
              <c:strCache>
                <c:ptCount val="1"/>
                <c:pt idx="0">
                  <c:v>BESS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'Cost of provision'!$E$19:$I$19</c:f>
              <c:numCache>
                <c:formatCode>_-* #\ ##0_-;\-* #\ ##0_-;_-* "-"??_-;_-@_-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'Cost of provision'!$E$20:$I$20</c:f>
              <c:numCache>
                <c:formatCode>#,##0.00</c:formatCode>
                <c:ptCount val="5"/>
                <c:pt idx="0">
                  <c:v>57.163043478260867</c:v>
                </c:pt>
                <c:pt idx="1">
                  <c:v>64.663043478260875</c:v>
                </c:pt>
                <c:pt idx="2">
                  <c:v>72.163043478260875</c:v>
                </c:pt>
                <c:pt idx="3">
                  <c:v>79.663043478260875</c:v>
                </c:pt>
                <c:pt idx="4">
                  <c:v>87.163043478260875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F-4C25-AA84-9EBCA919C191}"/>
            </c:ext>
          </c:extLst>
        </c:ser>
        <c:ser>
          <c:idx val="1"/>
          <c:order val="1"/>
          <c:tx>
            <c:strRef>
              <c:f>'Cost of provision'!$D$21</c:f>
              <c:strCache>
                <c:ptCount val="1"/>
                <c:pt idx="0">
                  <c:v>UPHS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'Cost of provision'!$E$19:$I$19</c:f>
              <c:numCache>
                <c:formatCode>_-* #\ ##0_-;\-* #\ ##0_-;_-* "-"??_-;_-@_-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'Cost of provision'!$E$21:$I$21</c:f>
              <c:numCache>
                <c:formatCode>#,##0.00</c:formatCode>
                <c:ptCount val="5"/>
                <c:pt idx="0">
                  <c:v>6.2782608695652176</c:v>
                </c:pt>
                <c:pt idx="1">
                  <c:v>16.778260869565216</c:v>
                </c:pt>
                <c:pt idx="2">
                  <c:v>27.278260869565216</c:v>
                </c:pt>
                <c:pt idx="3">
                  <c:v>37.778260869565216</c:v>
                </c:pt>
                <c:pt idx="4">
                  <c:v>48.278260869565216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F-4C25-AA84-9EBCA919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54703"/>
        <c:axId val="828371455"/>
      </c:lineChart>
      <c:catAx>
        <c:axId val="1255854703"/>
        <c:scaling>
          <c:orientation val="minMax"/>
        </c:scaling>
        <c:delete val="0"/>
        <c:axPos val="b"/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28371455"/>
        <c:crosses val="autoZero"/>
        <c:auto val="1"/>
        <c:lblAlgn val="ctr"/>
        <c:lblOffset val="100"/>
        <c:noMultiLvlLbl val="0"/>
      </c:catAx>
      <c:valAx>
        <c:axId val="82837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 dirty="0">
                    <a:solidFill>
                      <a:prstClr val="black">
                        <a:lumMod val="65000"/>
                        <a:lumOff val="35000"/>
                      </a:prstClr>
                    </a:solidFill>
                  </a:rPr>
                  <a:t>Cost  per cycle, 1 MWh [EUR]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558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provision'!$E$28</c:f>
              <c:strCache>
                <c:ptCount val="1"/>
                <c:pt idx="0">
                  <c:v>BESS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'Cost of provision'!$D$29:$D$33</c:f>
              <c:strCache>
                <c:ptCount val="5"/>
                <c:pt idx="0">
                  <c:v>FFR</c:v>
                </c:pt>
                <c:pt idx="1">
                  <c:v>FCR-D up</c:v>
                </c:pt>
                <c:pt idx="2">
                  <c:v>FCR-D dn</c:v>
                </c:pt>
                <c:pt idx="3">
                  <c:v>FCR-N</c:v>
                </c:pt>
                <c:pt idx="4">
                  <c:v>Spot</c:v>
                </c:pt>
              </c:strCache>
            </c:strRef>
          </c:cat>
          <c:val>
            <c:numRef>
              <c:f>'Cost of provision'!$E$29:$E$33</c:f>
              <c:numCache>
                <c:formatCode>#,##0.00</c:formatCode>
                <c:ptCount val="5"/>
                <c:pt idx="0">
                  <c:v>4.0646630434782605</c:v>
                </c:pt>
                <c:pt idx="1">
                  <c:v>4.6466304347826091</c:v>
                </c:pt>
                <c:pt idx="2">
                  <c:v>4.6466304347826091</c:v>
                </c:pt>
                <c:pt idx="3">
                  <c:v>14.99271739130435</c:v>
                </c:pt>
                <c:pt idx="4">
                  <c:v>68.663043478260875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D-460A-A3B6-96453AB4BB24}"/>
            </c:ext>
          </c:extLst>
        </c:ser>
        <c:ser>
          <c:idx val="1"/>
          <c:order val="1"/>
          <c:tx>
            <c:strRef>
              <c:f>'Cost of provision'!$F$28</c:f>
              <c:strCache>
                <c:ptCount val="1"/>
                <c:pt idx="0">
                  <c:v>UPHS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'Cost of provision'!$D$29:$D$33</c:f>
              <c:strCache>
                <c:ptCount val="5"/>
                <c:pt idx="0">
                  <c:v>FFR</c:v>
                </c:pt>
                <c:pt idx="1">
                  <c:v>FCR-D up</c:v>
                </c:pt>
                <c:pt idx="2">
                  <c:v>FCR-D dn</c:v>
                </c:pt>
                <c:pt idx="3">
                  <c:v>FCR-N</c:v>
                </c:pt>
                <c:pt idx="4">
                  <c:v>Spot</c:v>
                </c:pt>
              </c:strCache>
            </c:strRef>
          </c:cat>
          <c:val>
            <c:numRef>
              <c:f>'Cost of provision'!$F$29:$F$33</c:f>
              <c:numCache>
                <c:formatCode>#,##0.00</c:formatCode>
                <c:ptCount val="5"/>
                <c:pt idx="0">
                  <c:v>4.0167782608695655</c:v>
                </c:pt>
                <c:pt idx="1">
                  <c:v>4.167782608695652</c:v>
                </c:pt>
                <c:pt idx="2">
                  <c:v>4.167782608695652</c:v>
                </c:pt>
                <c:pt idx="3">
                  <c:v>6.8523043478260863</c:v>
                </c:pt>
                <c:pt idx="4">
                  <c:v>20.778260869565216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D-460A-A3B6-96453AB4B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645631"/>
        <c:axId val="825643711"/>
      </c:barChart>
      <c:catAx>
        <c:axId val="82564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25643711"/>
        <c:crosses val="autoZero"/>
        <c:auto val="1"/>
        <c:lblAlgn val="ctr"/>
        <c:lblOffset val="100"/>
        <c:noMultiLvlLbl val="0"/>
      </c:catAx>
      <c:valAx>
        <c:axId val="8256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 dirty="0">
                    <a:solidFill>
                      <a:prstClr val="black">
                        <a:lumMod val="65000"/>
                        <a:lumOff val="35000"/>
                      </a:prstClr>
                    </a:solidFill>
                  </a:rPr>
                  <a:t>Cost  of provision at a spot price of 50 EUR/MWh, 1 MWh [EUR]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2564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CAPEX!$A$2</c:f>
              <c:strCache>
                <c:ptCount val="1"/>
                <c:pt idx="0">
                  <c:v>BESS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CAPEX!$B$2:$U$2</c:f>
              <c:numCache>
                <c:formatCode>General</c:formatCode>
                <c:ptCount val="20"/>
                <c:pt idx="0">
                  <c:v>0.45</c:v>
                </c:pt>
                <c:pt idx="1">
                  <c:v>0.69005000000000005</c:v>
                </c:pt>
                <c:pt idx="2">
                  <c:v>0.92772425000000003</c:v>
                </c:pt>
                <c:pt idx="3">
                  <c:v>1.1605960099999999</c:v>
                </c:pt>
                <c:pt idx="4">
                  <c:v>1.3887375623749998</c:v>
                </c:pt>
                <c:pt idx="5">
                  <c:v>1.6122202241014998</c:v>
                </c:pt>
                <c:pt idx="6">
                  <c:v>1.8311143588372323</c:v>
                </c:pt>
                <c:pt idx="7">
                  <c:v>2.0454893888558399</c:v>
                </c:pt>
                <c:pt idx="8">
                  <c:v>2.2554138068381917</c:v>
                </c:pt>
                <c:pt idx="9">
                  <c:v>2.460955187522011</c:v>
                </c:pt>
                <c:pt idx="10">
                  <c:v>2.6621801992114698</c:v>
                </c:pt>
                <c:pt idx="11">
                  <c:v>2.8591546151483875</c:v>
                </c:pt>
                <c:pt idx="12">
                  <c:v>3.0519433247466452</c:v>
                </c:pt>
                <c:pt idx="13">
                  <c:v>3.2406103446914236</c:v>
                </c:pt>
                <c:pt idx="14">
                  <c:v>3.4252188299048312</c:v>
                </c:pt>
                <c:pt idx="15">
                  <c:v>3.6058310843795018</c:v>
                </c:pt>
                <c:pt idx="16">
                  <c:v>3.7825085718816887</c:v>
                </c:pt>
                <c:pt idx="17">
                  <c:v>3.9553119265253933</c:v>
                </c:pt>
                <c:pt idx="18">
                  <c:v>4.1243009632190351</c:v>
                </c:pt>
                <c:pt idx="19">
                  <c:v>4.2895346879861531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7-412B-8B1B-B66098B116CF}"/>
            </c:ext>
          </c:extLst>
        </c:ser>
        <c:ser>
          <c:idx val="2"/>
          <c:order val="1"/>
          <c:tx>
            <c:strRef>
              <c:f>CAPEX!$A$3</c:f>
              <c:strCache>
                <c:ptCount val="1"/>
                <c:pt idx="0">
                  <c:v>UPHS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CAPEX!$B$3:$U$3</c:f>
              <c:numCache>
                <c:formatCode>General</c:formatCode>
                <c:ptCount val="20"/>
                <c:pt idx="6">
                  <c:v>2</c:v>
                </c:pt>
                <c:pt idx="7">
                  <c:v>2.0529999999999999</c:v>
                </c:pt>
                <c:pt idx="8">
                  <c:v>2.1059999999999999</c:v>
                </c:pt>
                <c:pt idx="9">
                  <c:v>2.1589999999999998</c:v>
                </c:pt>
                <c:pt idx="10">
                  <c:v>2.2119999999999997</c:v>
                </c:pt>
                <c:pt idx="11">
                  <c:v>2.2649999999999997</c:v>
                </c:pt>
                <c:pt idx="12">
                  <c:v>2.3179999999999996</c:v>
                </c:pt>
                <c:pt idx="13">
                  <c:v>2.3709999999999996</c:v>
                </c:pt>
                <c:pt idx="14">
                  <c:v>2.4239999999999995</c:v>
                </c:pt>
                <c:pt idx="15">
                  <c:v>2.4769999999999994</c:v>
                </c:pt>
                <c:pt idx="16">
                  <c:v>2.5299999999999994</c:v>
                </c:pt>
                <c:pt idx="17">
                  <c:v>2.5829999999999993</c:v>
                </c:pt>
                <c:pt idx="18">
                  <c:v>2.6359999999999992</c:v>
                </c:pt>
                <c:pt idx="19">
                  <c:v>2.6889999999999992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7-412B-8B1B-B66098B1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398224"/>
        <c:axId val="1089409744"/>
      </c:lineChart>
      <c:catAx>
        <c:axId val="108939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89409744"/>
        <c:crosses val="autoZero"/>
        <c:auto val="1"/>
        <c:lblAlgn val="ctr"/>
        <c:lblOffset val="100"/>
        <c:noMultiLvlLbl val="0"/>
      </c:catAx>
      <c:valAx>
        <c:axId val="10894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CAPEX [MEUR/MW]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8939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462915</xdr:colOff>
      <xdr:row>69</xdr:row>
      <xdr:rowOff>174307</xdr:rowOff>
    </xdr:from>
    <xdr:to>
      <xdr:col>9</xdr:col>
      <xdr:colOff>941070</xdr:colOff>
      <xdr:row>85</xdr:row>
      <xdr:rowOff>18097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38BFB5B-932B-4595-BFB6-A73155BCA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489585</xdr:colOff>
      <xdr:row>0</xdr:row>
      <xdr:rowOff>1</xdr:rowOff>
    </xdr:from>
    <xdr:to>
      <xdr:col>13</xdr:col>
      <xdr:colOff>537210</xdr:colOff>
      <xdr:row>13</xdr:row>
      <xdr:rowOff>91441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61C47EC2-671C-4290-33DC-CCF46AC88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14</xdr:row>
      <xdr:rowOff>53340</xdr:rowOff>
    </xdr:from>
    <xdr:to>
      <xdr:col>15</xdr:col>
      <xdr:colOff>514350</xdr:colOff>
      <xdr:row>29</xdr:row>
      <xdr:rowOff>53340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E224B5D-A754-A878-6001-562B6363D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198120</xdr:colOff>
      <xdr:row>19</xdr:row>
      <xdr:rowOff>41910</xdr:rowOff>
    </xdr:from>
    <xdr:to>
      <xdr:col>10</xdr:col>
      <xdr:colOff>22860</xdr:colOff>
      <xdr:row>34</xdr:row>
      <xdr:rowOff>41910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3B59E03-CB26-71F8-3125-654A0B4AB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11</xdr:row>
      <xdr:rowOff>157162</xdr:rowOff>
    </xdr:from>
    <xdr:to>
      <xdr:col>17</xdr:col>
      <xdr:colOff>381000</xdr:colOff>
      <xdr:row>27</xdr:row>
      <xdr:rowOff>4762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E806DD4-CCA2-9824-3008-2806D5566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oopia2159547.sharepoint.com/sites/MerlinMetis/Shared%20Documents/Uppdrag/P&#229;g&#229;ende%20uppdrag/70_BESS_Rocmore%20energy/Arbetsmaterial/Cost%20of%20provision_Master.xlsx" TargetMode="External"/><Relationship Id="rId1" Type="http://schemas.openxmlformats.org/officeDocument/2006/relationships/externalLinkPath" Target="/sites/MerlinMetis/Shared%20Documents/Uppdrag/P&#229;g&#229;ende%20uppdrag/70_BESS_Rocmore%20energy/Arbetsmaterial/Cost%20of%20provision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lad1"/>
    </sheetNames>
    <sheetDataSet>
      <sheetData sheetId="0">
        <row r="19">
          <cell r="R19" t="str">
            <v>BESS Utility</v>
          </cell>
          <cell r="S19" t="str">
            <v>BESS Household</v>
          </cell>
          <cell r="T19" t="str">
            <v>Wind</v>
          </cell>
          <cell r="U19" t="str">
            <v>Solar</v>
          </cell>
          <cell r="V19" t="str">
            <v>PHS</v>
          </cell>
        </row>
        <row r="20">
          <cell r="Q20" t="str">
            <v>FFR</v>
          </cell>
          <cell r="R20">
            <v>2.1055909090909091</v>
          </cell>
          <cell r="S20">
            <v>2.1328636363636364</v>
          </cell>
          <cell r="T20"/>
          <cell r="U20"/>
          <cell r="V20">
            <v>2.0900909090909092</v>
          </cell>
        </row>
        <row r="21">
          <cell r="Q21" t="str">
            <v>FCR-D up</v>
          </cell>
          <cell r="R21">
            <v>3.0559090909090907</v>
          </cell>
          <cell r="S21">
            <v>3.3286363636363632</v>
          </cell>
          <cell r="T21">
            <v>52.454545454545453</v>
          </cell>
          <cell r="U21">
            <v>54.454545454545453</v>
          </cell>
          <cell r="V21">
            <v>2.9009090909090909</v>
          </cell>
        </row>
        <row r="22">
          <cell r="Q22" t="str">
            <v>FCR_D dn</v>
          </cell>
          <cell r="R22">
            <v>3.0559090909090907</v>
          </cell>
          <cell r="S22">
            <v>3.3286363636363632</v>
          </cell>
          <cell r="T22">
            <v>2.4545454545454546</v>
          </cell>
          <cell r="U22">
            <v>4.4545454545454541</v>
          </cell>
          <cell r="V22">
            <v>2.9009090909090909</v>
          </cell>
        </row>
        <row r="23">
          <cell r="Q23" t="str">
            <v>FCR-N</v>
          </cell>
          <cell r="R23">
            <v>19.950454545454548</v>
          </cell>
          <cell r="S23">
            <v>24.586818181818185</v>
          </cell>
          <cell r="T23">
            <v>27.454545454545453</v>
          </cell>
          <cell r="U23">
            <v>29.454545454545453</v>
          </cell>
          <cell r="V23">
            <v>17.31545454545455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747E-DBA5-4D5D-A9BD-EDB24B707991}">
  <dimension ref="A1:U80"/>
  <sheetViews>
    <sheetView tabSelected="1" workbookViewId="0">
      <selection activeCell="E13" sqref="E13"/>
    </sheetView>
  </sheetViews>
  <sheetFormatPr defaultRowHeight="14.4" x14ac:dyDescent="0.3"/>
  <cols>
    <col min="4" max="4" width="16.5546875" bestFit="1" customWidth="1"/>
    <col min="5" max="5" width="15" bestFit="1" customWidth="1"/>
    <col min="8" max="8" width="25.109375" bestFit="1" customWidth="1"/>
    <col min="9" max="9" width="18.88671875" bestFit="1" customWidth="1"/>
    <col min="10" max="10" width="16.33203125" bestFit="1" customWidth="1"/>
    <col min="11" max="11" width="12" bestFit="1" customWidth="1"/>
    <col min="12" max="12" width="12.21875" bestFit="1" customWidth="1"/>
    <col min="14" max="14" width="12.33203125" bestFit="1" customWidth="1"/>
    <col min="15" max="15" width="14.6640625" customWidth="1"/>
  </cols>
  <sheetData>
    <row r="1" spans="1:13" x14ac:dyDescent="0.3">
      <c r="A1" t="s">
        <v>103</v>
      </c>
      <c r="C1" s="151"/>
    </row>
    <row r="2" spans="1:13" x14ac:dyDescent="0.3">
      <c r="A2" t="s">
        <v>106</v>
      </c>
      <c r="B2">
        <v>11.5</v>
      </c>
      <c r="C2" s="151"/>
    </row>
    <row r="3" spans="1:13" x14ac:dyDescent="0.3">
      <c r="C3" s="151"/>
    </row>
    <row r="4" spans="1:13" x14ac:dyDescent="0.3">
      <c r="C4" s="151"/>
      <c r="E4" s="1" t="s">
        <v>0</v>
      </c>
      <c r="F4" s="1" t="s">
        <v>132</v>
      </c>
      <c r="G4" s="1" t="s">
        <v>104</v>
      </c>
      <c r="H4" s="1" t="s">
        <v>105</v>
      </c>
      <c r="K4" t="str">
        <f>D8</f>
        <v xml:space="preserve">Degradation </v>
      </c>
      <c r="L4" t="str">
        <f>D9</f>
        <v>Energy losses</v>
      </c>
      <c r="M4" t="str">
        <f>D10</f>
        <v>Variable O&amp;M</v>
      </c>
    </row>
    <row r="5" spans="1:13" x14ac:dyDescent="0.3">
      <c r="C5" s="151"/>
      <c r="D5" t="s">
        <v>32</v>
      </c>
      <c r="E5" s="151">
        <v>450000</v>
      </c>
      <c r="F5" s="151">
        <f>150000/75</f>
        <v>2000</v>
      </c>
      <c r="G5" s="151"/>
      <c r="H5" s="151"/>
      <c r="J5" t="s">
        <v>0</v>
      </c>
      <c r="K5" s="151">
        <f>E8</f>
        <v>56.25</v>
      </c>
      <c r="L5" s="151">
        <f>E9</f>
        <v>8.4130434782608692</v>
      </c>
      <c r="M5" s="151">
        <f>E10</f>
        <v>0</v>
      </c>
    </row>
    <row r="6" spans="1:13" x14ac:dyDescent="0.3">
      <c r="C6" s="151"/>
      <c r="D6" t="s">
        <v>131</v>
      </c>
      <c r="E6" s="151">
        <v>8000</v>
      </c>
      <c r="F6" s="151"/>
      <c r="G6" s="151"/>
      <c r="H6" s="151"/>
      <c r="J6" t="s">
        <v>1</v>
      </c>
      <c r="K6" s="151">
        <f>F8</f>
        <v>0</v>
      </c>
      <c r="L6" s="151">
        <f>F9</f>
        <v>11.778260869565218</v>
      </c>
      <c r="M6" s="151">
        <f>F10</f>
        <v>5</v>
      </c>
    </row>
    <row r="7" spans="1:13" s="1" customFormat="1" x14ac:dyDescent="0.3">
      <c r="E7" s="1" t="s">
        <v>0</v>
      </c>
      <c r="F7" s="1" t="str">
        <f>F4</f>
        <v>UPHS</v>
      </c>
    </row>
    <row r="8" spans="1:13" x14ac:dyDescent="0.3">
      <c r="C8" s="151"/>
      <c r="D8" t="s">
        <v>129</v>
      </c>
      <c r="E8" s="151">
        <f>E5/E6</f>
        <v>56.25</v>
      </c>
      <c r="F8" s="151">
        <v>0</v>
      </c>
      <c r="G8" s="151"/>
      <c r="H8" s="151"/>
    </row>
    <row r="9" spans="1:13" x14ac:dyDescent="0.3">
      <c r="C9" s="151"/>
      <c r="D9" t="s">
        <v>130</v>
      </c>
      <c r="E9" s="151">
        <f>0.15*E13</f>
        <v>8.4130434782608692</v>
      </c>
      <c r="F9" s="151">
        <f>0.21*E13</f>
        <v>11.778260869565218</v>
      </c>
      <c r="G9" s="151"/>
      <c r="H9" s="151"/>
    </row>
    <row r="10" spans="1:13" x14ac:dyDescent="0.3">
      <c r="C10" s="151"/>
      <c r="D10" t="s">
        <v>135</v>
      </c>
      <c r="E10" s="151">
        <v>0</v>
      </c>
      <c r="F10" s="151">
        <v>5</v>
      </c>
      <c r="G10" s="151">
        <v>500</v>
      </c>
      <c r="H10" s="151">
        <v>500</v>
      </c>
    </row>
    <row r="11" spans="1:13" x14ac:dyDescent="0.3">
      <c r="C11" s="151"/>
      <c r="D11" t="s">
        <v>133</v>
      </c>
      <c r="E11" s="151">
        <v>50</v>
      </c>
      <c r="F11" s="151">
        <v>50</v>
      </c>
      <c r="G11" s="151"/>
      <c r="H11" s="151"/>
    </row>
    <row r="12" spans="1:13" x14ac:dyDescent="0.3">
      <c r="C12" s="151"/>
      <c r="D12" t="s">
        <v>107</v>
      </c>
      <c r="E12" s="151">
        <f>70/B2</f>
        <v>6.0869565217391308</v>
      </c>
      <c r="F12" s="151">
        <f>E12</f>
        <v>6.0869565217391308</v>
      </c>
      <c r="G12" s="151"/>
      <c r="H12" s="151"/>
    </row>
    <row r="13" spans="1:13" x14ac:dyDescent="0.3">
      <c r="C13" s="151"/>
      <c r="D13" t="s">
        <v>108</v>
      </c>
      <c r="E13" s="151">
        <f>SUM(E10:E12)</f>
        <v>56.086956521739133</v>
      </c>
      <c r="F13" s="151">
        <f>SUM(F12:F12)+F10</f>
        <v>11.086956521739131</v>
      </c>
      <c r="G13" s="151"/>
      <c r="H13" s="151"/>
    </row>
    <row r="14" spans="1:13" x14ac:dyDescent="0.3">
      <c r="C14" s="151"/>
      <c r="D14" t="s">
        <v>137</v>
      </c>
      <c r="E14" s="151">
        <v>4</v>
      </c>
      <c r="F14" s="151">
        <v>4</v>
      </c>
      <c r="G14" s="151"/>
      <c r="H14" s="151"/>
    </row>
    <row r="15" spans="1:13" x14ac:dyDescent="0.3">
      <c r="C15" s="151"/>
      <c r="E15" s="151"/>
      <c r="F15" s="151"/>
      <c r="G15" s="151"/>
      <c r="H15" s="151"/>
    </row>
    <row r="16" spans="1:13" x14ac:dyDescent="0.3">
      <c r="C16" s="151"/>
      <c r="E16" s="151"/>
      <c r="F16" s="151"/>
      <c r="G16" s="151"/>
      <c r="H16" s="151"/>
    </row>
    <row r="17" spans="3:13" x14ac:dyDescent="0.3">
      <c r="C17" s="151"/>
      <c r="E17" s="151"/>
      <c r="F17" s="151"/>
      <c r="G17" s="151"/>
      <c r="H17" s="151"/>
    </row>
    <row r="18" spans="3:13" x14ac:dyDescent="0.3">
      <c r="C18" s="151"/>
      <c r="E18" s="151"/>
      <c r="F18" s="151"/>
      <c r="G18" s="151"/>
      <c r="H18" s="151"/>
    </row>
    <row r="19" spans="3:13" x14ac:dyDescent="0.3">
      <c r="C19" s="151" t="s">
        <v>134</v>
      </c>
      <c r="E19" s="156">
        <v>0</v>
      </c>
      <c r="F19" s="156">
        <v>50</v>
      </c>
      <c r="G19" s="156">
        <v>100</v>
      </c>
      <c r="H19" s="156">
        <v>150</v>
      </c>
      <c r="I19" s="156">
        <v>200</v>
      </c>
      <c r="J19" s="156"/>
      <c r="K19" s="156"/>
      <c r="L19" s="156"/>
      <c r="M19" s="156"/>
    </row>
    <row r="20" spans="3:13" x14ac:dyDescent="0.3">
      <c r="C20" s="151"/>
      <c r="D20" t="s">
        <v>0</v>
      </c>
      <c r="E20" s="151">
        <f>$E$8+0.15*(E19+$E$12)</f>
        <v>57.163043478260867</v>
      </c>
      <c r="F20" s="151">
        <f>$E$8+0.15*(F19+$E$12)</f>
        <v>64.663043478260875</v>
      </c>
      <c r="G20" s="151">
        <f>$E$8+0.15*(G19+$E$12)</f>
        <v>72.163043478260875</v>
      </c>
      <c r="H20" s="151">
        <f>$E$8+0.15*(H19+$E$12)</f>
        <v>79.663043478260875</v>
      </c>
      <c r="I20" s="151">
        <f>$E$8+0.15*(I19+$E$12)</f>
        <v>87.163043478260875</v>
      </c>
    </row>
    <row r="21" spans="3:13" x14ac:dyDescent="0.3">
      <c r="C21" s="151"/>
      <c r="D21" s="151" t="s">
        <v>132</v>
      </c>
      <c r="E21" s="151">
        <f>$F$10+0.21*(E19+$F$12)</f>
        <v>6.2782608695652176</v>
      </c>
      <c r="F21" s="151">
        <f>$F$10+0.21*(F19+$F$12)</f>
        <v>16.778260869565216</v>
      </c>
      <c r="G21" s="151">
        <f>$F$10+0.21*(G19+$F$12)</f>
        <v>27.278260869565216</v>
      </c>
      <c r="H21" s="151">
        <f>$F$10+0.21*(H19+$F$12)</f>
        <v>37.778260869565216</v>
      </c>
      <c r="I21" s="151">
        <f>$F$10+0.21*(I19+$F$12)</f>
        <v>48.278260869565216</v>
      </c>
      <c r="J21" s="151"/>
      <c r="K21" s="151"/>
    </row>
    <row r="22" spans="3:13" x14ac:dyDescent="0.3">
      <c r="C22" s="151"/>
      <c r="D22" s="151"/>
      <c r="H22" s="151"/>
      <c r="I22" s="151"/>
      <c r="J22" s="151"/>
      <c r="K22" s="151"/>
    </row>
    <row r="23" spans="3:13" x14ac:dyDescent="0.3">
      <c r="C23" s="151"/>
      <c r="D23" s="151"/>
      <c r="H23" s="151"/>
      <c r="I23" s="151"/>
      <c r="J23" s="151"/>
      <c r="K23" s="151"/>
    </row>
    <row r="24" spans="3:13" x14ac:dyDescent="0.3">
      <c r="C24" s="151"/>
      <c r="D24" s="151"/>
      <c r="H24" s="151"/>
      <c r="I24" s="151"/>
      <c r="J24" s="151"/>
      <c r="K24" s="151"/>
    </row>
    <row r="25" spans="3:13" x14ac:dyDescent="0.3">
      <c r="C25" s="151"/>
      <c r="D25" s="151"/>
      <c r="H25" s="151"/>
      <c r="I25" s="151"/>
      <c r="J25" s="151"/>
      <c r="K25" s="151"/>
    </row>
    <row r="26" spans="3:13" x14ac:dyDescent="0.3">
      <c r="C26" s="151"/>
      <c r="D26" s="151"/>
      <c r="H26" s="151"/>
      <c r="I26" s="151"/>
      <c r="J26" s="151"/>
      <c r="K26" s="151"/>
    </row>
    <row r="27" spans="3:13" x14ac:dyDescent="0.3">
      <c r="C27" s="151"/>
      <c r="D27" s="151"/>
      <c r="H27" s="151"/>
      <c r="I27" s="151"/>
      <c r="J27" s="151"/>
      <c r="K27" s="151"/>
    </row>
    <row r="28" spans="3:13" x14ac:dyDescent="0.3">
      <c r="C28" t="s">
        <v>113</v>
      </c>
      <c r="D28" s="151"/>
      <c r="E28" t="s">
        <v>0</v>
      </c>
      <c r="F28" t="s">
        <v>132</v>
      </c>
      <c r="H28" s="151"/>
      <c r="I28" s="151"/>
      <c r="J28" s="151"/>
      <c r="K28" s="151"/>
    </row>
    <row r="29" spans="3:13" x14ac:dyDescent="0.3">
      <c r="C29" s="153">
        <v>1E-3</v>
      </c>
      <c r="D29" t="s">
        <v>117</v>
      </c>
      <c r="E29" s="151">
        <f>($E$8+$E$9)*C29+$E$14</f>
        <v>4.0646630434782605</v>
      </c>
      <c r="F29" s="151">
        <f>($F$9+$F$10)*C29+$E$14</f>
        <v>4.0167782608695655</v>
      </c>
      <c r="I29" s="151"/>
      <c r="J29" s="151"/>
      <c r="K29" s="151"/>
      <c r="L29" s="151"/>
    </row>
    <row r="30" spans="3:13" x14ac:dyDescent="0.3">
      <c r="C30" s="153">
        <v>0.01</v>
      </c>
      <c r="D30" t="s">
        <v>120</v>
      </c>
      <c r="E30" s="151">
        <f t="shared" ref="E30:E33" si="0">($E$8+$E$9)*C30+$E$14</f>
        <v>4.6466304347826091</v>
      </c>
      <c r="F30" s="151">
        <f t="shared" ref="F30:F33" si="1">($F$9+$F$10)*C30+$E$14</f>
        <v>4.167782608695652</v>
      </c>
      <c r="I30" s="151"/>
      <c r="J30" s="151"/>
      <c r="K30" s="151"/>
      <c r="L30" s="151"/>
    </row>
    <row r="31" spans="3:13" x14ac:dyDescent="0.3">
      <c r="C31" s="153">
        <f>C30</f>
        <v>0.01</v>
      </c>
      <c r="D31" t="s">
        <v>138</v>
      </c>
      <c r="E31" s="151">
        <f t="shared" si="0"/>
        <v>4.6466304347826091</v>
      </c>
      <c r="F31" s="151">
        <f t="shared" si="1"/>
        <v>4.167782608695652</v>
      </c>
      <c r="I31" s="151"/>
      <c r="J31" s="151"/>
      <c r="K31" s="151"/>
      <c r="L31" s="151"/>
    </row>
    <row r="32" spans="3:13" x14ac:dyDescent="0.3">
      <c r="C32" s="153">
        <v>0.17</v>
      </c>
      <c r="D32" t="s">
        <v>122</v>
      </c>
      <c r="E32" s="151">
        <f t="shared" si="0"/>
        <v>14.99271739130435</v>
      </c>
      <c r="F32" s="151">
        <f t="shared" si="1"/>
        <v>6.8523043478260863</v>
      </c>
      <c r="I32" s="151"/>
      <c r="J32" s="151"/>
      <c r="K32" s="151"/>
      <c r="L32" s="151"/>
    </row>
    <row r="33" spans="3:12" x14ac:dyDescent="0.3">
      <c r="C33" s="153">
        <v>1</v>
      </c>
      <c r="D33" s="151" t="s">
        <v>136</v>
      </c>
      <c r="E33" s="151">
        <f t="shared" si="0"/>
        <v>68.663043478260875</v>
      </c>
      <c r="F33" s="151">
        <f t="shared" si="1"/>
        <v>20.778260869565216</v>
      </c>
      <c r="I33" s="151"/>
      <c r="J33" s="151"/>
      <c r="K33" s="151"/>
      <c r="L33" s="151"/>
    </row>
    <row r="34" spans="3:12" x14ac:dyDescent="0.3">
      <c r="D34" s="151"/>
      <c r="E34" s="151"/>
      <c r="I34" s="151"/>
      <c r="J34" s="151"/>
      <c r="K34" s="151"/>
      <c r="L34" s="151"/>
    </row>
    <row r="35" spans="3:12" x14ac:dyDescent="0.3">
      <c r="D35" s="151"/>
      <c r="E35" s="151"/>
      <c r="I35" s="151"/>
      <c r="J35" s="151"/>
      <c r="K35" s="151"/>
      <c r="L35" s="151"/>
    </row>
    <row r="36" spans="3:12" x14ac:dyDescent="0.3">
      <c r="D36" s="151"/>
      <c r="E36" s="151"/>
      <c r="I36" s="151"/>
      <c r="J36" s="151"/>
      <c r="K36" s="151"/>
      <c r="L36" s="151"/>
    </row>
    <row r="37" spans="3:12" x14ac:dyDescent="0.3">
      <c r="D37" s="151"/>
      <c r="E37" s="151"/>
      <c r="I37" s="151"/>
      <c r="J37" s="151"/>
      <c r="K37" s="151"/>
      <c r="L37" s="151"/>
    </row>
    <row r="38" spans="3:12" x14ac:dyDescent="0.3">
      <c r="D38" s="151"/>
      <c r="E38" s="151"/>
      <c r="I38" s="151"/>
      <c r="J38" s="151"/>
      <c r="K38" s="151"/>
      <c r="L38" s="151"/>
    </row>
    <row r="39" spans="3:12" x14ac:dyDescent="0.3">
      <c r="D39" s="151"/>
      <c r="E39" s="151"/>
      <c r="I39" s="151"/>
      <c r="J39" s="151"/>
      <c r="K39" s="151"/>
      <c r="L39" s="151"/>
    </row>
    <row r="40" spans="3:12" x14ac:dyDescent="0.3">
      <c r="D40" s="151"/>
      <c r="E40" s="151"/>
      <c r="I40" s="151"/>
      <c r="J40" s="151"/>
      <c r="K40" s="151"/>
      <c r="L40" s="151"/>
    </row>
    <row r="41" spans="3:12" x14ac:dyDescent="0.3">
      <c r="D41" s="151"/>
      <c r="E41" s="151"/>
      <c r="I41" s="151"/>
      <c r="J41" s="151"/>
      <c r="K41" s="151"/>
      <c r="L41" s="151"/>
    </row>
    <row r="42" spans="3:12" x14ac:dyDescent="0.3">
      <c r="D42" s="151"/>
      <c r="E42" s="151"/>
      <c r="I42" s="151"/>
      <c r="J42" s="151"/>
      <c r="K42" s="151"/>
      <c r="L42" s="151"/>
    </row>
    <row r="43" spans="3:12" x14ac:dyDescent="0.3">
      <c r="D43" s="151"/>
      <c r="E43" s="151"/>
      <c r="I43" s="151"/>
      <c r="J43" s="151"/>
      <c r="K43" s="151"/>
      <c r="L43" s="151"/>
    </row>
    <row r="44" spans="3:12" x14ac:dyDescent="0.3">
      <c r="D44" s="151"/>
      <c r="E44" s="151"/>
      <c r="I44" s="151"/>
      <c r="J44" s="151"/>
      <c r="K44" s="151"/>
      <c r="L44" s="151"/>
    </row>
    <row r="45" spans="3:12" x14ac:dyDescent="0.3">
      <c r="D45" s="151"/>
      <c r="E45" s="151"/>
      <c r="I45" s="151"/>
      <c r="J45" s="151"/>
      <c r="K45" s="151"/>
      <c r="L45" s="151"/>
    </row>
    <row r="46" spans="3:12" x14ac:dyDescent="0.3">
      <c r="D46" s="151"/>
      <c r="E46" s="151"/>
      <c r="I46" s="151"/>
      <c r="J46" s="151"/>
      <c r="K46" s="151"/>
      <c r="L46" s="151"/>
    </row>
    <row r="47" spans="3:12" x14ac:dyDescent="0.3">
      <c r="D47" s="151"/>
      <c r="E47" s="151"/>
      <c r="I47" s="151"/>
      <c r="J47" s="151"/>
      <c r="K47" s="151"/>
      <c r="L47" s="151"/>
    </row>
    <row r="48" spans="3:12" x14ac:dyDescent="0.3">
      <c r="D48" s="151"/>
      <c r="E48" s="151"/>
      <c r="I48" s="151"/>
      <c r="J48" s="151"/>
      <c r="K48" s="151"/>
      <c r="L48" s="151"/>
    </row>
    <row r="49" spans="2:21" x14ac:dyDescent="0.3">
      <c r="D49" s="151"/>
      <c r="E49" s="151"/>
      <c r="I49" s="151"/>
      <c r="J49" s="151"/>
      <c r="K49" s="151"/>
      <c r="L49" s="151"/>
    </row>
    <row r="50" spans="2:21" x14ac:dyDescent="0.3">
      <c r="D50" s="151"/>
      <c r="E50" s="151"/>
      <c r="I50" s="151"/>
      <c r="J50" s="151"/>
      <c r="K50" s="151"/>
      <c r="L50" s="151"/>
    </row>
    <row r="51" spans="2:21" x14ac:dyDescent="0.3">
      <c r="D51" s="151"/>
      <c r="E51" s="151"/>
      <c r="I51" s="151"/>
      <c r="J51" s="151"/>
      <c r="K51" s="151"/>
      <c r="L51" s="151"/>
    </row>
    <row r="52" spans="2:21" x14ac:dyDescent="0.3">
      <c r="D52" s="151"/>
      <c r="E52" s="151"/>
      <c r="I52" s="151"/>
      <c r="J52" s="151"/>
      <c r="K52" s="151"/>
      <c r="L52" s="151"/>
    </row>
    <row r="53" spans="2:21" x14ac:dyDescent="0.3">
      <c r="D53" s="151"/>
      <c r="E53" s="151"/>
      <c r="I53" s="151"/>
      <c r="J53" s="151"/>
      <c r="K53" s="151"/>
      <c r="L53" s="151"/>
    </row>
    <row r="54" spans="2:21" x14ac:dyDescent="0.3">
      <c r="D54" s="151"/>
      <c r="E54" s="151"/>
      <c r="I54" s="151"/>
      <c r="J54" s="151"/>
      <c r="K54" s="151"/>
      <c r="L54" s="151"/>
    </row>
    <row r="55" spans="2:21" x14ac:dyDescent="0.3">
      <c r="D55" s="151"/>
      <c r="E55" s="151"/>
      <c r="I55" s="151"/>
      <c r="J55" s="151"/>
      <c r="K55" s="151"/>
      <c r="L55" s="151"/>
    </row>
    <row r="56" spans="2:21" x14ac:dyDescent="0.3">
      <c r="D56" s="151"/>
      <c r="E56" s="151"/>
      <c r="I56" s="151"/>
      <c r="J56" s="151"/>
      <c r="K56" s="151"/>
      <c r="L56" s="151"/>
    </row>
    <row r="57" spans="2:21" x14ac:dyDescent="0.3">
      <c r="D57" s="151"/>
      <c r="E57" s="151"/>
      <c r="I57" s="151"/>
      <c r="J57" s="151"/>
      <c r="K57" s="151"/>
      <c r="L57" s="151"/>
    </row>
    <row r="58" spans="2:21" x14ac:dyDescent="0.3">
      <c r="D58" s="151"/>
      <c r="E58" s="151"/>
      <c r="H58" t="s">
        <v>128</v>
      </c>
      <c r="I58" s="151">
        <f>E8+E9</f>
        <v>64.663043478260875</v>
      </c>
      <c r="J58" s="151"/>
      <c r="K58" s="151"/>
      <c r="L58" s="151"/>
    </row>
    <row r="59" spans="2:21" x14ac:dyDescent="0.3">
      <c r="D59" s="151"/>
      <c r="E59" s="151"/>
      <c r="G59" t="s">
        <v>109</v>
      </c>
      <c r="I59" s="151"/>
      <c r="J59" s="151"/>
      <c r="K59" s="151"/>
      <c r="L59" s="151"/>
      <c r="M59" s="151"/>
      <c r="N59" s="151"/>
    </row>
    <row r="60" spans="2:21" x14ac:dyDescent="0.3">
      <c r="D60" s="151"/>
      <c r="E60" s="151"/>
    </row>
    <row r="61" spans="2:21" x14ac:dyDescent="0.3">
      <c r="D61" s="151" t="s">
        <v>110</v>
      </c>
      <c r="E61" s="151" t="s">
        <v>111</v>
      </c>
      <c r="F61" t="s">
        <v>112</v>
      </c>
      <c r="H61" t="s">
        <v>113</v>
      </c>
      <c r="I61" t="s">
        <v>114</v>
      </c>
      <c r="J61" t="s">
        <v>115</v>
      </c>
      <c r="M61" s="1" t="s">
        <v>104</v>
      </c>
      <c r="N61" s="1" t="s">
        <v>105</v>
      </c>
      <c r="O61" s="1" t="s">
        <v>1</v>
      </c>
      <c r="Q61" s="152"/>
      <c r="R61" s="152" t="s">
        <v>116</v>
      </c>
      <c r="S61" s="152" t="s">
        <v>104</v>
      </c>
      <c r="T61" s="152" t="s">
        <v>105</v>
      </c>
      <c r="U61" s="152" t="s">
        <v>1</v>
      </c>
    </row>
    <row r="62" spans="2:21" x14ac:dyDescent="0.3">
      <c r="B62" t="s">
        <v>117</v>
      </c>
      <c r="D62" s="151">
        <v>0</v>
      </c>
      <c r="E62" s="151" t="s">
        <v>118</v>
      </c>
      <c r="F62" t="s">
        <v>119</v>
      </c>
      <c r="G62">
        <v>2</v>
      </c>
      <c r="H62" s="153">
        <v>1E-3</v>
      </c>
      <c r="I62" s="154">
        <f>$E$8*H62+H62*$E$13</f>
        <v>0.11233695652173914</v>
      </c>
      <c r="J62" s="154">
        <f t="shared" ref="J62:J67" si="2">I62/$B$2</f>
        <v>9.7684310018903604E-3</v>
      </c>
      <c r="O62">
        <f>($F$8*H62+H62*$F$13)/$B$2</f>
        <v>9.6408317580340267E-4</v>
      </c>
      <c r="Q62" s="152" t="str">
        <f>B62</f>
        <v>FFR</v>
      </c>
      <c r="R62" s="155">
        <f>J62+G62</f>
        <v>2.0097684310018904</v>
      </c>
      <c r="S62" s="155"/>
      <c r="T62" s="155"/>
      <c r="U62" s="155">
        <f>O62+G62</f>
        <v>2.0009640831758033</v>
      </c>
    </row>
    <row r="63" spans="2:21" x14ac:dyDescent="0.3">
      <c r="B63" t="s">
        <v>120</v>
      </c>
      <c r="D63" s="151"/>
      <c r="E63" s="151" t="s">
        <v>118</v>
      </c>
      <c r="F63" t="s">
        <v>119</v>
      </c>
      <c r="G63">
        <v>2</v>
      </c>
      <c r="H63" s="153">
        <v>0.01</v>
      </c>
      <c r="I63" s="154">
        <f>$E$8*H63+H63*$E$13</f>
        <v>1.1233695652173914</v>
      </c>
      <c r="J63" s="154">
        <f t="shared" si="2"/>
        <v>9.7684310018903597E-2</v>
      </c>
      <c r="O63">
        <f>($F$8*H63+H63*$F$13)/$B$2</f>
        <v>9.6408317580340269E-3</v>
      </c>
      <c r="Q63" s="152" t="str">
        <f t="shared" ref="Q63:Q67" si="3">B63</f>
        <v>FCR-D up</v>
      </c>
      <c r="R63" s="155">
        <f>J63+G63</f>
        <v>2.0976843100189035</v>
      </c>
      <c r="S63" s="155" t="e">
        <f>2+#REF!/B2+(($G$10/$B$2)*H63)</f>
        <v>#REF!</v>
      </c>
      <c r="T63" s="155" t="e">
        <f>2*2+#REF!/B2+(($H$10/$B$2)*H63)</f>
        <v>#REF!</v>
      </c>
      <c r="U63" s="155">
        <f>O63+G63</f>
        <v>2.0096408317580341</v>
      </c>
    </row>
    <row r="64" spans="2:21" x14ac:dyDescent="0.3">
      <c r="B64" t="s">
        <v>121</v>
      </c>
      <c r="D64" s="151"/>
      <c r="E64" s="151" t="s">
        <v>118</v>
      </c>
      <c r="F64" t="s">
        <v>119</v>
      </c>
      <c r="G64">
        <v>2</v>
      </c>
      <c r="H64" s="153">
        <f>H63</f>
        <v>0.01</v>
      </c>
      <c r="I64" s="154">
        <f>$E$8*H64+H64*$E$13</f>
        <v>1.1233695652173914</v>
      </c>
      <c r="J64" s="154">
        <f t="shared" si="2"/>
        <v>9.7684310018903597E-2</v>
      </c>
      <c r="O64">
        <f>($F$8*H64+H64*$F$13)/$B$2</f>
        <v>9.6408317580340269E-3</v>
      </c>
      <c r="Q64" s="152" t="str">
        <f t="shared" si="3"/>
        <v>FCR_D dn</v>
      </c>
      <c r="R64" s="155">
        <f>J64+G64</f>
        <v>2.0976843100189035</v>
      </c>
      <c r="S64" s="155">
        <f>2+(($G$10/$B$2)*H63)</f>
        <v>2.4347826086956523</v>
      </c>
      <c r="T64" s="155">
        <f>2*G64+(($H$10/$B$2)*H63)</f>
        <v>4.4347826086956523</v>
      </c>
      <c r="U64" s="155">
        <f>O64+G64</f>
        <v>2.0096408317580341</v>
      </c>
    </row>
    <row r="65" spans="2:21" x14ac:dyDescent="0.3">
      <c r="B65" t="s">
        <v>122</v>
      </c>
      <c r="D65" s="151"/>
      <c r="E65" s="151" t="s">
        <v>118</v>
      </c>
      <c r="F65" t="s">
        <v>119</v>
      </c>
      <c r="G65">
        <v>2</v>
      </c>
      <c r="H65" s="153">
        <v>0.17</v>
      </c>
      <c r="I65" s="154">
        <f>$E$8*H65+H65*$E$13</f>
        <v>19.097282608695654</v>
      </c>
      <c r="J65" s="154">
        <f t="shared" si="2"/>
        <v>1.6606332703213611</v>
      </c>
      <c r="O65">
        <f>($F$8*H65+H65*$F$13)/$B$2</f>
        <v>0.16389413988657847</v>
      </c>
      <c r="Q65" s="152" t="str">
        <f t="shared" si="3"/>
        <v>FCR-N</v>
      </c>
      <c r="R65" s="155">
        <f>J65+G65</f>
        <v>3.6606332703213611</v>
      </c>
      <c r="S65" s="155" t="e">
        <f>G65+(#REF!/2/B2)+(($G$10/$B$2)*H63)</f>
        <v>#REF!</v>
      </c>
      <c r="T65" s="155" t="e">
        <f>2*G65+(#REF!/2/B2)+(($H$10/$B$2)*H63)</f>
        <v>#REF!</v>
      </c>
      <c r="U65" s="155">
        <f>O65+G65</f>
        <v>2.1638941398865783</v>
      </c>
    </row>
    <row r="66" spans="2:21" x14ac:dyDescent="0.3">
      <c r="B66" t="s">
        <v>123</v>
      </c>
      <c r="D66" s="151"/>
      <c r="E66" s="151" t="s">
        <v>118</v>
      </c>
      <c r="F66" t="s">
        <v>119</v>
      </c>
      <c r="G66">
        <v>2</v>
      </c>
      <c r="H66" s="153">
        <v>0.4</v>
      </c>
      <c r="I66" s="154">
        <f>$E$8*H66+H66*$E$13</f>
        <v>44.934782608695656</v>
      </c>
      <c r="J66" s="154">
        <f t="shared" si="2"/>
        <v>3.9073724007561439</v>
      </c>
      <c r="O66">
        <f>($F$8*H66+H66*$F$13)/$B$2</f>
        <v>0.38563327032136108</v>
      </c>
      <c r="Q66" s="152" t="str">
        <f t="shared" si="3"/>
        <v>aFRR up</v>
      </c>
      <c r="R66" s="155">
        <f>J66+G66</f>
        <v>5.9073724007561434</v>
      </c>
      <c r="S66" s="155" t="e">
        <f>S63+(($G$10/$B$2)*H63)</f>
        <v>#REF!</v>
      </c>
      <c r="T66" s="155" t="e">
        <f>T63+(($H$10/$B$2)*H63)</f>
        <v>#REF!</v>
      </c>
      <c r="U66" s="155">
        <f>O66+G66</f>
        <v>2.3856332703213612</v>
      </c>
    </row>
    <row r="67" spans="2:21" x14ac:dyDescent="0.3">
      <c r="B67" t="s">
        <v>124</v>
      </c>
      <c r="D67" s="151"/>
      <c r="E67" s="151" t="s">
        <v>118</v>
      </c>
      <c r="F67" t="s">
        <v>119</v>
      </c>
      <c r="G67">
        <v>2</v>
      </c>
      <c r="H67" s="153">
        <v>0.4</v>
      </c>
      <c r="I67" s="154">
        <f>$E$8*H67+H67*$E$13</f>
        <v>44.934782608695656</v>
      </c>
      <c r="J67" s="154">
        <f t="shared" si="2"/>
        <v>3.9073724007561439</v>
      </c>
      <c r="O67">
        <f>($F$8*H67+H67*$F$13)/$B$2</f>
        <v>0.38563327032136108</v>
      </c>
      <c r="Q67" s="152" t="str">
        <f t="shared" si="3"/>
        <v>aFRR dn</v>
      </c>
      <c r="R67" s="155">
        <f>J67+G67</f>
        <v>5.9073724007561434</v>
      </c>
      <c r="S67" s="155">
        <f>S64+(($G$10/$B$2)*H63)</f>
        <v>2.8695652173913047</v>
      </c>
      <c r="T67" s="155">
        <f>T64+(($H$10/$B$2)*H63)</f>
        <v>4.8695652173913047</v>
      </c>
      <c r="U67" s="155">
        <f>O67+G67</f>
        <v>2.3856332703213612</v>
      </c>
    </row>
    <row r="68" spans="2:21" x14ac:dyDescent="0.3">
      <c r="D68" s="151"/>
      <c r="E68" s="151"/>
      <c r="H68" s="153"/>
      <c r="I68" s="154"/>
      <c r="J68" s="154"/>
      <c r="O68" s="1"/>
    </row>
    <row r="69" spans="2:21" x14ac:dyDescent="0.3">
      <c r="D69" s="151"/>
      <c r="E69" s="151"/>
    </row>
    <row r="70" spans="2:21" x14ac:dyDescent="0.3">
      <c r="E70" s="151"/>
    </row>
    <row r="71" spans="2:21" x14ac:dyDescent="0.3">
      <c r="D71" s="151" t="s">
        <v>125</v>
      </c>
      <c r="E71" s="151"/>
    </row>
    <row r="72" spans="2:21" x14ac:dyDescent="0.3">
      <c r="B72">
        <v>1</v>
      </c>
      <c r="C72" t="str" cm="1">
        <f t="array" ref="C72">INDEX(MYPRODS,B72)</f>
        <v>aFRR up</v>
      </c>
      <c r="D72" s="151">
        <f>J62</f>
        <v>9.7684310018903604E-3</v>
      </c>
      <c r="E72" s="151"/>
    </row>
    <row r="73" spans="2:21" x14ac:dyDescent="0.3">
      <c r="B73">
        <v>2</v>
      </c>
      <c r="C73" t="str" cm="1">
        <f t="array" ref="C73">INDEX(MYPRODS,B73)</f>
        <v>aFRR dn</v>
      </c>
      <c r="D73" s="151">
        <f>J63</f>
        <v>9.7684310018903597E-2</v>
      </c>
      <c r="E73" s="151"/>
    </row>
    <row r="74" spans="2:21" x14ac:dyDescent="0.3">
      <c r="B74">
        <v>3</v>
      </c>
      <c r="C74" cm="1">
        <f t="array" ref="C74">INDEX(MYPRODS,B74)</f>
        <v>0</v>
      </c>
      <c r="D74" s="151">
        <f>J64</f>
        <v>9.7684310018903597E-2</v>
      </c>
      <c r="E74" s="151"/>
    </row>
    <row r="75" spans="2:21" x14ac:dyDescent="0.3">
      <c r="B75">
        <v>4</v>
      </c>
      <c r="C75" cm="1">
        <f t="array" ref="C75">INDEX(MYPRODS,B75)</f>
        <v>0</v>
      </c>
      <c r="D75" s="151">
        <f>J65</f>
        <v>1.6606332703213611</v>
      </c>
      <c r="E75" s="151"/>
    </row>
    <row r="76" spans="2:21" x14ac:dyDescent="0.3">
      <c r="B76">
        <v>5</v>
      </c>
      <c r="C76" cm="1">
        <f t="array" ref="C76">INDEX(MYPRODS,B76)</f>
        <v>0</v>
      </c>
      <c r="D76" s="151">
        <f>J65</f>
        <v>1.6606332703213611</v>
      </c>
      <c r="E76" s="151"/>
    </row>
    <row r="77" spans="2:21" x14ac:dyDescent="0.3">
      <c r="B77">
        <v>6</v>
      </c>
      <c r="C77" cm="1">
        <f t="array" ref="C77">INDEX(MYPRODS,B77)</f>
        <v>0</v>
      </c>
      <c r="D77" s="151">
        <f>D76</f>
        <v>1.6606332703213611</v>
      </c>
      <c r="E77" s="151"/>
    </row>
    <row r="78" spans="2:21" x14ac:dyDescent="0.3">
      <c r="B78">
        <v>7</v>
      </c>
      <c r="C78" cm="1">
        <f t="array" ref="C78">INDEX(MYPRODS,B78)</f>
        <v>1</v>
      </c>
      <c r="D78" s="151">
        <f>J67</f>
        <v>3.9073724007561439</v>
      </c>
      <c r="E78" s="151"/>
    </row>
    <row r="79" spans="2:21" x14ac:dyDescent="0.3">
      <c r="B79">
        <v>8</v>
      </c>
      <c r="C79" cm="1">
        <f t="array" ref="C79">INDEX(MYPRODS,B79)</f>
        <v>2</v>
      </c>
      <c r="D79" s="151">
        <f>D78</f>
        <v>3.9073724007561439</v>
      </c>
      <c r="E79" s="151"/>
    </row>
    <row r="80" spans="2:21" x14ac:dyDescent="0.3">
      <c r="D80" s="151"/>
      <c r="E80" s="151"/>
    </row>
  </sheetData>
  <conditionalFormatting sqref="D21:D28 E29:E80 F29:F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D935-8C5B-4469-8EA2-68E03FA9930C}">
  <dimension ref="A1:U7"/>
  <sheetViews>
    <sheetView workbookViewId="0">
      <selection activeCell="A4" sqref="A4"/>
    </sheetView>
  </sheetViews>
  <sheetFormatPr defaultRowHeight="14.4" x14ac:dyDescent="0.3"/>
  <cols>
    <col min="1" max="1" width="27.44140625" style="1" bestFit="1" customWidth="1"/>
    <col min="2" max="2" width="12.109375" bestFit="1" customWidth="1"/>
  </cols>
  <sheetData>
    <row r="1" spans="1:21" s="1" customFormat="1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 t="s">
        <v>0</v>
      </c>
      <c r="B2">
        <f>(0.2+(0.25*B1))</f>
        <v>0.45</v>
      </c>
      <c r="C2">
        <f>(0.2+(0.25*C1*0.99^C1))</f>
        <v>0.69005000000000005</v>
      </c>
      <c r="D2">
        <f t="shared" ref="D2:U2" si="0">(0.2+(0.25*D1*0.99^D1))</f>
        <v>0.92772425000000003</v>
      </c>
      <c r="E2">
        <f t="shared" si="0"/>
        <v>1.1605960099999999</v>
      </c>
      <c r="F2">
        <f t="shared" si="0"/>
        <v>1.3887375623749998</v>
      </c>
      <c r="G2">
        <f t="shared" si="0"/>
        <v>1.6122202241014998</v>
      </c>
      <c r="H2">
        <f t="shared" si="0"/>
        <v>1.8311143588372323</v>
      </c>
      <c r="I2">
        <f t="shared" si="0"/>
        <v>2.0454893888558399</v>
      </c>
      <c r="J2">
        <f t="shared" si="0"/>
        <v>2.2554138068381917</v>
      </c>
      <c r="K2">
        <f t="shared" si="0"/>
        <v>2.460955187522011</v>
      </c>
      <c r="L2">
        <f t="shared" si="0"/>
        <v>2.6621801992114698</v>
      </c>
      <c r="M2">
        <f t="shared" si="0"/>
        <v>2.8591546151483875</v>
      </c>
      <c r="N2">
        <f t="shared" si="0"/>
        <v>3.0519433247466452</v>
      </c>
      <c r="O2">
        <f t="shared" si="0"/>
        <v>3.2406103446914236</v>
      </c>
      <c r="P2">
        <f t="shared" si="0"/>
        <v>3.4252188299048312</v>
      </c>
      <c r="Q2">
        <f t="shared" si="0"/>
        <v>3.6058310843795018</v>
      </c>
      <c r="R2">
        <f t="shared" si="0"/>
        <v>3.7825085718816887</v>
      </c>
      <c r="S2">
        <f t="shared" si="0"/>
        <v>3.9553119265253933</v>
      </c>
      <c r="T2">
        <f t="shared" si="0"/>
        <v>4.1243009632190351</v>
      </c>
      <c r="U2">
        <f t="shared" si="0"/>
        <v>4.2895346879861531</v>
      </c>
    </row>
    <row r="3" spans="1:21" ht="15" thickBot="1" x14ac:dyDescent="0.35">
      <c r="A3" s="1" t="s">
        <v>132</v>
      </c>
      <c r="H3">
        <f>150/75</f>
        <v>2</v>
      </c>
      <c r="I3">
        <f>H3+0.212/4</f>
        <v>2.0529999999999999</v>
      </c>
      <c r="J3">
        <f t="shared" ref="J3:U3" si="1">I3+0.212/4</f>
        <v>2.1059999999999999</v>
      </c>
      <c r="K3">
        <f t="shared" si="1"/>
        <v>2.1589999999999998</v>
      </c>
      <c r="L3">
        <f t="shared" si="1"/>
        <v>2.2119999999999997</v>
      </c>
      <c r="M3">
        <f t="shared" si="1"/>
        <v>2.2649999999999997</v>
      </c>
      <c r="N3">
        <f t="shared" si="1"/>
        <v>2.3179999999999996</v>
      </c>
      <c r="O3">
        <f t="shared" si="1"/>
        <v>2.3709999999999996</v>
      </c>
      <c r="P3">
        <f t="shared" si="1"/>
        <v>2.4239999999999995</v>
      </c>
      <c r="Q3">
        <f t="shared" si="1"/>
        <v>2.4769999999999994</v>
      </c>
      <c r="R3">
        <f t="shared" si="1"/>
        <v>2.5299999999999994</v>
      </c>
      <c r="S3">
        <f t="shared" si="1"/>
        <v>2.5829999999999993</v>
      </c>
      <c r="T3">
        <f t="shared" si="1"/>
        <v>2.6359999999999992</v>
      </c>
      <c r="U3">
        <f t="shared" si="1"/>
        <v>2.6889999999999992</v>
      </c>
    </row>
    <row r="4" spans="1:21" ht="15" thickBot="1" x14ac:dyDescent="0.35">
      <c r="A4" s="149" t="s">
        <v>102</v>
      </c>
      <c r="B4" s="150">
        <v>11.5</v>
      </c>
    </row>
    <row r="5" spans="1:21" x14ac:dyDescent="0.3">
      <c r="C5">
        <f>C2/B2</f>
        <v>1.5334444444444446</v>
      </c>
    </row>
    <row r="6" spans="1:21" x14ac:dyDescent="0.3">
      <c r="A6" s="1" t="s">
        <v>126</v>
      </c>
      <c r="B6">
        <f>B2/B1</f>
        <v>0.45</v>
      </c>
      <c r="C6">
        <f t="shared" ref="C6:U6" si="2">C2/C1</f>
        <v>0.34502500000000003</v>
      </c>
      <c r="D6">
        <f t="shared" si="2"/>
        <v>0.30924141666666666</v>
      </c>
      <c r="E6">
        <f t="shared" si="2"/>
        <v>0.29014900249999998</v>
      </c>
      <c r="F6">
        <f t="shared" si="2"/>
        <v>0.27774751247499996</v>
      </c>
      <c r="G6">
        <f t="shared" si="2"/>
        <v>0.2687033706835833</v>
      </c>
      <c r="H6">
        <f t="shared" si="2"/>
        <v>0.26158776554817603</v>
      </c>
      <c r="I6">
        <f t="shared" si="2"/>
        <v>0.25568617360697998</v>
      </c>
      <c r="J6">
        <f t="shared" si="2"/>
        <v>0.25060153409313241</v>
      </c>
      <c r="K6">
        <f t="shared" si="2"/>
        <v>0.24609551875220109</v>
      </c>
      <c r="L6">
        <f t="shared" si="2"/>
        <v>0.24201638174649726</v>
      </c>
      <c r="M6">
        <f t="shared" si="2"/>
        <v>0.23826288459569897</v>
      </c>
      <c r="N6">
        <f t="shared" si="2"/>
        <v>0.23476487113435732</v>
      </c>
      <c r="O6">
        <f t="shared" si="2"/>
        <v>0.23147216747795882</v>
      </c>
      <c r="P6">
        <f t="shared" si="2"/>
        <v>0.22834792199365542</v>
      </c>
      <c r="Q6">
        <f t="shared" si="2"/>
        <v>0.22536444277371886</v>
      </c>
      <c r="R6">
        <f t="shared" si="2"/>
        <v>0.22250050422833462</v>
      </c>
      <c r="S6">
        <f t="shared" si="2"/>
        <v>0.21973955147363297</v>
      </c>
      <c r="T6">
        <f t="shared" si="2"/>
        <v>0.21706847174837027</v>
      </c>
      <c r="U6">
        <f t="shared" si="2"/>
        <v>0.21447673439930764</v>
      </c>
    </row>
    <row r="7" spans="1:21" x14ac:dyDescent="0.3">
      <c r="A7" s="1" t="s">
        <v>127</v>
      </c>
      <c r="C7">
        <f t="shared" ref="C7:T7" si="3">C2-B2</f>
        <v>0.24005000000000004</v>
      </c>
      <c r="D7">
        <f t="shared" si="3"/>
        <v>0.23767424999999998</v>
      </c>
      <c r="E7">
        <f t="shared" si="3"/>
        <v>0.23287175999999987</v>
      </c>
      <c r="F7">
        <f t="shared" si="3"/>
        <v>0.22814155237499989</v>
      </c>
      <c r="G7">
        <f t="shared" si="3"/>
        <v>0.2234826617265</v>
      </c>
      <c r="H7">
        <f t="shared" si="3"/>
        <v>0.21889413473573249</v>
      </c>
      <c r="I7">
        <f t="shared" si="3"/>
        <v>0.21437503001860758</v>
      </c>
      <c r="J7">
        <f t="shared" si="3"/>
        <v>0.20992441798235184</v>
      </c>
      <c r="K7">
        <f t="shared" si="3"/>
        <v>0.20554138068381933</v>
      </c>
      <c r="L7">
        <f t="shared" si="3"/>
        <v>0.20122501168945872</v>
      </c>
      <c r="M7">
        <f t="shared" si="3"/>
        <v>0.19697441593691778</v>
      </c>
      <c r="N7">
        <f t="shared" si="3"/>
        <v>0.19278870959825767</v>
      </c>
      <c r="O7">
        <f t="shared" si="3"/>
        <v>0.18866701994477841</v>
      </c>
      <c r="P7">
        <f t="shared" si="3"/>
        <v>0.18460848521340756</v>
      </c>
      <c r="Q7">
        <f t="shared" si="3"/>
        <v>0.18061225447467066</v>
      </c>
      <c r="R7">
        <f t="shared" si="3"/>
        <v>0.17667748750218681</v>
      </c>
      <c r="S7">
        <f t="shared" si="3"/>
        <v>0.17280335464370467</v>
      </c>
      <c r="T7">
        <f t="shared" si="3"/>
        <v>0.16898903669364174</v>
      </c>
      <c r="U7">
        <f>U2-T2</f>
        <v>0.16523372476711806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239E-7276-4B25-B667-F44E0E73AC48}">
  <dimension ref="C1:W56"/>
  <sheetViews>
    <sheetView workbookViewId="0">
      <selection activeCell="K1" sqref="K1:W56"/>
    </sheetView>
  </sheetViews>
  <sheetFormatPr defaultColWidth="11.5546875" defaultRowHeight="14.4" x14ac:dyDescent="0.3"/>
  <cols>
    <col min="3" max="3" width="34" customWidth="1"/>
    <col min="6" max="6" width="14.33203125" bestFit="1" customWidth="1"/>
    <col min="7" max="7" width="5.44140625" style="87" bestFit="1" customWidth="1"/>
    <col min="8" max="8" width="2.77734375" customWidth="1"/>
  </cols>
  <sheetData>
    <row r="1" spans="3:23" x14ac:dyDescent="0.3"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3:23" ht="15.6" x14ac:dyDescent="0.3">
      <c r="C2" s="5" t="s">
        <v>67</v>
      </c>
      <c r="D2" s="86"/>
      <c r="K2" s="3"/>
      <c r="L2" s="122" t="s">
        <v>3</v>
      </c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</row>
    <row r="3" spans="3:23" x14ac:dyDescent="0.3">
      <c r="C3" s="88"/>
      <c r="D3" s="8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3:23" x14ac:dyDescent="0.3">
      <c r="C4" s="90" t="s">
        <v>6</v>
      </c>
      <c r="D4" s="91">
        <v>85</v>
      </c>
      <c r="K4" s="3"/>
      <c r="L4" s="5" t="s">
        <v>4</v>
      </c>
      <c r="M4" s="6"/>
      <c r="N4" s="3"/>
      <c r="O4" s="5" t="s">
        <v>83</v>
      </c>
      <c r="P4" s="6" t="s">
        <v>84</v>
      </c>
      <c r="Q4" s="124"/>
      <c r="R4" s="5" t="s">
        <v>5</v>
      </c>
      <c r="S4" s="7"/>
      <c r="T4" s="7"/>
      <c r="U4" s="7"/>
      <c r="V4" s="7"/>
      <c r="W4" s="8"/>
    </row>
    <row r="5" spans="3:23" x14ac:dyDescent="0.3">
      <c r="C5" s="90" t="s">
        <v>68</v>
      </c>
      <c r="D5" s="91">
        <v>11.5</v>
      </c>
      <c r="K5" s="3"/>
      <c r="L5" s="10"/>
      <c r="M5" s="11"/>
      <c r="N5" s="3"/>
      <c r="O5" s="10"/>
      <c r="P5" s="11"/>
      <c r="Q5" s="125"/>
      <c r="R5" s="12"/>
      <c r="S5" s="3"/>
      <c r="T5" s="3"/>
      <c r="U5" s="3"/>
      <c r="V5" s="3"/>
      <c r="W5" s="13" t="s">
        <v>6</v>
      </c>
    </row>
    <row r="6" spans="3:23" x14ac:dyDescent="0.3">
      <c r="C6" s="92"/>
      <c r="D6" s="93"/>
      <c r="K6" s="3"/>
      <c r="L6" s="28" t="s">
        <v>7</v>
      </c>
      <c r="M6" s="126">
        <v>36321.569565217389</v>
      </c>
      <c r="N6" s="3"/>
      <c r="O6" s="12" t="s">
        <v>85</v>
      </c>
      <c r="P6" s="14">
        <v>181940</v>
      </c>
      <c r="Q6" s="125"/>
      <c r="R6" s="12" t="s">
        <v>8</v>
      </c>
      <c r="S6" s="3"/>
      <c r="T6" s="3"/>
      <c r="U6" s="3"/>
      <c r="V6" s="3"/>
      <c r="W6" s="15">
        <v>85</v>
      </c>
    </row>
    <row r="7" spans="3:23" x14ac:dyDescent="0.3">
      <c r="K7" s="3"/>
      <c r="L7" s="16" t="s">
        <v>9</v>
      </c>
      <c r="M7" s="14">
        <v>427.31258312020458</v>
      </c>
      <c r="N7" s="3"/>
      <c r="O7" s="12" t="s">
        <v>86</v>
      </c>
      <c r="P7" s="14">
        <v>69651</v>
      </c>
      <c r="Q7" s="125"/>
      <c r="R7" s="127"/>
      <c r="S7" s="17"/>
      <c r="T7" s="17"/>
      <c r="U7" s="17"/>
      <c r="V7" s="17"/>
      <c r="W7" s="128"/>
    </row>
    <row r="8" spans="3:23" x14ac:dyDescent="0.3">
      <c r="C8" s="5" t="s">
        <v>69</v>
      </c>
      <c r="D8" s="7" t="s">
        <v>19</v>
      </c>
      <c r="E8" s="7"/>
      <c r="F8" s="94" t="s">
        <v>20</v>
      </c>
      <c r="G8" s="94" t="s">
        <v>21</v>
      </c>
      <c r="K8" s="3"/>
      <c r="L8" s="16">
        <v>7</v>
      </c>
      <c r="M8" s="14"/>
      <c r="N8" s="3"/>
      <c r="O8" s="12" t="s">
        <v>87</v>
      </c>
      <c r="P8" s="14">
        <v>3001.7826086956525</v>
      </c>
      <c r="Q8" s="125"/>
      <c r="R8" s="12"/>
      <c r="S8" s="3"/>
      <c r="T8" s="3"/>
      <c r="U8" s="3"/>
      <c r="V8" s="3"/>
      <c r="W8" s="129"/>
    </row>
    <row r="9" spans="3:23" ht="4.95" customHeight="1" x14ac:dyDescent="0.3">
      <c r="C9" s="95"/>
      <c r="D9" s="96"/>
      <c r="E9" s="29"/>
      <c r="F9" s="97"/>
      <c r="G9" s="98"/>
      <c r="K9" s="3"/>
      <c r="L9" s="16"/>
      <c r="M9" s="14"/>
      <c r="N9" s="3"/>
      <c r="O9" s="24" t="s">
        <v>88</v>
      </c>
      <c r="P9" s="40">
        <v>0.1</v>
      </c>
      <c r="Q9" s="125"/>
      <c r="R9" s="12"/>
      <c r="S9" s="3"/>
      <c r="T9" s="3"/>
      <c r="U9" s="3"/>
      <c r="V9" s="3"/>
      <c r="W9" s="129"/>
    </row>
    <row r="10" spans="3:23" x14ac:dyDescent="0.3">
      <c r="C10" s="99" t="s">
        <v>70</v>
      </c>
      <c r="D10" s="100"/>
      <c r="E10" s="3"/>
      <c r="F10" s="101"/>
      <c r="G10" s="102"/>
      <c r="K10" s="3"/>
      <c r="L10" s="12" t="s">
        <v>89</v>
      </c>
      <c r="M10" s="130">
        <v>0.313</v>
      </c>
      <c r="N10" s="3"/>
      <c r="O10" s="3"/>
      <c r="P10" s="3"/>
      <c r="Q10" s="125"/>
      <c r="R10" s="12"/>
      <c r="S10" s="3"/>
      <c r="T10" s="3"/>
      <c r="U10" s="3"/>
      <c r="V10" s="3"/>
      <c r="W10" s="131"/>
    </row>
    <row r="11" spans="3:23" x14ac:dyDescent="0.3">
      <c r="C11" s="103" t="s">
        <v>71</v>
      </c>
      <c r="D11" s="104">
        <v>250</v>
      </c>
      <c r="E11" s="3"/>
      <c r="F11" s="101">
        <f>D11*$D$4*1000</f>
        <v>21250000</v>
      </c>
      <c r="G11" s="105">
        <f>F11/$F$23</f>
        <v>0.64355699051025017</v>
      </c>
      <c r="K11" s="3"/>
      <c r="L11" s="24" t="s">
        <v>90</v>
      </c>
      <c r="M11" s="132">
        <v>0.378</v>
      </c>
      <c r="N11" s="3"/>
      <c r="O11" s="3"/>
      <c r="P11" s="3"/>
      <c r="Q11" s="125"/>
      <c r="R11" s="12" t="s">
        <v>10</v>
      </c>
      <c r="S11" s="3"/>
      <c r="T11" s="3"/>
      <c r="U11" s="3"/>
      <c r="V11" s="3" t="s">
        <v>11</v>
      </c>
      <c r="W11" s="20">
        <v>45839</v>
      </c>
    </row>
    <row r="12" spans="3:23" x14ac:dyDescent="0.3">
      <c r="C12" s="103" t="s">
        <v>72</v>
      </c>
      <c r="D12" s="100">
        <f>F12/$D$4/1000</f>
        <v>12</v>
      </c>
      <c r="E12" s="3"/>
      <c r="F12" s="64">
        <f>1020000</f>
        <v>1020000</v>
      </c>
      <c r="G12" s="105">
        <f>F12/$F$23</f>
        <v>3.089073554449201E-2</v>
      </c>
      <c r="K12" s="3"/>
      <c r="L12" s="3"/>
      <c r="M12" s="3"/>
      <c r="N12" s="3"/>
      <c r="O12" s="27"/>
      <c r="P12" s="3"/>
      <c r="Q12" s="125"/>
      <c r="R12" s="21" t="s">
        <v>12</v>
      </c>
      <c r="S12" s="22"/>
      <c r="T12" s="22"/>
      <c r="U12" s="22"/>
      <c r="V12" s="22" t="s">
        <v>13</v>
      </c>
      <c r="W12" s="23">
        <v>15</v>
      </c>
    </row>
    <row r="13" spans="3:23" x14ac:dyDescent="0.3">
      <c r="C13" s="103" t="s">
        <v>73</v>
      </c>
      <c r="D13" s="100">
        <f>F13/$D$4/1000</f>
        <v>20</v>
      </c>
      <c r="E13" s="3"/>
      <c r="F13" s="64">
        <v>1700000</v>
      </c>
      <c r="G13" s="105">
        <f>F13/$F$23</f>
        <v>5.1484559240820016E-2</v>
      </c>
      <c r="K13" s="3"/>
      <c r="L13" s="3"/>
      <c r="M13" s="3"/>
      <c r="N13" s="3"/>
      <c r="O13" s="3"/>
      <c r="P13" s="3"/>
      <c r="Q13" s="125"/>
      <c r="R13" s="3"/>
      <c r="S13" s="3"/>
      <c r="T13" s="3"/>
      <c r="U13" s="3"/>
      <c r="V13" s="3"/>
      <c r="W13" s="3"/>
    </row>
    <row r="14" spans="3:23" x14ac:dyDescent="0.3">
      <c r="C14" s="103" t="s">
        <v>74</v>
      </c>
      <c r="D14" s="100">
        <f>F14/$D$4/1000</f>
        <v>23.52941176470588</v>
      </c>
      <c r="E14" s="3"/>
      <c r="F14" s="64">
        <v>2000000</v>
      </c>
      <c r="G14" s="105">
        <f>F14/$F$23</f>
        <v>6.0570069695082371E-2</v>
      </c>
      <c r="K14" s="3"/>
      <c r="L14" s="5" t="s">
        <v>69</v>
      </c>
      <c r="M14" s="7" t="s">
        <v>19</v>
      </c>
      <c r="N14" s="7"/>
      <c r="O14" s="94" t="s">
        <v>20</v>
      </c>
      <c r="P14" s="94" t="s">
        <v>21</v>
      </c>
      <c r="Q14" s="133"/>
      <c r="R14" s="5" t="s">
        <v>16</v>
      </c>
      <c r="S14" s="7"/>
      <c r="T14" s="134"/>
      <c r="U14" s="134"/>
      <c r="V14" s="134"/>
      <c r="W14" s="135"/>
    </row>
    <row r="15" spans="3:23" x14ac:dyDescent="0.3">
      <c r="C15" s="106" t="s">
        <v>75</v>
      </c>
      <c r="D15" s="107">
        <f>F15/$D$4/1000</f>
        <v>305.52941176470591</v>
      </c>
      <c r="E15" s="22"/>
      <c r="F15" s="108">
        <f>SUM(F11:F14)</f>
        <v>25970000</v>
      </c>
      <c r="G15" s="109">
        <f>F15/$F$23</f>
        <v>0.78650235499064458</v>
      </c>
      <c r="K15" s="3"/>
      <c r="L15" s="95"/>
      <c r="M15" s="96"/>
      <c r="N15" s="29"/>
      <c r="O15" s="97"/>
      <c r="P15" s="98"/>
      <c r="Q15" s="133"/>
      <c r="R15" s="28"/>
      <c r="S15" s="29"/>
      <c r="T15" s="29"/>
      <c r="U15" s="29"/>
      <c r="V15" s="29"/>
      <c r="W15" s="30"/>
    </row>
    <row r="16" spans="3:23" ht="4.95" customHeight="1" x14ac:dyDescent="0.3">
      <c r="C16" s="110"/>
      <c r="D16" s="96"/>
      <c r="E16" s="29"/>
      <c r="F16" s="111"/>
      <c r="G16" s="105"/>
      <c r="K16" s="3"/>
      <c r="L16" s="99" t="s">
        <v>70</v>
      </c>
      <c r="M16" s="100"/>
      <c r="N16" s="3"/>
      <c r="O16" s="101"/>
      <c r="P16" s="102"/>
      <c r="Q16" s="133"/>
      <c r="R16" s="12" t="s">
        <v>17</v>
      </c>
      <c r="S16" s="3"/>
      <c r="T16" s="3"/>
      <c r="U16" s="3"/>
      <c r="V16" s="3"/>
      <c r="W16" s="31">
        <v>15795.94361</v>
      </c>
    </row>
    <row r="17" spans="3:23" x14ac:dyDescent="0.3">
      <c r="C17" s="99" t="s">
        <v>76</v>
      </c>
      <c r="D17" s="100"/>
      <c r="E17" s="3"/>
      <c r="F17" s="58"/>
      <c r="G17" s="105"/>
      <c r="K17" s="3"/>
      <c r="L17" s="103" t="s">
        <v>71</v>
      </c>
      <c r="M17" s="104">
        <v>250</v>
      </c>
      <c r="N17" s="3"/>
      <c r="O17" s="101">
        <v>21250000</v>
      </c>
      <c r="P17" s="105">
        <v>0.64355699051025017</v>
      </c>
      <c r="Q17" s="133"/>
      <c r="R17" s="12" t="s">
        <v>91</v>
      </c>
      <c r="S17" s="3"/>
      <c r="T17" s="3"/>
      <c r="U17" s="3"/>
      <c r="V17" s="3"/>
      <c r="W17" s="136"/>
    </row>
    <row r="18" spans="3:23" x14ac:dyDescent="0.3">
      <c r="C18" s="103" t="s">
        <v>77</v>
      </c>
      <c r="D18" s="104">
        <f>200000/D5/1000</f>
        <v>17.39130434782609</v>
      </c>
      <c r="E18" s="3"/>
      <c r="F18" s="101">
        <f>D18*$D$4*1000</f>
        <v>1478260.8695652178</v>
      </c>
      <c r="G18" s="105">
        <f>F18/$F$23</f>
        <v>4.4769181948539155E-2</v>
      </c>
      <c r="K18" s="3"/>
      <c r="L18" s="103" t="s">
        <v>72</v>
      </c>
      <c r="M18" s="100">
        <v>12</v>
      </c>
      <c r="N18" s="3"/>
      <c r="O18" s="64">
        <v>1020000</v>
      </c>
      <c r="P18" s="105">
        <v>3.089073554449201E-2</v>
      </c>
      <c r="Q18" s="133"/>
      <c r="R18" s="12" t="s">
        <v>66</v>
      </c>
      <c r="S18" s="3"/>
      <c r="T18" s="3"/>
      <c r="U18" s="3"/>
      <c r="V18" s="3"/>
      <c r="W18" s="137">
        <v>0.02</v>
      </c>
    </row>
    <row r="19" spans="3:23" x14ac:dyDescent="0.3">
      <c r="C19" s="103" t="s">
        <v>78</v>
      </c>
      <c r="D19" s="100">
        <f>F19/$D$4/1000</f>
        <v>30.230179028132991</v>
      </c>
      <c r="E19" s="3"/>
      <c r="F19" s="64">
        <f>(2800+5000)*300+20*40*6*550/D5</f>
        <v>2569565.2173913042</v>
      </c>
      <c r="G19" s="105">
        <f>F19/$F$23</f>
        <v>7.7819372151725394E-2</v>
      </c>
      <c r="K19" s="3"/>
      <c r="L19" s="103" t="s">
        <v>73</v>
      </c>
      <c r="M19" s="100">
        <v>20</v>
      </c>
      <c r="N19" s="3"/>
      <c r="O19" s="64">
        <v>1700000</v>
      </c>
      <c r="P19" s="105">
        <v>5.1484559240820016E-2</v>
      </c>
      <c r="Q19" s="133"/>
      <c r="R19" s="12" t="s">
        <v>92</v>
      </c>
      <c r="S19" s="3"/>
      <c r="T19" s="3"/>
      <c r="U19" s="3"/>
      <c r="V19" s="3"/>
      <c r="W19" s="138">
        <v>16111.8624822</v>
      </c>
    </row>
    <row r="20" spans="3:23" x14ac:dyDescent="0.3">
      <c r="C20" s="12" t="s">
        <v>79</v>
      </c>
      <c r="D20" s="100">
        <f>F20/$D$4/1000</f>
        <v>35.3150895140665</v>
      </c>
      <c r="E20" s="3"/>
      <c r="F20" s="64">
        <f>(F15+F18+F19)*0.1</f>
        <v>3001782.6086956523</v>
      </c>
      <c r="G20" s="105">
        <f>F20/$F$23</f>
        <v>9.0909090909090925E-2</v>
      </c>
      <c r="K20" s="3"/>
      <c r="L20" s="103" t="s">
        <v>74</v>
      </c>
      <c r="M20" s="100">
        <v>23.52941176470588</v>
      </c>
      <c r="N20" s="3"/>
      <c r="O20" s="64">
        <v>2000000</v>
      </c>
      <c r="P20" s="105">
        <v>6.0570069695082371E-2</v>
      </c>
      <c r="Q20" s="125"/>
      <c r="R20" s="139"/>
      <c r="S20" s="39"/>
      <c r="T20" s="39"/>
      <c r="U20" s="39"/>
      <c r="V20" s="39"/>
      <c r="W20" s="140"/>
    </row>
    <row r="21" spans="3:23" x14ac:dyDescent="0.3">
      <c r="C21" s="106" t="s">
        <v>80</v>
      </c>
      <c r="D21" s="107">
        <f>F21/$D$4/1000</f>
        <v>82.936572890025573</v>
      </c>
      <c r="E21" s="22"/>
      <c r="F21" s="108">
        <f>SUM(F18:F20)</f>
        <v>7049608.6956521738</v>
      </c>
      <c r="G21" s="109">
        <f>F21/$F$23</f>
        <v>0.21349764500935545</v>
      </c>
      <c r="K21" s="3"/>
      <c r="L21" s="106" t="s">
        <v>75</v>
      </c>
      <c r="M21" s="107">
        <v>305.52941176470591</v>
      </c>
      <c r="N21" s="22"/>
      <c r="O21" s="108">
        <v>25970000</v>
      </c>
      <c r="P21" s="109">
        <v>0.78650235499064458</v>
      </c>
      <c r="Q21" s="125"/>
      <c r="R21" s="3"/>
      <c r="S21" s="3"/>
      <c r="T21" s="3"/>
      <c r="U21" s="3"/>
      <c r="V21" s="3"/>
      <c r="W21" s="3"/>
    </row>
    <row r="22" spans="3:23" ht="4.95" customHeight="1" x14ac:dyDescent="0.3">
      <c r="C22" s="112"/>
      <c r="D22" s="96"/>
      <c r="E22" s="113"/>
      <c r="F22" s="111"/>
      <c r="G22" s="105"/>
      <c r="K22" s="3"/>
      <c r="L22" s="110"/>
      <c r="M22" s="96"/>
      <c r="N22" s="29"/>
      <c r="O22" s="111"/>
      <c r="P22" s="105"/>
      <c r="Q22" s="125"/>
      <c r="R22" s="3"/>
      <c r="S22" s="3"/>
      <c r="T22" s="3"/>
      <c r="U22" s="3"/>
      <c r="V22" s="3"/>
      <c r="W22" s="3"/>
    </row>
    <row r="23" spans="3:23" x14ac:dyDescent="0.3">
      <c r="C23" s="114" t="s">
        <v>81</v>
      </c>
      <c r="D23" s="107">
        <f>F23/$D$4/1000</f>
        <v>388.46598465473141</v>
      </c>
      <c r="E23" s="115"/>
      <c r="F23" s="116">
        <f>F15+F21</f>
        <v>33019608.695652172</v>
      </c>
      <c r="G23" s="109">
        <f>F23/$F$23</f>
        <v>1</v>
      </c>
      <c r="K23" s="3"/>
      <c r="L23" s="99" t="s">
        <v>93</v>
      </c>
      <c r="M23" s="100"/>
      <c r="N23" s="3"/>
      <c r="O23" s="58"/>
      <c r="P23" s="105"/>
      <c r="Q23" s="3"/>
      <c r="R23" s="3"/>
      <c r="S23" s="3"/>
      <c r="T23" s="3"/>
      <c r="U23" s="3"/>
      <c r="V23" s="3"/>
      <c r="W23" s="3"/>
    </row>
    <row r="24" spans="3:23" ht="4.95" customHeight="1" x14ac:dyDescent="0.3">
      <c r="C24" s="112"/>
      <c r="D24" s="96"/>
      <c r="E24" s="113"/>
      <c r="F24" s="111"/>
      <c r="G24" s="105"/>
      <c r="K24" s="3"/>
      <c r="L24" s="103" t="s">
        <v>77</v>
      </c>
      <c r="M24" s="104">
        <v>17.39130434782609</v>
      </c>
      <c r="N24" s="3"/>
      <c r="O24" s="101">
        <v>1478260.8695652178</v>
      </c>
      <c r="P24" s="105">
        <v>4.4769181948539155E-2</v>
      </c>
      <c r="Q24" s="125"/>
      <c r="R24" s="3"/>
      <c r="S24" s="3"/>
      <c r="T24" s="3"/>
      <c r="U24" s="3"/>
      <c r="V24" s="3"/>
      <c r="W24" s="3"/>
    </row>
    <row r="25" spans="3:23" x14ac:dyDescent="0.3">
      <c r="C25" s="103" t="s">
        <v>38</v>
      </c>
      <c r="D25" s="100">
        <f>F25/$D$4/1000</f>
        <v>38.846598465473143</v>
      </c>
      <c r="E25" s="3"/>
      <c r="F25" s="101">
        <f>F23*0.1</f>
        <v>3301960.8695652173</v>
      </c>
      <c r="G25" s="105">
        <f>F25/$F$23</f>
        <v>0.1</v>
      </c>
      <c r="K25" s="3"/>
      <c r="L25" s="103" t="s">
        <v>78</v>
      </c>
      <c r="M25" s="100">
        <v>30.230179028132991</v>
      </c>
      <c r="N25" s="3"/>
      <c r="O25" s="64">
        <v>2569565.2173913042</v>
      </c>
      <c r="P25" s="105">
        <v>7.7819372151725394E-2</v>
      </c>
      <c r="Q25" s="125"/>
      <c r="R25" s="3"/>
      <c r="S25" s="3"/>
      <c r="T25" s="3"/>
      <c r="U25" s="3"/>
      <c r="V25" s="3"/>
      <c r="W25" s="3"/>
    </row>
    <row r="26" spans="3:23" x14ac:dyDescent="0.3">
      <c r="C26" s="117" t="s">
        <v>82</v>
      </c>
      <c r="D26" s="118">
        <f>F26/$D$4/1000</f>
        <v>427.31258312020464</v>
      </c>
      <c r="E26" s="119"/>
      <c r="F26" s="120">
        <f>F23+F25</f>
        <v>36321569.565217391</v>
      </c>
      <c r="G26" s="121">
        <f>F26/$F$23</f>
        <v>1.1000000000000001</v>
      </c>
      <c r="K26" s="3"/>
      <c r="L26" s="12" t="s">
        <v>79</v>
      </c>
      <c r="M26" s="100">
        <v>35.3150895140665</v>
      </c>
      <c r="N26" s="3"/>
      <c r="O26" s="64">
        <v>3001782.6086956523</v>
      </c>
      <c r="P26" s="105">
        <v>9.0909090909090925E-2</v>
      </c>
      <c r="Q26" s="125"/>
      <c r="R26" s="3"/>
      <c r="S26" s="3"/>
      <c r="T26" s="3"/>
      <c r="U26" s="3"/>
      <c r="V26" s="3"/>
      <c r="W26" s="3"/>
    </row>
    <row r="27" spans="3:23" x14ac:dyDescent="0.3">
      <c r="K27" s="3"/>
      <c r="L27" s="106" t="s">
        <v>80</v>
      </c>
      <c r="M27" s="107">
        <v>82.936572890025573</v>
      </c>
      <c r="N27" s="22"/>
      <c r="O27" s="108">
        <v>7049608.6956521738</v>
      </c>
      <c r="P27" s="109">
        <v>0.21349764500935545</v>
      </c>
      <c r="Q27" s="125"/>
      <c r="R27" s="3"/>
      <c r="S27" s="3"/>
      <c r="T27" s="3"/>
      <c r="U27" s="3"/>
      <c r="V27" s="3"/>
      <c r="W27" s="3"/>
    </row>
    <row r="28" spans="3:23" x14ac:dyDescent="0.3">
      <c r="K28" s="3"/>
      <c r="L28" s="112"/>
      <c r="M28" s="96"/>
      <c r="N28" s="113"/>
      <c r="O28" s="111"/>
      <c r="P28" s="105"/>
      <c r="Q28" s="125"/>
      <c r="R28" s="3"/>
      <c r="S28" s="3"/>
      <c r="T28" s="3"/>
      <c r="U28" s="3"/>
      <c r="V28" s="3"/>
      <c r="W28" s="3"/>
    </row>
    <row r="29" spans="3:23" x14ac:dyDescent="0.3">
      <c r="K29" s="3"/>
      <c r="L29" s="114" t="s">
        <v>81</v>
      </c>
      <c r="M29" s="107">
        <v>388.46598465473141</v>
      </c>
      <c r="N29" s="115"/>
      <c r="O29" s="116">
        <v>33019608.695652172</v>
      </c>
      <c r="P29" s="109">
        <v>1</v>
      </c>
      <c r="Q29" s="125"/>
      <c r="R29" s="3"/>
      <c r="S29" s="3"/>
      <c r="T29" s="3"/>
      <c r="U29" s="3"/>
      <c r="V29" s="3"/>
      <c r="W29" s="3"/>
    </row>
    <row r="30" spans="3:23" x14ac:dyDescent="0.3">
      <c r="K30" s="3"/>
      <c r="L30" s="112"/>
      <c r="M30" s="96"/>
      <c r="N30" s="113"/>
      <c r="O30" s="111"/>
      <c r="P30" s="105"/>
      <c r="Q30" s="125"/>
      <c r="R30" s="3"/>
      <c r="S30" s="3"/>
      <c r="T30" s="3"/>
      <c r="U30" s="3"/>
      <c r="V30" s="3"/>
      <c r="W30" s="3"/>
    </row>
    <row r="31" spans="3:23" x14ac:dyDescent="0.3">
      <c r="K31" s="3"/>
      <c r="L31" s="103" t="s">
        <v>38</v>
      </c>
      <c r="M31" s="100">
        <v>38.846598465473143</v>
      </c>
      <c r="N31" s="3"/>
      <c r="O31" s="101">
        <v>3301960.8695652173</v>
      </c>
      <c r="P31" s="105">
        <v>0.1</v>
      </c>
      <c r="Q31" s="125"/>
      <c r="R31" s="3"/>
      <c r="S31" s="3"/>
      <c r="T31" s="3"/>
      <c r="U31" s="3"/>
      <c r="V31" s="3"/>
      <c r="W31" s="3"/>
    </row>
    <row r="32" spans="3:23" x14ac:dyDescent="0.3">
      <c r="K32" s="3"/>
      <c r="L32" s="117" t="s">
        <v>82</v>
      </c>
      <c r="M32" s="118">
        <v>427.31258312020464</v>
      </c>
      <c r="N32" s="119"/>
      <c r="O32" s="120">
        <v>36321569.565217391</v>
      </c>
      <c r="P32" s="121">
        <v>1.1000000000000001</v>
      </c>
      <c r="Q32" s="125"/>
      <c r="R32" s="3"/>
      <c r="S32" s="3"/>
      <c r="T32" s="3"/>
      <c r="U32" s="3"/>
      <c r="V32" s="3"/>
      <c r="W32" s="3"/>
    </row>
    <row r="33" spans="11:23" x14ac:dyDescent="0.3">
      <c r="K33" s="3"/>
      <c r="L33" s="141"/>
      <c r="M33" s="142"/>
      <c r="N33" s="142"/>
      <c r="O33" s="142"/>
      <c r="P33" s="143"/>
      <c r="Q33" s="125"/>
      <c r="R33" s="3"/>
      <c r="S33" s="3"/>
      <c r="T33" s="3"/>
      <c r="U33" s="3"/>
      <c r="V33" s="3"/>
      <c r="W33" s="3"/>
    </row>
    <row r="34" spans="11:23" x14ac:dyDescent="0.3">
      <c r="K34" s="3"/>
      <c r="L34" s="141"/>
      <c r="M34" s="142"/>
      <c r="N34" s="142"/>
      <c r="O34" s="142"/>
      <c r="P34" s="143"/>
      <c r="Q34" s="125"/>
      <c r="R34" s="3"/>
      <c r="S34" s="3"/>
      <c r="T34" s="3"/>
      <c r="U34" s="3"/>
      <c r="V34" s="3"/>
      <c r="W34" s="3"/>
    </row>
    <row r="35" spans="11:23" x14ac:dyDescent="0.3">
      <c r="K35" s="3"/>
      <c r="L35" s="141"/>
      <c r="M35" s="142"/>
      <c r="N35" s="142"/>
      <c r="O35" s="142"/>
      <c r="P35" s="143"/>
      <c r="Q35" s="125"/>
      <c r="R35" s="55" t="s">
        <v>27</v>
      </c>
      <c r="S35" s="8"/>
      <c r="T35" s="3"/>
      <c r="U35" s="3"/>
      <c r="V35" s="3"/>
      <c r="W35" s="3"/>
    </row>
    <row r="36" spans="11:23" x14ac:dyDescent="0.3">
      <c r="K36" s="3"/>
      <c r="L36" s="3"/>
      <c r="M36" s="3"/>
      <c r="N36" s="3"/>
      <c r="O36" s="3"/>
      <c r="P36" s="3"/>
      <c r="Q36" s="125"/>
      <c r="R36" s="12"/>
      <c r="S36" s="144"/>
      <c r="T36" s="145"/>
      <c r="U36" s="145"/>
      <c r="V36" s="3"/>
      <c r="W36" s="3"/>
    </row>
    <row r="37" spans="11:23" x14ac:dyDescent="0.3">
      <c r="K37" s="3"/>
      <c r="L37" s="5" t="s">
        <v>30</v>
      </c>
      <c r="M37" s="7"/>
      <c r="N37" s="74"/>
      <c r="O37" s="8"/>
      <c r="P37" s="3"/>
      <c r="Q37" s="125"/>
      <c r="R37" s="12" t="s">
        <v>32</v>
      </c>
      <c r="S37" s="46">
        <v>0</v>
      </c>
      <c r="T37" s="145"/>
      <c r="U37" s="145"/>
      <c r="V37" s="3"/>
      <c r="W37" s="3"/>
    </row>
    <row r="38" spans="11:23" x14ac:dyDescent="0.3">
      <c r="K38" s="3"/>
      <c r="L38" s="12" t="s">
        <v>94</v>
      </c>
      <c r="M38" s="3" t="s">
        <v>95</v>
      </c>
      <c r="N38" s="3"/>
      <c r="O38" s="46">
        <v>0.02</v>
      </c>
      <c r="P38" s="3"/>
      <c r="Q38" s="125"/>
      <c r="R38" s="12" t="s">
        <v>16</v>
      </c>
      <c r="S38" s="46">
        <v>0</v>
      </c>
      <c r="T38" s="145"/>
      <c r="U38" s="145"/>
      <c r="V38" s="3"/>
      <c r="W38" s="146"/>
    </row>
    <row r="39" spans="11:23" x14ac:dyDescent="0.3">
      <c r="K39" s="3"/>
      <c r="L39" s="12" t="s">
        <v>58</v>
      </c>
      <c r="M39" s="3" t="s">
        <v>59</v>
      </c>
      <c r="N39" s="3"/>
      <c r="O39" s="46">
        <v>0.05</v>
      </c>
      <c r="P39" s="3"/>
      <c r="Q39" s="125"/>
      <c r="R39" s="24"/>
      <c r="S39" s="49"/>
      <c r="T39" s="145"/>
      <c r="U39" s="145"/>
      <c r="V39" s="146"/>
      <c r="W39" s="146"/>
    </row>
    <row r="40" spans="11:23" x14ac:dyDescent="0.3">
      <c r="K40" s="3"/>
      <c r="L40" s="12" t="s">
        <v>63</v>
      </c>
      <c r="M40" s="3" t="s">
        <v>55</v>
      </c>
      <c r="N40" s="3"/>
      <c r="O40" s="78">
        <v>23.437000000000001</v>
      </c>
      <c r="P40" s="3"/>
      <c r="Q40" s="125"/>
      <c r="R40" s="147"/>
      <c r="S40" s="3"/>
      <c r="T40" s="146"/>
      <c r="U40" s="146"/>
      <c r="V40" s="146"/>
      <c r="W40" s="146"/>
    </row>
    <row r="41" spans="11:23" x14ac:dyDescent="0.3">
      <c r="K41" s="3"/>
      <c r="L41" s="12" t="s">
        <v>96</v>
      </c>
      <c r="M41" s="3" t="s">
        <v>97</v>
      </c>
      <c r="N41" s="3"/>
      <c r="O41" s="78">
        <v>1000</v>
      </c>
      <c r="P41" s="3"/>
      <c r="Q41" s="125"/>
      <c r="R41" s="17"/>
      <c r="S41" s="3"/>
      <c r="T41" s="3"/>
      <c r="U41" s="3"/>
      <c r="V41" s="3"/>
      <c r="W41" s="3"/>
    </row>
    <row r="42" spans="11:23" x14ac:dyDescent="0.3">
      <c r="K42" s="3"/>
      <c r="L42" s="12" t="s">
        <v>64</v>
      </c>
      <c r="M42" s="3" t="s">
        <v>65</v>
      </c>
      <c r="N42" s="3"/>
      <c r="O42" s="46">
        <v>1.2999999999999999E-2</v>
      </c>
      <c r="P42" s="3"/>
      <c r="Q42" s="125"/>
      <c r="R42" s="17"/>
      <c r="S42" s="3"/>
      <c r="T42" s="3"/>
      <c r="U42" s="3"/>
      <c r="V42" s="3"/>
      <c r="W42" s="3"/>
    </row>
    <row r="43" spans="11:23" x14ac:dyDescent="0.3">
      <c r="K43" s="3"/>
      <c r="L43" s="12" t="s">
        <v>61</v>
      </c>
      <c r="M43" s="3" t="s">
        <v>62</v>
      </c>
      <c r="N43" s="3"/>
      <c r="O43" s="78">
        <v>330</v>
      </c>
      <c r="P43" s="3"/>
      <c r="Q43" s="125"/>
      <c r="R43" s="3"/>
      <c r="S43" s="3"/>
      <c r="T43" s="3"/>
      <c r="U43" s="3"/>
      <c r="V43" s="3"/>
      <c r="W43" s="3"/>
    </row>
    <row r="44" spans="11:23" x14ac:dyDescent="0.3">
      <c r="K44" s="3"/>
      <c r="L44" s="12" t="s">
        <v>98</v>
      </c>
      <c r="M44" s="3" t="s">
        <v>55</v>
      </c>
      <c r="N44" s="3"/>
      <c r="O44" s="78">
        <v>1300</v>
      </c>
      <c r="P44" s="3"/>
      <c r="Q44" s="125"/>
      <c r="R44" s="3"/>
      <c r="S44" s="3"/>
      <c r="T44" s="3"/>
      <c r="U44" s="3"/>
      <c r="V44" s="3"/>
      <c r="W44" s="3"/>
    </row>
    <row r="45" spans="11:23" x14ac:dyDescent="0.3">
      <c r="K45" s="3"/>
      <c r="L45" s="12" t="s">
        <v>99</v>
      </c>
      <c r="M45" s="3" t="s">
        <v>55</v>
      </c>
      <c r="N45" s="3"/>
      <c r="O45" s="78">
        <v>100</v>
      </c>
      <c r="P45" s="3"/>
      <c r="Q45" s="125"/>
      <c r="R45" s="3"/>
      <c r="S45" s="3"/>
      <c r="T45" s="3"/>
      <c r="U45" s="3"/>
      <c r="V45" s="3"/>
      <c r="W45" s="3"/>
    </row>
    <row r="46" spans="11:23" x14ac:dyDescent="0.3">
      <c r="K46" s="3"/>
      <c r="L46" s="24" t="s">
        <v>66</v>
      </c>
      <c r="M46" s="39"/>
      <c r="N46" s="39"/>
      <c r="O46" s="148">
        <v>0.02</v>
      </c>
      <c r="P46" s="3"/>
      <c r="Q46" s="125"/>
      <c r="R46" s="3"/>
      <c r="S46" s="3"/>
      <c r="T46" s="3"/>
      <c r="U46" s="3"/>
      <c r="V46" s="3"/>
      <c r="W46" s="3"/>
    </row>
    <row r="47" spans="11:23" x14ac:dyDescent="0.3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1:23" x14ac:dyDescent="0.3">
      <c r="K48" s="3"/>
      <c r="L48" s="3"/>
      <c r="M48" s="3"/>
      <c r="N48" s="3"/>
      <c r="O48" s="3"/>
      <c r="P48" s="3"/>
      <c r="Q48" s="3"/>
      <c r="R48" s="55" t="s">
        <v>37</v>
      </c>
      <c r="S48" s="56"/>
      <c r="T48" s="8"/>
      <c r="U48" s="3"/>
      <c r="V48" s="3"/>
      <c r="W48" s="3"/>
    </row>
    <row r="49" spans="11:23" x14ac:dyDescent="0.3">
      <c r="K49" s="3"/>
      <c r="L49" s="3"/>
      <c r="M49" s="3"/>
      <c r="N49" s="3"/>
      <c r="O49" s="3"/>
      <c r="P49" s="3"/>
      <c r="Q49" s="3"/>
      <c r="R49" s="28"/>
      <c r="S49" s="3"/>
      <c r="T49" s="30"/>
      <c r="U49" s="3"/>
      <c r="V49" s="3"/>
      <c r="W49" s="3"/>
    </row>
    <row r="50" spans="11:23" x14ac:dyDescent="0.3">
      <c r="K50" s="3"/>
      <c r="L50" s="3"/>
      <c r="M50" s="3"/>
      <c r="N50" s="3"/>
      <c r="O50" s="3"/>
      <c r="P50" s="3"/>
      <c r="Q50" s="3"/>
      <c r="R50" s="12" t="s">
        <v>40</v>
      </c>
      <c r="S50" s="3"/>
      <c r="T50" s="46">
        <v>0</v>
      </c>
      <c r="U50" s="3"/>
      <c r="V50" s="3"/>
      <c r="W50" s="3"/>
    </row>
    <row r="51" spans="11:23" x14ac:dyDescent="0.3">
      <c r="K51" s="3"/>
      <c r="L51" s="3"/>
      <c r="M51" s="3"/>
      <c r="N51" s="3"/>
      <c r="O51" s="3"/>
      <c r="P51" s="3"/>
      <c r="Q51" s="3"/>
      <c r="R51" s="12" t="s">
        <v>41</v>
      </c>
      <c r="S51" s="3"/>
      <c r="T51" s="64">
        <v>0</v>
      </c>
      <c r="U51" s="3"/>
      <c r="V51" s="3"/>
      <c r="W51" s="3"/>
    </row>
    <row r="52" spans="11:23" x14ac:dyDescent="0.3">
      <c r="K52" s="3"/>
      <c r="L52" s="3"/>
      <c r="M52" s="3"/>
      <c r="N52" s="3"/>
      <c r="O52" s="3"/>
      <c r="P52" s="3"/>
      <c r="Q52" s="3"/>
      <c r="R52" s="12" t="s">
        <v>100</v>
      </c>
      <c r="S52" s="3"/>
      <c r="T52" s="64">
        <v>3</v>
      </c>
      <c r="U52" s="3"/>
      <c r="V52" s="3"/>
      <c r="W52" s="3"/>
    </row>
    <row r="53" spans="11:23" x14ac:dyDescent="0.3">
      <c r="K53" s="3"/>
      <c r="L53" s="3"/>
      <c r="M53" s="3"/>
      <c r="N53" s="3"/>
      <c r="O53" s="3"/>
      <c r="P53" s="3"/>
      <c r="Q53" s="3"/>
      <c r="R53" s="12" t="s">
        <v>45</v>
      </c>
      <c r="S53" s="3"/>
      <c r="T53" s="64">
        <v>10</v>
      </c>
      <c r="U53" s="3"/>
      <c r="V53" s="3"/>
      <c r="W53" s="3"/>
    </row>
    <row r="54" spans="11:23" x14ac:dyDescent="0.3">
      <c r="K54" s="3"/>
      <c r="L54" s="3"/>
      <c r="M54" s="3"/>
      <c r="N54" s="3"/>
      <c r="O54" s="3"/>
      <c r="P54" s="3"/>
      <c r="Q54" s="3"/>
      <c r="R54" s="24" t="s">
        <v>47</v>
      </c>
      <c r="S54" s="39"/>
      <c r="T54" s="65">
        <v>6.2109999999999999E-2</v>
      </c>
      <c r="U54" s="3"/>
      <c r="V54" s="3" t="s">
        <v>101</v>
      </c>
      <c r="W54" s="3"/>
    </row>
    <row r="55" spans="11:23" x14ac:dyDescent="0.3">
      <c r="K55" s="3"/>
      <c r="L55" s="3"/>
      <c r="M55" s="3"/>
      <c r="N55" s="3"/>
      <c r="O55" s="3"/>
      <c r="P55" s="3"/>
      <c r="Q55" s="3"/>
      <c r="R55" s="3"/>
      <c r="S55" s="3"/>
      <c r="T55" s="57"/>
      <c r="U55" s="3"/>
      <c r="V55" s="3"/>
      <c r="W55" s="3"/>
    </row>
    <row r="56" spans="11:23" x14ac:dyDescent="0.3">
      <c r="K56" s="3"/>
      <c r="L56" s="3"/>
      <c r="M56" s="3"/>
      <c r="N56" s="84"/>
      <c r="O56" s="3"/>
      <c r="P56" s="3"/>
      <c r="Q56" s="3"/>
      <c r="R56" s="3"/>
      <c r="S56" s="3"/>
      <c r="T56" s="3"/>
      <c r="U56" s="3"/>
      <c r="V56" s="3"/>
      <c r="W5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6AB-5C89-4813-BB2F-1DE67A151B9C}">
  <dimension ref="A2:CF54"/>
  <sheetViews>
    <sheetView workbookViewId="0">
      <selection activeCell="E41" sqref="E41:F43"/>
    </sheetView>
  </sheetViews>
  <sheetFormatPr defaultColWidth="0" defaultRowHeight="13.8" outlineLevelRow="1" x14ac:dyDescent="0.3"/>
  <cols>
    <col min="1" max="1" width="4.33203125" style="3" customWidth="1"/>
    <col min="2" max="2" width="34.33203125" style="3" customWidth="1"/>
    <col min="3" max="3" width="8.33203125" style="3" customWidth="1"/>
    <col min="4" max="4" width="11.44140625" style="3" customWidth="1"/>
    <col min="5" max="5" width="17.33203125" style="3" customWidth="1"/>
    <col min="6" max="7" width="11.44140625" style="3" customWidth="1"/>
    <col min="8" max="8" width="10.77734375" style="3" bestFit="1" customWidth="1"/>
    <col min="9" max="9" width="11.6640625" style="3" customWidth="1"/>
    <col min="10" max="13" width="11.44140625" style="3" customWidth="1"/>
    <col min="14" max="55" width="11.44140625" style="3" bestFit="1" customWidth="1"/>
    <col min="56" max="58" width="10.44140625" style="3" bestFit="1" customWidth="1"/>
    <col min="59" max="59" width="10.44140625" style="3" hidden="1" customWidth="1"/>
    <col min="60" max="73" width="0" style="3" hidden="1" customWidth="1"/>
    <col min="74" max="74" width="10.44140625" style="3" hidden="1" customWidth="1"/>
    <col min="75" max="84" width="0" style="3" hidden="1" customWidth="1"/>
    <col min="85" max="16384" width="10.33203125" style="3" hidden="1"/>
  </cols>
  <sheetData>
    <row r="2" spans="2:16" ht="15.6" x14ac:dyDescent="0.3">
      <c r="B2" s="2" t="s">
        <v>3</v>
      </c>
      <c r="P2" s="4"/>
    </row>
    <row r="3" spans="2:16" x14ac:dyDescent="0.3">
      <c r="P3" s="4"/>
    </row>
    <row r="4" spans="2:16" x14ac:dyDescent="0.3">
      <c r="B4" s="5" t="s">
        <v>4</v>
      </c>
      <c r="C4" s="6"/>
      <c r="G4" s="5" t="s">
        <v>5</v>
      </c>
      <c r="H4" s="7"/>
      <c r="I4" s="7"/>
      <c r="J4" s="7"/>
      <c r="K4" s="8"/>
      <c r="L4" s="9"/>
      <c r="M4" s="9"/>
    </row>
    <row r="5" spans="2:16" x14ac:dyDescent="0.3">
      <c r="B5" s="10"/>
      <c r="C5" s="11"/>
      <c r="G5" s="12"/>
      <c r="K5" s="13" t="s">
        <v>6</v>
      </c>
      <c r="L5" s="4"/>
      <c r="M5" s="4"/>
    </row>
    <row r="6" spans="2:16" x14ac:dyDescent="0.3">
      <c r="B6" s="12" t="s">
        <v>7</v>
      </c>
      <c r="C6" s="14" t="e">
        <f>#REF!/1000</f>
        <v>#REF!</v>
      </c>
      <c r="G6" s="12" t="s">
        <v>8</v>
      </c>
      <c r="K6" s="15">
        <v>75</v>
      </c>
      <c r="L6" s="4"/>
      <c r="M6" s="4"/>
    </row>
    <row r="7" spans="2:16" x14ac:dyDescent="0.3">
      <c r="B7" s="16" t="s">
        <v>9</v>
      </c>
      <c r="C7" s="14" t="e">
        <f>C6/K6</f>
        <v>#REF!</v>
      </c>
      <c r="G7" s="12"/>
      <c r="H7" s="17"/>
      <c r="I7" s="17"/>
      <c r="J7" s="17"/>
      <c r="K7" s="18"/>
      <c r="L7" s="19"/>
      <c r="M7" s="19"/>
    </row>
    <row r="8" spans="2:16" x14ac:dyDescent="0.3">
      <c r="B8" s="16"/>
      <c r="C8" s="14"/>
      <c r="G8" s="12" t="s">
        <v>10</v>
      </c>
      <c r="I8" s="3" t="s">
        <v>11</v>
      </c>
      <c r="K8" s="20">
        <v>46753</v>
      </c>
      <c r="L8" s="4"/>
      <c r="M8" s="4"/>
    </row>
    <row r="9" spans="2:16" x14ac:dyDescent="0.3">
      <c r="B9" s="16"/>
      <c r="C9" s="14"/>
      <c r="G9" s="21" t="s">
        <v>12</v>
      </c>
      <c r="H9" s="22"/>
      <c r="I9" s="22" t="s">
        <v>13</v>
      </c>
      <c r="J9" s="22"/>
      <c r="K9" s="23">
        <v>50</v>
      </c>
      <c r="L9" s="19"/>
      <c r="M9" s="19"/>
    </row>
    <row r="10" spans="2:16" outlineLevel="1" x14ac:dyDescent="0.3">
      <c r="B10" s="24" t="s">
        <v>14</v>
      </c>
      <c r="C10" s="25">
        <v>0.11799999999999999</v>
      </c>
      <c r="L10" s="4"/>
      <c r="M10" s="4"/>
      <c r="O10" s="26"/>
    </row>
    <row r="11" spans="2:16" x14ac:dyDescent="0.3">
      <c r="B11" s="24" t="s">
        <v>15</v>
      </c>
      <c r="C11" s="25">
        <v>0.127</v>
      </c>
      <c r="G11" s="5" t="s">
        <v>16</v>
      </c>
      <c r="H11" s="7"/>
      <c r="I11" s="7"/>
      <c r="J11" s="7"/>
      <c r="K11" s="8"/>
      <c r="L11" s="4"/>
      <c r="M11" s="4"/>
      <c r="O11" s="26"/>
    </row>
    <row r="12" spans="2:16" x14ac:dyDescent="0.3">
      <c r="E12" s="27"/>
      <c r="G12" s="28"/>
      <c r="H12" s="29"/>
      <c r="I12" s="29"/>
      <c r="J12" s="29"/>
      <c r="K12" s="30"/>
      <c r="O12" s="26"/>
    </row>
    <row r="13" spans="2:16" outlineLevel="1" x14ac:dyDescent="0.3">
      <c r="G13" s="12" t="s">
        <v>17</v>
      </c>
      <c r="K13" s="31">
        <f>15795.94361*(75/85)</f>
        <v>13937.597302941176</v>
      </c>
      <c r="O13" s="26"/>
    </row>
    <row r="14" spans="2:16" outlineLevel="1" x14ac:dyDescent="0.3">
      <c r="B14" s="5" t="s">
        <v>18</v>
      </c>
      <c r="C14" s="7" t="s">
        <v>19</v>
      </c>
      <c r="D14" s="7"/>
      <c r="E14" s="8" t="s">
        <v>20</v>
      </c>
      <c r="F14" s="32" t="s">
        <v>21</v>
      </c>
      <c r="G14" s="12" t="s">
        <v>22</v>
      </c>
      <c r="K14" s="33">
        <v>0.05</v>
      </c>
      <c r="O14" s="26"/>
    </row>
    <row r="15" spans="2:16" x14ac:dyDescent="0.3">
      <c r="B15" s="34"/>
      <c r="C15" s="35"/>
      <c r="D15" s="36"/>
      <c r="E15" s="37"/>
      <c r="F15" s="38"/>
      <c r="G15" s="24" t="s">
        <v>23</v>
      </c>
      <c r="H15" s="39"/>
      <c r="I15" s="39"/>
      <c r="J15" s="39"/>
      <c r="K15" s="40">
        <v>0.02</v>
      </c>
      <c r="O15" s="26"/>
    </row>
    <row r="16" spans="2:16" x14ac:dyDescent="0.3">
      <c r="B16" s="41" t="s">
        <v>24</v>
      </c>
      <c r="C16" s="42">
        <f t="shared" ref="C16:C24" si="0">E16/$K$6/1000</f>
        <v>4.24</v>
      </c>
      <c r="E16" s="43">
        <v>318000</v>
      </c>
      <c r="F16" s="44">
        <f>E16/$E$25</f>
        <v>2.5384602876527321E-3</v>
      </c>
      <c r="K16" s="45"/>
      <c r="L16" s="17"/>
      <c r="M16" s="17"/>
      <c r="N16" s="17"/>
      <c r="O16" s="26"/>
    </row>
    <row r="17" spans="2:15" x14ac:dyDescent="0.3">
      <c r="B17" s="41" t="s">
        <v>25</v>
      </c>
      <c r="C17" s="42">
        <f t="shared" si="0"/>
        <v>12.679466666666666</v>
      </c>
      <c r="E17" s="43">
        <v>950960</v>
      </c>
      <c r="F17" s="44">
        <f t="shared" ref="F17:F24" si="1">E17/$E$25</f>
        <v>7.5911138212145972E-3</v>
      </c>
      <c r="O17" s="26"/>
    </row>
    <row r="18" spans="2:15" x14ac:dyDescent="0.3">
      <c r="B18" s="41" t="s">
        <v>26</v>
      </c>
      <c r="C18" s="42">
        <f t="shared" si="0"/>
        <v>31.610666666666667</v>
      </c>
      <c r="E18" s="43">
        <v>2370800</v>
      </c>
      <c r="F18" s="44">
        <f t="shared" si="1"/>
        <v>1.892509952819842E-2</v>
      </c>
      <c r="G18" s="7" t="s">
        <v>27</v>
      </c>
      <c r="H18" s="7"/>
      <c r="I18" s="9"/>
      <c r="J18" s="9"/>
      <c r="O18" s="26"/>
    </row>
    <row r="19" spans="2:15" x14ac:dyDescent="0.3">
      <c r="B19" s="41" t="s">
        <v>28</v>
      </c>
      <c r="C19" s="42">
        <f t="shared" si="0"/>
        <v>3.8213333333333335</v>
      </c>
      <c r="E19" s="43">
        <v>286600</v>
      </c>
      <c r="F19" s="44">
        <f t="shared" si="1"/>
        <v>2.287807290695827E-3</v>
      </c>
      <c r="G19" s="28"/>
      <c r="H19" s="30"/>
      <c r="I19" s="4"/>
      <c r="J19" s="4"/>
    </row>
    <row r="20" spans="2:15" x14ac:dyDescent="0.3">
      <c r="B20" s="41" t="s">
        <v>29</v>
      </c>
      <c r="C20" s="42">
        <f t="shared" si="0"/>
        <v>106.32530666666668</v>
      </c>
      <c r="E20" s="43">
        <v>7974398</v>
      </c>
      <c r="F20" s="44">
        <f t="shared" si="1"/>
        <v>6.3656266166469716E-2</v>
      </c>
      <c r="G20" s="12" t="s">
        <v>30</v>
      </c>
      <c r="H20" s="46">
        <v>0</v>
      </c>
      <c r="I20" s="4"/>
      <c r="J20" s="4"/>
    </row>
    <row r="21" spans="2:15" x14ac:dyDescent="0.3">
      <c r="B21" s="41" t="s">
        <v>31</v>
      </c>
      <c r="C21" s="42">
        <f t="shared" si="0"/>
        <v>115.70433333333332</v>
      </c>
      <c r="E21" s="43">
        <v>8677825</v>
      </c>
      <c r="F21" s="44">
        <f t="shared" si="1"/>
        <v>6.9271428131132295E-2</v>
      </c>
      <c r="G21" s="12" t="s">
        <v>32</v>
      </c>
      <c r="H21" s="46">
        <v>0</v>
      </c>
      <c r="I21" s="4"/>
      <c r="J21" s="4"/>
      <c r="M21" s="47"/>
      <c r="N21" s="48"/>
    </row>
    <row r="22" spans="2:15" x14ac:dyDescent="0.3">
      <c r="B22" s="41" t="s">
        <v>33</v>
      </c>
      <c r="C22" s="42">
        <f t="shared" si="0"/>
        <v>247.92099999999999</v>
      </c>
      <c r="E22" s="43">
        <v>18594075</v>
      </c>
      <c r="F22" s="44">
        <f t="shared" si="1"/>
        <v>0.14842868230546061</v>
      </c>
      <c r="G22" s="12" t="s">
        <v>16</v>
      </c>
      <c r="H22" s="46">
        <v>0</v>
      </c>
      <c r="I22" s="4"/>
      <c r="J22" s="4"/>
      <c r="M22" s="47"/>
      <c r="N22" s="48"/>
    </row>
    <row r="23" spans="2:15" x14ac:dyDescent="0.3">
      <c r="B23" s="41" t="s">
        <v>34</v>
      </c>
      <c r="C23" s="42">
        <f t="shared" si="0"/>
        <v>211.95666666666665</v>
      </c>
      <c r="E23" s="43">
        <v>15896750</v>
      </c>
      <c r="F23" s="44">
        <f t="shared" si="1"/>
        <v>0.12689707099919362</v>
      </c>
      <c r="G23" s="24"/>
      <c r="H23" s="49"/>
      <c r="I23" s="4"/>
      <c r="J23" s="4"/>
      <c r="L23" s="3">
        <f>100/75</f>
        <v>1.3333333333333333</v>
      </c>
      <c r="M23" s="47"/>
      <c r="N23" s="48"/>
    </row>
    <row r="24" spans="2:15" x14ac:dyDescent="0.3">
      <c r="B24" s="41" t="s">
        <v>35</v>
      </c>
      <c r="C24" s="42">
        <f t="shared" si="0"/>
        <v>936.04507999999998</v>
      </c>
      <c r="E24" s="43">
        <v>70203381</v>
      </c>
      <c r="F24" s="44">
        <f t="shared" si="1"/>
        <v>0.56040407146998217</v>
      </c>
      <c r="J24" s="4"/>
      <c r="M24" s="47"/>
      <c r="N24" s="48"/>
    </row>
    <row r="25" spans="2:15" x14ac:dyDescent="0.3">
      <c r="B25" s="50" t="s">
        <v>36</v>
      </c>
      <c r="C25" s="51"/>
      <c r="D25" s="52"/>
      <c r="E25" s="53">
        <f>SUM(E16:E24)</f>
        <v>125272789</v>
      </c>
      <c r="F25" s="44">
        <f>SUM(F16:F24)</f>
        <v>1</v>
      </c>
      <c r="J25" s="4"/>
      <c r="M25" s="47"/>
    </row>
    <row r="26" spans="2:15" x14ac:dyDescent="0.3">
      <c r="B26" s="41"/>
      <c r="C26" s="42"/>
      <c r="E26" s="54"/>
      <c r="F26" s="44"/>
      <c r="G26" s="55" t="s">
        <v>37</v>
      </c>
      <c r="H26" s="56"/>
      <c r="I26" s="8"/>
      <c r="J26" s="9"/>
    </row>
    <row r="27" spans="2:15" x14ac:dyDescent="0.3">
      <c r="B27" s="41" t="s">
        <v>38</v>
      </c>
      <c r="C27" s="42">
        <f>E27/$K$6/1000</f>
        <v>167.03038533333333</v>
      </c>
      <c r="E27" s="43">
        <f>SUM(E16:E24)*10%</f>
        <v>12527278.9</v>
      </c>
      <c r="F27" s="44">
        <f t="shared" ref="F27" si="2">E27/$E$25</f>
        <v>0.1</v>
      </c>
      <c r="G27" s="28"/>
      <c r="I27" s="30"/>
      <c r="J27" s="4"/>
    </row>
    <row r="28" spans="2:15" x14ac:dyDescent="0.3">
      <c r="B28" s="50" t="s">
        <v>39</v>
      </c>
      <c r="C28" s="51"/>
      <c r="D28" s="52"/>
      <c r="E28" s="53">
        <f>SUM(E25:E27)*(1+H21)</f>
        <v>137800067.90000001</v>
      </c>
      <c r="F28" s="44"/>
      <c r="G28" s="12" t="s">
        <v>40</v>
      </c>
      <c r="I28" s="46">
        <v>0.6</v>
      </c>
      <c r="J28" s="57"/>
    </row>
    <row r="29" spans="2:15" x14ac:dyDescent="0.3">
      <c r="B29" s="41"/>
      <c r="C29" s="42"/>
      <c r="E29" s="54"/>
      <c r="F29" s="44"/>
      <c r="G29" s="12" t="s">
        <v>41</v>
      </c>
      <c r="I29" s="58" t="e">
        <f>C6*I28</f>
        <v>#REF!</v>
      </c>
      <c r="J29" s="59"/>
    </row>
    <row r="30" spans="2:15" x14ac:dyDescent="0.3">
      <c r="B30" s="60" t="s">
        <v>42</v>
      </c>
      <c r="E30" s="61">
        <f>12500000/2</f>
        <v>6250000</v>
      </c>
      <c r="F30" s="62"/>
      <c r="G30" s="12" t="s">
        <v>43</v>
      </c>
      <c r="I30" s="58">
        <v>2029</v>
      </c>
      <c r="J30" s="59"/>
      <c r="L30" s="63">
        <v>26300000</v>
      </c>
    </row>
    <row r="31" spans="2:15" x14ac:dyDescent="0.3">
      <c r="B31" s="12" t="s">
        <v>44</v>
      </c>
      <c r="E31" s="43">
        <v>1372000</v>
      </c>
      <c r="F31" s="62"/>
      <c r="G31" s="12" t="s">
        <v>45</v>
      </c>
      <c r="I31" s="64">
        <v>20</v>
      </c>
      <c r="J31" s="59"/>
    </row>
    <row r="32" spans="2:15" x14ac:dyDescent="0.3">
      <c r="B32" s="60" t="s">
        <v>46</v>
      </c>
      <c r="C32" s="42">
        <f>E32/$K$6/1000</f>
        <v>13.6</v>
      </c>
      <c r="E32" s="61">
        <f>1020000</f>
        <v>1020000</v>
      </c>
      <c r="F32" s="62"/>
      <c r="G32" s="24" t="s">
        <v>47</v>
      </c>
      <c r="H32" s="39"/>
      <c r="I32" s="65">
        <f>3.467%+2.5%</f>
        <v>5.9670000000000001E-2</v>
      </c>
      <c r="J32" s="57"/>
    </row>
    <row r="33" spans="2:10" x14ac:dyDescent="0.3">
      <c r="B33" s="60" t="s">
        <v>48</v>
      </c>
      <c r="C33" s="42">
        <f>E33/$K$6/1000</f>
        <v>49.333333333333336</v>
      </c>
      <c r="E33" s="61">
        <v>3700000</v>
      </c>
      <c r="F33" s="66"/>
      <c r="J33" s="4"/>
    </row>
    <row r="34" spans="2:10" x14ac:dyDescent="0.3">
      <c r="B34" s="50" t="s">
        <v>49</v>
      </c>
      <c r="C34" s="51"/>
      <c r="D34" s="52"/>
      <c r="E34" s="53">
        <f>SUM(E28:E33)</f>
        <v>150142067.90000001</v>
      </c>
      <c r="F34" s="62"/>
      <c r="J34" s="4"/>
    </row>
    <row r="35" spans="2:10" x14ac:dyDescent="0.3">
      <c r="B35" s="60"/>
      <c r="E35" s="67"/>
      <c r="F35" s="62"/>
    </row>
    <row r="36" spans="2:10" x14ac:dyDescent="0.3">
      <c r="B36" s="41" t="s">
        <v>50</v>
      </c>
      <c r="C36" s="42">
        <f>E36/$K$6/1000</f>
        <v>-350.66666666666669</v>
      </c>
      <c r="E36" s="43">
        <f>-L30</f>
        <v>-26300000</v>
      </c>
      <c r="F36" s="44"/>
    </row>
    <row r="37" spans="2:10" s="4" customFormat="1" x14ac:dyDescent="0.3">
      <c r="B37" s="41"/>
      <c r="C37" s="68"/>
      <c r="D37" s="3"/>
      <c r="E37" s="69"/>
      <c r="F37" s="44"/>
    </row>
    <row r="38" spans="2:10" s="4" customFormat="1" x14ac:dyDescent="0.3">
      <c r="B38" s="70" t="s">
        <v>51</v>
      </c>
      <c r="C38" s="71">
        <f>E38/$K$6/1000</f>
        <v>1651.2275720000002</v>
      </c>
      <c r="D38" s="71"/>
      <c r="E38" s="72">
        <f>SUM(E34:E37)</f>
        <v>123842067.90000001</v>
      </c>
      <c r="F38" s="73"/>
    </row>
    <row r="40" spans="2:10" x14ac:dyDescent="0.3">
      <c r="B40" s="5" t="s">
        <v>30</v>
      </c>
      <c r="C40" s="7"/>
      <c r="D40" s="74"/>
      <c r="E40" s="8" t="s">
        <v>52</v>
      </c>
      <c r="F40" s="8" t="s">
        <v>53</v>
      </c>
    </row>
    <row r="41" spans="2:10" x14ac:dyDescent="0.3">
      <c r="B41" s="28" t="s">
        <v>54</v>
      </c>
      <c r="C41" s="29" t="s">
        <v>55</v>
      </c>
      <c r="D41" s="29"/>
      <c r="E41" s="75"/>
      <c r="F41" s="76">
        <f>1540*(1+H20)</f>
        <v>1540</v>
      </c>
    </row>
    <row r="42" spans="2:10" x14ac:dyDescent="0.3">
      <c r="B42" s="12" t="s">
        <v>56</v>
      </c>
      <c r="C42" s="3" t="s">
        <v>55</v>
      </c>
      <c r="E42" s="77">
        <f>1921*0.8</f>
        <v>1536.8000000000002</v>
      </c>
      <c r="F42" s="78">
        <f>1330*0.8</f>
        <v>1064</v>
      </c>
    </row>
    <row r="43" spans="2:10" x14ac:dyDescent="0.3">
      <c r="B43" s="12" t="s">
        <v>57</v>
      </c>
      <c r="C43" s="3" t="s">
        <v>55</v>
      </c>
      <c r="E43" s="77">
        <f>800*2</f>
        <v>1600</v>
      </c>
      <c r="F43" s="78">
        <v>500</v>
      </c>
    </row>
    <row r="44" spans="2:10" x14ac:dyDescent="0.3">
      <c r="B44" s="12" t="s">
        <v>58</v>
      </c>
      <c r="C44" s="3" t="s">
        <v>59</v>
      </c>
      <c r="E44" s="77"/>
      <c r="F44" s="79">
        <v>0.05</v>
      </c>
    </row>
    <row r="45" spans="2:10" x14ac:dyDescent="0.3">
      <c r="B45" s="12" t="s">
        <v>60</v>
      </c>
      <c r="C45" s="3" t="s">
        <v>55</v>
      </c>
      <c r="E45" s="77"/>
      <c r="F45" s="80">
        <f>450</f>
        <v>450</v>
      </c>
    </row>
    <row r="46" spans="2:10" x14ac:dyDescent="0.3">
      <c r="B46" s="12" t="s">
        <v>61</v>
      </c>
      <c r="C46" s="3" t="s">
        <v>62</v>
      </c>
      <c r="E46" s="77"/>
      <c r="F46" s="80">
        <v>330</v>
      </c>
    </row>
    <row r="47" spans="2:10" x14ac:dyDescent="0.3">
      <c r="B47" s="12" t="s">
        <v>63</v>
      </c>
      <c r="C47" s="3" t="s">
        <v>55</v>
      </c>
      <c r="E47" s="77">
        <v>23.437000000000001</v>
      </c>
      <c r="F47" s="78">
        <v>23.437000000000001</v>
      </c>
    </row>
    <row r="48" spans="2:10" x14ac:dyDescent="0.3">
      <c r="B48" s="12" t="s">
        <v>64</v>
      </c>
      <c r="C48" s="3" t="s">
        <v>65</v>
      </c>
      <c r="E48" s="77"/>
      <c r="F48" s="81">
        <v>1.2999999999999999E-2</v>
      </c>
    </row>
    <row r="49" spans="2:9" x14ac:dyDescent="0.3">
      <c r="B49" s="24" t="s">
        <v>66</v>
      </c>
      <c r="C49" s="39"/>
      <c r="D49" s="39"/>
      <c r="E49" s="82">
        <v>0.02</v>
      </c>
      <c r="F49" s="83">
        <v>0.02</v>
      </c>
    </row>
    <row r="50" spans="2:9" x14ac:dyDescent="0.3">
      <c r="D50" s="84"/>
    </row>
    <row r="52" spans="2:9" x14ac:dyDescent="0.3">
      <c r="D52" s="84"/>
      <c r="E52" s="85"/>
    </row>
    <row r="54" spans="2:9" x14ac:dyDescent="0.3">
      <c r="I54" s="8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387EDD8C55E54D80759865D9542B69" ma:contentTypeVersion="15" ma:contentTypeDescription="Skapa ett nytt dokument." ma:contentTypeScope="" ma:versionID="e057008d6e729d06900d17fc72a431ed">
  <xsd:schema xmlns:xsd="http://www.w3.org/2001/XMLSchema" xmlns:xs="http://www.w3.org/2001/XMLSchema" xmlns:p="http://schemas.microsoft.com/office/2006/metadata/properties" xmlns:ns2="f014d427-246c-4f58-aa75-4782c2e674b5" xmlns:ns3="60a11cae-ef66-4927-be8d-635417274eb5" targetNamespace="http://schemas.microsoft.com/office/2006/metadata/properties" ma:root="true" ma:fieldsID="0feebbb4976e72b3db114770b70e531c" ns2:_="" ns3:_="">
    <xsd:import namespace="f014d427-246c-4f58-aa75-4782c2e674b5"/>
    <xsd:import namespace="60a11cae-ef66-4927-be8d-635417274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4d427-246c-4f58-aa75-4782c2e67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7ed288b8-acd4-4d92-b472-f379e5e9de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11cae-ef66-4927-be8d-635417274e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436d4d-c9af-4c07-8da3-d6268aa39d55}" ma:internalName="TaxCatchAll" ma:showField="CatchAllData" ma:web="60a11cae-ef66-4927-be8d-635417274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a11cae-ef66-4927-be8d-635417274eb5" xsi:nil="true"/>
    <lcf76f155ced4ddcb4097134ff3c332f xmlns="f014d427-246c-4f58-aa75-4782c2e67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B11A15-D683-49AE-8DB5-E07E007E8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4d427-246c-4f58-aa75-4782c2e674b5"/>
    <ds:schemaRef ds:uri="60a11cae-ef66-4927-be8d-635417274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00CFD1-A982-48D3-B518-D759ACB12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A9606-7EB6-4D3D-BC0E-4D403668D667}">
  <ds:schemaRefs>
    <ds:schemaRef ds:uri="http://schemas.microsoft.com/office/2006/metadata/properties"/>
    <ds:schemaRef ds:uri="http://schemas.microsoft.com/office/infopath/2007/PartnerControls"/>
    <ds:schemaRef ds:uri="60a11cae-ef66-4927-be8d-635417274eb5"/>
    <ds:schemaRef ds:uri="f014d427-246c-4f58-aa75-4782c2e674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1</vt:i4>
      </vt:variant>
    </vt:vector>
  </HeadingPairs>
  <TitlesOfParts>
    <vt:vector size="5" baseType="lpstr">
      <vt:lpstr>Cost of provision</vt:lpstr>
      <vt:lpstr>CAPEX</vt:lpstr>
      <vt:lpstr>BESS</vt:lpstr>
      <vt:lpstr>PHS</vt:lpstr>
      <vt:lpstr>MYPRODS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Holtz</dc:creator>
  <cp:lastModifiedBy>Christian Holtz</cp:lastModifiedBy>
  <dcterms:created xsi:type="dcterms:W3CDTF">2024-10-09T08:21:08Z</dcterms:created>
  <dcterms:modified xsi:type="dcterms:W3CDTF">2024-10-11T11:52:21Z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0x01010090387EDD8C55E54D80759865D9542B69</vt:lpwstr>
  </property>
  <property fmtid="{D5CDD505-2E9C-101B-9397-08002B2CF9AE}" pid="3" name="MediaServiceImageTags">
    <vt:lpwstr/>
  </property>
</Properties>
</file>