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4_Stockholm Exergi/Arbetsmaterial/"/>
    </mc:Choice>
  </mc:AlternateContent>
  <xr:revisionPtr revIDLastSave="72" documentId="8_{51E78D1E-16B3-454D-A2DD-CC55F5016967}" xr6:coauthVersionLast="47" xr6:coauthVersionMax="47" xr10:uidLastSave="{A8B5900A-51A9-4D68-AB6B-2C9FAB872D0D}"/>
  <bookViews>
    <workbookView xWindow="6040" yWindow="1450" windowWidth="26930" windowHeight="13260" tabRatio="675" xr2:uid="{F4B0B8B3-D4AC-7E4D-9BF8-65B1E5A47407}"/>
  </bookViews>
  <sheets>
    <sheet name="Summary" sheetId="8" r:id="rId1"/>
    <sheet name="Revenue streams" sheetId="1" r:id="rId2"/>
    <sheet name="Services achieved price" sheetId="9" r:id="rId3"/>
    <sheet name="Services annual average price" sheetId="6" r:id="rId4"/>
    <sheet name="Asset allocation MW- Percentile" sheetId="12" r:id="rId5"/>
    <sheet name="Asset allocation MW" sheetId="11" r:id="rId6"/>
    <sheet name="Asset allocation time" sheetId="3" r:id="rId7"/>
    <sheet name="Asset allocation calc" sheetId="10" r:id="rId8"/>
    <sheet name="Params" sheetId="7" r:id="rId9"/>
    <sheet name="kWh_cost_cal" sheetId="13" r:id="rId10"/>
  </sheets>
  <definedNames>
    <definedName name="NUM_HRS_IN_A_YEAR">Params!$C$5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I34" i="3"/>
  <c r="S30" i="12" l="1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D34" i="3"/>
  <c r="H30" i="3" l="1"/>
  <c r="I30" i="3" s="1"/>
  <c r="E35" i="3"/>
  <c r="S35" i="3"/>
  <c r="H35" i="3"/>
  <c r="G35" i="3"/>
  <c r="F35" i="3"/>
  <c r="S34" i="3"/>
  <c r="H34" i="3"/>
  <c r="G34" i="3"/>
  <c r="F34" i="3"/>
  <c r="E34" i="3"/>
  <c r="D35" i="3"/>
  <c r="S30" i="1"/>
  <c r="H30" i="1"/>
  <c r="G30" i="1"/>
  <c r="F30" i="1"/>
  <c r="E30" i="1"/>
  <c r="D30" i="1"/>
  <c r="C30" i="1"/>
  <c r="H30" i="9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10"/>
  <c r="H30" i="10"/>
  <c r="G30" i="10"/>
  <c r="F30" i="10"/>
  <c r="E30" i="10"/>
  <c r="D30" i="10"/>
  <c r="C30" i="10"/>
  <c r="J30" i="3" l="1"/>
  <c r="I35" i="3"/>
  <c r="I30" i="1"/>
  <c r="I30" i="10"/>
  <c r="K30" i="3" l="1"/>
  <c r="J34" i="3"/>
  <c r="J35" i="3"/>
  <c r="J30" i="1"/>
  <c r="J30" i="10"/>
  <c r="K34" i="3" l="1"/>
  <c r="L30" i="3"/>
  <c r="K35" i="3"/>
  <c r="K30" i="1"/>
  <c r="K30" i="10"/>
  <c r="L34" i="3" l="1"/>
  <c r="L35" i="3"/>
  <c r="M30" i="3"/>
  <c r="L30" i="1"/>
  <c r="L30" i="10"/>
  <c r="M34" i="3" l="1"/>
  <c r="M35" i="3"/>
  <c r="M30" i="1"/>
  <c r="N30" i="3"/>
  <c r="M30" i="10"/>
  <c r="N35" i="3" l="1"/>
  <c r="N34" i="3"/>
  <c r="N30" i="1"/>
  <c r="O30" i="3"/>
  <c r="N30" i="10"/>
  <c r="O35" i="3" l="1"/>
  <c r="O30" i="1"/>
  <c r="P30" i="3"/>
  <c r="O34" i="3"/>
  <c r="O30" i="10"/>
  <c r="P30" i="1" l="1"/>
  <c r="P34" i="3"/>
  <c r="Q30" i="3"/>
  <c r="P35" i="3"/>
  <c r="P30" i="10"/>
  <c r="Q30" i="1" l="1"/>
  <c r="R30" i="3"/>
  <c r="Q34" i="3"/>
  <c r="Q35" i="3"/>
  <c r="R30" i="10"/>
  <c r="Q30" i="10"/>
  <c r="R30" i="1" l="1"/>
  <c r="R35" i="3"/>
  <c r="R34" i="3"/>
  <c r="C9" i="13" l="1"/>
  <c r="G9" i="13" s="1"/>
  <c r="C8" i="13"/>
  <c r="G8" i="13" s="1"/>
  <c r="C7" i="13"/>
  <c r="G7" i="13"/>
  <c r="G10" i="7"/>
  <c r="D25" i="12" l="1"/>
  <c r="H5" i="12"/>
  <c r="I5" i="12"/>
  <c r="J5" i="12"/>
  <c r="K5" i="12"/>
  <c r="L5" i="12"/>
  <c r="M5" i="12"/>
  <c r="N5" i="12"/>
  <c r="O5" i="12"/>
  <c r="P5" i="12"/>
  <c r="Q5" i="12"/>
  <c r="R5" i="12"/>
  <c r="S5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S10" i="1"/>
  <c r="S11" i="1"/>
  <c r="S12" i="1"/>
  <c r="S13" i="1"/>
  <c r="S14" i="1"/>
  <c r="S15" i="1"/>
  <c r="S12" i="8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9" i="8" s="1"/>
  <c r="R18" i="8" s="1"/>
  <c r="R2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9" i="8" s="1"/>
  <c r="Q2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10" i="1"/>
  <c r="O11" i="1"/>
  <c r="O12" i="1"/>
  <c r="O13" i="1"/>
  <c r="O14" i="1"/>
  <c r="O15" i="1"/>
  <c r="O16" i="1"/>
  <c r="O17" i="1"/>
  <c r="O18" i="1"/>
  <c r="O19" i="1"/>
  <c r="O13" i="8" s="1"/>
  <c r="O20" i="1"/>
  <c r="O21" i="1"/>
  <c r="O22" i="1"/>
  <c r="O23" i="1"/>
  <c r="O24" i="1"/>
  <c r="O25" i="1"/>
  <c r="O26" i="1"/>
  <c r="O27" i="1"/>
  <c r="O28" i="1"/>
  <c r="O2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19" i="8" s="1"/>
  <c r="N2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9" i="8" s="1"/>
  <c r="M29" i="1"/>
  <c r="L10" i="1"/>
  <c r="L11" i="1"/>
  <c r="L12" i="1"/>
  <c r="L13" i="1"/>
  <c r="L14" i="1"/>
  <c r="L15" i="1"/>
  <c r="L16" i="1"/>
  <c r="L17" i="1"/>
  <c r="L18" i="1"/>
  <c r="L19" i="1"/>
  <c r="L13" i="8" s="1"/>
  <c r="L20" i="1"/>
  <c r="L21" i="1"/>
  <c r="L22" i="1"/>
  <c r="L23" i="1"/>
  <c r="L24" i="1"/>
  <c r="L25" i="1"/>
  <c r="L26" i="1"/>
  <c r="L27" i="1"/>
  <c r="L28" i="1"/>
  <c r="L29" i="1"/>
  <c r="K10" i="1"/>
  <c r="K11" i="1"/>
  <c r="K12" i="1"/>
  <c r="K13" i="1"/>
  <c r="K14" i="1"/>
  <c r="K15" i="1"/>
  <c r="K16" i="1"/>
  <c r="K12" i="8" s="1"/>
  <c r="K11" i="8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0" i="1"/>
  <c r="J11" i="1"/>
  <c r="J12" i="1"/>
  <c r="J13" i="1"/>
  <c r="J14" i="1"/>
  <c r="J15" i="1"/>
  <c r="J16" i="1"/>
  <c r="J17" i="1"/>
  <c r="J18" i="1"/>
  <c r="J19" i="1"/>
  <c r="J13" i="8" s="1"/>
  <c r="J20" i="1"/>
  <c r="J21" i="1"/>
  <c r="J22" i="1"/>
  <c r="J23" i="1"/>
  <c r="J24" i="1"/>
  <c r="J25" i="1"/>
  <c r="J26" i="1"/>
  <c r="J27" i="1"/>
  <c r="J28" i="1"/>
  <c r="J29" i="1"/>
  <c r="I10" i="1"/>
  <c r="I11" i="1"/>
  <c r="I12" i="1"/>
  <c r="I13" i="1"/>
  <c r="I14" i="1"/>
  <c r="I15" i="1"/>
  <c r="I16" i="1"/>
  <c r="I17" i="1"/>
  <c r="I18" i="1"/>
  <c r="I19" i="1"/>
  <c r="I13" i="8" s="1"/>
  <c r="I20" i="1"/>
  <c r="I21" i="1"/>
  <c r="I22" i="1"/>
  <c r="I23" i="1"/>
  <c r="I24" i="1"/>
  <c r="I25" i="1"/>
  <c r="I26" i="1"/>
  <c r="I27" i="1"/>
  <c r="I28" i="1"/>
  <c r="I19" i="8" s="1"/>
  <c r="I2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6" i="8" s="1"/>
  <c r="H15" i="8" s="1"/>
  <c r="H26" i="1"/>
  <c r="H27" i="1"/>
  <c r="H28" i="1"/>
  <c r="H29" i="1"/>
  <c r="G10" i="1"/>
  <c r="G11" i="1"/>
  <c r="G12" i="1"/>
  <c r="G13" i="1"/>
  <c r="G14" i="1"/>
  <c r="G15" i="1"/>
  <c r="G16" i="1"/>
  <c r="G12" i="8" s="1"/>
  <c r="G11" i="8" s="1"/>
  <c r="G17" i="1"/>
  <c r="G18" i="1"/>
  <c r="G19" i="1"/>
  <c r="G13" i="8" s="1"/>
  <c r="G20" i="1"/>
  <c r="G21" i="1"/>
  <c r="G22" i="1"/>
  <c r="G16" i="8" s="1"/>
  <c r="G15" i="8" s="1"/>
  <c r="G23" i="1"/>
  <c r="G24" i="1"/>
  <c r="G25" i="1"/>
  <c r="G26" i="1"/>
  <c r="G27" i="1"/>
  <c r="G28" i="1"/>
  <c r="G2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9" i="8" s="1"/>
  <c r="F18" i="8" s="1"/>
  <c r="F29" i="1"/>
  <c r="E10" i="1"/>
  <c r="E11" i="1"/>
  <c r="E12" i="1"/>
  <c r="E13" i="1"/>
  <c r="E14" i="1"/>
  <c r="E15" i="1"/>
  <c r="E16" i="1"/>
  <c r="E17" i="1"/>
  <c r="E18" i="1"/>
  <c r="E19" i="1"/>
  <c r="E13" i="8" s="1"/>
  <c r="E20" i="1"/>
  <c r="E21" i="1"/>
  <c r="E22" i="1"/>
  <c r="E23" i="1"/>
  <c r="E24" i="1"/>
  <c r="E25" i="1"/>
  <c r="E26" i="1"/>
  <c r="E27" i="1"/>
  <c r="E28" i="1"/>
  <c r="E19" i="8" s="1"/>
  <c r="E18" i="8" s="1"/>
  <c r="E2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6" i="8" s="1"/>
  <c r="D15" i="8" s="1"/>
  <c r="D23" i="1"/>
  <c r="D24" i="1"/>
  <c r="D25" i="1"/>
  <c r="D26" i="1"/>
  <c r="D27" i="1"/>
  <c r="D28" i="1"/>
  <c r="D29" i="1"/>
  <c r="F16" i="8"/>
  <c r="F15" i="8" s="1"/>
  <c r="F13" i="8"/>
  <c r="E16" i="8"/>
  <c r="E15" i="8" s="1"/>
  <c r="D13" i="8"/>
  <c r="D9" i="10"/>
  <c r="F9" i="10"/>
  <c r="F10" i="10"/>
  <c r="F12" i="10"/>
  <c r="F15" i="10"/>
  <c r="F17" i="10"/>
  <c r="F25" i="10"/>
  <c r="F28" i="10"/>
  <c r="F29" i="10"/>
  <c r="F11" i="10"/>
  <c r="F16" i="10"/>
  <c r="F18" i="10"/>
  <c r="F19" i="10"/>
  <c r="F39" i="10"/>
  <c r="E9" i="10"/>
  <c r="E10" i="10"/>
  <c r="E12" i="10"/>
  <c r="E15" i="10"/>
  <c r="E17" i="10"/>
  <c r="E25" i="10"/>
  <c r="E28" i="10"/>
  <c r="E29" i="10"/>
  <c r="E11" i="10"/>
  <c r="E16" i="10"/>
  <c r="E18" i="10"/>
  <c r="E19" i="10"/>
  <c r="E39" i="10"/>
  <c r="D10" i="10"/>
  <c r="D12" i="10"/>
  <c r="D15" i="10"/>
  <c r="D17" i="10"/>
  <c r="D25" i="10"/>
  <c r="D28" i="10"/>
  <c r="D29" i="10"/>
  <c r="D11" i="10"/>
  <c r="D16" i="10"/>
  <c r="D18" i="10"/>
  <c r="D19" i="10"/>
  <c r="D39" i="10"/>
  <c r="F22" i="10"/>
  <c r="E22" i="10"/>
  <c r="D22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S11" i="10"/>
  <c r="R11" i="10"/>
  <c r="Q11" i="10"/>
  <c r="Q35" i="10" s="1"/>
  <c r="P11" i="10"/>
  <c r="O11" i="10"/>
  <c r="N11" i="10"/>
  <c r="N35" i="10" s="1"/>
  <c r="M11" i="10"/>
  <c r="M35" i="10" s="1"/>
  <c r="L11" i="10"/>
  <c r="K11" i="10"/>
  <c r="J11" i="10"/>
  <c r="I11" i="10"/>
  <c r="H11" i="10"/>
  <c r="G11" i="10"/>
  <c r="S10" i="10"/>
  <c r="R10" i="10"/>
  <c r="Q10" i="10"/>
  <c r="Q44" i="10" s="1"/>
  <c r="P10" i="10"/>
  <c r="O10" i="10"/>
  <c r="N10" i="10"/>
  <c r="M10" i="10"/>
  <c r="L10" i="10"/>
  <c r="K10" i="10"/>
  <c r="J10" i="10"/>
  <c r="J44" i="10" s="1"/>
  <c r="I10" i="10"/>
  <c r="H10" i="10"/>
  <c r="G10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H5" i="11"/>
  <c r="I5" i="11"/>
  <c r="J5" i="11"/>
  <c r="K5" i="11"/>
  <c r="L5" i="11"/>
  <c r="M5" i="11"/>
  <c r="N5" i="11"/>
  <c r="O5" i="11"/>
  <c r="P5" i="11"/>
  <c r="Q5" i="11"/>
  <c r="R5" i="11"/>
  <c r="S5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9" i="6"/>
  <c r="F9" i="1" s="1"/>
  <c r="E9" i="6"/>
  <c r="E9" i="1" s="1"/>
  <c r="D9" i="6"/>
  <c r="D9" i="1" s="1"/>
  <c r="G8" i="6"/>
  <c r="G9" i="6"/>
  <c r="G9" i="1" s="1"/>
  <c r="H19" i="6"/>
  <c r="A9" i="10"/>
  <c r="A10" i="10"/>
  <c r="A12" i="10"/>
  <c r="A15" i="10"/>
  <c r="A16" i="10"/>
  <c r="A17" i="10"/>
  <c r="A18" i="10"/>
  <c r="A19" i="10"/>
  <c r="A22" i="10"/>
  <c r="A25" i="10"/>
  <c r="G39" i="10"/>
  <c r="C29" i="10"/>
  <c r="C28" i="10"/>
  <c r="C25" i="10"/>
  <c r="C22" i="10"/>
  <c r="C19" i="10"/>
  <c r="C18" i="10"/>
  <c r="C17" i="10"/>
  <c r="C16" i="10"/>
  <c r="C15" i="10"/>
  <c r="C12" i="10"/>
  <c r="C11" i="10"/>
  <c r="C10" i="10"/>
  <c r="H18" i="9"/>
  <c r="I18" i="9"/>
  <c r="J18" i="9"/>
  <c r="K18" i="9"/>
  <c r="L18" i="9"/>
  <c r="M18" i="9"/>
  <c r="N18" i="9"/>
  <c r="O18" i="9"/>
  <c r="P18" i="9"/>
  <c r="Q18" i="9"/>
  <c r="R18" i="9"/>
  <c r="H17" i="9"/>
  <c r="I17" i="9"/>
  <c r="J17" i="9"/>
  <c r="K17" i="9"/>
  <c r="L17" i="9"/>
  <c r="M17" i="9"/>
  <c r="N17" i="9"/>
  <c r="O17" i="9"/>
  <c r="P17" i="9"/>
  <c r="Q17" i="9"/>
  <c r="R17" i="9"/>
  <c r="H16" i="9"/>
  <c r="I16" i="9"/>
  <c r="J16" i="9"/>
  <c r="K16" i="9"/>
  <c r="L16" i="9"/>
  <c r="M16" i="9"/>
  <c r="N16" i="9"/>
  <c r="O16" i="9"/>
  <c r="P16" i="9"/>
  <c r="Q16" i="9"/>
  <c r="R16" i="9"/>
  <c r="H15" i="9"/>
  <c r="I15" i="9"/>
  <c r="J15" i="9"/>
  <c r="K15" i="9"/>
  <c r="L15" i="9"/>
  <c r="M15" i="9"/>
  <c r="N15" i="9"/>
  <c r="O15" i="9"/>
  <c r="P15" i="9"/>
  <c r="Q15" i="9"/>
  <c r="R15" i="9"/>
  <c r="H9" i="3"/>
  <c r="H10" i="3"/>
  <c r="H11" i="3"/>
  <c r="H12" i="3"/>
  <c r="H15" i="3"/>
  <c r="H16" i="3"/>
  <c r="H17" i="3"/>
  <c r="H18" i="3"/>
  <c r="H19" i="3"/>
  <c r="H25" i="3"/>
  <c r="H28" i="3"/>
  <c r="H29" i="3"/>
  <c r="G12" i="7"/>
  <c r="G11" i="7"/>
  <c r="A11" i="10" s="1"/>
  <c r="H12" i="9"/>
  <c r="I12" i="9"/>
  <c r="J12" i="9"/>
  <c r="K12" i="9"/>
  <c r="L12" i="9"/>
  <c r="M12" i="9"/>
  <c r="N12" i="9"/>
  <c r="O12" i="9"/>
  <c r="P12" i="9"/>
  <c r="Q12" i="9"/>
  <c r="R12" i="9"/>
  <c r="H11" i="9"/>
  <c r="I11" i="9"/>
  <c r="J11" i="9"/>
  <c r="K11" i="9"/>
  <c r="L11" i="9"/>
  <c r="M11" i="9"/>
  <c r="N11" i="9"/>
  <c r="O11" i="9"/>
  <c r="P11" i="9"/>
  <c r="Q11" i="9"/>
  <c r="R11" i="9"/>
  <c r="H10" i="9"/>
  <c r="I10" i="9"/>
  <c r="J10" i="9"/>
  <c r="K10" i="9"/>
  <c r="L10" i="9"/>
  <c r="M10" i="9"/>
  <c r="N10" i="9"/>
  <c r="O10" i="9"/>
  <c r="P10" i="9"/>
  <c r="Q10" i="9"/>
  <c r="R10" i="9"/>
  <c r="H29" i="9"/>
  <c r="I29" i="9"/>
  <c r="J29" i="9"/>
  <c r="K29" i="9"/>
  <c r="L29" i="9"/>
  <c r="M29" i="9"/>
  <c r="N29" i="9"/>
  <c r="O29" i="9"/>
  <c r="P29" i="9"/>
  <c r="Q29" i="9"/>
  <c r="R29" i="9"/>
  <c r="H28" i="9"/>
  <c r="I28" i="9"/>
  <c r="J28" i="9"/>
  <c r="K28" i="9"/>
  <c r="L28" i="9"/>
  <c r="M28" i="9"/>
  <c r="N28" i="9"/>
  <c r="O28" i="9"/>
  <c r="P28" i="9"/>
  <c r="Q28" i="9"/>
  <c r="R28" i="9"/>
  <c r="H19" i="9"/>
  <c r="I19" i="9"/>
  <c r="J19" i="9"/>
  <c r="K19" i="9"/>
  <c r="L19" i="9"/>
  <c r="M19" i="9"/>
  <c r="N19" i="9"/>
  <c r="O19" i="9"/>
  <c r="P19" i="9"/>
  <c r="Q19" i="9"/>
  <c r="R19" i="9"/>
  <c r="S19" i="9"/>
  <c r="H9" i="9"/>
  <c r="I9" i="9"/>
  <c r="J9" i="9"/>
  <c r="K9" i="9"/>
  <c r="L9" i="9"/>
  <c r="M9" i="9"/>
  <c r="N9" i="9"/>
  <c r="O9" i="9"/>
  <c r="P9" i="9"/>
  <c r="Q9" i="9"/>
  <c r="R9" i="9"/>
  <c r="S9" i="9"/>
  <c r="I12" i="3"/>
  <c r="J12" i="3"/>
  <c r="K12" i="3"/>
  <c r="L12" i="3"/>
  <c r="M12" i="3"/>
  <c r="N12" i="3"/>
  <c r="O12" i="3"/>
  <c r="P12" i="3"/>
  <c r="Q12" i="3"/>
  <c r="R12" i="3"/>
  <c r="S12" i="3"/>
  <c r="I11" i="3"/>
  <c r="J11" i="3"/>
  <c r="K11" i="3"/>
  <c r="L11" i="3"/>
  <c r="M11" i="3"/>
  <c r="N11" i="3"/>
  <c r="O11" i="3"/>
  <c r="P11" i="3"/>
  <c r="Q11" i="3"/>
  <c r="R11" i="3"/>
  <c r="S11" i="3"/>
  <c r="I10" i="3"/>
  <c r="J10" i="3"/>
  <c r="K10" i="3"/>
  <c r="L10" i="3"/>
  <c r="M10" i="3"/>
  <c r="N10" i="3"/>
  <c r="O10" i="3"/>
  <c r="P10" i="3"/>
  <c r="Q10" i="3"/>
  <c r="R10" i="3"/>
  <c r="S10" i="3"/>
  <c r="I9" i="3"/>
  <c r="J9" i="3"/>
  <c r="K9" i="3"/>
  <c r="L9" i="3"/>
  <c r="M9" i="3"/>
  <c r="N9" i="3"/>
  <c r="O9" i="3"/>
  <c r="P9" i="3"/>
  <c r="Q9" i="3"/>
  <c r="R9" i="3"/>
  <c r="S9" i="3"/>
  <c r="I29" i="3"/>
  <c r="J29" i="3"/>
  <c r="K29" i="3"/>
  <c r="L29" i="3"/>
  <c r="M29" i="3"/>
  <c r="N29" i="3"/>
  <c r="O29" i="3"/>
  <c r="P29" i="3"/>
  <c r="Q29" i="3"/>
  <c r="R29" i="3"/>
  <c r="I28" i="3"/>
  <c r="J28" i="3"/>
  <c r="K28" i="3"/>
  <c r="L28" i="3"/>
  <c r="M28" i="3"/>
  <c r="N28" i="3"/>
  <c r="O28" i="3"/>
  <c r="P28" i="3"/>
  <c r="Q28" i="3"/>
  <c r="R28" i="3"/>
  <c r="I25" i="3"/>
  <c r="I15" i="3"/>
  <c r="I16" i="3"/>
  <c r="I17" i="3"/>
  <c r="I18" i="3"/>
  <c r="I19" i="3"/>
  <c r="K22" i="3"/>
  <c r="L22" i="3"/>
  <c r="M22" i="3"/>
  <c r="N22" i="3"/>
  <c r="O22" i="3"/>
  <c r="P22" i="3"/>
  <c r="Q22" i="3"/>
  <c r="R22" i="3"/>
  <c r="S22" i="3"/>
  <c r="J19" i="3"/>
  <c r="K19" i="3"/>
  <c r="L19" i="3"/>
  <c r="M19" i="3"/>
  <c r="N19" i="3"/>
  <c r="O19" i="3"/>
  <c r="P19" i="3"/>
  <c r="Q19" i="3"/>
  <c r="R19" i="3"/>
  <c r="S19" i="3"/>
  <c r="J18" i="3"/>
  <c r="K18" i="3"/>
  <c r="L18" i="3"/>
  <c r="M18" i="3"/>
  <c r="N18" i="3"/>
  <c r="O18" i="3"/>
  <c r="P18" i="3"/>
  <c r="Q18" i="3"/>
  <c r="R18" i="3"/>
  <c r="S18" i="3"/>
  <c r="J17" i="3"/>
  <c r="K17" i="3"/>
  <c r="L17" i="3"/>
  <c r="M17" i="3"/>
  <c r="N17" i="3"/>
  <c r="O17" i="3"/>
  <c r="P17" i="3"/>
  <c r="Q17" i="3"/>
  <c r="R17" i="3"/>
  <c r="S17" i="3"/>
  <c r="J16" i="3"/>
  <c r="K16" i="3"/>
  <c r="L16" i="3"/>
  <c r="M16" i="3"/>
  <c r="N16" i="3"/>
  <c r="O16" i="3"/>
  <c r="P16" i="3"/>
  <c r="Q16" i="3"/>
  <c r="R16" i="3"/>
  <c r="S16" i="3"/>
  <c r="J15" i="3"/>
  <c r="K15" i="3"/>
  <c r="L15" i="3"/>
  <c r="M15" i="3"/>
  <c r="N15" i="3"/>
  <c r="O15" i="3"/>
  <c r="P15" i="3"/>
  <c r="Q15" i="3"/>
  <c r="R15" i="3"/>
  <c r="S15" i="3"/>
  <c r="H5" i="10"/>
  <c r="H8" i="10" s="1"/>
  <c r="G8" i="10"/>
  <c r="L25" i="3"/>
  <c r="M25" i="3"/>
  <c r="N25" i="3"/>
  <c r="O25" i="3"/>
  <c r="P25" i="3"/>
  <c r="Q25" i="3"/>
  <c r="R25" i="3"/>
  <c r="S25" i="3"/>
  <c r="J25" i="3"/>
  <c r="K25" i="6"/>
  <c r="L25" i="6"/>
  <c r="M25" i="6"/>
  <c r="N25" i="6"/>
  <c r="O25" i="6"/>
  <c r="P25" i="6"/>
  <c r="Q25" i="6"/>
  <c r="R25" i="6"/>
  <c r="S25" i="6"/>
  <c r="S13" i="8"/>
  <c r="I19" i="6"/>
  <c r="J19" i="6"/>
  <c r="K19" i="6"/>
  <c r="L19" i="6"/>
  <c r="M19" i="6"/>
  <c r="N19" i="6"/>
  <c r="O19" i="6"/>
  <c r="P19" i="6"/>
  <c r="Q19" i="6"/>
  <c r="R19" i="6"/>
  <c r="Q13" i="8"/>
  <c r="P13" i="8"/>
  <c r="N13" i="8"/>
  <c r="M13" i="8"/>
  <c r="K13" i="8"/>
  <c r="H13" i="8"/>
  <c r="H16" i="6"/>
  <c r="I16" i="6"/>
  <c r="J16" i="6"/>
  <c r="K16" i="6"/>
  <c r="L16" i="6"/>
  <c r="M16" i="6"/>
  <c r="N16" i="6"/>
  <c r="O16" i="6"/>
  <c r="P16" i="6"/>
  <c r="Q16" i="6"/>
  <c r="R16" i="6"/>
  <c r="H15" i="6"/>
  <c r="I15" i="6"/>
  <c r="J15" i="6"/>
  <c r="K15" i="6"/>
  <c r="L15" i="6"/>
  <c r="M15" i="6"/>
  <c r="N15" i="6"/>
  <c r="O15" i="6"/>
  <c r="P15" i="6"/>
  <c r="Q15" i="6"/>
  <c r="R15" i="6"/>
  <c r="I9" i="6"/>
  <c r="I9" i="1" s="1"/>
  <c r="H9" i="6"/>
  <c r="H9" i="1" s="1"/>
  <c r="C29" i="1"/>
  <c r="C28" i="1"/>
  <c r="C25" i="1"/>
  <c r="C22" i="1"/>
  <c r="C19" i="1"/>
  <c r="C18" i="1"/>
  <c r="C17" i="1"/>
  <c r="C16" i="1"/>
  <c r="C15" i="1"/>
  <c r="C12" i="1"/>
  <c r="C11" i="1"/>
  <c r="C10" i="1"/>
  <c r="H5" i="3"/>
  <c r="I5" i="3"/>
  <c r="I8" i="3"/>
  <c r="H8" i="3"/>
  <c r="G8" i="3"/>
  <c r="J5" i="3"/>
  <c r="K5" i="3"/>
  <c r="K8" i="3"/>
  <c r="J8" i="3"/>
  <c r="H5" i="1"/>
  <c r="I5" i="1"/>
  <c r="I8" i="1"/>
  <c r="H8" i="1"/>
  <c r="G8" i="1"/>
  <c r="J5" i="1"/>
  <c r="K5" i="1" s="1"/>
  <c r="H5" i="9"/>
  <c r="I5" i="9"/>
  <c r="I8" i="9"/>
  <c r="H8" i="9"/>
  <c r="G8" i="9"/>
  <c r="J5" i="9"/>
  <c r="K5" i="9"/>
  <c r="K8" i="9"/>
  <c r="J8" i="9"/>
  <c r="L16" i="8"/>
  <c r="L15" i="8" s="1"/>
  <c r="Q16" i="8"/>
  <c r="Q15" i="8" s="1"/>
  <c r="M18" i="8"/>
  <c r="M16" i="8"/>
  <c r="M15" i="8" s="1"/>
  <c r="J9" i="6"/>
  <c r="J9" i="1" s="1"/>
  <c r="L5" i="3"/>
  <c r="L5" i="9"/>
  <c r="K9" i="6"/>
  <c r="K9" i="1" s="1"/>
  <c r="L8" i="3"/>
  <c r="M5" i="3"/>
  <c r="L8" i="9"/>
  <c r="M5" i="9"/>
  <c r="L9" i="6"/>
  <c r="L9" i="1" s="1"/>
  <c r="N5" i="3"/>
  <c r="M8" i="3"/>
  <c r="N5" i="9"/>
  <c r="M8" i="9"/>
  <c r="M9" i="6"/>
  <c r="M9" i="1" s="1"/>
  <c r="N8" i="3"/>
  <c r="O5" i="3"/>
  <c r="O5" i="9"/>
  <c r="N8" i="9"/>
  <c r="N9" i="6"/>
  <c r="N9" i="1" s="1"/>
  <c r="P5" i="3"/>
  <c r="O8" i="3"/>
  <c r="P5" i="9"/>
  <c r="O8" i="9"/>
  <c r="O9" i="6"/>
  <c r="O9" i="1" s="1"/>
  <c r="Q5" i="3"/>
  <c r="P8" i="3"/>
  <c r="Q5" i="9"/>
  <c r="P8" i="9"/>
  <c r="P9" i="6"/>
  <c r="P9" i="1" s="1"/>
  <c r="Q8" i="3"/>
  <c r="R5" i="3"/>
  <c r="Q8" i="9"/>
  <c r="R5" i="9"/>
  <c r="Q9" i="6"/>
  <c r="Q9" i="1" s="1"/>
  <c r="R8" i="3"/>
  <c r="S5" i="3"/>
  <c r="S8" i="3"/>
  <c r="R8" i="9"/>
  <c r="S5" i="9"/>
  <c r="S8" i="9"/>
  <c r="R9" i="6"/>
  <c r="R9" i="1" s="1"/>
  <c r="S9" i="6"/>
  <c r="S9" i="1" s="1"/>
  <c r="H5" i="8"/>
  <c r="I5" i="8"/>
  <c r="J5" i="8"/>
  <c r="K5" i="8"/>
  <c r="L5" i="8"/>
  <c r="M5" i="8"/>
  <c r="N5" i="8"/>
  <c r="O5" i="8"/>
  <c r="P5" i="8"/>
  <c r="Q5" i="8"/>
  <c r="R5" i="8"/>
  <c r="S5" i="8"/>
  <c r="H5" i="6"/>
  <c r="I5" i="6"/>
  <c r="H8" i="6"/>
  <c r="J5" i="6"/>
  <c r="I8" i="6"/>
  <c r="K5" i="6"/>
  <c r="J8" i="6"/>
  <c r="L5" i="6"/>
  <c r="K8" i="6"/>
  <c r="L8" i="6"/>
  <c r="M5" i="6"/>
  <c r="M8" i="6"/>
  <c r="N5" i="6"/>
  <c r="N8" i="6"/>
  <c r="O5" i="6"/>
  <c r="O8" i="6"/>
  <c r="P5" i="6"/>
  <c r="Q5" i="6"/>
  <c r="P8" i="6"/>
  <c r="R5" i="6"/>
  <c r="Q8" i="6"/>
  <c r="S5" i="6"/>
  <c r="S8" i="6"/>
  <c r="R8" i="6"/>
  <c r="M12" i="8" l="1"/>
  <c r="R12" i="8"/>
  <c r="P12" i="8"/>
  <c r="H12" i="8"/>
  <c r="H11" i="8" s="1"/>
  <c r="N12" i="8"/>
  <c r="N11" i="8" s="1"/>
  <c r="L44" i="10"/>
  <c r="O35" i="10"/>
  <c r="J19" i="8"/>
  <c r="J18" i="8" s="1"/>
  <c r="G19" i="8"/>
  <c r="G18" i="8" s="1"/>
  <c r="K19" i="8"/>
  <c r="K18" i="8" s="1"/>
  <c r="O19" i="8"/>
  <c r="O18" i="8" s="1"/>
  <c r="S19" i="8"/>
  <c r="H19" i="8"/>
  <c r="H18" i="8" s="1"/>
  <c r="L19" i="8"/>
  <c r="L18" i="8" s="1"/>
  <c r="P19" i="8"/>
  <c r="F35" i="10"/>
  <c r="G35" i="10"/>
  <c r="O34" i="10"/>
  <c r="I18" i="8"/>
  <c r="I35" i="10"/>
  <c r="K35" i="10"/>
  <c r="I44" i="10"/>
  <c r="N18" i="8"/>
  <c r="N16" i="8"/>
  <c r="N15" i="8" s="1"/>
  <c r="J16" i="8"/>
  <c r="J15" i="8" s="1"/>
  <c r="R16" i="8"/>
  <c r="R15" i="8" s="1"/>
  <c r="E34" i="10"/>
  <c r="P35" i="10"/>
  <c r="E44" i="10"/>
  <c r="R35" i="10"/>
  <c r="P44" i="10"/>
  <c r="S35" i="10"/>
  <c r="K34" i="10"/>
  <c r="G6" i="1"/>
  <c r="G7" i="1" s="1"/>
  <c r="K6" i="1"/>
  <c r="K7" i="1" s="1"/>
  <c r="O6" i="1"/>
  <c r="O7" i="1" s="1"/>
  <c r="S6" i="1"/>
  <c r="S7" i="1" s="1"/>
  <c r="J6" i="1"/>
  <c r="J7" i="1" s="1"/>
  <c r="N6" i="1"/>
  <c r="N7" i="1" s="1"/>
  <c r="N34" i="10"/>
  <c r="F6" i="1"/>
  <c r="F7" i="1" s="1"/>
  <c r="H6" i="1"/>
  <c r="H7" i="1" s="1"/>
  <c r="L6" i="1"/>
  <c r="L7" i="1" s="1"/>
  <c r="P6" i="1"/>
  <c r="P7" i="1" s="1"/>
  <c r="H35" i="10"/>
  <c r="J35" i="10"/>
  <c r="R34" i="10"/>
  <c r="S34" i="10"/>
  <c r="E6" i="1"/>
  <c r="E7" i="1" s="1"/>
  <c r="I6" i="1"/>
  <c r="I7" i="1" s="1"/>
  <c r="M6" i="1"/>
  <c r="M7" i="1" s="1"/>
  <c r="Q6" i="1"/>
  <c r="Q7" i="1" s="1"/>
  <c r="R6" i="1"/>
  <c r="R7" i="1" s="1"/>
  <c r="L35" i="10"/>
  <c r="D6" i="1"/>
  <c r="D7" i="1" s="1"/>
  <c r="F44" i="10"/>
  <c r="F34" i="10"/>
  <c r="K44" i="10"/>
  <c r="M44" i="10"/>
  <c r="N44" i="10"/>
  <c r="I34" i="10"/>
  <c r="O44" i="10"/>
  <c r="J34" i="10"/>
  <c r="L34" i="10"/>
  <c r="D44" i="10"/>
  <c r="R44" i="10"/>
  <c r="M34" i="10"/>
  <c r="S44" i="10"/>
  <c r="P34" i="10"/>
  <c r="E35" i="10"/>
  <c r="Q34" i="10"/>
  <c r="G44" i="10"/>
  <c r="G34" i="10"/>
  <c r="H44" i="10"/>
  <c r="H34" i="10"/>
  <c r="S16" i="8"/>
  <c r="S15" i="8" s="1"/>
  <c r="O16" i="8"/>
  <c r="O15" i="8" s="1"/>
  <c r="K16" i="8"/>
  <c r="K15" i="8" s="1"/>
  <c r="I16" i="8"/>
  <c r="I15" i="8" s="1"/>
  <c r="O9" i="8"/>
  <c r="O8" i="8" s="1"/>
  <c r="I9" i="8"/>
  <c r="I8" i="8" s="1"/>
  <c r="Q9" i="8"/>
  <c r="Q8" i="8" s="1"/>
  <c r="D19" i="8"/>
  <c r="D18" i="8" s="1"/>
  <c r="D35" i="10"/>
  <c r="D34" i="10"/>
  <c r="K8" i="1"/>
  <c r="L5" i="1"/>
  <c r="Q18" i="8"/>
  <c r="O12" i="8"/>
  <c r="O11" i="8" s="1"/>
  <c r="F12" i="8"/>
  <c r="F11" i="8" s="1"/>
  <c r="M11" i="8"/>
  <c r="P11" i="8"/>
  <c r="S11" i="8"/>
  <c r="J8" i="1"/>
  <c r="P18" i="8"/>
  <c r="S18" i="8"/>
  <c r="P16" i="8"/>
  <c r="P15" i="8" s="1"/>
  <c r="J12" i="8"/>
  <c r="J11" i="8" s="1"/>
  <c r="E12" i="8"/>
  <c r="E11" i="8" s="1"/>
  <c r="Q12" i="8"/>
  <c r="Q11" i="8" s="1"/>
  <c r="Q22" i="8" s="1"/>
  <c r="D12" i="8"/>
  <c r="D11" i="8" s="1"/>
  <c r="I12" i="8"/>
  <c r="I11" i="8" s="1"/>
  <c r="R9" i="8"/>
  <c r="R8" i="8" s="1"/>
  <c r="L9" i="8"/>
  <c r="L8" i="8" s="1"/>
  <c r="J9" i="8"/>
  <c r="J8" i="8" s="1"/>
  <c r="M9" i="8"/>
  <c r="M8" i="8" s="1"/>
  <c r="K9" i="8"/>
  <c r="K8" i="8" s="1"/>
  <c r="K22" i="8" s="1"/>
  <c r="G9" i="8"/>
  <c r="E9" i="8"/>
  <c r="E8" i="8" s="1"/>
  <c r="D9" i="8"/>
  <c r="D8" i="8" s="1"/>
  <c r="L12" i="8"/>
  <c r="L11" i="8" s="1"/>
  <c r="R13" i="8"/>
  <c r="R11" i="8" s="1"/>
  <c r="N9" i="8"/>
  <c r="N8" i="8" s="1"/>
  <c r="N22" i="8" s="1"/>
  <c r="S9" i="8"/>
  <c r="S8" i="8" s="1"/>
  <c r="P9" i="8"/>
  <c r="P8" i="8" s="1"/>
  <c r="H9" i="8"/>
  <c r="F9" i="8"/>
  <c r="I5" i="10"/>
  <c r="H39" i="10"/>
  <c r="S22" i="8" l="1"/>
  <c r="M22" i="8"/>
  <c r="G41" i="10"/>
  <c r="O22" i="8"/>
  <c r="F8" i="8"/>
  <c r="F22" i="8" s="1"/>
  <c r="H8" i="8"/>
  <c r="H22" i="8" s="1"/>
  <c r="G8" i="8"/>
  <c r="G22" i="8" s="1"/>
  <c r="I22" i="8"/>
  <c r="R22" i="8"/>
  <c r="L22" i="8"/>
  <c r="E22" i="8"/>
  <c r="D22" i="8"/>
  <c r="L8" i="1"/>
  <c r="M5" i="1"/>
  <c r="P22" i="8"/>
  <c r="D41" i="10"/>
  <c r="F41" i="10"/>
  <c r="E41" i="10"/>
  <c r="J22" i="8"/>
  <c r="P47" i="10"/>
  <c r="P50" i="10" s="1"/>
  <c r="J47" i="10"/>
  <c r="J50" i="10" s="1"/>
  <c r="R47" i="10"/>
  <c r="R50" i="10" s="1"/>
  <c r="F47" i="10"/>
  <c r="F50" i="10" s="1"/>
  <c r="E47" i="10"/>
  <c r="E50" i="10" s="1"/>
  <c r="N47" i="10"/>
  <c r="N50" i="10" s="1"/>
  <c r="S47" i="10"/>
  <c r="S50" i="10" s="1"/>
  <c r="M47" i="10"/>
  <c r="M50" i="10" s="1"/>
  <c r="K47" i="10"/>
  <c r="K50" i="10" s="1"/>
  <c r="G47" i="10"/>
  <c r="G50" i="10" s="1"/>
  <c r="O47" i="10"/>
  <c r="O50" i="10" s="1"/>
  <c r="I47" i="10"/>
  <c r="I50" i="10" s="1"/>
  <c r="D47" i="10"/>
  <c r="D50" i="10" s="1"/>
  <c r="L47" i="10"/>
  <c r="L50" i="10" s="1"/>
  <c r="H47" i="10"/>
  <c r="H50" i="10" s="1"/>
  <c r="Q47" i="10"/>
  <c r="Q50" i="10" s="1"/>
  <c r="J5" i="10"/>
  <c r="I8" i="10"/>
  <c r="I39" i="10"/>
  <c r="H41" i="10"/>
  <c r="K45" i="10"/>
  <c r="K48" i="10" s="1"/>
  <c r="K46" i="10"/>
  <c r="K49" i="10" s="1"/>
  <c r="H46" i="10"/>
  <c r="H49" i="10" s="1"/>
  <c r="H45" i="10"/>
  <c r="H48" i="10" s="1"/>
  <c r="O46" i="10"/>
  <c r="O49" i="10" s="1"/>
  <c r="O45" i="10"/>
  <c r="O48" i="10" s="1"/>
  <c r="N45" i="10"/>
  <c r="N48" i="10" s="1"/>
  <c r="N46" i="10"/>
  <c r="N49" i="10" s="1"/>
  <c r="M46" i="10"/>
  <c r="M49" i="10" s="1"/>
  <c r="M45" i="10"/>
  <c r="M48" i="10" s="1"/>
  <c r="P46" i="10"/>
  <c r="P49" i="10" s="1"/>
  <c r="P45" i="10"/>
  <c r="P48" i="10" s="1"/>
  <c r="D45" i="10"/>
  <c r="D48" i="10" s="1"/>
  <c r="D46" i="10"/>
  <c r="D49" i="10" s="1"/>
  <c r="J45" i="10"/>
  <c r="J48" i="10" s="1"/>
  <c r="J46" i="10"/>
  <c r="J49" i="10" s="1"/>
  <c r="Q45" i="10"/>
  <c r="Q48" i="10" s="1"/>
  <c r="Q46" i="10"/>
  <c r="Q49" i="10" s="1"/>
  <c r="R46" i="10"/>
  <c r="R49" i="10" s="1"/>
  <c r="R45" i="10"/>
  <c r="R48" i="10" s="1"/>
  <c r="L45" i="10"/>
  <c r="L48" i="10" s="1"/>
  <c r="L46" i="10"/>
  <c r="L49" i="10" s="1"/>
  <c r="F45" i="10"/>
  <c r="F48" i="10" s="1"/>
  <c r="F46" i="10"/>
  <c r="F49" i="10" s="1"/>
  <c r="G45" i="10"/>
  <c r="G48" i="10" s="1"/>
  <c r="G46" i="10"/>
  <c r="G49" i="10" s="1"/>
  <c r="E46" i="10"/>
  <c r="E49" i="10" s="1"/>
  <c r="E45" i="10"/>
  <c r="E48" i="10" s="1"/>
  <c r="I45" i="10"/>
  <c r="I48" i="10" s="1"/>
  <c r="I46" i="10"/>
  <c r="I49" i="10" s="1"/>
  <c r="S45" i="10"/>
  <c r="S48" i="10" s="1"/>
  <c r="S46" i="10"/>
  <c r="S49" i="10" s="1"/>
  <c r="M8" i="1" l="1"/>
  <c r="N5" i="1"/>
  <c r="J8" i="10"/>
  <c r="K5" i="10"/>
  <c r="J39" i="10"/>
  <c r="I41" i="10"/>
  <c r="O5" i="1" l="1"/>
  <c r="N8" i="1"/>
  <c r="K8" i="10"/>
  <c r="L5" i="10"/>
  <c r="J41" i="10"/>
  <c r="K39" i="10"/>
  <c r="P5" i="1" l="1"/>
  <c r="O8" i="1"/>
  <c r="L8" i="10"/>
  <c r="M5" i="10"/>
  <c r="K41" i="10"/>
  <c r="L39" i="10"/>
  <c r="Q5" i="1" l="1"/>
  <c r="P8" i="1"/>
  <c r="N5" i="10"/>
  <c r="M8" i="10"/>
  <c r="M39" i="10"/>
  <c r="L41" i="10"/>
  <c r="Q8" i="1" l="1"/>
  <c r="R5" i="1"/>
  <c r="N8" i="10"/>
  <c r="O5" i="10"/>
  <c r="M41" i="10"/>
  <c r="N39" i="10"/>
  <c r="S5" i="1" l="1"/>
  <c r="S8" i="1" s="1"/>
  <c r="R8" i="1"/>
  <c r="P5" i="10"/>
  <c r="O8" i="10"/>
  <c r="N41" i="10"/>
  <c r="O39" i="10"/>
  <c r="Q5" i="10" l="1"/>
  <c r="P8" i="10"/>
  <c r="P39" i="10"/>
  <c r="O41" i="10"/>
  <c r="R5" i="10" l="1"/>
  <c r="Q8" i="10"/>
  <c r="P41" i="10"/>
  <c r="Q39" i="10"/>
  <c r="R8" i="10" l="1"/>
  <c r="S5" i="10"/>
  <c r="S8" i="10" s="1"/>
  <c r="Q41" i="10"/>
  <c r="R39" i="10"/>
  <c r="S39" i="10" l="1"/>
  <c r="S41" i="10" s="1"/>
  <c r="R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tc={ADA01EBD-12D2-46FC-9588-57EE19F3C81F}</author>
  </authors>
  <commentList>
    <comment ref="B8" authorId="0" shapeId="0" xr:uid="{ADA01EBD-12D2-46FC-9588-57EE19F3C8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price up to 2028 are updated based on the future price prediction in :
FCR projections and historicals.xlsx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tc={82114E64-720B-4C75-ABED-DAB01A0ED943}</author>
  </authors>
  <commentList>
    <comment ref="D30" authorId="0" shapeId="0" xr:uid="{82114E64-720B-4C75-ABED-DAB01A0ED9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data from Nordpool online data:
https://data.nordpoolgroup.com/auction/intraday-auction-1/prices?deliveryDate=2024-08-14&amp;currency=EUR&amp;aggregation=Hourly&amp;deliveryAreas=SE3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tc={4E535862-CCE2-4532-B80F-9C5BD6C76E97}</author>
  </authors>
  <commentList>
    <comment ref="D45" authorId="0" shapeId="0" xr:uid="{4E535862-CCE2-4532-B80F-9C5BD6C76E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reason for division by two is that 1MWh battery can charge and then discharge fully to account it as a one fully cycle. </t>
      </text>
    </comment>
  </commentList>
</comments>
</file>

<file path=xl/sharedStrings.xml><?xml version="1.0" encoding="utf-8"?>
<sst xmlns="http://schemas.openxmlformats.org/spreadsheetml/2006/main" count="279" uniqueCount="62">
  <si>
    <t>EUR 2023 real</t>
  </si>
  <si>
    <t>Subscription Limit</t>
  </si>
  <si>
    <t>Year-&gt;</t>
  </si>
  <si>
    <t>FFR, FCR</t>
  </si>
  <si>
    <t>FFR, FCR-x</t>
  </si>
  <si>
    <t>FRR</t>
  </si>
  <si>
    <t>CRM</t>
  </si>
  <si>
    <t>EAM</t>
  </si>
  <si>
    <t>Other services</t>
  </si>
  <si>
    <t>Spot / Intraday</t>
  </si>
  <si>
    <t>Total, EUR/a</t>
  </si>
  <si>
    <t>EUR/MW.h</t>
  </si>
  <si>
    <t>Total remuneration</t>
  </si>
  <si>
    <t>EUR p.a.</t>
  </si>
  <si>
    <t>Application / service</t>
  </si>
  <si>
    <t>Unit</t>
  </si>
  <si>
    <t>FFR</t>
  </si>
  <si>
    <t>FCR-D up</t>
  </si>
  <si>
    <t>FCR-D dn</t>
  </si>
  <si>
    <t>FCR-N</t>
  </si>
  <si>
    <t>aFRR Up CRM</t>
  </si>
  <si>
    <t>aFRR dn CRM</t>
  </si>
  <si>
    <t>mFRR Up CRM</t>
  </si>
  <si>
    <t>mFRR dn CRM</t>
  </si>
  <si>
    <t>FRR EAM</t>
  </si>
  <si>
    <t>Ancillary services</t>
  </si>
  <si>
    <t>Voltage control</t>
  </si>
  <si>
    <t>Capacity market (peak-load)</t>
  </si>
  <si>
    <t xml:space="preserve">Capacity market </t>
  </si>
  <si>
    <t>Spot</t>
  </si>
  <si>
    <t>Intraday</t>
  </si>
  <si>
    <t>Intraday auction</t>
  </si>
  <si>
    <t>REV/MW</t>
  </si>
  <si>
    <t>EUR/MW</t>
  </si>
  <si>
    <t>Price achieved relative annual average price</t>
  </si>
  <si>
    <t>"EUR/MW.h"</t>
  </si>
  <si>
    <t>MW allocation</t>
  </si>
  <si>
    <t>MW.h</t>
  </si>
  <si>
    <t>% of time</t>
  </si>
  <si>
    <t xml:space="preserve">Spot </t>
  </si>
  <si>
    <t>Summary time, checksum</t>
  </si>
  <si>
    <t>Up</t>
  </si>
  <si>
    <t>Dn</t>
  </si>
  <si>
    <t>Utilisation rate</t>
  </si>
  <si>
    <t>Nominal, MW</t>
  </si>
  <si>
    <t>MW.h nominal</t>
  </si>
  <si>
    <t>Ratio</t>
  </si>
  <si>
    <t>MWh</t>
  </si>
  <si>
    <t>"Cycles" for 1h battery</t>
  </si>
  <si>
    <t>"Cycles" for 2h battery</t>
  </si>
  <si>
    <t>"Cycles" for 4h battery</t>
  </si>
  <si>
    <t>Cycles per day (1h battery)</t>
  </si>
  <si>
    <t>Cycles per day (2-h battery)</t>
  </si>
  <si>
    <t>Cycles per day (4-h battery)</t>
  </si>
  <si>
    <t>Hours in a year</t>
  </si>
  <si>
    <t>MW</t>
  </si>
  <si>
    <t>2-h battery</t>
  </si>
  <si>
    <t>€/kWh</t>
  </si>
  <si>
    <t>k€</t>
  </si>
  <si>
    <t>4-h battery</t>
  </si>
  <si>
    <t>6-h battery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</si>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</sst>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#,##0.0"/>
    <numFmt numFmtId="165" formatCode="0.0"/>
    <numFmt numFmtId="166" formatCode="#,##0.00\x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Montserrat Light"/>
    </font>
    <font>
      <b/>
      <sz val="12"/>
      <color theme="1"/>
      <name val="Montserrat Light"/>
    </font>
    <font>
      <i/>
      <sz val="12"/>
      <color theme="1"/>
      <name val="Montserrat Light"/>
    </font>
    <font>
      <sz val="12"/>
      <color theme="0"/>
      <name val="Montserrat Ligh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3" borderId="1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/>
    <xf numFmtId="0" fontId="5" fillId="3" borderId="1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6" fontId="5" fillId="3" borderId="4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0" fontId="6" fillId="3" borderId="2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14" xfId="0" applyNumberFormat="1" applyFont="1" applyFill="1" applyBorder="1" applyAlignment="1">
      <alignment horizontal="center" vertical="center"/>
    </xf>
    <xf numFmtId="3" fontId="6" fillId="3" borderId="8" xfId="0" applyNumberFormat="1" applyFont="1" applyFill="1" applyBorder="1" applyAlignment="1">
      <alignment horizontal="center" vertical="center"/>
    </xf>
    <xf numFmtId="3" fontId="6" fillId="3" borderId="15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6" fillId="3" borderId="0" xfId="0" applyFont="1" applyFill="1"/>
    <xf numFmtId="3" fontId="6" fillId="3" borderId="10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9" fontId="5" fillId="3" borderId="0" xfId="0" applyNumberFormat="1" applyFont="1" applyFill="1"/>
    <xf numFmtId="4" fontId="5" fillId="3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3" fontId="6" fillId="3" borderId="12" xfId="0" applyNumberFormat="1" applyFont="1" applyFill="1" applyBorder="1" applyAlignment="1">
      <alignment horizontal="center"/>
    </xf>
    <xf numFmtId="3" fontId="6" fillId="3" borderId="8" xfId="0" applyNumberFormat="1" applyFont="1" applyFill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0" fontId="5" fillId="3" borderId="16" xfId="0" applyFont="1" applyFill="1" applyBorder="1"/>
    <xf numFmtId="165" fontId="5" fillId="3" borderId="4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4" fontId="5" fillId="3" borderId="10" xfId="0" applyNumberFormat="1" applyFont="1" applyFill="1" applyBorder="1" applyAlignment="1">
      <alignment horizontal="center"/>
    </xf>
    <xf numFmtId="4" fontId="5" fillId="3" borderId="4" xfId="0" applyNumberFormat="1" applyFont="1" applyFill="1" applyBorder="1" applyAlignment="1">
      <alignment horizontal="center"/>
    </xf>
    <xf numFmtId="4" fontId="5" fillId="3" borderId="5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4" xfId="0" applyFont="1" applyFill="1" applyBorder="1" applyAlignment="1">
      <alignment horizontal="center"/>
    </xf>
    <xf numFmtId="9" fontId="7" fillId="3" borderId="4" xfId="0" applyNumberFormat="1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/>
    </xf>
    <xf numFmtId="1" fontId="8" fillId="2" borderId="4" xfId="0" applyNumberFormat="1" applyFont="1" applyFill="1" applyBorder="1" applyAlignment="1">
      <alignment horizontal="center"/>
    </xf>
    <xf numFmtId="1" fontId="8" fillId="2" borderId="5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4" fillId="3" borderId="0" xfId="0" applyFont="1" applyFill="1"/>
    <xf numFmtId="4" fontId="7" fillId="3" borderId="10" xfId="0" applyNumberFormat="1" applyFont="1" applyFill="1" applyBorder="1" applyAlignment="1">
      <alignment horizontal="center"/>
    </xf>
    <xf numFmtId="4" fontId="7" fillId="3" borderId="4" xfId="0" applyNumberFormat="1" applyFont="1" applyFill="1" applyBorder="1" applyAlignment="1">
      <alignment horizontal="center"/>
    </xf>
    <xf numFmtId="10" fontId="5" fillId="3" borderId="10" xfId="0" applyNumberFormat="1" applyFont="1" applyFill="1" applyBorder="1" applyAlignment="1">
      <alignment horizontal="center"/>
    </xf>
    <xf numFmtId="10" fontId="6" fillId="3" borderId="12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10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2" xfId="0" applyFont="1" applyFill="1" applyBorder="1" applyAlignment="1">
      <alignment horizontal="left"/>
    </xf>
    <xf numFmtId="3" fontId="5" fillId="3" borderId="0" xfId="0" applyNumberFormat="1" applyFont="1" applyFill="1"/>
    <xf numFmtId="0" fontId="3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3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4" fontId="5" fillId="3" borderId="3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164" fontId="5" fillId="3" borderId="20" xfId="0" applyNumberFormat="1" applyFont="1" applyFill="1" applyBorder="1" applyAlignment="1">
      <alignment horizontal="center"/>
    </xf>
    <xf numFmtId="4" fontId="5" fillId="3" borderId="20" xfId="0" applyNumberFormat="1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9" fontId="7" fillId="3" borderId="20" xfId="0" applyNumberFormat="1" applyFont="1" applyFill="1" applyBorder="1" applyAlignment="1">
      <alignment horizontal="center"/>
    </xf>
    <xf numFmtId="2" fontId="5" fillId="3" borderId="20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5" fillId="3" borderId="23" xfId="0" applyNumberFormat="1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3" borderId="20" xfId="0" applyFont="1" applyFill="1" applyBorder="1"/>
    <xf numFmtId="0" fontId="8" fillId="2" borderId="20" xfId="0" applyFont="1" applyFill="1" applyBorder="1"/>
    <xf numFmtId="0" fontId="6" fillId="3" borderId="21" xfId="0" applyFont="1" applyFill="1" applyBorder="1"/>
    <xf numFmtId="9" fontId="5" fillId="3" borderId="20" xfId="0" applyNumberFormat="1" applyFont="1" applyFill="1" applyBorder="1" applyAlignment="1">
      <alignment horizontal="center"/>
    </xf>
    <xf numFmtId="4" fontId="5" fillId="3" borderId="19" xfId="0" applyNumberFormat="1" applyFont="1" applyFill="1" applyBorder="1" applyAlignment="1">
      <alignment horizontal="center"/>
    </xf>
    <xf numFmtId="4" fontId="5" fillId="3" borderId="24" xfId="0" applyNumberFormat="1" applyFont="1" applyFill="1" applyBorder="1" applyAlignment="1">
      <alignment horizontal="center"/>
    </xf>
    <xf numFmtId="4" fontId="7" fillId="3" borderId="3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8" fillId="2" borderId="10" xfId="0" applyFont="1" applyFill="1" applyBorder="1"/>
    <xf numFmtId="0" fontId="6" fillId="3" borderId="11" xfId="0" applyFont="1" applyFill="1" applyBorder="1"/>
    <xf numFmtId="4" fontId="5" fillId="3" borderId="25" xfId="0" applyNumberFormat="1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5" fillId="3" borderId="2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3" borderId="20" xfId="1" applyNumberFormat="1" applyFont="1" applyFill="1" applyBorder="1" applyAlignment="1">
      <alignment horizontal="center"/>
    </xf>
    <xf numFmtId="10" fontId="5" fillId="3" borderId="4" xfId="1" applyNumberFormat="1" applyFont="1" applyFill="1" applyBorder="1" applyAlignment="1">
      <alignment horizontal="center"/>
    </xf>
    <xf numFmtId="10" fontId="5" fillId="3" borderId="23" xfId="1" applyNumberFormat="1" applyFont="1" applyFill="1" applyBorder="1" applyAlignment="1">
      <alignment horizontal="center"/>
    </xf>
    <xf numFmtId="10" fontId="5" fillId="3" borderId="19" xfId="1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 vertical="center"/>
    </xf>
    <xf numFmtId="0" fontId="1" fillId="0" borderId="0" xfId="2"/>
    <xf numFmtId="2" fontId="7" fillId="3" borderId="4" xfId="0" applyNumberFormat="1" applyFont="1" applyFill="1" applyBorder="1" applyAlignment="1">
      <alignment horizontal="center"/>
    </xf>
    <xf numFmtId="8" fontId="5" fillId="3" borderId="3" xfId="0" applyNumberFormat="1" applyFont="1" applyFill="1" applyBorder="1" applyAlignment="1">
      <alignment horizontal="center"/>
    </xf>
    <xf numFmtId="9" fontId="5" fillId="3" borderId="10" xfId="0" applyNumberFormat="1" applyFont="1" applyFill="1" applyBorder="1" applyAlignment="1">
      <alignment horizontal="center"/>
    </xf>
    <xf numFmtId="9" fontId="5" fillId="3" borderId="5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AEE60F74-37AB-49EA-BFDF-085F6EA3B8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FFR, FCR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Summary!$D$8:$S$8</c:f>
              <c:numCache>
                <c:formatCode>#,##0</c:formatCode>
                <c:ptCount val="16"/>
                <c:pt idx="0">
                  <c:v>482781.12000000005</c:v>
                </c:pt>
                <c:pt idx="1">
                  <c:v>394851.74400000001</c:v>
                </c:pt>
                <c:pt idx="2">
                  <c:v>338878.84800000006</c:v>
                </c:pt>
                <c:pt idx="3">
                  <c:v>325794.91200000001</c:v>
                </c:pt>
                <c:pt idx="4">
                  <c:v>279422.97600000002</c:v>
                </c:pt>
                <c:pt idx="5">
                  <c:v>236321.44000000006</c:v>
                </c:pt>
                <c:pt idx="6">
                  <c:v>202151.01600000012</c:v>
                </c:pt>
                <c:pt idx="7">
                  <c:v>197346.44800000006</c:v>
                </c:pt>
                <c:pt idx="8">
                  <c:v>192590.93600000013</c:v>
                </c:pt>
                <c:pt idx="9">
                  <c:v>187884.48000000013</c:v>
                </c:pt>
                <c:pt idx="10">
                  <c:v>183227.08000000013</c:v>
                </c:pt>
                <c:pt idx="11">
                  <c:v>178618.73600000021</c:v>
                </c:pt>
                <c:pt idx="12">
                  <c:v>174059.44800000018</c:v>
                </c:pt>
                <c:pt idx="13">
                  <c:v>169549.21600000016</c:v>
                </c:pt>
                <c:pt idx="14">
                  <c:v>165088.04000000018</c:v>
                </c:pt>
                <c:pt idx="15">
                  <c:v>160675.92000000001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5-D84B-9564-58F172DA321A}"/>
            </c:ext>
          </c:extLst>
        </c:ser>
        <c:ser>
          <c:idx val="1"/>
          <c:order val="1"/>
          <c:tx>
            <c:strRef>
              <c:f>Summary!$B$11</c:f>
              <c:strCache>
                <c:ptCount val="1"/>
                <c:pt idx="0">
                  <c:v>FRR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Summary!$D$11:$S$11</c:f>
              <c:numCache>
                <c:formatCode>#,##0</c:formatCode>
                <c:ptCount val="16"/>
                <c:pt idx="0">
                  <c:v>675520.39200000011</c:v>
                </c:pt>
                <c:pt idx="1">
                  <c:v>1072369.4160000002</c:v>
                </c:pt>
                <c:pt idx="2">
                  <c:v>1673655.8160000001</c:v>
                </c:pt>
                <c:pt idx="3">
                  <c:v>1603885.9200000004</c:v>
                </c:pt>
                <c:pt idx="4">
                  <c:v>1501463.3429999999</c:v>
                </c:pt>
                <c:pt idx="5">
                  <c:v>1403743.2800000005</c:v>
                </c:pt>
                <c:pt idx="6">
                  <c:v>1310556.2250000001</c:v>
                </c:pt>
                <c:pt idx="7">
                  <c:v>1221732.6720000003</c:v>
                </c:pt>
                <c:pt idx="8">
                  <c:v>1137103.1150000002</c:v>
                </c:pt>
                <c:pt idx="9">
                  <c:v>1090944.5580000002</c:v>
                </c:pt>
                <c:pt idx="10">
                  <c:v>1038912.4575000003</c:v>
                </c:pt>
                <c:pt idx="11">
                  <c:v>987219.88000000012</c:v>
                </c:pt>
                <c:pt idx="12">
                  <c:v>935866.82550000038</c:v>
                </c:pt>
                <c:pt idx="13">
                  <c:v>884853.29400000011</c:v>
                </c:pt>
                <c:pt idx="14">
                  <c:v>834179.28550000023</c:v>
                </c:pt>
                <c:pt idx="15">
                  <c:v>783844.8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5-D84B-9564-58F172DA321A}"/>
            </c:ext>
          </c:extLst>
        </c:ser>
        <c:ser>
          <c:idx val="2"/>
          <c:order val="2"/>
          <c:tx>
            <c:strRef>
              <c:f>Summary!$B$15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Summary!$D$15:$S$15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82694.399999999994</c:v>
                </c:pt>
                <c:pt idx="6">
                  <c:v>124041.59999999999</c:v>
                </c:pt>
                <c:pt idx="7">
                  <c:v>134041.59999999998</c:v>
                </c:pt>
                <c:pt idx="8">
                  <c:v>134041.59999999998</c:v>
                </c:pt>
                <c:pt idx="9">
                  <c:v>134041.59999999998</c:v>
                </c:pt>
                <c:pt idx="10">
                  <c:v>134041.59999999998</c:v>
                </c:pt>
                <c:pt idx="11">
                  <c:v>134041.59999999998</c:v>
                </c:pt>
                <c:pt idx="12">
                  <c:v>134041.59999999998</c:v>
                </c:pt>
                <c:pt idx="13">
                  <c:v>134041.59999999998</c:v>
                </c:pt>
                <c:pt idx="14">
                  <c:v>134041.59999999998</c:v>
                </c:pt>
                <c:pt idx="15">
                  <c:v>134041.59999999998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5-D84B-9564-58F172DA321A}"/>
            </c:ext>
          </c:extLst>
        </c:ser>
        <c:ser>
          <c:idx val="3"/>
          <c:order val="3"/>
          <c:tx>
            <c:strRef>
              <c:f>Summary!$B$18</c:f>
              <c:strCache>
                <c:ptCount val="1"/>
                <c:pt idx="0">
                  <c:v>Spot / Intraday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Summary!$D$18:$S$18</c:f>
              <c:numCache>
                <c:formatCode>#,##0</c:formatCode>
                <c:ptCount val="16"/>
                <c:pt idx="0">
                  <c:v>85083.148869155819</c:v>
                </c:pt>
                <c:pt idx="1">
                  <c:v>85083.148869155819</c:v>
                </c:pt>
                <c:pt idx="2">
                  <c:v>85083.148869155819</c:v>
                </c:pt>
                <c:pt idx="3">
                  <c:v>90049.928420059325</c:v>
                </c:pt>
                <c:pt idx="4">
                  <c:v>128451.67794993811</c:v>
                </c:pt>
                <c:pt idx="5">
                  <c:v>166587.35814286151</c:v>
                </c:pt>
                <c:pt idx="6">
                  <c:v>202727.78046794588</c:v>
                </c:pt>
                <c:pt idx="7">
                  <c:v>237856.34435696277</c:v>
                </c:pt>
                <c:pt idx="8">
                  <c:v>272639.47708910232</c:v>
                </c:pt>
                <c:pt idx="9">
                  <c:v>305284.01373574504</c:v>
                </c:pt>
                <c:pt idx="10">
                  <c:v>336724.85315262817</c:v>
                </c:pt>
                <c:pt idx="11">
                  <c:v>366947.42600123549</c:v>
                </c:pt>
                <c:pt idx="12">
                  <c:v>395937.16294305073</c:v>
                </c:pt>
                <c:pt idx="13">
                  <c:v>423679.49463955755</c:v>
                </c:pt>
                <c:pt idx="14">
                  <c:v>450159.85175223975</c:v>
                </c:pt>
                <c:pt idx="15">
                  <c:v>475363.66494258144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5-D84B-9564-58F172DA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451418703"/>
        <c:axId val="451420415"/>
      </c:barChart>
      <c:catAx>
        <c:axId val="4514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SE"/>
          </a:p>
        </c:txPr>
        <c:crossAx val="451420415"/>
        <c:crosses val="autoZero"/>
        <c:auto val="1"/>
        <c:lblAlgn val="ctr"/>
        <c:lblOffset val="100"/>
        <c:noMultiLvlLbl val="0"/>
      </c:catAx>
      <c:valAx>
        <c:axId val="4514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r>
                  <a:rPr lang="en-US"/>
                  <a:t>EUR per annum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en-S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SE"/>
          </a:p>
        </c:txPr>
        <c:crossAx val="4514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97600106025929"/>
          <c:y val="3.786987424170174E-2"/>
          <c:w val="0.36216898567353228"/>
          <c:h val="7.225045206541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Montserrat" pitchFamily="2" charset="77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streams'!$B$32</c:f>
              <c:strCache>
                <c:ptCount val="1"/>
                <c:pt idx="0">
                  <c:v>REV/MW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streams'!$D$8:$S$8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'Revenue streams'!$D$32:$S$32</c:f>
              <c:numCache>
                <c:formatCode>#,##0</c:formatCode>
                <c:ptCount val="16"/>
                <c:pt idx="0">
                  <c:v>124338.46608691561</c:v>
                </c:pt>
                <c:pt idx="1">
                  <c:v>155230.43088691559</c:v>
                </c:pt>
                <c:pt idx="2">
                  <c:v>209761.78128691562</c:v>
                </c:pt>
                <c:pt idx="3">
                  <c:v>201973.07604200597</c:v>
                </c:pt>
                <c:pt idx="4">
                  <c:v>190933.79969499382</c:v>
                </c:pt>
                <c:pt idx="5">
                  <c:v>188934.64781428617</c:v>
                </c:pt>
                <c:pt idx="6">
                  <c:v>183947.66214679464</c:v>
                </c:pt>
                <c:pt idx="7">
                  <c:v>179097.70643569631</c:v>
                </c:pt>
                <c:pt idx="8">
                  <c:v>173637.51280891028</c:v>
                </c:pt>
                <c:pt idx="9">
                  <c:v>171815.46517357454</c:v>
                </c:pt>
                <c:pt idx="10">
                  <c:v>169290.59906526288</c:v>
                </c:pt>
                <c:pt idx="11">
                  <c:v>166682.76420012364</c:v>
                </c:pt>
                <c:pt idx="12">
                  <c:v>163990.50364430514</c:v>
                </c:pt>
                <c:pt idx="13">
                  <c:v>161212.36046395585</c:v>
                </c:pt>
                <c:pt idx="14">
                  <c:v>158346.87772522401</c:v>
                </c:pt>
                <c:pt idx="15">
                  <c:v>155392.59849425816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0-43BA-BE35-48B10B28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67504"/>
        <c:axId val="432767024"/>
      </c:lineChart>
      <c:catAx>
        <c:axId val="4327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32767024"/>
        <c:crosses val="autoZero"/>
        <c:auto val="1"/>
        <c:lblAlgn val="ctr"/>
        <c:lblOffset val="100"/>
        <c:noMultiLvlLbl val="0"/>
      </c:catAx>
      <c:valAx>
        <c:axId val="43276702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327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streams'!$D$5:$S$5</c:f>
              <c:numCache>
                <c:formatCode>0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'Revenue streams'!$D$6:$S$6</c:f>
              <c:numCache>
                <c:formatCode>#,##0</c:formatCode>
                <c:ptCount val="16"/>
                <c:pt idx="0">
                  <c:v>1243384.660869156</c:v>
                </c:pt>
                <c:pt idx="1">
                  <c:v>1552304.3088691561</c:v>
                </c:pt>
                <c:pt idx="2">
                  <c:v>2097617.8128691562</c:v>
                </c:pt>
                <c:pt idx="3">
                  <c:v>2019730.7604200598</c:v>
                </c:pt>
                <c:pt idx="4">
                  <c:v>1909337.9969499381</c:v>
                </c:pt>
                <c:pt idx="5">
                  <c:v>1889346.4781428617</c:v>
                </c:pt>
                <c:pt idx="6">
                  <c:v>1839476.6214679463</c:v>
                </c:pt>
                <c:pt idx="7">
                  <c:v>1790977.0643569632</c:v>
                </c:pt>
                <c:pt idx="8">
                  <c:v>1736375.1280891027</c:v>
                </c:pt>
                <c:pt idx="9">
                  <c:v>1718154.6517357454</c:v>
                </c:pt>
                <c:pt idx="10">
                  <c:v>1692905.9906526287</c:v>
                </c:pt>
                <c:pt idx="11">
                  <c:v>1666827.6420012363</c:v>
                </c:pt>
                <c:pt idx="12">
                  <c:v>1639905.0364430514</c:v>
                </c:pt>
                <c:pt idx="13">
                  <c:v>1612123.6046395584</c:v>
                </c:pt>
                <c:pt idx="14">
                  <c:v>1583468.7772522401</c:v>
                </c:pt>
                <c:pt idx="15">
                  <c:v>1553925.9849425815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7-4A4D-99DD-C21BE4BA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039663"/>
        <c:axId val="1097374992"/>
      </c:barChart>
      <c:catAx>
        <c:axId val="13810396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7374992"/>
        <c:crosses val="autoZero"/>
        <c:auto val="1"/>
        <c:lblAlgn val="ctr"/>
        <c:lblOffset val="100"/>
        <c:noMultiLvlLbl val="0"/>
      </c:catAx>
      <c:valAx>
        <c:axId val="1097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810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05337189430787E-2"/>
          <c:y val="7.1397024023060682E-2"/>
          <c:w val="0.96894281582752728"/>
          <c:h val="0.8477535762635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'Asset allocation calc'!$C$45</c:f>
              <c:strCache>
                <c:ptCount val="1"/>
                <c:pt idx="0">
                  <c:v>"Cycles" for 1h 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'Asset allocation calc'!$D$5:$S$5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'Asset allocation calc'!$D$45:$S$45</c:f>
              <c:numCache>
                <c:formatCode>0</c:formatCode>
                <c:ptCount val="16"/>
                <c:pt idx="0">
                  <c:v>149.31823105882353</c:v>
                </c:pt>
                <c:pt idx="1">
                  <c:v>147.84764282352941</c:v>
                </c:pt>
                <c:pt idx="2">
                  <c:v>146.96528988235295</c:v>
                </c:pt>
                <c:pt idx="3">
                  <c:v>174.8770545882353</c:v>
                </c:pt>
                <c:pt idx="4">
                  <c:v>212.69764282352941</c:v>
                </c:pt>
                <c:pt idx="5">
                  <c:v>256.88783890196078</c:v>
                </c:pt>
                <c:pt idx="6">
                  <c:v>299.71823105882351</c:v>
                </c:pt>
                <c:pt idx="7">
                  <c:v>343.17470164705884</c:v>
                </c:pt>
                <c:pt idx="8">
                  <c:v>387.33254478431371</c:v>
                </c:pt>
                <c:pt idx="9">
                  <c:v>432.70705458823528</c:v>
                </c:pt>
                <c:pt idx="10">
                  <c:v>467.73989772549021</c:v>
                </c:pt>
                <c:pt idx="11">
                  <c:v>502.77274086274508</c:v>
                </c:pt>
                <c:pt idx="12">
                  <c:v>537.80558399999995</c:v>
                </c:pt>
                <c:pt idx="13">
                  <c:v>572.83842713725505</c:v>
                </c:pt>
                <c:pt idx="14">
                  <c:v>607.87127027450981</c:v>
                </c:pt>
                <c:pt idx="15">
                  <c:v>642.90411341176468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8241-8CF4-296213B0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-27"/>
        <c:axId val="460766127"/>
        <c:axId val="460519167"/>
      </c:barChart>
      <c:catAx>
        <c:axId val="4607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0519167"/>
        <c:crosses val="autoZero"/>
        <c:auto val="1"/>
        <c:lblAlgn val="ctr"/>
        <c:lblOffset val="100"/>
        <c:noMultiLvlLbl val="0"/>
      </c:catAx>
      <c:valAx>
        <c:axId val="4605191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" sourceLinked="1"/>
        <c:majorTickMark val="none"/>
        <c:minorTickMark val="none"/>
        <c:tickLblPos val="nextTo"/>
        <c:crossAx val="4607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'Asset allocation calc'!$C$48</c:f>
              <c:strCache>
                <c:ptCount val="1"/>
                <c:pt idx="0">
                  <c:v>Cycles per day (1h battery)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'Asset allocation calc'!$D$5:$S$5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'Asset allocation calc'!$D$48:$S$48</c:f>
              <c:numCache>
                <c:formatCode>#,##0.00</c:formatCode>
                <c:ptCount val="16"/>
                <c:pt idx="0">
                  <c:v>0.40909104399677682</c:v>
                </c:pt>
                <c:pt idx="1">
                  <c:v>0.4050620351329573</c:v>
                </c:pt>
                <c:pt idx="2">
                  <c:v>0.40264462981466559</c:v>
                </c:pt>
                <c:pt idx="3">
                  <c:v>0.47911521804995971</c:v>
                </c:pt>
                <c:pt idx="4">
                  <c:v>0.58273326800966962</c:v>
                </c:pt>
                <c:pt idx="5">
                  <c:v>0.7038022983615364</c:v>
                </c:pt>
                <c:pt idx="6">
                  <c:v>0.8211458385173247</c:v>
                </c:pt>
                <c:pt idx="7">
                  <c:v>0.94020466204673658</c:v>
                </c:pt>
                <c:pt idx="8">
                  <c:v>1.0611850542035992</c:v>
                </c:pt>
                <c:pt idx="9">
                  <c:v>1.1854987796937952</c:v>
                </c:pt>
                <c:pt idx="10">
                  <c:v>1.2814791718506582</c:v>
                </c:pt>
                <c:pt idx="11">
                  <c:v>1.3774595640075207</c:v>
                </c:pt>
                <c:pt idx="12">
                  <c:v>1.4734399561643834</c:v>
                </c:pt>
                <c:pt idx="13">
                  <c:v>1.5694203483212468</c:v>
                </c:pt>
                <c:pt idx="14">
                  <c:v>1.665400740478109</c:v>
                </c:pt>
                <c:pt idx="15">
                  <c:v>1.7613811326349718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D-407F-9436-00E0D39B6FCC}"/>
            </c:ext>
          </c:extLst>
        </c:ser>
        <c:ser>
          <c:idx val="1"/>
          <c:order val="1"/>
          <c:tx>
            <c:strRef>
              <c:f>'Asset allocation calc'!$C$49</c:f>
              <c:strCache>
                <c:ptCount val="1"/>
                <c:pt idx="0">
                  <c:v>Cycles per day (2-h battery)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'Asset allocation calc'!$D$5:$S$5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'Asset allocation calc'!$D$49:$S$49</c:f>
              <c:numCache>
                <c:formatCode>#,##0.00</c:formatCode>
                <c:ptCount val="16"/>
                <c:pt idx="0">
                  <c:v>0.20547945205479451</c:v>
                </c:pt>
                <c:pt idx="1">
                  <c:v>0.20273972602739726</c:v>
                </c:pt>
                <c:pt idx="2">
                  <c:v>0.2</c:v>
                </c:pt>
                <c:pt idx="3">
                  <c:v>0.23835616438356164</c:v>
                </c:pt>
                <c:pt idx="4">
                  <c:v>0.29041095890410956</c:v>
                </c:pt>
                <c:pt idx="5">
                  <c:v>0.35068493150684932</c:v>
                </c:pt>
                <c:pt idx="6">
                  <c:v>0.41095890410958902</c:v>
                </c:pt>
                <c:pt idx="7">
                  <c:v>0.47123287671232877</c:v>
                </c:pt>
                <c:pt idx="8">
                  <c:v>0.53150684931506853</c:v>
                </c:pt>
                <c:pt idx="9">
                  <c:v>0.59178082191780823</c:v>
                </c:pt>
                <c:pt idx="10">
                  <c:v>0.64109589041095894</c:v>
                </c:pt>
                <c:pt idx="11">
                  <c:v>0.68767123287671228</c:v>
                </c:pt>
                <c:pt idx="12">
                  <c:v>0.73698630136986298</c:v>
                </c:pt>
                <c:pt idx="13">
                  <c:v>0.78356164383561644</c:v>
                </c:pt>
                <c:pt idx="14">
                  <c:v>0.83287671232876714</c:v>
                </c:pt>
                <c:pt idx="15">
                  <c:v>0.8794520547945206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D-407F-9436-00E0D39B6FCC}"/>
            </c:ext>
          </c:extLst>
        </c:ser>
        <c:ser>
          <c:idx val="2"/>
          <c:order val="2"/>
          <c:tx>
            <c:strRef>
              <c:f>'Asset allocation calc'!$C$50</c:f>
              <c:strCache>
                <c:ptCount val="1"/>
                <c:pt idx="0">
                  <c:v>Cycles per day (4-h battery)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'Asset allocation calc'!$D$5:$S$5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'Asset allocation calc'!$D$50:$S$50</c:f>
              <c:numCache>
                <c:formatCode>#,##0.00</c:formatCode>
                <c:ptCount val="16"/>
                <c:pt idx="0">
                  <c:v>0.10227397260273972</c:v>
                </c:pt>
                <c:pt idx="1">
                  <c:v>0.10126027397260275</c:v>
                </c:pt>
                <c:pt idx="2">
                  <c:v>0.10065753424657535</c:v>
                </c:pt>
                <c:pt idx="3">
                  <c:v>0.11978082191780821</c:v>
                </c:pt>
                <c:pt idx="4">
                  <c:v>0.14567123287671233</c:v>
                </c:pt>
                <c:pt idx="5">
                  <c:v>0.17594520547945205</c:v>
                </c:pt>
                <c:pt idx="6">
                  <c:v>0.20528767123287672</c:v>
                </c:pt>
                <c:pt idx="7">
                  <c:v>0.23504109589041097</c:v>
                </c:pt>
                <c:pt idx="8">
                  <c:v>0.26528767123287672</c:v>
                </c:pt>
                <c:pt idx="9">
                  <c:v>0.29638356164383561</c:v>
                </c:pt>
                <c:pt idx="10">
                  <c:v>0.32035616438356168</c:v>
                </c:pt>
                <c:pt idx="11">
                  <c:v>0.34435616438356165</c:v>
                </c:pt>
                <c:pt idx="12">
                  <c:v>0.36835616438356161</c:v>
                </c:pt>
                <c:pt idx="13">
                  <c:v>0.39235616438356169</c:v>
                </c:pt>
                <c:pt idx="14">
                  <c:v>0.41635616438356166</c:v>
                </c:pt>
                <c:pt idx="15">
                  <c:v>0.44035616438356162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D-407F-9436-00E0D39B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459216"/>
        <c:axId val="1323461616"/>
      </c:barChart>
      <c:catAx>
        <c:axId val="13234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23461616"/>
        <c:crosses val="autoZero"/>
        <c:auto val="1"/>
        <c:lblAlgn val="ctr"/>
        <c:lblOffset val="100"/>
        <c:noMultiLvlLbl val="0"/>
      </c:catAx>
      <c:valAx>
        <c:axId val="1323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Cycles</a:t>
                </a:r>
                <a:r>
                  <a:rPr lang="en-GB" baseline="0"/>
                  <a:t>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234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nrel.gov/docs/fy21osti/79236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114327</xdr:colOff>
      <xdr:row>23</xdr:row>
      <xdr:rowOff>86407</xdr:rowOff>
    </xdr:from>
    <xdr:to>
      <xdr:col>17</xdr:col>
      <xdr:colOff>619729</xdr:colOff>
      <xdr:row>40</xdr:row>
      <xdr:rowOff>173487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C99FE-C9DD-D3C4-1804-019D92D46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163286</xdr:colOff>
      <xdr:row>32</xdr:row>
      <xdr:rowOff>136071</xdr:rowOff>
    </xdr:from>
    <xdr:to>
      <xdr:col>16</xdr:col>
      <xdr:colOff>653143</xdr:colOff>
      <xdr:row>41</xdr:row>
      <xdr:rowOff>172357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B6418-5DF9-6934-CA5E-89A0FB87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665307</xdr:colOff>
      <xdr:row>10</xdr:row>
      <xdr:rowOff>55996</xdr:rowOff>
    </xdr:from>
    <xdr:to>
      <xdr:col>8</xdr:col>
      <xdr:colOff>531091</xdr:colOff>
      <xdr:row>23</xdr:row>
      <xdr:rowOff>97559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9FB2-FAA5-458D-2327-83B052A23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134642</xdr:colOff>
      <xdr:row>51</xdr:row>
      <xdr:rowOff>69994</xdr:rowOff>
    </xdr:from>
    <xdr:to>
      <xdr:col>18</xdr:col>
      <xdr:colOff>1177636</xdr:colOff>
      <xdr:row>66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FCCD6-0143-28CD-DE10-40DF23315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57727</xdr:colOff>
      <xdr:row>66</xdr:row>
      <xdr:rowOff>184727</xdr:rowOff>
    </xdr:from>
    <xdr:to>
      <xdr:col>18</xdr:col>
      <xdr:colOff>1166091</xdr:colOff>
      <xdr:row>90</xdr:row>
      <xdr:rowOff>161637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24958-01F4-4681-9F8F-9F6147E39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273051</xdr:colOff>
      <xdr:row>0</xdr:row>
      <xdr:rowOff>184150</xdr:rowOff>
    </xdr:from>
    <xdr:to>
      <xdr:col>20</xdr:col>
      <xdr:colOff>628651</xdr:colOff>
      <xdr:row>15</xdr:row>
      <xdr:rowOff>191305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C5D905-8E51-C69A-D736-BC68E7C93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6651" y="184150"/>
          <a:ext cx="7620000" cy="30551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olfazl Khodadadi" id="{30D08801-8202-4893-8894-7C2A9B2D266F}" userId="S::abolfazl.khodadadi@merlinmetis.se::fbb9a642-f792-4c99-8178-0b489fd85d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4-08-02T13:28:37.48" personId="{30D08801-8202-4893-8894-7C2A9B2D266F}" id="{ADA01EBD-12D2-46FC-9588-57EE19F3C81F}">
    <text xml:space="preserve">These price up to 2028 are updated based on the future price prediction in :
FCR projections and historicals.xlsx </text>
    <extLst>
      <x:ext xmlns:xltc2="http://schemas.microsoft.com/office/spreadsheetml/2020/threadedcomments2" uri="{F7C98A9C-CBB3-438F-8F68-D28B6AF4A901}">
        <xltc2:checksum>2018369522</xltc2:checksum>
        <xltc2:hyperlink startIndex="78" length="36" url="https://loopia2159547.sharepoint.com/:x:/s/MerlinMetis/EQ-WuOelKMpOmBbgKEk2ZXMBzwxtdIeHOSwRXv11q0n2KQ?e=bDAhsW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" dT="2024-08-15T13:58:05.69" personId="{30D08801-8202-4893-8894-7C2A9B2D266F}" id="{82114E64-720B-4C75-ABED-DAB01A0ED943}">
    <text xml:space="preserve">Based on the data from Nordpool online data:
https://data.nordpoolgroup.com/auction/intraday-auction-1/prices?deliveryDate=2024-08-14&amp;currency=EUR&amp;aggregation=Hourly&amp;deliveryAreas=SE3
</text>
    <extLst>
      <x:ext xmlns:xltc2="http://schemas.microsoft.com/office/spreadsheetml/2020/threadedcomments2" uri="{F7C98A9C-CBB3-438F-8F68-D28B6AF4A901}">
        <xltc2:checksum>2137317704</xltc2:checksum>
        <xltc2:hyperlink startIndex="46" length="138" url="https://data.nordpoolgroup.com/auction/intraday-auction-1/prices?deliveryDate=2024-08-14&amp;currency=EUR&amp;aggregation=Hourly&amp;deliveryAreas=SE3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5" dT="2024-07-26T11:22:06.93" personId="{30D08801-8202-4893-8894-7C2A9B2D266F}" id="{4E535862-CCE2-4532-B80F-9C5BD6C76E97}">
    <text xml:space="preserve">The reason for division by two is that 1MWh battery can charge and then discharge fully to account it as a one fully cycle.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2B1E-93C1-054A-BF2B-45744720F47D}">
  <dimension ref="A1:U42"/>
  <sheetViews>
    <sheetView tabSelected="1" topLeftCell="B13" zoomScale="70" zoomScaleNormal="70" workbookViewId="0">
      <selection activeCell="E42" sqref="E42"/>
    </sheetView>
  </sheetViews>
  <sheetFormatPr defaultColWidth="0" defaultRowHeight="18.5" zeroHeight="1" x14ac:dyDescent="0.5"/>
  <cols>
    <col min="1" max="1" width="13.58203125" style="43" bestFit="1" customWidth="1"/>
    <col min="2" max="2" width="19.25" style="43" bestFit="1" customWidth="1"/>
    <col min="3" max="3" width="15" style="43" bestFit="1" customWidth="1"/>
    <col min="4" max="4" width="15.83203125" style="123" customWidth="1"/>
    <col min="5" max="6" width="15.83203125" style="44" customWidth="1"/>
    <col min="7" max="7" width="15.83203125" style="129" customWidth="1"/>
    <col min="8" max="18" width="15.83203125" style="44" customWidth="1"/>
    <col min="19" max="19" width="15.83203125" style="45" customWidth="1"/>
    <col min="20" max="21" width="10.83203125" style="43" customWidth="1"/>
    <col min="22" max="16384" width="10.83203125" style="43" hidden="1"/>
  </cols>
  <sheetData>
    <row r="1" spans="1:19" s="9" customFormat="1" x14ac:dyDescent="0.5">
      <c r="A1" s="9" t="s">
        <v>0</v>
      </c>
      <c r="D1" s="24"/>
      <c r="E1" s="25"/>
      <c r="F1" s="1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s="9" customFormat="1" x14ac:dyDescent="0.5">
      <c r="D2" s="24"/>
      <c r="E2" s="25"/>
      <c r="F2" s="12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1:19" s="9" customFormat="1" x14ac:dyDescent="0.5">
      <c r="B3" s="9" t="s">
        <v>1</v>
      </c>
      <c r="C3" s="9">
        <v>1</v>
      </c>
      <c r="D3" s="24"/>
      <c r="E3" s="25"/>
      <c r="F3" s="1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6"/>
    </row>
    <row r="4" spans="1:19" s="9" customFormat="1" x14ac:dyDescent="0.5">
      <c r="D4" s="24"/>
      <c r="E4" s="25"/>
      <c r="F4" s="1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</row>
    <row r="5" spans="1:19" s="62" customFormat="1" x14ac:dyDescent="0.5">
      <c r="C5" s="62" t="s">
        <v>2</v>
      </c>
      <c r="D5" s="65">
        <v>2025</v>
      </c>
      <c r="E5" s="66">
        <v>2026</v>
      </c>
      <c r="F5" s="125">
        <v>2027</v>
      </c>
      <c r="G5" s="66">
        <v>2028</v>
      </c>
      <c r="H5" s="66">
        <f>G5+1</f>
        <v>2029</v>
      </c>
      <c r="I5" s="66">
        <f t="shared" ref="I5:S5" si="0">H5+1</f>
        <v>2030</v>
      </c>
      <c r="J5" s="66">
        <f t="shared" si="0"/>
        <v>2031</v>
      </c>
      <c r="K5" s="66">
        <f t="shared" si="0"/>
        <v>2032</v>
      </c>
      <c r="L5" s="66">
        <f t="shared" si="0"/>
        <v>2033</v>
      </c>
      <c r="M5" s="66">
        <f t="shared" si="0"/>
        <v>2034</v>
      </c>
      <c r="N5" s="66">
        <f t="shared" si="0"/>
        <v>2035</v>
      </c>
      <c r="O5" s="66">
        <f t="shared" si="0"/>
        <v>2036</v>
      </c>
      <c r="P5" s="66">
        <f t="shared" si="0"/>
        <v>2037</v>
      </c>
      <c r="Q5" s="66">
        <f t="shared" si="0"/>
        <v>2038</v>
      </c>
      <c r="R5" s="66">
        <f t="shared" si="0"/>
        <v>2039</v>
      </c>
      <c r="S5" s="67">
        <f t="shared" si="0"/>
        <v>2040</v>
      </c>
    </row>
    <row r="6" spans="1:19" s="9" customFormat="1" x14ac:dyDescent="0.5">
      <c r="D6" s="24"/>
      <c r="E6" s="25"/>
      <c r="F6" s="1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19" s="9" customFormat="1" x14ac:dyDescent="0.5">
      <c r="D7" s="24"/>
      <c r="E7" s="25"/>
      <c r="F7" s="1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</row>
    <row r="8" spans="1:19" s="13" customFormat="1" x14ac:dyDescent="0.5">
      <c r="B8" s="13" t="s">
        <v>3</v>
      </c>
      <c r="D8" s="27">
        <f>D9*$C$3</f>
        <v>482781.12000000005</v>
      </c>
      <c r="E8" s="27">
        <f t="shared" ref="E8:H8" si="1">E9*$C$3</f>
        <v>394851.74400000001</v>
      </c>
      <c r="F8" s="27">
        <f t="shared" si="1"/>
        <v>338878.84800000006</v>
      </c>
      <c r="G8" s="27">
        <f t="shared" si="1"/>
        <v>325794.91200000001</v>
      </c>
      <c r="H8" s="27">
        <f t="shared" si="1"/>
        <v>279422.97600000002</v>
      </c>
      <c r="I8" s="27">
        <f t="shared" ref="I8:S8" si="2">I9</f>
        <v>236321.44000000006</v>
      </c>
      <c r="J8" s="27">
        <f t="shared" si="2"/>
        <v>202151.01600000012</v>
      </c>
      <c r="K8" s="27">
        <f t="shared" si="2"/>
        <v>197346.44800000006</v>
      </c>
      <c r="L8" s="27">
        <f t="shared" si="2"/>
        <v>192590.93600000013</v>
      </c>
      <c r="M8" s="27">
        <f t="shared" si="2"/>
        <v>187884.48000000013</v>
      </c>
      <c r="N8" s="27">
        <f t="shared" si="2"/>
        <v>183227.08000000013</v>
      </c>
      <c r="O8" s="27">
        <f t="shared" si="2"/>
        <v>178618.73600000021</v>
      </c>
      <c r="P8" s="27">
        <f t="shared" si="2"/>
        <v>174059.44800000018</v>
      </c>
      <c r="Q8" s="27">
        <f t="shared" si="2"/>
        <v>169549.21600000016</v>
      </c>
      <c r="R8" s="27">
        <f t="shared" si="2"/>
        <v>165088.04000000018</v>
      </c>
      <c r="S8" s="27">
        <f t="shared" si="2"/>
        <v>160675.92000000001</v>
      </c>
    </row>
    <row r="9" spans="1:19" s="9" customFormat="1" x14ac:dyDescent="0.5">
      <c r="B9" s="9" t="s">
        <v>4</v>
      </c>
      <c r="D9" s="29">
        <f>SUM('Revenue streams'!D9:D12)</f>
        <v>482781.12000000005</v>
      </c>
      <c r="E9" s="29">
        <f>SUM('Revenue streams'!E9:E12)</f>
        <v>394851.74400000001</v>
      </c>
      <c r="F9" s="29">
        <f>SUM('Revenue streams'!F9:F12)</f>
        <v>338878.84800000006</v>
      </c>
      <c r="G9" s="29">
        <f>SUM('Revenue streams'!G9:G12)</f>
        <v>325794.91200000001</v>
      </c>
      <c r="H9" s="29">
        <f>SUM('Revenue streams'!H9:H12)</f>
        <v>279422.97600000002</v>
      </c>
      <c r="I9" s="29">
        <f>SUM('Revenue streams'!I9:I12)</f>
        <v>236321.44000000006</v>
      </c>
      <c r="J9" s="29">
        <f>SUM('Revenue streams'!J9:J12)</f>
        <v>202151.01600000012</v>
      </c>
      <c r="K9" s="29">
        <f>SUM('Revenue streams'!K9:K12)</f>
        <v>197346.44800000006</v>
      </c>
      <c r="L9" s="29">
        <f>SUM('Revenue streams'!L9:L12)</f>
        <v>192590.93600000013</v>
      </c>
      <c r="M9" s="29">
        <f>SUM('Revenue streams'!M9:M12)</f>
        <v>187884.48000000013</v>
      </c>
      <c r="N9" s="29">
        <f>SUM('Revenue streams'!N9:N12)</f>
        <v>183227.08000000013</v>
      </c>
      <c r="O9" s="29">
        <f>SUM('Revenue streams'!O9:O12)</f>
        <v>178618.73600000021</v>
      </c>
      <c r="P9" s="29">
        <f>SUM('Revenue streams'!P9:P12)</f>
        <v>174059.44800000018</v>
      </c>
      <c r="Q9" s="29">
        <f>SUM('Revenue streams'!Q9:Q12)</f>
        <v>169549.21600000016</v>
      </c>
      <c r="R9" s="29">
        <f>SUM('Revenue streams'!R9:R12)</f>
        <v>165088.04000000018</v>
      </c>
      <c r="S9" s="30">
        <f>SUM('Revenue streams'!S9:S12)</f>
        <v>160675.92000000001</v>
      </c>
    </row>
    <row r="10" spans="1:19" s="9" customFormat="1" x14ac:dyDescent="0.5"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 s="19" customFormat="1" x14ac:dyDescent="0.5">
      <c r="B11" s="19" t="s">
        <v>5</v>
      </c>
      <c r="D11" s="31">
        <f>(D12+D13)*$C$3</f>
        <v>675520.39200000011</v>
      </c>
      <c r="E11" s="31">
        <f t="shared" ref="E11:H11" si="3">(E12+E13)*$C$3</f>
        <v>1072369.4160000002</v>
      </c>
      <c r="F11" s="31">
        <f t="shared" si="3"/>
        <v>1673655.8160000001</v>
      </c>
      <c r="G11" s="31">
        <f t="shared" si="3"/>
        <v>1603885.9200000004</v>
      </c>
      <c r="H11" s="31">
        <f t="shared" si="3"/>
        <v>1501463.3429999999</v>
      </c>
      <c r="I11" s="31">
        <f t="shared" ref="I11:S11" si="4">I12+I13</f>
        <v>1403743.2800000005</v>
      </c>
      <c r="J11" s="31">
        <f t="shared" si="4"/>
        <v>1310556.2250000001</v>
      </c>
      <c r="K11" s="31">
        <f t="shared" si="4"/>
        <v>1221732.6720000003</v>
      </c>
      <c r="L11" s="31">
        <f t="shared" si="4"/>
        <v>1137103.1150000002</v>
      </c>
      <c r="M11" s="31">
        <f t="shared" si="4"/>
        <v>1090944.5580000002</v>
      </c>
      <c r="N11" s="31">
        <f t="shared" si="4"/>
        <v>1038912.4575000003</v>
      </c>
      <c r="O11" s="31">
        <f t="shared" si="4"/>
        <v>987219.88000000012</v>
      </c>
      <c r="P11" s="31">
        <f t="shared" si="4"/>
        <v>935866.82550000038</v>
      </c>
      <c r="Q11" s="31">
        <f t="shared" si="4"/>
        <v>884853.29400000011</v>
      </c>
      <c r="R11" s="31">
        <f t="shared" si="4"/>
        <v>834179.28550000023</v>
      </c>
      <c r="S11" s="32">
        <f t="shared" si="4"/>
        <v>783844.8</v>
      </c>
    </row>
    <row r="12" spans="1:19" s="9" customFormat="1" x14ac:dyDescent="0.5">
      <c r="B12" s="9" t="s">
        <v>6</v>
      </c>
      <c r="D12" s="29">
        <f>SUM('Revenue streams'!D15:D18)</f>
        <v>653956.77600000007</v>
      </c>
      <c r="E12" s="29">
        <f>SUM('Revenue streams'!E15:E18)</f>
        <v>1050805.8000000003</v>
      </c>
      <c r="F12" s="29">
        <f>SUM('Revenue streams'!F15:F18)</f>
        <v>1652092.2000000002</v>
      </c>
      <c r="G12" s="29">
        <f>SUM('Revenue streams'!G15:G18)</f>
        <v>1576931.4000000004</v>
      </c>
      <c r="H12" s="29">
        <f>SUM('Revenue streams'!H15:H18)</f>
        <v>1467729.24</v>
      </c>
      <c r="I12" s="29">
        <f>SUM('Revenue streams'!I15:I18)</f>
        <v>1363001.2500000005</v>
      </c>
      <c r="J12" s="29">
        <f>SUM('Revenue streams'!J15:J18)</f>
        <v>1262678.4450000001</v>
      </c>
      <c r="K12" s="29">
        <f>SUM('Revenue streams'!K15:K18)</f>
        <v>1166691.8400000003</v>
      </c>
      <c r="L12" s="29">
        <f>SUM('Revenue streams'!L15:L18)</f>
        <v>1074972.4500000002</v>
      </c>
      <c r="M12" s="29">
        <f>SUM('Revenue streams'!M15:M18)</f>
        <v>1021897.8000000002</v>
      </c>
      <c r="N12" s="29">
        <f>SUM('Revenue streams'!N15:N18)</f>
        <v>969531.25000000023</v>
      </c>
      <c r="O12" s="29">
        <f>SUM('Revenue streams'!O15:O18)</f>
        <v>917872.80000000016</v>
      </c>
      <c r="P12" s="29">
        <f>SUM('Revenue streams'!P15:P18)</f>
        <v>866922.45000000042</v>
      </c>
      <c r="Q12" s="29">
        <f>SUM('Revenue streams'!Q15:Q18)</f>
        <v>816680.20000000019</v>
      </c>
      <c r="R12" s="29">
        <f>SUM('Revenue streams'!R15:R18)</f>
        <v>767146.05000000028</v>
      </c>
      <c r="S12" s="30">
        <f>SUM('Revenue streams'!S15:S18)</f>
        <v>718320</v>
      </c>
    </row>
    <row r="13" spans="1:19" s="9" customFormat="1" x14ac:dyDescent="0.5">
      <c r="B13" s="9" t="s">
        <v>7</v>
      </c>
      <c r="D13" s="29">
        <f>SUM('Revenue streams'!D19)</f>
        <v>21563.616000000005</v>
      </c>
      <c r="E13" s="29">
        <f>SUM('Revenue streams'!E19)</f>
        <v>21563.616000000005</v>
      </c>
      <c r="F13" s="29">
        <f>SUM('Revenue streams'!F19)</f>
        <v>21563.616000000005</v>
      </c>
      <c r="G13" s="29">
        <f>SUM('Revenue streams'!G19)</f>
        <v>26954.520000000008</v>
      </c>
      <c r="H13" s="29">
        <f>SUM('Revenue streams'!H19)</f>
        <v>33734.102999999996</v>
      </c>
      <c r="I13" s="29">
        <f>SUM('Revenue streams'!I19)</f>
        <v>40742.029999999992</v>
      </c>
      <c r="J13" s="29">
        <f>SUM('Revenue streams'!J19)</f>
        <v>47877.779999999992</v>
      </c>
      <c r="K13" s="29">
        <f>SUM('Revenue streams'!K19)</f>
        <v>55040.83199999998</v>
      </c>
      <c r="L13" s="29">
        <f>SUM('Revenue streams'!L19)</f>
        <v>62130.664999999986</v>
      </c>
      <c r="M13" s="29">
        <f>SUM('Revenue streams'!M19)</f>
        <v>69046.757999999987</v>
      </c>
      <c r="N13" s="29">
        <f>SUM('Revenue streams'!N19)</f>
        <v>69381.207499999975</v>
      </c>
      <c r="O13" s="29">
        <f>SUM('Revenue streams'!O19)</f>
        <v>69347.079999999973</v>
      </c>
      <c r="P13" s="29">
        <f>SUM('Revenue streams'!P19)</f>
        <v>68944.375499999966</v>
      </c>
      <c r="Q13" s="29">
        <f>SUM('Revenue streams'!Q19)</f>
        <v>68173.093999999968</v>
      </c>
      <c r="R13" s="29">
        <f>SUM('Revenue streams'!R19)</f>
        <v>67033.235499999966</v>
      </c>
      <c r="S13" s="30">
        <f>SUM('Revenue streams'!S19)</f>
        <v>65524.799999999988</v>
      </c>
    </row>
    <row r="14" spans="1:19" s="9" customFormat="1" x14ac:dyDescent="0.5"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</row>
    <row r="15" spans="1:19" s="19" customFormat="1" x14ac:dyDescent="0.5">
      <c r="B15" s="19" t="s">
        <v>8</v>
      </c>
      <c r="D15" s="31">
        <f t="shared" ref="D15:F15" si="5">D16</f>
        <v>0</v>
      </c>
      <c r="E15" s="31">
        <f t="shared" si="5"/>
        <v>0</v>
      </c>
      <c r="F15" s="31">
        <f t="shared" si="5"/>
        <v>0</v>
      </c>
      <c r="G15" s="31">
        <f>G16</f>
        <v>0</v>
      </c>
      <c r="H15" s="31">
        <f t="shared" ref="H15:S15" si="6">H16</f>
        <v>0</v>
      </c>
      <c r="I15" s="31">
        <f t="shared" si="6"/>
        <v>82694.399999999994</v>
      </c>
      <c r="J15" s="31">
        <f t="shared" si="6"/>
        <v>124041.59999999999</v>
      </c>
      <c r="K15" s="31">
        <f t="shared" si="6"/>
        <v>134041.59999999998</v>
      </c>
      <c r="L15" s="31">
        <f t="shared" si="6"/>
        <v>134041.59999999998</v>
      </c>
      <c r="M15" s="31">
        <f t="shared" si="6"/>
        <v>134041.59999999998</v>
      </c>
      <c r="N15" s="31">
        <f t="shared" si="6"/>
        <v>134041.59999999998</v>
      </c>
      <c r="O15" s="31">
        <f t="shared" si="6"/>
        <v>134041.59999999998</v>
      </c>
      <c r="P15" s="31">
        <f t="shared" si="6"/>
        <v>134041.59999999998</v>
      </c>
      <c r="Q15" s="31">
        <f t="shared" si="6"/>
        <v>134041.59999999998</v>
      </c>
      <c r="R15" s="31">
        <f t="shared" si="6"/>
        <v>134041.59999999998</v>
      </c>
      <c r="S15" s="32">
        <f t="shared" si="6"/>
        <v>134041.59999999998</v>
      </c>
    </row>
    <row r="16" spans="1:19" s="9" customFormat="1" x14ac:dyDescent="0.5">
      <c r="B16" s="9" t="s">
        <v>8</v>
      </c>
      <c r="C16" s="9">
        <v>0</v>
      </c>
      <c r="D16" s="29">
        <f>'Revenue streams'!D22+'Revenue streams'!D25</f>
        <v>0</v>
      </c>
      <c r="E16" s="29">
        <f>'Revenue streams'!E22+'Revenue streams'!E25</f>
        <v>0</v>
      </c>
      <c r="F16" s="29">
        <f>'Revenue streams'!F22+'Revenue streams'!F25</f>
        <v>0</v>
      </c>
      <c r="G16" s="29">
        <f>'Revenue streams'!G22+'Revenue streams'!G25</f>
        <v>0</v>
      </c>
      <c r="H16" s="29">
        <f>'Revenue streams'!H22+'Revenue streams'!H25</f>
        <v>0</v>
      </c>
      <c r="I16" s="29">
        <f>'Revenue streams'!I22+'Revenue streams'!I25</f>
        <v>82694.399999999994</v>
      </c>
      <c r="J16" s="29">
        <f>'Revenue streams'!J22+'Revenue streams'!J25</f>
        <v>124041.59999999999</v>
      </c>
      <c r="K16" s="29">
        <f>'Revenue streams'!K22+'Revenue streams'!K25</f>
        <v>134041.59999999998</v>
      </c>
      <c r="L16" s="29">
        <f>'Revenue streams'!L22+'Revenue streams'!L25</f>
        <v>134041.59999999998</v>
      </c>
      <c r="M16" s="29">
        <f>'Revenue streams'!M22+'Revenue streams'!M25</f>
        <v>134041.59999999998</v>
      </c>
      <c r="N16" s="29">
        <f>'Revenue streams'!N22+'Revenue streams'!N25</f>
        <v>134041.59999999998</v>
      </c>
      <c r="O16" s="29">
        <f>'Revenue streams'!O22+'Revenue streams'!O25</f>
        <v>134041.59999999998</v>
      </c>
      <c r="P16" s="29">
        <f>'Revenue streams'!P22+'Revenue streams'!P25</f>
        <v>134041.59999999998</v>
      </c>
      <c r="Q16" s="29">
        <f>'Revenue streams'!Q22+'Revenue streams'!Q25</f>
        <v>134041.59999999998</v>
      </c>
      <c r="R16" s="29">
        <f>'Revenue streams'!R22+'Revenue streams'!R25</f>
        <v>134041.59999999998</v>
      </c>
      <c r="S16" s="30">
        <f>'Revenue streams'!S22+'Revenue streams'!S25</f>
        <v>134041.59999999998</v>
      </c>
    </row>
    <row r="17" spans="2:19" s="9" customFormat="1" x14ac:dyDescent="0.5"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/>
    </row>
    <row r="18" spans="2:19" s="19" customFormat="1" x14ac:dyDescent="0.5">
      <c r="B18" s="19" t="s">
        <v>9</v>
      </c>
      <c r="D18" s="31">
        <f>D19*$C$3</f>
        <v>85083.148869155819</v>
      </c>
      <c r="E18" s="31">
        <f t="shared" ref="E18:H18" si="7">E19*$C$3</f>
        <v>85083.148869155819</v>
      </c>
      <c r="F18" s="31">
        <f t="shared" si="7"/>
        <v>85083.148869155819</v>
      </c>
      <c r="G18" s="31">
        <f t="shared" si="7"/>
        <v>90049.928420059325</v>
      </c>
      <c r="H18" s="31">
        <f t="shared" si="7"/>
        <v>128451.67794993811</v>
      </c>
      <c r="I18" s="31">
        <f t="shared" ref="I18:S18" si="8">I19</f>
        <v>166587.35814286151</v>
      </c>
      <c r="J18" s="31">
        <f t="shared" si="8"/>
        <v>202727.78046794588</v>
      </c>
      <c r="K18" s="31">
        <f t="shared" si="8"/>
        <v>237856.34435696277</v>
      </c>
      <c r="L18" s="31">
        <f t="shared" si="8"/>
        <v>272639.47708910232</v>
      </c>
      <c r="M18" s="31">
        <f t="shared" si="8"/>
        <v>305284.01373574504</v>
      </c>
      <c r="N18" s="31">
        <f t="shared" si="8"/>
        <v>336724.85315262817</v>
      </c>
      <c r="O18" s="31">
        <f t="shared" si="8"/>
        <v>366947.42600123549</v>
      </c>
      <c r="P18" s="31">
        <f t="shared" si="8"/>
        <v>395937.16294305073</v>
      </c>
      <c r="Q18" s="31">
        <f t="shared" si="8"/>
        <v>423679.49463955755</v>
      </c>
      <c r="R18" s="31">
        <f t="shared" si="8"/>
        <v>450159.85175223975</v>
      </c>
      <c r="S18" s="32">
        <f t="shared" si="8"/>
        <v>475363.66494258144</v>
      </c>
    </row>
    <row r="19" spans="2:19" s="9" customFormat="1" x14ac:dyDescent="0.5">
      <c r="B19" s="9" t="s">
        <v>9</v>
      </c>
      <c r="D19" s="29">
        <f>SUM('Revenue streams'!D28:D30)</f>
        <v>85083.148869155819</v>
      </c>
      <c r="E19" s="29">
        <f>SUM('Revenue streams'!E28:E30)</f>
        <v>85083.148869155819</v>
      </c>
      <c r="F19" s="29">
        <f>SUM('Revenue streams'!F28:F30)</f>
        <v>85083.148869155819</v>
      </c>
      <c r="G19" s="29">
        <f>SUM('Revenue streams'!G28:G30)</f>
        <v>90049.928420059325</v>
      </c>
      <c r="H19" s="29">
        <f>SUM('Revenue streams'!H28:H30)</f>
        <v>128451.67794993811</v>
      </c>
      <c r="I19" s="29">
        <f>SUM('Revenue streams'!I28:I30)</f>
        <v>166587.35814286151</v>
      </c>
      <c r="J19" s="29">
        <f>SUM('Revenue streams'!J28:J30)</f>
        <v>202727.78046794588</v>
      </c>
      <c r="K19" s="29">
        <f>SUM('Revenue streams'!K28:K30)</f>
        <v>237856.34435696277</v>
      </c>
      <c r="L19" s="29">
        <f>SUM('Revenue streams'!L28:L30)</f>
        <v>272639.47708910232</v>
      </c>
      <c r="M19" s="29">
        <f>SUM('Revenue streams'!M28:M30)</f>
        <v>305284.01373574504</v>
      </c>
      <c r="N19" s="29">
        <f>SUM('Revenue streams'!N28:N30)</f>
        <v>336724.85315262817</v>
      </c>
      <c r="O19" s="29">
        <f>SUM('Revenue streams'!O28:O30)</f>
        <v>366947.42600123549</v>
      </c>
      <c r="P19" s="29">
        <f>SUM('Revenue streams'!P28:P30)</f>
        <v>395937.16294305073</v>
      </c>
      <c r="Q19" s="29">
        <f>SUM('Revenue streams'!Q28:Q30)</f>
        <v>423679.49463955755</v>
      </c>
      <c r="R19" s="29">
        <f>SUM('Revenue streams'!R28:R30)</f>
        <v>450159.85175223975</v>
      </c>
      <c r="S19" s="29">
        <f>SUM('Revenue streams'!S28:S30)</f>
        <v>475363.66494258144</v>
      </c>
    </row>
    <row r="20" spans="2:19" s="9" customFormat="1" x14ac:dyDescent="0.5"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30"/>
    </row>
    <row r="21" spans="2:19" s="9" customFormat="1" x14ac:dyDescent="0.5">
      <c r="D21" s="29"/>
      <c r="E21" s="29"/>
      <c r="F21" s="29"/>
      <c r="G21" s="29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4"/>
    </row>
    <row r="22" spans="2:19" s="19" customFormat="1" x14ac:dyDescent="0.5">
      <c r="B22" s="19" t="s">
        <v>10</v>
      </c>
      <c r="D22" s="31">
        <f t="shared" ref="D22:F22" si="9">D18+D15+D11+D8</f>
        <v>1243384.660869156</v>
      </c>
      <c r="E22" s="31">
        <f t="shared" si="9"/>
        <v>1552304.3088691561</v>
      </c>
      <c r="F22" s="31">
        <f t="shared" si="9"/>
        <v>2097617.8128691562</v>
      </c>
      <c r="G22" s="31">
        <f>G18+G15+G11+G8</f>
        <v>2019730.7604200598</v>
      </c>
      <c r="H22" s="31">
        <f t="shared" ref="H22:S22" si="10">H18+H15+H11+H8</f>
        <v>1909337.9969499379</v>
      </c>
      <c r="I22" s="31">
        <f t="shared" si="10"/>
        <v>1889346.4781428622</v>
      </c>
      <c r="J22" s="31">
        <f t="shared" si="10"/>
        <v>1839476.6214679461</v>
      </c>
      <c r="K22" s="31">
        <f t="shared" si="10"/>
        <v>1790977.0643569632</v>
      </c>
      <c r="L22" s="31">
        <f t="shared" si="10"/>
        <v>1736375.1280891027</v>
      </c>
      <c r="M22" s="31">
        <f t="shared" si="10"/>
        <v>1718154.6517357454</v>
      </c>
      <c r="N22" s="31">
        <f t="shared" si="10"/>
        <v>1692905.9906526285</v>
      </c>
      <c r="O22" s="31">
        <f t="shared" si="10"/>
        <v>1666827.6420012359</v>
      </c>
      <c r="P22" s="31">
        <f t="shared" si="10"/>
        <v>1639905.0364430512</v>
      </c>
      <c r="Q22" s="31">
        <f t="shared" si="10"/>
        <v>1612123.6046395579</v>
      </c>
      <c r="R22" s="31">
        <f t="shared" si="10"/>
        <v>1583468.7772522403</v>
      </c>
      <c r="S22" s="32">
        <f t="shared" si="10"/>
        <v>1553925.9849425815</v>
      </c>
    </row>
    <row r="23" spans="2:19" s="35" customFormat="1" x14ac:dyDescent="0.5">
      <c r="D23" s="36"/>
      <c r="E23" s="37"/>
      <c r="F23" s="126"/>
      <c r="G23" s="12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2:19" s="9" customFormat="1" x14ac:dyDescent="0.5">
      <c r="C24" s="39"/>
      <c r="D24" s="24"/>
      <c r="E24" s="25"/>
      <c r="F24" s="1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</row>
    <row r="25" spans="2:19" s="9" customFormat="1" x14ac:dyDescent="0.5">
      <c r="C25" s="40"/>
      <c r="D25" s="24"/>
      <c r="E25" s="25"/>
      <c r="F25" s="1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2:19" s="9" customFormat="1" x14ac:dyDescent="0.5">
      <c r="C26" s="39"/>
      <c r="D26" s="24"/>
      <c r="E26" s="25"/>
      <c r="F26" s="1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s="9" customFormat="1" x14ac:dyDescent="0.5">
      <c r="B27" s="40"/>
      <c r="D27" s="24"/>
      <c r="E27" s="25"/>
      <c r="F27" s="1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s="9" customFormat="1" x14ac:dyDescent="0.5">
      <c r="B28" s="40"/>
      <c r="C28" s="40"/>
      <c r="D28" s="28"/>
      <c r="E28" s="28"/>
      <c r="F28" s="127"/>
      <c r="G28" s="29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2:19" s="9" customFormat="1" x14ac:dyDescent="0.5">
      <c r="B29" s="40"/>
      <c r="C29" s="40"/>
      <c r="D29" s="28"/>
      <c r="E29" s="28"/>
      <c r="F29" s="127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2:19" s="9" customFormat="1" x14ac:dyDescent="0.5">
      <c r="D30" s="24"/>
      <c r="E30" s="25"/>
      <c r="F30" s="1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</row>
    <row r="31" spans="2:19" s="9" customFormat="1" x14ac:dyDescent="0.5">
      <c r="C31" s="39"/>
      <c r="D31" s="122"/>
      <c r="E31" s="41"/>
      <c r="F31" s="41"/>
      <c r="G31" s="124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s="9" customFormat="1" x14ac:dyDescent="0.5">
      <c r="D32" s="122"/>
      <c r="E32" s="41"/>
      <c r="F32" s="41"/>
      <c r="G32" s="124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</row>
    <row r="33" spans="4:19" s="9" customFormat="1" x14ac:dyDescent="0.5">
      <c r="D33" s="122"/>
      <c r="E33" s="41"/>
      <c r="F33" s="41"/>
      <c r="G33" s="124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</row>
    <row r="34" spans="4:19" s="9" customFormat="1" x14ac:dyDescent="0.5">
      <c r="D34" s="122"/>
      <c r="E34" s="41"/>
      <c r="F34" s="41"/>
      <c r="G34" s="124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</row>
    <row r="35" spans="4:19" s="9" customFormat="1" x14ac:dyDescent="0.5">
      <c r="D35" s="122"/>
      <c r="E35" s="41"/>
      <c r="F35" s="41"/>
      <c r="G35" s="124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</row>
    <row r="36" spans="4:19" s="9" customFormat="1" x14ac:dyDescent="0.5">
      <c r="D36" s="122"/>
      <c r="E36" s="41"/>
      <c r="F36" s="41"/>
      <c r="G36" s="124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</row>
    <row r="37" spans="4:19" s="9" customFormat="1" x14ac:dyDescent="0.5">
      <c r="D37" s="122"/>
      <c r="E37" s="41"/>
      <c r="F37" s="41"/>
      <c r="G37" s="124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</row>
    <row r="38" spans="4:19" s="9" customFormat="1" x14ac:dyDescent="0.5">
      <c r="D38" s="122"/>
      <c r="E38" s="41"/>
      <c r="F38" s="41"/>
      <c r="G38" s="124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</row>
    <row r="39" spans="4:19" s="9" customFormat="1" x14ac:dyDescent="0.5">
      <c r="D39" s="122"/>
      <c r="E39" s="41"/>
      <c r="F39" s="41"/>
      <c r="G39" s="124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</row>
    <row r="40" spans="4:19" s="9" customFormat="1" x14ac:dyDescent="0.5">
      <c r="D40" s="122"/>
      <c r="E40" s="41"/>
      <c r="F40" s="41"/>
      <c r="G40" s="124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</row>
    <row r="41" spans="4:19" s="9" customFormat="1" x14ac:dyDescent="0.5">
      <c r="D41" s="122"/>
      <c r="E41" s="41"/>
      <c r="F41" s="41"/>
      <c r="G41" s="124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</row>
    <row r="42" spans="4:19" s="9" customFormat="1" x14ac:dyDescent="0.5">
      <c r="D42" s="122"/>
      <c r="E42" s="41"/>
      <c r="F42" s="41"/>
      <c r="G42" s="124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1689-32A6-49BA-BBFB-C165687477AC}">
  <dimension ref="B5:I16"/>
  <sheetViews>
    <sheetView workbookViewId="0">
      <selection activeCell="P46" sqref="P46"/>
    </sheetView>
  </sheetViews>
  <sheetFormatPr defaultColWidth="8.83203125" defaultRowHeight="16" x14ac:dyDescent="0.4"/>
  <cols>
    <col min="2" max="2" width="9.08203125" bestFit="1" customWidth="1"/>
  </cols>
  <sheetData>
    <row r="5" spans="2:9" x14ac:dyDescent="0.4">
      <c r="B5" s="136"/>
      <c r="C5" s="136">
        <v>17</v>
      </c>
      <c r="D5" s="136" t="s">
        <v>55</v>
      </c>
      <c r="E5" s="136"/>
      <c r="F5" s="136"/>
      <c r="G5" s="136"/>
      <c r="H5" s="136"/>
      <c r="I5" s="136"/>
    </row>
    <row r="6" spans="2:9" x14ac:dyDescent="0.4">
      <c r="B6" s="136"/>
      <c r="C6" s="136"/>
      <c r="D6" s="136"/>
      <c r="E6" s="136"/>
      <c r="F6" s="136"/>
      <c r="G6" s="136"/>
      <c r="H6" s="136"/>
      <c r="I6" s="136"/>
    </row>
    <row r="7" spans="2:9" x14ac:dyDescent="0.4">
      <c r="B7" s="136" t="s">
        <v>56</v>
      </c>
      <c r="C7" s="136">
        <f>C5*2</f>
        <v>34</v>
      </c>
      <c r="D7" s="136" t="s">
        <v>47</v>
      </c>
      <c r="E7" s="136">
        <v>250</v>
      </c>
      <c r="F7" s="136" t="s">
        <v>57</v>
      </c>
      <c r="G7" s="136">
        <f>E7*C7</f>
        <v>8500</v>
      </c>
      <c r="H7" s="136" t="s">
        <v>58</v>
      </c>
      <c r="I7" s="136"/>
    </row>
    <row r="8" spans="2:9" x14ac:dyDescent="0.4">
      <c r="B8" s="136" t="s">
        <v>59</v>
      </c>
      <c r="C8" s="136">
        <f>C5*4</f>
        <v>68</v>
      </c>
      <c r="D8" s="136" t="s">
        <v>47</v>
      </c>
      <c r="E8" s="136">
        <v>200</v>
      </c>
      <c r="F8" s="136" t="s">
        <v>57</v>
      </c>
      <c r="G8" s="136">
        <f>E8*C8</f>
        <v>13600</v>
      </c>
      <c r="H8" s="136" t="s">
        <v>58</v>
      </c>
      <c r="I8" s="136"/>
    </row>
    <row r="9" spans="2:9" x14ac:dyDescent="0.4">
      <c r="B9" s="136" t="s">
        <v>60</v>
      </c>
      <c r="C9" s="136">
        <f>C5*6</f>
        <v>102</v>
      </c>
      <c r="D9" s="136" t="s">
        <v>47</v>
      </c>
      <c r="E9" s="136">
        <v>190</v>
      </c>
      <c r="F9" s="136" t="s">
        <v>57</v>
      </c>
      <c r="G9" s="136">
        <f>E9*C9</f>
        <v>19380</v>
      </c>
      <c r="H9" s="136" t="s">
        <v>58</v>
      </c>
      <c r="I9" s="136"/>
    </row>
    <row r="10" spans="2:9" x14ac:dyDescent="0.4">
      <c r="B10" s="136"/>
      <c r="C10" s="136"/>
      <c r="D10" s="136"/>
      <c r="E10" s="136"/>
      <c r="F10" s="136"/>
      <c r="G10" s="136"/>
      <c r="H10" s="136"/>
      <c r="I10" s="136"/>
    </row>
    <row r="11" spans="2:9" x14ac:dyDescent="0.4">
      <c r="B11" s="136"/>
      <c r="C11" s="136"/>
      <c r="D11" s="136"/>
      <c r="E11" s="136"/>
      <c r="F11" s="136"/>
      <c r="G11" s="136"/>
      <c r="H11" s="136"/>
      <c r="I11" s="136"/>
    </row>
    <row r="12" spans="2:9" x14ac:dyDescent="0.4">
      <c r="B12" s="136"/>
      <c r="C12" s="136"/>
      <c r="D12" s="136"/>
      <c r="E12" s="136"/>
      <c r="F12" s="136"/>
      <c r="G12" s="136"/>
      <c r="H12" s="136"/>
      <c r="I12" s="136"/>
    </row>
    <row r="13" spans="2:9" x14ac:dyDescent="0.4">
      <c r="B13" s="136"/>
      <c r="C13" s="136"/>
      <c r="D13" s="136"/>
      <c r="E13" s="136"/>
      <c r="F13" s="136"/>
      <c r="G13" s="136"/>
      <c r="H13" s="136"/>
      <c r="I13" s="136"/>
    </row>
    <row r="14" spans="2:9" x14ac:dyDescent="0.4">
      <c r="B14" s="136"/>
      <c r="C14" s="136"/>
      <c r="D14" s="136"/>
      <c r="E14" s="136"/>
      <c r="F14" s="136"/>
      <c r="G14" s="136"/>
      <c r="H14" s="136"/>
      <c r="I14" s="136"/>
    </row>
    <row r="15" spans="2:9" x14ac:dyDescent="0.4">
      <c r="B15" s="136"/>
      <c r="C15" s="136"/>
      <c r="D15" s="136"/>
      <c r="E15" s="136"/>
      <c r="F15" s="136"/>
      <c r="G15" s="136"/>
      <c r="H15" s="136"/>
      <c r="I15" s="136"/>
    </row>
    <row r="16" spans="2:9" x14ac:dyDescent="0.4">
      <c r="B16" s="136"/>
      <c r="C16" s="136"/>
      <c r="D16" s="136"/>
      <c r="E16" s="136"/>
      <c r="F16" s="136"/>
      <c r="G16" s="136"/>
      <c r="H16" s="136"/>
      <c r="I16" s="1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C40-4992-724D-BE95-3FC3114458F4}">
  <dimension ref="A1:U41"/>
  <sheetViews>
    <sheetView topLeftCell="A18" zoomScaleNormal="100" workbookViewId="0">
      <selection activeCell="D30" sqref="D30"/>
    </sheetView>
  </sheetViews>
  <sheetFormatPr defaultColWidth="0" defaultRowHeight="18.5" zeroHeight="1" x14ac:dyDescent="0.5"/>
  <cols>
    <col min="1" max="1" width="10.83203125" style="9" customWidth="1"/>
    <col min="2" max="2" width="32.83203125" style="9" bestFit="1" customWidth="1"/>
    <col min="3" max="3" width="10.33203125" style="9" bestFit="1" customWidth="1"/>
    <col min="4" max="4" width="15.5" style="46" customWidth="1"/>
    <col min="5" max="5" width="15.83203125" style="47" customWidth="1"/>
    <col min="6" max="6" width="14" style="48" customWidth="1"/>
    <col min="7" max="18" width="15.83203125" style="47" customWidth="1"/>
    <col min="19" max="19" width="15.83203125" style="48" customWidth="1"/>
    <col min="20" max="21" width="10.83203125" style="9" customWidth="1"/>
    <col min="22" max="16384" width="10.83203125" style="9" hidden="1"/>
  </cols>
  <sheetData>
    <row r="1" spans="2:19" x14ac:dyDescent="0.5"/>
    <row r="2" spans="2:19" x14ac:dyDescent="0.5">
      <c r="B2" s="9" t="s">
        <v>61</v>
      </c>
      <c r="C2" s="9">
        <v>10</v>
      </c>
    </row>
    <row r="3" spans="2:19" x14ac:dyDescent="0.5">
      <c r="B3" s="9" t="s">
        <v>11</v>
      </c>
    </row>
    <row r="4" spans="2:19" x14ac:dyDescent="0.5"/>
    <row r="5" spans="2:19" s="62" customFormat="1" x14ac:dyDescent="0.5">
      <c r="C5" s="62" t="s">
        <v>2</v>
      </c>
      <c r="D5" s="68">
        <v>2025</v>
      </c>
      <c r="E5" s="69">
        <v>2026</v>
      </c>
      <c r="F5" s="70">
        <v>2027</v>
      </c>
      <c r="G5" s="69">
        <v>2028</v>
      </c>
      <c r="H5" s="69">
        <f>G5+1</f>
        <v>2029</v>
      </c>
      <c r="I5" s="69">
        <f t="shared" ref="I5:S5" si="0">H5+1</f>
        <v>2030</v>
      </c>
      <c r="J5" s="69">
        <f t="shared" si="0"/>
        <v>2031</v>
      </c>
      <c r="K5" s="69">
        <f t="shared" si="0"/>
        <v>2032</v>
      </c>
      <c r="L5" s="69">
        <f t="shared" si="0"/>
        <v>2033</v>
      </c>
      <c r="M5" s="69">
        <f t="shared" si="0"/>
        <v>2034</v>
      </c>
      <c r="N5" s="69">
        <f t="shared" si="0"/>
        <v>2035</v>
      </c>
      <c r="O5" s="69">
        <f t="shared" si="0"/>
        <v>2036</v>
      </c>
      <c r="P5" s="69">
        <f t="shared" si="0"/>
        <v>2037</v>
      </c>
      <c r="Q5" s="69">
        <f t="shared" si="0"/>
        <v>2038</v>
      </c>
      <c r="R5" s="69">
        <f t="shared" si="0"/>
        <v>2039</v>
      </c>
      <c r="S5" s="70">
        <f t="shared" si="0"/>
        <v>2040</v>
      </c>
    </row>
    <row r="6" spans="2:19" x14ac:dyDescent="0.5">
      <c r="B6" s="9" t="s">
        <v>12</v>
      </c>
      <c r="C6" s="9" t="s">
        <v>13</v>
      </c>
      <c r="D6" s="46">
        <f>SUM(D9:D12,D15:D19,D22,D25,D28:D30)</f>
        <v>1243384.660869156</v>
      </c>
      <c r="E6" s="47">
        <f t="shared" ref="E6:S6" si="1">SUM(E9:E12,E15:E19,E22,E25,E28:E30)</f>
        <v>1552304.3088691561</v>
      </c>
      <c r="F6" s="48">
        <f t="shared" si="1"/>
        <v>2097617.8128691562</v>
      </c>
      <c r="G6" s="47">
        <f t="shared" si="1"/>
        <v>2019730.7604200598</v>
      </c>
      <c r="H6" s="47">
        <f t="shared" si="1"/>
        <v>1909337.9969499381</v>
      </c>
      <c r="I6" s="47">
        <f t="shared" si="1"/>
        <v>1889346.4781428617</v>
      </c>
      <c r="J6" s="47">
        <f t="shared" si="1"/>
        <v>1839476.6214679463</v>
      </c>
      <c r="K6" s="47">
        <f t="shared" si="1"/>
        <v>1790977.0643569632</v>
      </c>
      <c r="L6" s="47">
        <f t="shared" si="1"/>
        <v>1736375.1280891027</v>
      </c>
      <c r="M6" s="47">
        <f t="shared" si="1"/>
        <v>1718154.6517357454</v>
      </c>
      <c r="N6" s="47">
        <f t="shared" si="1"/>
        <v>1692905.9906526287</v>
      </c>
      <c r="O6" s="47">
        <f t="shared" si="1"/>
        <v>1666827.6420012363</v>
      </c>
      <c r="P6" s="47">
        <f t="shared" si="1"/>
        <v>1639905.0364430514</v>
      </c>
      <c r="Q6" s="47">
        <f t="shared" si="1"/>
        <v>1612123.6046395584</v>
      </c>
      <c r="R6" s="47">
        <f t="shared" si="1"/>
        <v>1583468.7772522401</v>
      </c>
      <c r="S6" s="48">
        <f t="shared" si="1"/>
        <v>1553925.9849425815</v>
      </c>
    </row>
    <row r="7" spans="2:19" x14ac:dyDescent="0.5">
      <c r="D7" s="139">
        <f>D22/D6</f>
        <v>0</v>
      </c>
      <c r="E7" s="61">
        <f t="shared" ref="E7:S7" si="2">E22/E6</f>
        <v>0</v>
      </c>
      <c r="F7" s="140">
        <f t="shared" si="2"/>
        <v>0</v>
      </c>
      <c r="G7" s="61">
        <f t="shared" si="2"/>
        <v>0</v>
      </c>
      <c r="H7" s="61">
        <f t="shared" si="2"/>
        <v>0</v>
      </c>
      <c r="I7" s="61">
        <f t="shared" si="2"/>
        <v>4.3768785109909898E-2</v>
      </c>
      <c r="J7" s="61">
        <f t="shared" si="2"/>
        <v>6.7433094040092678E-2</v>
      </c>
      <c r="K7" s="61">
        <f t="shared" si="2"/>
        <v>6.9259178394077428E-2</v>
      </c>
      <c r="L7" s="61">
        <f t="shared" si="2"/>
        <v>7.1437097890539897E-2</v>
      </c>
      <c r="M7" s="61">
        <f t="shared" si="2"/>
        <v>7.2194665290862173E-2</v>
      </c>
      <c r="N7" s="61">
        <f t="shared" si="2"/>
        <v>7.3271404723531622E-2</v>
      </c>
      <c r="O7" s="61">
        <f t="shared" si="2"/>
        <v>7.4417772344519337E-2</v>
      </c>
      <c r="P7" s="61">
        <f t="shared" si="2"/>
        <v>7.5639501826914202E-2</v>
      </c>
      <c r="Q7" s="61">
        <f t="shared" si="2"/>
        <v>7.694298355474638E-2</v>
      </c>
      <c r="R7" s="61">
        <f t="shared" si="2"/>
        <v>7.8335362074676812E-2</v>
      </c>
      <c r="S7" s="140">
        <f t="shared" si="2"/>
        <v>7.9824651368181732E-2</v>
      </c>
    </row>
    <row r="8" spans="2:19" s="13" customFormat="1" x14ac:dyDescent="0.5">
      <c r="B8" s="13" t="s">
        <v>14</v>
      </c>
      <c r="C8" s="13" t="s">
        <v>15</v>
      </c>
      <c r="D8" s="14">
        <v>2025</v>
      </c>
      <c r="E8" s="15">
        <v>2026</v>
      </c>
      <c r="F8" s="16">
        <v>2027</v>
      </c>
      <c r="G8" s="15">
        <f>G$5</f>
        <v>2028</v>
      </c>
      <c r="H8" s="15">
        <f t="shared" ref="H8:S8" si="3">H$5</f>
        <v>2029</v>
      </c>
      <c r="I8" s="15">
        <f t="shared" si="3"/>
        <v>2030</v>
      </c>
      <c r="J8" s="15">
        <f t="shared" si="3"/>
        <v>2031</v>
      </c>
      <c r="K8" s="15">
        <f t="shared" si="3"/>
        <v>2032</v>
      </c>
      <c r="L8" s="15">
        <f t="shared" si="3"/>
        <v>2033</v>
      </c>
      <c r="M8" s="15">
        <f t="shared" si="3"/>
        <v>2034</v>
      </c>
      <c r="N8" s="15">
        <f t="shared" si="3"/>
        <v>2035</v>
      </c>
      <c r="O8" s="15">
        <f t="shared" si="3"/>
        <v>2036</v>
      </c>
      <c r="P8" s="15">
        <f t="shared" si="3"/>
        <v>2037</v>
      </c>
      <c r="Q8" s="15">
        <f t="shared" si="3"/>
        <v>2038</v>
      </c>
      <c r="R8" s="15">
        <f t="shared" si="3"/>
        <v>2039</v>
      </c>
      <c r="S8" s="16">
        <f t="shared" si="3"/>
        <v>2040</v>
      </c>
    </row>
    <row r="9" spans="2:19" x14ac:dyDescent="0.5">
      <c r="B9" s="9" t="s">
        <v>16</v>
      </c>
      <c r="C9" s="9" t="s">
        <v>13</v>
      </c>
      <c r="D9" s="46">
        <f>'Services achieved price'!D9*'Services annual average price'!D9*'Asset allocation MW'!D9*'Asset allocation time'!D9*NUM_HRS_IN_A_YEAR</f>
        <v>2382.719999999993</v>
      </c>
      <c r="E9" s="47">
        <f>'Services achieved price'!E9*'Services annual average price'!E9*'Asset allocation MW'!E9*'Asset allocation time'!E9*NUM_HRS_IN_A_YEAR</f>
        <v>2263.5839999999998</v>
      </c>
      <c r="F9" s="48">
        <f>'Services achieved price'!F9*'Services annual average price'!F9*'Asset allocation MW'!F9*'Asset allocation time'!F9*NUM_HRS_IN_A_YEAR</f>
        <v>2144.4479999999999</v>
      </c>
      <c r="G9" s="47">
        <f>'Services achieved price'!G9*'Services annual average price'!G9*'Asset allocation MW'!G9*'Asset allocation time'!G9*NUM_HRS_IN_A_YEAR</f>
        <v>2025.3119999999999</v>
      </c>
      <c r="H9" s="47">
        <f>'Services achieved price'!H9*'Services annual average price'!H9*'Asset allocation MW'!H9*'Asset allocation time'!H9*NUM_HRS_IN_A_YEAR</f>
        <v>1906.1759999999997</v>
      </c>
      <c r="I9" s="47">
        <f>'Services achieved price'!I9*'Services annual average price'!I9*'Asset allocation MW'!I9*'Asset allocation time'!I9*NUM_HRS_IN_A_YEAR</f>
        <v>1787.04</v>
      </c>
      <c r="J9" s="47">
        <f>'Services achieved price'!J9*'Services annual average price'!J9*'Asset allocation MW'!J9*'Asset allocation time'!J9*NUM_HRS_IN_A_YEAR</f>
        <v>1757.2560000000003</v>
      </c>
      <c r="K9" s="47">
        <f>'Services achieved price'!K9*'Services annual average price'!K9*'Asset allocation MW'!K9*'Asset allocation time'!K9*NUM_HRS_IN_A_YEAR</f>
        <v>1727.4720000000004</v>
      </c>
      <c r="L9" s="47">
        <f>'Services achieved price'!L9*'Services annual average price'!L9*'Asset allocation MW'!L9*'Asset allocation time'!L9*NUM_HRS_IN_A_YEAR</f>
        <v>1697.6880000000003</v>
      </c>
      <c r="M9" s="47">
        <f>'Services achieved price'!M9*'Services annual average price'!M9*'Asset allocation MW'!M9*'Asset allocation time'!M9*NUM_HRS_IN_A_YEAR</f>
        <v>1667.9040000000005</v>
      </c>
      <c r="N9" s="47">
        <f>'Services achieved price'!N9*'Services annual average price'!N9*'Asset allocation MW'!N9*'Asset allocation time'!N9*NUM_HRS_IN_A_YEAR</f>
        <v>1638.1200000000006</v>
      </c>
      <c r="O9" s="47">
        <f>'Services achieved price'!O9*'Services annual average price'!O9*'Asset allocation MW'!O9*'Asset allocation time'!O9*NUM_HRS_IN_A_YEAR</f>
        <v>1608.3360000000007</v>
      </c>
      <c r="P9" s="47">
        <f>'Services achieved price'!P9*'Services annual average price'!P9*'Asset allocation MW'!P9*'Asset allocation time'!P9*NUM_HRS_IN_A_YEAR</f>
        <v>1578.5520000000008</v>
      </c>
      <c r="Q9" s="47">
        <f>'Services achieved price'!Q9*'Services annual average price'!Q9*'Asset allocation MW'!Q9*'Asset allocation time'!Q9*NUM_HRS_IN_A_YEAR</f>
        <v>1548.7680000000009</v>
      </c>
      <c r="R9" s="47">
        <f>'Services achieved price'!R9*'Services annual average price'!R9*'Asset allocation MW'!R9*'Asset allocation time'!R9*NUM_HRS_IN_A_YEAR</f>
        <v>1518.9840000000011</v>
      </c>
      <c r="S9" s="47">
        <f>'Services achieved price'!S9*'Services annual average price'!S9*'Asset allocation MW'!S9*'Asset allocation time'!S9*NUM_HRS_IN_A_YEAR</f>
        <v>1489.2</v>
      </c>
    </row>
    <row r="10" spans="2:19" x14ac:dyDescent="0.5">
      <c r="B10" s="9" t="s">
        <v>17</v>
      </c>
      <c r="C10" s="9" t="str">
        <f>$C$9</f>
        <v>EUR p.a.</v>
      </c>
      <c r="D10" s="46">
        <f>'Services achieved price'!D10*'Services annual average price'!D10*'Asset allocation MW'!D10*'Asset allocation time'!D10*NUM_HRS_IN_A_YEAR</f>
        <v>235468.80000000002</v>
      </c>
      <c r="E10" s="47">
        <f>'Services achieved price'!E10*'Services annual average price'!E10*'Asset allocation MW'!E10*'Asset allocation time'!E10*NUM_HRS_IN_A_YEAR</f>
        <v>183749.75999999998</v>
      </c>
      <c r="F10" s="48">
        <f>'Services achieved price'!F10*'Services annual average price'!F10*'Asset allocation MW'!F10*'Asset allocation time'!F10*NUM_HRS_IN_A_YEAR</f>
        <v>151372.79999999999</v>
      </c>
      <c r="G10" s="47">
        <f>'Services achieved price'!G10*'Services annual average price'!G10*'Asset allocation MW'!G10*'Asset allocation time'!G10*NUM_HRS_IN_A_YEAR</f>
        <v>142963.19999999998</v>
      </c>
      <c r="H10" s="47">
        <f>'Services achieved price'!H10*'Services annual average price'!H10*'Asset allocation MW'!H10*'Asset allocation time'!H10*NUM_HRS_IN_A_YEAR</f>
        <v>120257.28</v>
      </c>
      <c r="I10" s="47">
        <f>'Services achieved price'!I10*'Services annual average price'!I10*'Asset allocation MW'!I10*'Asset allocation time'!I10*NUM_HRS_IN_A_YEAR</f>
        <v>99513.60000000002</v>
      </c>
      <c r="J10" s="47">
        <f>'Services achieved price'!J10*'Services annual average price'!J10*'Asset allocation MW'!J10*'Asset allocation time'!J10*NUM_HRS_IN_A_YEAR</f>
        <v>85020.180000000051</v>
      </c>
      <c r="K10" s="47">
        <f>'Services achieved price'!K10*'Services annual average price'!K10*'Asset allocation MW'!K10*'Asset allocation time'!K10*NUM_HRS_IN_A_YEAR</f>
        <v>82986.400000000023</v>
      </c>
      <c r="L10" s="47">
        <f>'Services achieved price'!L10*'Services annual average price'!L10*'Asset allocation MW'!L10*'Asset allocation time'!L10*NUM_HRS_IN_A_YEAR</f>
        <v>80973.060000000056</v>
      </c>
      <c r="M10" s="47">
        <f>'Services achieved price'!M10*'Services annual average price'!M10*'Asset allocation MW'!M10*'Asset allocation time'!M10*NUM_HRS_IN_A_YEAR</f>
        <v>78980.160000000047</v>
      </c>
      <c r="N10" s="47">
        <f>'Services achieved price'!N10*'Services annual average price'!N10*'Asset allocation MW'!N10*'Asset allocation time'!N10*NUM_HRS_IN_A_YEAR</f>
        <v>77007.700000000055</v>
      </c>
      <c r="O10" s="47">
        <f>'Services achieved price'!O10*'Services annual average price'!O10*'Asset allocation MW'!O10*'Asset allocation time'!O10*NUM_HRS_IN_A_YEAR</f>
        <v>75055.68000000008</v>
      </c>
      <c r="P10" s="47">
        <f>'Services achieved price'!P10*'Services annual average price'!P10*'Asset allocation MW'!P10*'Asset allocation time'!P10*NUM_HRS_IN_A_YEAR</f>
        <v>73124.100000000079</v>
      </c>
      <c r="Q10" s="47">
        <f>'Services achieved price'!Q10*'Services annual average price'!Q10*'Asset allocation MW'!Q10*'Asset allocation time'!Q10*NUM_HRS_IN_A_YEAR</f>
        <v>71212.960000000079</v>
      </c>
      <c r="R10" s="47">
        <f>'Services achieved price'!R10*'Services annual average price'!R10*'Asset allocation MW'!R10*'Asset allocation time'!R10*NUM_HRS_IN_A_YEAR</f>
        <v>69322.260000000082</v>
      </c>
      <c r="S10" s="48">
        <f>'Services achieved price'!S10*'Services annual average price'!S10*'Asset allocation MW'!S10*'Asset allocation time'!S10*NUM_HRS_IN_A_YEAR</f>
        <v>67452.000000000015</v>
      </c>
    </row>
    <row r="11" spans="2:19" x14ac:dyDescent="0.5">
      <c r="B11" s="9" t="s">
        <v>18</v>
      </c>
      <c r="C11" s="9" t="str">
        <f t="shared" ref="C11:C12" si="4">$C$9</f>
        <v>EUR p.a.</v>
      </c>
      <c r="D11" s="46">
        <f>'Services achieved price'!D11*'Services annual average price'!D11*'Asset allocation MW'!D11*'Asset allocation time'!D11*NUM_HRS_IN_A_YEAR</f>
        <v>176601.60000000003</v>
      </c>
      <c r="E11" s="47">
        <f>'Services achieved price'!E11*'Services annual average price'!E11*'Asset allocation MW'!E11*'Asset allocation time'!E11*NUM_HRS_IN_A_YEAR</f>
        <v>145065.60000000001</v>
      </c>
      <c r="F11" s="48">
        <f>'Services achieved price'!F11*'Services annual average price'!F11*'Asset allocation MW'!F11*'Asset allocation time'!F11*NUM_HRS_IN_A_YEAR</f>
        <v>126144</v>
      </c>
      <c r="G11" s="47">
        <f>'Services achieved price'!G11*'Services annual average price'!G11*'Asset allocation MW'!G11*'Asset allocation time'!G11*NUM_HRS_IN_A_YEAR</f>
        <v>126144</v>
      </c>
      <c r="H11" s="47">
        <f>'Services achieved price'!H11*'Services annual average price'!H11*'Asset allocation MW'!H11*'Asset allocation time'!H11*NUM_HRS_IN_A_YEAR</f>
        <v>112741.20000000001</v>
      </c>
      <c r="I11" s="47">
        <f>'Services achieved price'!I11*'Services annual average price'!I11*'Asset allocation MW'!I11*'Asset allocation time'!I11*NUM_HRS_IN_A_YEAR</f>
        <v>99513.60000000002</v>
      </c>
      <c r="J11" s="47">
        <f>'Services achieved price'!J11*'Services annual average price'!J11*'Asset allocation MW'!J11*'Asset allocation time'!J11*NUM_HRS_IN_A_YEAR</f>
        <v>85020.180000000051</v>
      </c>
      <c r="K11" s="47">
        <f>'Services achieved price'!K11*'Services annual average price'!K11*'Asset allocation MW'!K11*'Asset allocation time'!K11*NUM_HRS_IN_A_YEAR</f>
        <v>82986.400000000023</v>
      </c>
      <c r="L11" s="47">
        <f>'Services achieved price'!L11*'Services annual average price'!L11*'Asset allocation MW'!L11*'Asset allocation time'!L11*NUM_HRS_IN_A_YEAR</f>
        <v>80973.060000000056</v>
      </c>
      <c r="M11" s="47">
        <f>'Services achieved price'!M11*'Services annual average price'!M11*'Asset allocation MW'!M11*'Asset allocation time'!M11*NUM_HRS_IN_A_YEAR</f>
        <v>78980.160000000047</v>
      </c>
      <c r="N11" s="47">
        <f>'Services achieved price'!N11*'Services annual average price'!N11*'Asset allocation MW'!N11*'Asset allocation time'!N11*NUM_HRS_IN_A_YEAR</f>
        <v>77007.700000000055</v>
      </c>
      <c r="O11" s="47">
        <f>'Services achieved price'!O11*'Services annual average price'!O11*'Asset allocation MW'!O11*'Asset allocation time'!O11*NUM_HRS_IN_A_YEAR</f>
        <v>75055.68000000008</v>
      </c>
      <c r="P11" s="47">
        <f>'Services achieved price'!P11*'Services annual average price'!P11*'Asset allocation MW'!P11*'Asset allocation time'!P11*NUM_HRS_IN_A_YEAR</f>
        <v>73124.100000000079</v>
      </c>
      <c r="Q11" s="47">
        <f>'Services achieved price'!Q11*'Services annual average price'!Q11*'Asset allocation MW'!Q11*'Asset allocation time'!Q11*NUM_HRS_IN_A_YEAR</f>
        <v>71212.960000000079</v>
      </c>
      <c r="R11" s="47">
        <f>'Services achieved price'!R11*'Services annual average price'!R11*'Asset allocation MW'!R11*'Asset allocation time'!R11*NUM_HRS_IN_A_YEAR</f>
        <v>69322.260000000082</v>
      </c>
      <c r="S11" s="48">
        <f>'Services achieved price'!S11*'Services annual average price'!S11*'Asset allocation MW'!S11*'Asset allocation time'!S11*NUM_HRS_IN_A_YEAR</f>
        <v>67452.000000000015</v>
      </c>
    </row>
    <row r="12" spans="2:19" x14ac:dyDescent="0.5">
      <c r="B12" s="9" t="s">
        <v>19</v>
      </c>
      <c r="C12" s="9" t="str">
        <f t="shared" si="4"/>
        <v>EUR p.a.</v>
      </c>
      <c r="D12" s="46">
        <f>'Services achieved price'!D12*'Services annual average price'!D12*'Asset allocation MW'!D12*'Asset allocation time'!D12*NUM_HRS_IN_A_YEAR</f>
        <v>68328</v>
      </c>
      <c r="E12" s="47">
        <f>'Services achieved price'!E12*'Services annual average price'!E12*'Asset allocation MW'!E12*'Asset allocation time'!E12*NUM_HRS_IN_A_YEAR</f>
        <v>63772.800000000003</v>
      </c>
      <c r="F12" s="48">
        <f>'Services achieved price'!F12*'Services annual average price'!F12*'Asset allocation MW'!F12*'Asset allocation time'!F12*NUM_HRS_IN_A_YEAR</f>
        <v>59217.600000000013</v>
      </c>
      <c r="G12" s="47">
        <f>'Services achieved price'!G12*'Services annual average price'!G12*'Asset allocation MW'!G12*'Asset allocation time'!G12*NUM_HRS_IN_A_YEAR</f>
        <v>54662.400000000009</v>
      </c>
      <c r="H12" s="47">
        <f>'Services achieved price'!H12*'Services annual average price'!H12*'Asset allocation MW'!H12*'Asset allocation time'!H12*NUM_HRS_IN_A_YEAR</f>
        <v>44518.320000000007</v>
      </c>
      <c r="I12" s="47">
        <f>'Services achieved price'!I12*'Services annual average price'!I12*'Asset allocation MW'!I12*'Asset allocation time'!I12*NUM_HRS_IN_A_YEAR</f>
        <v>35507.200000000012</v>
      </c>
      <c r="J12" s="47">
        <f>'Services achieved price'!J12*'Services annual average price'!J12*'Asset allocation MW'!J12*'Asset allocation time'!J12*NUM_HRS_IN_A_YEAR</f>
        <v>30353.400000000016</v>
      </c>
      <c r="K12" s="47">
        <f>'Services achieved price'!K12*'Services annual average price'!K12*'Asset allocation MW'!K12*'Asset allocation time'!K12*NUM_HRS_IN_A_YEAR</f>
        <v>29646.176000000014</v>
      </c>
      <c r="L12" s="47">
        <f>'Services achieved price'!L12*'Services annual average price'!L12*'Asset allocation MW'!L12*'Asset allocation time'!L12*NUM_HRS_IN_A_YEAR</f>
        <v>28947.128000000022</v>
      </c>
      <c r="M12" s="47">
        <f>'Services achieved price'!M12*'Services annual average price'!M12*'Asset allocation MW'!M12*'Asset allocation time'!M12*NUM_HRS_IN_A_YEAR</f>
        <v>28256.256000000019</v>
      </c>
      <c r="N12" s="47">
        <f>'Services achieved price'!N12*'Services annual average price'!N12*'Asset allocation MW'!N12*'Asset allocation time'!N12*NUM_HRS_IN_A_YEAR</f>
        <v>27573.560000000019</v>
      </c>
      <c r="O12" s="47">
        <f>'Services achieved price'!O12*'Services annual average price'!O12*'Asset allocation MW'!O12*'Asset allocation time'!O12*NUM_HRS_IN_A_YEAR</f>
        <v>26899.040000000026</v>
      </c>
      <c r="P12" s="47">
        <f>'Services achieved price'!P12*'Services annual average price'!P12*'Asset allocation MW'!P12*'Asset allocation time'!P12*NUM_HRS_IN_A_YEAR</f>
        <v>26232.696000000025</v>
      </c>
      <c r="Q12" s="47">
        <f>'Services achieved price'!Q12*'Services annual average price'!Q12*'Asset allocation MW'!Q12*'Asset allocation time'!Q12*NUM_HRS_IN_A_YEAR</f>
        <v>25574.528000000031</v>
      </c>
      <c r="R12" s="47">
        <f>'Services achieved price'!R12*'Services annual average price'!R12*'Asset allocation MW'!R12*'Asset allocation time'!R12*NUM_HRS_IN_A_YEAR</f>
        <v>24924.536000000029</v>
      </c>
      <c r="S12" s="48">
        <f>'Services achieved price'!S12*'Services annual average price'!S12*'Asset allocation MW'!S12*'Asset allocation time'!S12*NUM_HRS_IN_A_YEAR</f>
        <v>24282.720000000008</v>
      </c>
    </row>
    <row r="13" spans="2:19" x14ac:dyDescent="0.5">
      <c r="D13" s="46">
        <f>'Services achieved price'!D13*'Services annual average price'!D13*'Asset allocation MW'!D13*'Asset allocation time'!D13*NUM_HRS_IN_A_YEAR</f>
        <v>0</v>
      </c>
      <c r="E13" s="47">
        <f>'Services achieved price'!E13*'Services annual average price'!E13*'Asset allocation MW'!E13*'Asset allocation time'!E13*NUM_HRS_IN_A_YEAR</f>
        <v>0</v>
      </c>
      <c r="F13" s="48">
        <f>'Services achieved price'!F13*'Services annual average price'!F13*'Asset allocation MW'!F13*'Asset allocation time'!F13*NUM_HRS_IN_A_YEAR</f>
        <v>0</v>
      </c>
      <c r="G13" s="47">
        <f>'Services achieved price'!G13*'Services annual average price'!G13*'Asset allocation MW'!G13*'Asset allocation time'!G13*NUM_HRS_IN_A_YEAR</f>
        <v>0</v>
      </c>
      <c r="H13" s="47">
        <f>'Services achieved price'!H13*'Services annual average price'!H13*'Asset allocation MW'!H13*'Asset allocation time'!H13*NUM_HRS_IN_A_YEAR</f>
        <v>0</v>
      </c>
      <c r="I13" s="47">
        <f>'Services achieved price'!I13*'Services annual average price'!I13*'Asset allocation MW'!I13*'Asset allocation time'!I13*NUM_HRS_IN_A_YEAR</f>
        <v>0</v>
      </c>
      <c r="J13" s="47">
        <f>'Services achieved price'!J13*'Services annual average price'!J13*'Asset allocation MW'!J13*'Asset allocation time'!J13*NUM_HRS_IN_A_YEAR</f>
        <v>0</v>
      </c>
      <c r="K13" s="47">
        <f>'Services achieved price'!K13*'Services annual average price'!K13*'Asset allocation MW'!K13*'Asset allocation time'!K13*NUM_HRS_IN_A_YEAR</f>
        <v>0</v>
      </c>
      <c r="L13" s="47">
        <f>'Services achieved price'!L13*'Services annual average price'!L13*'Asset allocation MW'!L13*'Asset allocation time'!L13*NUM_HRS_IN_A_YEAR</f>
        <v>0</v>
      </c>
      <c r="M13" s="47">
        <f>'Services achieved price'!M13*'Services annual average price'!M13*'Asset allocation MW'!M13*'Asset allocation time'!M13*NUM_HRS_IN_A_YEAR</f>
        <v>0</v>
      </c>
      <c r="N13" s="47">
        <f>'Services achieved price'!N13*'Services annual average price'!N13*'Asset allocation MW'!N13*'Asset allocation time'!N13*NUM_HRS_IN_A_YEAR</f>
        <v>0</v>
      </c>
      <c r="O13" s="47">
        <f>'Services achieved price'!O13*'Services annual average price'!O13*'Asset allocation MW'!O13*'Asset allocation time'!O13*NUM_HRS_IN_A_YEAR</f>
        <v>0</v>
      </c>
      <c r="P13" s="47">
        <f>'Services achieved price'!P13*'Services annual average price'!P13*'Asset allocation MW'!P13*'Asset allocation time'!P13*NUM_HRS_IN_A_YEAR</f>
        <v>0</v>
      </c>
      <c r="Q13" s="47">
        <f>'Services achieved price'!Q13*'Services annual average price'!Q13*'Asset allocation MW'!Q13*'Asset allocation time'!Q13*NUM_HRS_IN_A_YEAR</f>
        <v>0</v>
      </c>
      <c r="R13" s="47">
        <f>'Services achieved price'!R13*'Services annual average price'!R13*'Asset allocation MW'!R13*'Asset allocation time'!R13*NUM_HRS_IN_A_YEAR</f>
        <v>0</v>
      </c>
      <c r="S13" s="48">
        <f>'Services achieved price'!S13*'Services annual average price'!S13*'Asset allocation MW'!S13*'Asset allocation time'!S13*NUM_HRS_IN_A_YEAR</f>
        <v>0</v>
      </c>
    </row>
    <row r="14" spans="2:19" s="19" customFormat="1" x14ac:dyDescent="0.5">
      <c r="B14" s="19" t="s">
        <v>5</v>
      </c>
      <c r="D14" s="49">
        <f>'Services achieved price'!D14*'Services annual average price'!D14*'Asset allocation MW'!D14*'Asset allocation time'!D14*NUM_HRS_IN_A_YEAR</f>
        <v>0</v>
      </c>
      <c r="E14" s="50">
        <f>'Services achieved price'!E14*'Services annual average price'!E14*'Asset allocation MW'!E14*'Asset allocation time'!E14*NUM_HRS_IN_A_YEAR</f>
        <v>0</v>
      </c>
      <c r="F14" s="51">
        <f>'Services achieved price'!F14*'Services annual average price'!F14*'Asset allocation MW'!F14*'Asset allocation time'!F14*NUM_HRS_IN_A_YEAR</f>
        <v>0</v>
      </c>
      <c r="G14" s="50">
        <f>'Services achieved price'!G14*'Services annual average price'!G14*'Asset allocation MW'!G14*'Asset allocation time'!G14*NUM_HRS_IN_A_YEAR</f>
        <v>0</v>
      </c>
      <c r="H14" s="50">
        <f>'Services achieved price'!H14*'Services annual average price'!H14*'Asset allocation MW'!H14*'Asset allocation time'!H14*NUM_HRS_IN_A_YEAR</f>
        <v>0</v>
      </c>
      <c r="I14" s="50">
        <f>'Services achieved price'!I14*'Services annual average price'!I14*'Asset allocation MW'!I14*'Asset allocation time'!I14*NUM_HRS_IN_A_YEAR</f>
        <v>0</v>
      </c>
      <c r="J14" s="50">
        <f>'Services achieved price'!J14*'Services annual average price'!J14*'Asset allocation MW'!J14*'Asset allocation time'!J14*NUM_HRS_IN_A_YEAR</f>
        <v>0</v>
      </c>
      <c r="K14" s="50">
        <f>'Services achieved price'!K14*'Services annual average price'!K14*'Asset allocation MW'!K14*'Asset allocation time'!K14*NUM_HRS_IN_A_YEAR</f>
        <v>0</v>
      </c>
      <c r="L14" s="50">
        <f>'Services achieved price'!L14*'Services annual average price'!L14*'Asset allocation MW'!L14*'Asset allocation time'!L14*NUM_HRS_IN_A_YEAR</f>
        <v>0</v>
      </c>
      <c r="M14" s="50">
        <f>'Services achieved price'!M14*'Services annual average price'!M14*'Asset allocation MW'!M14*'Asset allocation time'!M14*NUM_HRS_IN_A_YEAR</f>
        <v>0</v>
      </c>
      <c r="N14" s="50">
        <f>'Services achieved price'!N14*'Services annual average price'!N14*'Asset allocation MW'!N14*'Asset allocation time'!N14*NUM_HRS_IN_A_YEAR</f>
        <v>0</v>
      </c>
      <c r="O14" s="50">
        <f>'Services achieved price'!O14*'Services annual average price'!O14*'Asset allocation MW'!O14*'Asset allocation time'!O14*NUM_HRS_IN_A_YEAR</f>
        <v>0</v>
      </c>
      <c r="P14" s="50">
        <f>'Services achieved price'!P14*'Services annual average price'!P14*'Asset allocation MW'!P14*'Asset allocation time'!P14*NUM_HRS_IN_A_YEAR</f>
        <v>0</v>
      </c>
      <c r="Q14" s="50">
        <f>'Services achieved price'!Q14*'Services annual average price'!Q14*'Asset allocation MW'!Q14*'Asset allocation time'!Q14*NUM_HRS_IN_A_YEAR</f>
        <v>0</v>
      </c>
      <c r="R14" s="50">
        <f>'Services achieved price'!R14*'Services annual average price'!R14*'Asset allocation MW'!R14*'Asset allocation time'!R14*NUM_HRS_IN_A_YEAR</f>
        <v>0</v>
      </c>
      <c r="S14" s="51">
        <f>'Services achieved price'!S14*'Services annual average price'!S14*'Asset allocation MW'!S14*'Asset allocation time'!S14*NUM_HRS_IN_A_YEAR</f>
        <v>0</v>
      </c>
    </row>
    <row r="15" spans="2:19" x14ac:dyDescent="0.5">
      <c r="B15" s="9" t="s">
        <v>20</v>
      </c>
      <c r="C15" s="9" t="str">
        <f t="shared" ref="C15:C19" si="5">$C$9</f>
        <v>EUR p.a.</v>
      </c>
      <c r="D15" s="46">
        <f>'Services achieved price'!D15*'Services annual average price'!D15*'Asset allocation MW'!D15*'Asset allocation time'!D15*NUM_HRS_IN_A_YEAR</f>
        <v>115323.648</v>
      </c>
      <c r="E15" s="47">
        <f>'Services achieved price'!E15*'Services annual average price'!E15*'Asset allocation MW'!E15*'Asset allocation time'!E15*NUM_HRS_IN_A_YEAR</f>
        <v>339187.20000000007</v>
      </c>
      <c r="F15" s="48">
        <f>'Services achieved price'!F15*'Services annual average price'!F15*'Asset allocation MW'!F15*'Asset allocation time'!F15*NUM_HRS_IN_A_YEAR</f>
        <v>678374.40000000014</v>
      </c>
      <c r="G15" s="47">
        <f>'Services achieved price'!G15*'Services annual average price'!G15*'Asset allocation MW'!G15*'Asset allocation time'!G15*NUM_HRS_IN_A_YEAR</f>
        <v>635976.00000000012</v>
      </c>
      <c r="H15" s="47">
        <f>'Services achieved price'!H15*'Services annual average price'!H15*'Asset allocation MW'!H15*'Asset allocation time'!H15*NUM_HRS_IN_A_YEAR</f>
        <v>568998.5</v>
      </c>
      <c r="I15" s="47">
        <f>'Services achieved price'!I15*'Services annual average price'!I15*'Asset allocation MW'!I15*'Asset allocation time'!I15*NUM_HRS_IN_A_YEAR</f>
        <v>505817</v>
      </c>
      <c r="J15" s="47">
        <f>'Services achieved price'!J15*'Services annual average price'!J15*'Asset allocation MW'!J15*'Asset allocation time'!J15*NUM_HRS_IN_A_YEAR</f>
        <v>446365.8</v>
      </c>
      <c r="K15" s="47">
        <f>'Services achieved price'!K15*'Services annual average price'!K15*'Asset allocation MW'!K15*'Asset allocation time'!K15*NUM_HRS_IN_A_YEAR</f>
        <v>390579.20000000001</v>
      </c>
      <c r="L15" s="47">
        <f>'Services achieved price'!L15*'Services annual average price'!L15*'Asset allocation MW'!L15*'Asset allocation time'!L15*NUM_HRS_IN_A_YEAR</f>
        <v>338391.5</v>
      </c>
      <c r="M15" s="47">
        <f>'Services achieved price'!M15*'Services annual average price'!M15*'Asset allocation MW'!M15*'Asset allocation time'!M15*NUM_HRS_IN_A_YEAR</f>
        <v>321930</v>
      </c>
      <c r="N15" s="47">
        <f>'Services achieved price'!N15*'Services annual average price'!N15*'Asset allocation MW'!N15*'Asset allocation time'!N15*NUM_HRS_IN_A_YEAR</f>
        <v>305687.50000000006</v>
      </c>
      <c r="O15" s="47">
        <f>'Services achieved price'!O15*'Services annual average price'!O15*'Asset allocation MW'!O15*'Asset allocation time'!O15*NUM_HRS_IN_A_YEAR</f>
        <v>289664</v>
      </c>
      <c r="P15" s="47">
        <f>'Services achieved price'!P15*'Services annual average price'!P15*'Asset allocation MW'!P15*'Asset allocation time'!P15*NUM_HRS_IN_A_YEAR</f>
        <v>273859.50000000006</v>
      </c>
      <c r="Q15" s="47">
        <f>'Services achieved price'!Q15*'Services annual average price'!Q15*'Asset allocation MW'!Q15*'Asset allocation time'!Q15*NUM_HRS_IN_A_YEAR</f>
        <v>258274.00000000006</v>
      </c>
      <c r="R15" s="47">
        <f>'Services achieved price'!R15*'Services annual average price'!R15*'Asset allocation MW'!R15*'Asset allocation time'!R15*NUM_HRS_IN_A_YEAR</f>
        <v>242907.50000000012</v>
      </c>
      <c r="S15" s="48">
        <f>'Services achieved price'!S15*'Services annual average price'!S15*'Asset allocation MW'!S15*'Asset allocation time'!S15*NUM_HRS_IN_A_YEAR</f>
        <v>227759.99999999997</v>
      </c>
    </row>
    <row r="16" spans="2:19" x14ac:dyDescent="0.5">
      <c r="B16" s="9" t="s">
        <v>21</v>
      </c>
      <c r="C16" s="9" t="str">
        <f t="shared" si="5"/>
        <v>EUR p.a.</v>
      </c>
      <c r="D16" s="46">
        <f>'Services achieved price'!D16*'Services annual average price'!D16*'Asset allocation MW'!D16*'Asset allocation time'!D16*NUM_HRS_IN_A_YEAR</f>
        <v>89113.728000000003</v>
      </c>
      <c r="E16" s="47">
        <f>'Services achieved price'!E16*'Services annual average price'!E16*'Asset allocation MW'!E16*'Asset allocation time'!E16*NUM_HRS_IN_A_YEAR</f>
        <v>262099.20000000004</v>
      </c>
      <c r="F16" s="48">
        <f>'Services achieved price'!F16*'Services annual average price'!F16*'Asset allocation MW'!F16*'Asset allocation time'!F16*NUM_HRS_IN_A_YEAR</f>
        <v>524198.40000000008</v>
      </c>
      <c r="G16" s="47">
        <f>'Services achieved price'!G16*'Services annual average price'!G16*'Asset allocation MW'!G16*'Asset allocation time'!G16*NUM_HRS_IN_A_YEAR</f>
        <v>491436.00000000006</v>
      </c>
      <c r="H16" s="47">
        <f>'Services achieved price'!H16*'Services annual average price'!H16*'Asset allocation MW'!H16*'Asset allocation time'!H16*NUM_HRS_IN_A_YEAR</f>
        <v>439579.2333333334</v>
      </c>
      <c r="I16" s="47">
        <f>'Services achieved price'!I16*'Services annual average price'!I16*'Asset allocation MW'!I16*'Asset allocation time'!I16*NUM_HRS_IN_A_YEAR</f>
        <v>390671.66666666674</v>
      </c>
      <c r="J16" s="47">
        <f>'Services achieved price'!J16*'Services annual average price'!J16*'Asset allocation MW'!J16*'Asset allocation time'!J16*NUM_HRS_IN_A_YEAR</f>
        <v>344662.20000000007</v>
      </c>
      <c r="K16" s="47">
        <f>'Services achieved price'!K16*'Services annual average price'!K16*'Asset allocation MW'!K16*'Asset allocation time'!K16*NUM_HRS_IN_A_YEAR</f>
        <v>301499.73333333334</v>
      </c>
      <c r="L16" s="47">
        <f>'Services achieved price'!L16*'Services annual average price'!L16*'Asset allocation MW'!L16*'Asset allocation time'!L16*NUM_HRS_IN_A_YEAR</f>
        <v>261133.16666666672</v>
      </c>
      <c r="M16" s="47">
        <f>'Services achieved price'!M16*'Services annual average price'!M16*'Asset allocation MW'!M16*'Asset allocation time'!M16*NUM_HRS_IN_A_YEAR</f>
        <v>248346.00000000003</v>
      </c>
      <c r="N16" s="47">
        <f>'Services achieved price'!N16*'Services annual average price'!N16*'Asset allocation MW'!N16*'Asset allocation time'!N16*NUM_HRS_IN_A_YEAR</f>
        <v>235729.16666666666</v>
      </c>
      <c r="O16" s="47">
        <f>'Services achieved price'!O16*'Services annual average price'!O16*'Asset allocation MW'!O16*'Asset allocation time'!O16*NUM_HRS_IN_A_YEAR</f>
        <v>223282.66666666669</v>
      </c>
      <c r="P16" s="47">
        <f>'Services achieved price'!P16*'Services annual average price'!P16*'Asset allocation MW'!P16*'Asset allocation time'!P16*NUM_HRS_IN_A_YEAR</f>
        <v>211006.50000000003</v>
      </c>
      <c r="Q16" s="47">
        <f>'Services achieved price'!Q16*'Services annual average price'!Q16*'Asset allocation MW'!Q16*'Asset allocation time'!Q16*NUM_HRS_IN_A_YEAR</f>
        <v>198900.66666666663</v>
      </c>
      <c r="R16" s="47">
        <f>'Services achieved price'!R16*'Services annual average price'!R16*'Asset allocation MW'!R16*'Asset allocation time'!R16*NUM_HRS_IN_A_YEAR</f>
        <v>186965.16666666663</v>
      </c>
      <c r="S16" s="48">
        <f>'Services achieved price'!S16*'Services annual average price'!S16*'Asset allocation MW'!S16*'Asset allocation time'!S16*NUM_HRS_IN_A_YEAR</f>
        <v>175200</v>
      </c>
    </row>
    <row r="17" spans="1:19" x14ac:dyDescent="0.5">
      <c r="B17" s="9" t="s">
        <v>22</v>
      </c>
      <c r="C17" s="9" t="str">
        <f t="shared" si="5"/>
        <v>EUR p.a.</v>
      </c>
      <c r="D17" s="46">
        <f>'Services achieved price'!D17*'Services annual average price'!D17*'Asset allocation MW'!D17*'Asset allocation time'!D17*NUM_HRS_IN_A_YEAR</f>
        <v>261617.40000000002</v>
      </c>
      <c r="E17" s="47">
        <f>'Services achieved price'!E17*'Services annual average price'!E17*'Asset allocation MW'!E17*'Asset allocation time'!E17*NUM_HRS_IN_A_YEAR</f>
        <v>261617.40000000002</v>
      </c>
      <c r="F17" s="48">
        <f>'Services achieved price'!F17*'Services annual average price'!F17*'Asset allocation MW'!F17*'Asset allocation time'!F17*NUM_HRS_IN_A_YEAR</f>
        <v>261617.40000000002</v>
      </c>
      <c r="G17" s="47">
        <f>'Services achieved price'!G17*'Services annual average price'!G17*'Asset allocation MW'!G17*'Asset allocation time'!G17*NUM_HRS_IN_A_YEAR</f>
        <v>261617.40000000002</v>
      </c>
      <c r="H17" s="47">
        <f>'Services achieved price'!H17*'Services annual average price'!H17*'Asset allocation MW'!H17*'Asset allocation time'!H17*NUM_HRS_IN_A_YEAR</f>
        <v>266616.44000000006</v>
      </c>
      <c r="I17" s="47">
        <f>'Services achieved price'!I17*'Services annual average price'!I17*'Asset allocation MW'!I17*'Asset allocation time'!I17*NUM_HRS_IN_A_YEAR</f>
        <v>270227.75000000012</v>
      </c>
      <c r="J17" s="47">
        <f>'Services achieved price'!J17*'Services annual average price'!J17*'Asset allocation MW'!J17*'Asset allocation time'!J17*NUM_HRS_IN_A_YEAR</f>
        <v>272480.89500000002</v>
      </c>
      <c r="K17" s="47">
        <f>'Services achieved price'!K17*'Services annual average price'!K17*'Asset allocation MW'!K17*'Asset allocation time'!K17*NUM_HRS_IN_A_YEAR</f>
        <v>273405.44000000012</v>
      </c>
      <c r="L17" s="47">
        <f>'Services achieved price'!L17*'Services annual average price'!L17*'Asset allocation MW'!L17*'Asset allocation time'!L17*NUM_HRS_IN_A_YEAR</f>
        <v>273030.95000000007</v>
      </c>
      <c r="M17" s="47">
        <f>'Services achieved price'!M17*'Services annual average price'!M17*'Asset allocation MW'!M17*'Asset allocation time'!M17*NUM_HRS_IN_A_YEAR</f>
        <v>258463.80000000005</v>
      </c>
      <c r="N17" s="47">
        <f>'Services achieved price'!N17*'Services annual average price'!N17*'Asset allocation MW'!N17*'Asset allocation time'!N17*NUM_HRS_IN_A_YEAR</f>
        <v>244093.75000000003</v>
      </c>
      <c r="O17" s="47">
        <f>'Services achieved price'!O17*'Services annual average price'!O17*'Asset allocation MW'!O17*'Asset allocation time'!O17*NUM_HRS_IN_A_YEAR</f>
        <v>229920.80000000002</v>
      </c>
      <c r="P17" s="47">
        <f>'Services achieved price'!P17*'Services annual average price'!P17*'Asset allocation MW'!P17*'Asset allocation time'!P17*NUM_HRS_IN_A_YEAR</f>
        <v>215944.95000000004</v>
      </c>
      <c r="Q17" s="47">
        <f>'Services achieved price'!Q17*'Services annual average price'!Q17*'Asset allocation MW'!Q17*'Asset allocation time'!Q17*NUM_HRS_IN_A_YEAR</f>
        <v>202166.2</v>
      </c>
      <c r="R17" s="47">
        <f>'Services achieved price'!R17*'Services annual average price'!R17*'Asset allocation MW'!R17*'Asset allocation time'!R17*NUM_HRS_IN_A_YEAR</f>
        <v>188584.55000000002</v>
      </c>
      <c r="S17" s="47">
        <f>'Services achieved price'!S17*'Services annual average price'!S17*'Asset allocation MW'!S17*'Asset allocation time'!S17*NUM_HRS_IN_A_YEAR</f>
        <v>175200.00000000003</v>
      </c>
    </row>
    <row r="18" spans="1:19" x14ac:dyDescent="0.5">
      <c r="B18" s="9" t="s">
        <v>23</v>
      </c>
      <c r="C18" s="9" t="str">
        <f t="shared" si="5"/>
        <v>EUR p.a.</v>
      </c>
      <c r="D18" s="46">
        <f>'Services achieved price'!D18*'Services annual average price'!D18*'Asset allocation MW'!D18*'Asset allocation time'!D18*NUM_HRS_IN_A_YEAR</f>
        <v>187902</v>
      </c>
      <c r="E18" s="47">
        <f>'Services achieved price'!E18*'Services annual average price'!E18*'Asset allocation MW'!E18*'Asset allocation time'!E18*NUM_HRS_IN_A_YEAR</f>
        <v>187902</v>
      </c>
      <c r="F18" s="48">
        <f>'Services achieved price'!F18*'Services annual average price'!F18*'Asset allocation MW'!F18*'Asset allocation time'!F18*NUM_HRS_IN_A_YEAR</f>
        <v>187902</v>
      </c>
      <c r="G18" s="47">
        <f>'Services achieved price'!G18*'Services annual average price'!G18*'Asset allocation MW'!G18*'Asset allocation time'!G18*NUM_HRS_IN_A_YEAR</f>
        <v>187902</v>
      </c>
      <c r="H18" s="47">
        <f>'Services achieved price'!H18*'Services annual average price'!H18*'Asset allocation MW'!H18*'Asset allocation time'!H18*NUM_HRS_IN_A_YEAR</f>
        <v>192535.06666666671</v>
      </c>
      <c r="I18" s="47">
        <f>'Services achieved price'!I18*'Services annual average price'!I18*'Asset allocation MW'!I18*'Asset allocation time'!I18*NUM_HRS_IN_A_YEAR</f>
        <v>196284.8333333334</v>
      </c>
      <c r="J18" s="47">
        <f>'Services achieved price'!J18*'Services annual average price'!J18*'Asset allocation MW'!J18*'Asset allocation time'!J18*NUM_HRS_IN_A_YEAR</f>
        <v>199169.55000000008</v>
      </c>
      <c r="K18" s="47">
        <f>'Services achieved price'!K18*'Services annual average price'!K18*'Asset allocation MW'!K18*'Asset allocation time'!K18*NUM_HRS_IN_A_YEAR</f>
        <v>201207.46666666679</v>
      </c>
      <c r="L18" s="47">
        <f>'Services achieved price'!L18*'Services annual average price'!L18*'Asset allocation MW'!L18*'Asset allocation time'!L18*NUM_HRS_IN_A_YEAR</f>
        <v>202416.83333333346</v>
      </c>
      <c r="M18" s="47">
        <f>'Services achieved price'!M18*'Services annual average price'!M18*'Asset allocation MW'!M18*'Asset allocation time'!M18*NUM_HRS_IN_A_YEAR</f>
        <v>193158.00000000012</v>
      </c>
      <c r="N18" s="47">
        <f>'Services achieved price'!N18*'Services annual average price'!N18*'Asset allocation MW'!N18*'Asset allocation time'!N18*NUM_HRS_IN_A_YEAR</f>
        <v>184020.83333333352</v>
      </c>
      <c r="O18" s="47">
        <f>'Services achieved price'!O18*'Services annual average price'!O18*'Asset allocation MW'!O18*'Asset allocation time'!O18*NUM_HRS_IN_A_YEAR</f>
        <v>175005.33333333352</v>
      </c>
      <c r="P18" s="47">
        <f>'Services achieved price'!P18*'Services annual average price'!P18*'Asset allocation MW'!P18*'Asset allocation time'!P18*NUM_HRS_IN_A_YEAR</f>
        <v>166111.50000000017</v>
      </c>
      <c r="Q18" s="47">
        <f>'Services achieved price'!Q18*'Services annual average price'!Q18*'Asset allocation MW'!Q18*'Asset allocation time'!Q18*NUM_HRS_IN_A_YEAR</f>
        <v>157339.33333333352</v>
      </c>
      <c r="R18" s="47">
        <f>'Services achieved price'!R18*'Services annual average price'!R18*'Asset allocation MW'!R18*'Asset allocation time'!R18*NUM_HRS_IN_A_YEAR</f>
        <v>148688.83333333355</v>
      </c>
      <c r="S18" s="47">
        <f>'Services achieved price'!S18*'Services annual average price'!S18*'Asset allocation MW'!S18*'Asset allocation time'!S18*NUM_HRS_IN_A_YEAR</f>
        <v>140160.00000000003</v>
      </c>
    </row>
    <row r="19" spans="1:19" x14ac:dyDescent="0.5">
      <c r="B19" s="9" t="s">
        <v>24</v>
      </c>
      <c r="C19" s="9" t="str">
        <f t="shared" si="5"/>
        <v>EUR p.a.</v>
      </c>
      <c r="D19" s="46">
        <f>'Services achieved price'!D19*'Services annual average price'!D19*'Asset allocation MW'!D19*'Asset allocation time'!D19*NUM_HRS_IN_A_YEAR</f>
        <v>21563.616000000005</v>
      </c>
      <c r="E19" s="47">
        <f>'Services achieved price'!E19*'Services annual average price'!E19*'Asset allocation MW'!E19*'Asset allocation time'!E19*NUM_HRS_IN_A_YEAR</f>
        <v>21563.616000000005</v>
      </c>
      <c r="F19" s="48">
        <f>'Services achieved price'!F19*'Services annual average price'!F19*'Asset allocation MW'!F19*'Asset allocation time'!F19*NUM_HRS_IN_A_YEAR</f>
        <v>21563.616000000005</v>
      </c>
      <c r="G19" s="47">
        <f>'Services achieved price'!G19*'Services annual average price'!G19*'Asset allocation MW'!G19*'Asset allocation time'!G19*NUM_HRS_IN_A_YEAR</f>
        <v>26954.520000000008</v>
      </c>
      <c r="H19" s="47">
        <f>'Services achieved price'!H19*'Services annual average price'!H19*'Asset allocation MW'!H19*'Asset allocation time'!H19*NUM_HRS_IN_A_YEAR</f>
        <v>33734.102999999996</v>
      </c>
      <c r="I19" s="47">
        <f>'Services achieved price'!I19*'Services annual average price'!I19*'Asset allocation MW'!I19*'Asset allocation time'!I19*NUM_HRS_IN_A_YEAR</f>
        <v>40742.029999999992</v>
      </c>
      <c r="J19" s="47">
        <f>'Services achieved price'!J19*'Services annual average price'!J19*'Asset allocation MW'!J19*'Asset allocation time'!J19*NUM_HRS_IN_A_YEAR</f>
        <v>47877.779999999992</v>
      </c>
      <c r="K19" s="47">
        <f>'Services achieved price'!K19*'Services annual average price'!K19*'Asset allocation MW'!K19*'Asset allocation time'!K19*NUM_HRS_IN_A_YEAR</f>
        <v>55040.83199999998</v>
      </c>
      <c r="L19" s="47">
        <f>'Services achieved price'!L19*'Services annual average price'!L19*'Asset allocation MW'!L19*'Asset allocation time'!L19*NUM_HRS_IN_A_YEAR</f>
        <v>62130.664999999986</v>
      </c>
      <c r="M19" s="47">
        <f>'Services achieved price'!M19*'Services annual average price'!M19*'Asset allocation MW'!M19*'Asset allocation time'!M19*NUM_HRS_IN_A_YEAR</f>
        <v>69046.757999999987</v>
      </c>
      <c r="N19" s="47">
        <f>'Services achieved price'!N19*'Services annual average price'!N19*'Asset allocation MW'!N19*'Asset allocation time'!N19*NUM_HRS_IN_A_YEAR</f>
        <v>69381.207499999975</v>
      </c>
      <c r="O19" s="47">
        <f>'Services achieved price'!O19*'Services annual average price'!O19*'Asset allocation MW'!O19*'Asset allocation time'!O19*NUM_HRS_IN_A_YEAR</f>
        <v>69347.079999999973</v>
      </c>
      <c r="P19" s="47">
        <f>'Services achieved price'!P19*'Services annual average price'!P19*'Asset allocation MW'!P19*'Asset allocation time'!P19*NUM_HRS_IN_A_YEAR</f>
        <v>68944.375499999966</v>
      </c>
      <c r="Q19" s="47">
        <f>'Services achieved price'!Q19*'Services annual average price'!Q19*'Asset allocation MW'!Q19*'Asset allocation time'!Q19*NUM_HRS_IN_A_YEAR</f>
        <v>68173.093999999968</v>
      </c>
      <c r="R19" s="47">
        <f>'Services achieved price'!R19*'Services annual average price'!R19*'Asset allocation MW'!R19*'Asset allocation time'!R19*NUM_HRS_IN_A_YEAR</f>
        <v>67033.235499999966</v>
      </c>
      <c r="S19" s="48">
        <f>'Services achieved price'!S19*'Services annual average price'!S19*'Asset allocation MW'!S19*'Asset allocation time'!S19*NUM_HRS_IN_A_YEAR</f>
        <v>65524.799999999988</v>
      </c>
    </row>
    <row r="20" spans="1:19" x14ac:dyDescent="0.5">
      <c r="D20" s="46">
        <f>'Services achieved price'!D20*'Services annual average price'!D20*'Asset allocation MW'!D20*'Asset allocation time'!D20*NUM_HRS_IN_A_YEAR</f>
        <v>0</v>
      </c>
      <c r="E20" s="47">
        <f>'Services achieved price'!E20*'Services annual average price'!E20*'Asset allocation MW'!E20*'Asset allocation time'!E20*NUM_HRS_IN_A_YEAR</f>
        <v>0</v>
      </c>
      <c r="F20" s="48">
        <f>'Services achieved price'!F20*'Services annual average price'!F20*'Asset allocation MW'!F20*'Asset allocation time'!F20*NUM_HRS_IN_A_YEAR</f>
        <v>0</v>
      </c>
      <c r="G20" s="47">
        <f>'Services achieved price'!G20*'Services annual average price'!G20*'Asset allocation MW'!G20*'Asset allocation time'!G20*NUM_HRS_IN_A_YEAR</f>
        <v>0</v>
      </c>
      <c r="H20" s="47">
        <f>'Services achieved price'!H20*'Services annual average price'!H20*'Asset allocation MW'!H20*'Asset allocation time'!H20*NUM_HRS_IN_A_YEAR</f>
        <v>0</v>
      </c>
      <c r="I20" s="47">
        <f>'Services achieved price'!I20*'Services annual average price'!I20*'Asset allocation MW'!I20*'Asset allocation time'!I20*NUM_HRS_IN_A_YEAR</f>
        <v>0</v>
      </c>
      <c r="J20" s="47">
        <f>'Services achieved price'!J20*'Services annual average price'!J20*'Asset allocation MW'!J20*'Asset allocation time'!J20*NUM_HRS_IN_A_YEAR</f>
        <v>0</v>
      </c>
      <c r="K20" s="47">
        <f>'Services achieved price'!K20*'Services annual average price'!K20*'Asset allocation MW'!K20*'Asset allocation time'!K20*NUM_HRS_IN_A_YEAR</f>
        <v>0</v>
      </c>
      <c r="L20" s="47">
        <f>'Services achieved price'!L20*'Services annual average price'!L20*'Asset allocation MW'!L20*'Asset allocation time'!L20*NUM_HRS_IN_A_YEAR</f>
        <v>0</v>
      </c>
      <c r="M20" s="47">
        <f>'Services achieved price'!M20*'Services annual average price'!M20*'Asset allocation MW'!M20*'Asset allocation time'!M20*NUM_HRS_IN_A_YEAR</f>
        <v>0</v>
      </c>
      <c r="N20" s="47">
        <f>'Services achieved price'!N20*'Services annual average price'!N20*'Asset allocation MW'!N20*'Asset allocation time'!N20*NUM_HRS_IN_A_YEAR</f>
        <v>0</v>
      </c>
      <c r="O20" s="47">
        <f>'Services achieved price'!O20*'Services annual average price'!O20*'Asset allocation MW'!O20*'Asset allocation time'!O20*NUM_HRS_IN_A_YEAR</f>
        <v>0</v>
      </c>
      <c r="P20" s="47">
        <f>'Services achieved price'!P20*'Services annual average price'!P20*'Asset allocation MW'!P20*'Asset allocation time'!P20*NUM_HRS_IN_A_YEAR</f>
        <v>0</v>
      </c>
      <c r="Q20" s="47">
        <f>'Services achieved price'!Q20*'Services annual average price'!Q20*'Asset allocation MW'!Q20*'Asset allocation time'!Q20*NUM_HRS_IN_A_YEAR</f>
        <v>0</v>
      </c>
      <c r="R20" s="47">
        <f>'Services achieved price'!R20*'Services annual average price'!R20*'Asset allocation MW'!R20*'Asset allocation time'!R20*NUM_HRS_IN_A_YEAR</f>
        <v>0</v>
      </c>
      <c r="S20" s="48">
        <f>'Services achieved price'!S20*'Services annual average price'!S20*'Asset allocation MW'!S20*'Asset allocation time'!S20*NUM_HRS_IN_A_YEAR</f>
        <v>0</v>
      </c>
    </row>
    <row r="21" spans="1:19" x14ac:dyDescent="0.5">
      <c r="B21" s="19" t="s">
        <v>25</v>
      </c>
      <c r="C21" s="19"/>
      <c r="D21" s="49">
        <f>'Services achieved price'!D21*'Services annual average price'!D21*'Asset allocation MW'!D21*'Asset allocation time'!D21*NUM_HRS_IN_A_YEAR</f>
        <v>0</v>
      </c>
      <c r="E21" s="50">
        <f>'Services achieved price'!E21*'Services annual average price'!E21*'Asset allocation MW'!E21*'Asset allocation time'!E21*NUM_HRS_IN_A_YEAR</f>
        <v>0</v>
      </c>
      <c r="F21" s="51">
        <f>'Services achieved price'!F21*'Services annual average price'!F21*'Asset allocation MW'!F21*'Asset allocation time'!F21*NUM_HRS_IN_A_YEAR</f>
        <v>0</v>
      </c>
      <c r="G21" s="50">
        <f>'Services achieved price'!G21*'Services annual average price'!G21*'Asset allocation MW'!G21*'Asset allocation time'!G21*NUM_HRS_IN_A_YEAR</f>
        <v>0</v>
      </c>
      <c r="H21" s="50">
        <f>'Services achieved price'!H21*'Services annual average price'!H21*'Asset allocation MW'!H21*'Asset allocation time'!H21*NUM_HRS_IN_A_YEAR</f>
        <v>0</v>
      </c>
      <c r="I21" s="50">
        <f>'Services achieved price'!I21*'Services annual average price'!I21*'Asset allocation MW'!I21*'Asset allocation time'!I21*NUM_HRS_IN_A_YEAR</f>
        <v>0</v>
      </c>
      <c r="J21" s="50">
        <f>'Services achieved price'!J21*'Services annual average price'!J21*'Asset allocation MW'!J21*'Asset allocation time'!J21*NUM_HRS_IN_A_YEAR</f>
        <v>0</v>
      </c>
      <c r="K21" s="50">
        <f>'Services achieved price'!K21*'Services annual average price'!K21*'Asset allocation MW'!K21*'Asset allocation time'!K21*NUM_HRS_IN_A_YEAR</f>
        <v>0</v>
      </c>
      <c r="L21" s="50">
        <f>'Services achieved price'!L21*'Services annual average price'!L21*'Asset allocation MW'!L21*'Asset allocation time'!L21*NUM_HRS_IN_A_YEAR</f>
        <v>0</v>
      </c>
      <c r="M21" s="50">
        <f>'Services achieved price'!M21*'Services annual average price'!M21*'Asset allocation MW'!M21*'Asset allocation time'!M21*NUM_HRS_IN_A_YEAR</f>
        <v>0</v>
      </c>
      <c r="N21" s="50">
        <f>'Services achieved price'!N21*'Services annual average price'!N21*'Asset allocation MW'!N21*'Asset allocation time'!N21*NUM_HRS_IN_A_YEAR</f>
        <v>0</v>
      </c>
      <c r="O21" s="50">
        <f>'Services achieved price'!O21*'Services annual average price'!O21*'Asset allocation MW'!O21*'Asset allocation time'!O21*NUM_HRS_IN_A_YEAR</f>
        <v>0</v>
      </c>
      <c r="P21" s="50">
        <f>'Services achieved price'!P21*'Services annual average price'!P21*'Asset allocation MW'!P21*'Asset allocation time'!P21*NUM_HRS_IN_A_YEAR</f>
        <v>0</v>
      </c>
      <c r="Q21" s="50">
        <f>'Services achieved price'!Q21*'Services annual average price'!Q21*'Asset allocation MW'!Q21*'Asset allocation time'!Q21*NUM_HRS_IN_A_YEAR</f>
        <v>0</v>
      </c>
      <c r="R21" s="50">
        <f>'Services achieved price'!R21*'Services annual average price'!R21*'Asset allocation MW'!R21*'Asset allocation time'!R21*NUM_HRS_IN_A_YEAR</f>
        <v>0</v>
      </c>
      <c r="S21" s="51">
        <f>'Services achieved price'!S21*'Services annual average price'!S21*'Asset allocation MW'!S21*'Asset allocation time'!S21*NUM_HRS_IN_A_YEAR</f>
        <v>0</v>
      </c>
    </row>
    <row r="22" spans="1:19" x14ac:dyDescent="0.5">
      <c r="B22" s="9" t="s">
        <v>26</v>
      </c>
      <c r="C22" s="9" t="str">
        <f>$C$9</f>
        <v>EUR p.a.</v>
      </c>
      <c r="D22" s="46">
        <f>'Services achieved price'!D22*'Services annual average price'!D22*'Asset allocation MW'!D22*'Asset allocation time'!D22*NUM_HRS_IN_A_YEAR</f>
        <v>0</v>
      </c>
      <c r="E22" s="47">
        <f>'Services achieved price'!E22*'Services annual average price'!E22*'Asset allocation MW'!E22*'Asset allocation time'!E22*NUM_HRS_IN_A_YEAR</f>
        <v>0</v>
      </c>
      <c r="F22" s="48">
        <f>'Services achieved price'!F22*'Services annual average price'!F22*'Asset allocation MW'!F22*'Asset allocation time'!F22*NUM_HRS_IN_A_YEAR</f>
        <v>0</v>
      </c>
      <c r="G22" s="47">
        <f>'Services achieved price'!G22*'Services annual average price'!G22*'Asset allocation MW'!G22*'Asset allocation time'!G22*NUM_HRS_IN_A_YEAR</f>
        <v>0</v>
      </c>
      <c r="H22" s="47">
        <f>'Services achieved price'!H22*'Services annual average price'!H22*'Asset allocation MW'!H22*'Asset allocation time'!H22*NUM_HRS_IN_A_YEAR</f>
        <v>0</v>
      </c>
      <c r="I22" s="47">
        <f>'Services achieved price'!I22*'Services annual average price'!I22*'Asset allocation MW'!I22*'Asset allocation time'!I22*NUM_HRS_IN_A_YEAR</f>
        <v>82694.399999999994</v>
      </c>
      <c r="J22" s="47">
        <f>'Services achieved price'!J22*'Services annual average price'!J22*'Asset allocation MW'!J22*'Asset allocation time'!J22*NUM_HRS_IN_A_YEAR</f>
        <v>124041.59999999999</v>
      </c>
      <c r="K22" s="47">
        <f>'Services achieved price'!K22*'Services annual average price'!K22*'Asset allocation MW'!K22*'Asset allocation time'!K22*NUM_HRS_IN_A_YEAR</f>
        <v>124041.59999999999</v>
      </c>
      <c r="L22" s="47">
        <f>'Services achieved price'!L22*'Services annual average price'!L22*'Asset allocation MW'!L22*'Asset allocation time'!L22*NUM_HRS_IN_A_YEAR</f>
        <v>124041.59999999999</v>
      </c>
      <c r="M22" s="47">
        <f>'Services achieved price'!M22*'Services annual average price'!M22*'Asset allocation MW'!M22*'Asset allocation time'!M22*NUM_HRS_IN_A_YEAR</f>
        <v>124041.59999999999</v>
      </c>
      <c r="N22" s="47">
        <f>'Services achieved price'!N22*'Services annual average price'!N22*'Asset allocation MW'!N22*'Asset allocation time'!N22*NUM_HRS_IN_A_YEAR</f>
        <v>124041.59999999999</v>
      </c>
      <c r="O22" s="47">
        <f>'Services achieved price'!O22*'Services annual average price'!O22*'Asset allocation MW'!O22*'Asset allocation time'!O22*NUM_HRS_IN_A_YEAR</f>
        <v>124041.59999999999</v>
      </c>
      <c r="P22" s="47">
        <f>'Services achieved price'!P22*'Services annual average price'!P22*'Asset allocation MW'!P22*'Asset allocation time'!P22*NUM_HRS_IN_A_YEAR</f>
        <v>124041.59999999999</v>
      </c>
      <c r="Q22" s="47">
        <f>'Services achieved price'!Q22*'Services annual average price'!Q22*'Asset allocation MW'!Q22*'Asset allocation time'!Q22*NUM_HRS_IN_A_YEAR</f>
        <v>124041.59999999999</v>
      </c>
      <c r="R22" s="47">
        <f>'Services achieved price'!R22*'Services annual average price'!R22*'Asset allocation MW'!R22*'Asset allocation time'!R22*NUM_HRS_IN_A_YEAR</f>
        <v>124041.59999999999</v>
      </c>
      <c r="S22" s="48">
        <f>'Services achieved price'!S22*'Services annual average price'!S22*'Asset allocation MW'!S22*'Asset allocation time'!S22*NUM_HRS_IN_A_YEAR</f>
        <v>124041.59999999999</v>
      </c>
    </row>
    <row r="23" spans="1:19" x14ac:dyDescent="0.5">
      <c r="D23" s="46">
        <f>'Services achieved price'!D23*'Services annual average price'!D23*'Asset allocation MW'!D23*'Asset allocation time'!D23*NUM_HRS_IN_A_YEAR</f>
        <v>0</v>
      </c>
      <c r="E23" s="47">
        <f>'Services achieved price'!E23*'Services annual average price'!E23*'Asset allocation MW'!E23*'Asset allocation time'!E23*NUM_HRS_IN_A_YEAR</f>
        <v>0</v>
      </c>
      <c r="F23" s="48">
        <f>'Services achieved price'!F23*'Services annual average price'!F23*'Asset allocation MW'!F23*'Asset allocation time'!F23*NUM_HRS_IN_A_YEAR</f>
        <v>0</v>
      </c>
      <c r="G23" s="47">
        <f>'Services achieved price'!G23*'Services annual average price'!G23*'Asset allocation MW'!G23*'Asset allocation time'!G23*NUM_HRS_IN_A_YEAR</f>
        <v>0</v>
      </c>
      <c r="H23" s="47">
        <f>'Services achieved price'!H23*'Services annual average price'!H23*'Asset allocation MW'!H23*'Asset allocation time'!H23*NUM_HRS_IN_A_YEAR</f>
        <v>0</v>
      </c>
      <c r="I23" s="47">
        <f>'Services achieved price'!I23*'Services annual average price'!I23*'Asset allocation MW'!I23*'Asset allocation time'!I23*NUM_HRS_IN_A_YEAR</f>
        <v>0</v>
      </c>
      <c r="J23" s="47">
        <f>'Services achieved price'!J23*'Services annual average price'!J23*'Asset allocation MW'!J23*'Asset allocation time'!J23*NUM_HRS_IN_A_YEAR</f>
        <v>0</v>
      </c>
      <c r="K23" s="47">
        <f>'Services achieved price'!K23*'Services annual average price'!K23*'Asset allocation MW'!K23*'Asset allocation time'!K23*NUM_HRS_IN_A_YEAR</f>
        <v>0</v>
      </c>
      <c r="L23" s="47">
        <f>'Services achieved price'!L23*'Services annual average price'!L23*'Asset allocation MW'!L23*'Asset allocation time'!L23*NUM_HRS_IN_A_YEAR</f>
        <v>0</v>
      </c>
      <c r="M23" s="47">
        <f>'Services achieved price'!M23*'Services annual average price'!M23*'Asset allocation MW'!M23*'Asset allocation time'!M23*NUM_HRS_IN_A_YEAR</f>
        <v>0</v>
      </c>
      <c r="N23" s="47">
        <f>'Services achieved price'!N23*'Services annual average price'!N23*'Asset allocation MW'!N23*'Asset allocation time'!N23*NUM_HRS_IN_A_YEAR</f>
        <v>0</v>
      </c>
      <c r="O23" s="47">
        <f>'Services achieved price'!O23*'Services annual average price'!O23*'Asset allocation MW'!O23*'Asset allocation time'!O23*NUM_HRS_IN_A_YEAR</f>
        <v>0</v>
      </c>
      <c r="P23" s="47">
        <f>'Services achieved price'!P23*'Services annual average price'!P23*'Asset allocation MW'!P23*'Asset allocation time'!P23*NUM_HRS_IN_A_YEAR</f>
        <v>0</v>
      </c>
      <c r="Q23" s="47">
        <f>'Services achieved price'!Q23*'Services annual average price'!Q23*'Asset allocation MW'!Q23*'Asset allocation time'!Q23*NUM_HRS_IN_A_YEAR</f>
        <v>0</v>
      </c>
      <c r="R23" s="47">
        <f>'Services achieved price'!R23*'Services annual average price'!R23*'Asset allocation MW'!R23*'Asset allocation time'!R23*NUM_HRS_IN_A_YEAR</f>
        <v>0</v>
      </c>
      <c r="S23" s="47">
        <f>'Services achieved price'!S23*'Services annual average price'!S23*'Asset allocation MW'!S23*'Asset allocation time'!S23*NUM_HRS_IN_A_YEAR</f>
        <v>0</v>
      </c>
    </row>
    <row r="24" spans="1:19" s="19" customFormat="1" x14ac:dyDescent="0.5">
      <c r="B24" s="19" t="s">
        <v>27</v>
      </c>
      <c r="D24" s="49">
        <f>'Services achieved price'!D24*'Services annual average price'!D24*'Asset allocation MW'!D24*'Asset allocation time'!D24*NUM_HRS_IN_A_YEAR</f>
        <v>0</v>
      </c>
      <c r="E24" s="50">
        <f>'Services achieved price'!E24*'Services annual average price'!E24*'Asset allocation MW'!E24*'Asset allocation time'!E24*NUM_HRS_IN_A_YEAR</f>
        <v>0</v>
      </c>
      <c r="F24" s="51">
        <f>'Services achieved price'!F24*'Services annual average price'!F24*'Asset allocation MW'!F24*'Asset allocation time'!F24*NUM_HRS_IN_A_YEAR</f>
        <v>0</v>
      </c>
      <c r="G24" s="50">
        <f>'Services achieved price'!G24*'Services annual average price'!G24*'Asset allocation MW'!G24*'Asset allocation time'!G24*NUM_HRS_IN_A_YEAR</f>
        <v>0</v>
      </c>
      <c r="H24" s="50">
        <f>'Services achieved price'!H24*'Services annual average price'!H24*'Asset allocation MW'!H24*'Asset allocation time'!H24*NUM_HRS_IN_A_YEAR</f>
        <v>0</v>
      </c>
      <c r="I24" s="50">
        <f>'Services achieved price'!I24*'Services annual average price'!I24*'Asset allocation MW'!I24*'Asset allocation time'!I24*NUM_HRS_IN_A_YEAR</f>
        <v>0</v>
      </c>
      <c r="J24" s="50">
        <f>'Services achieved price'!J24*'Services annual average price'!J24*'Asset allocation MW'!J24*'Asset allocation time'!J24*NUM_HRS_IN_A_YEAR</f>
        <v>0</v>
      </c>
      <c r="K24" s="50">
        <f>'Services achieved price'!K24*'Services annual average price'!K24*'Asset allocation MW'!K24*'Asset allocation time'!K24*NUM_HRS_IN_A_YEAR</f>
        <v>0</v>
      </c>
      <c r="L24" s="50">
        <f>'Services achieved price'!L24*'Services annual average price'!L24*'Asset allocation MW'!L24*'Asset allocation time'!L24*NUM_HRS_IN_A_YEAR</f>
        <v>0</v>
      </c>
      <c r="M24" s="50">
        <f>'Services achieved price'!M24*'Services annual average price'!M24*'Asset allocation MW'!M24*'Asset allocation time'!M24*NUM_HRS_IN_A_YEAR</f>
        <v>0</v>
      </c>
      <c r="N24" s="50">
        <f>'Services achieved price'!N24*'Services annual average price'!N24*'Asset allocation MW'!N24*'Asset allocation time'!N24*NUM_HRS_IN_A_YEAR</f>
        <v>0</v>
      </c>
      <c r="O24" s="50">
        <f>'Services achieved price'!O24*'Services annual average price'!O24*'Asset allocation MW'!O24*'Asset allocation time'!O24*NUM_HRS_IN_A_YEAR</f>
        <v>0</v>
      </c>
      <c r="P24" s="50">
        <f>'Services achieved price'!P24*'Services annual average price'!P24*'Asset allocation MW'!P24*'Asset allocation time'!P24*NUM_HRS_IN_A_YEAR</f>
        <v>0</v>
      </c>
      <c r="Q24" s="50">
        <f>'Services achieved price'!Q24*'Services annual average price'!Q24*'Asset allocation MW'!Q24*'Asset allocation time'!Q24*NUM_HRS_IN_A_YEAR</f>
        <v>0</v>
      </c>
      <c r="R24" s="50">
        <f>'Services achieved price'!R24*'Services annual average price'!R24*'Asset allocation MW'!R24*'Asset allocation time'!R24*NUM_HRS_IN_A_YEAR</f>
        <v>0</v>
      </c>
      <c r="S24" s="51">
        <f>'Services achieved price'!S24*'Services annual average price'!S24*'Asset allocation MW'!S24*'Asset allocation time'!S24*NUM_HRS_IN_A_YEAR</f>
        <v>0</v>
      </c>
    </row>
    <row r="25" spans="1:19" x14ac:dyDescent="0.5">
      <c r="B25" s="9" t="s">
        <v>28</v>
      </c>
      <c r="C25" s="9" t="str">
        <f>$C$9</f>
        <v>EUR p.a.</v>
      </c>
      <c r="D25" s="46">
        <f>'Services achieved price'!D25*'Services annual average price'!D25*'Asset allocation MW'!D25*'Asset allocation time'!D25*NUM_HRS_IN_A_YEAR</f>
        <v>0</v>
      </c>
      <c r="E25" s="47">
        <f>'Services achieved price'!E25*'Services annual average price'!E25*'Asset allocation MW'!E25*'Asset allocation time'!E25*NUM_HRS_IN_A_YEAR</f>
        <v>0</v>
      </c>
      <c r="F25" s="48">
        <f>'Services achieved price'!F25*'Services annual average price'!F25*'Asset allocation MW'!F25*'Asset allocation time'!F25*NUM_HRS_IN_A_YEAR</f>
        <v>0</v>
      </c>
      <c r="G25" s="47">
        <f>'Services achieved price'!G25*'Services annual average price'!G25*'Asset allocation MW'!G25*'Asset allocation time'!G25*NUM_HRS_IN_A_YEAR</f>
        <v>0</v>
      </c>
      <c r="H25" s="47">
        <f>'Services achieved price'!H25*'Services annual average price'!H25*'Asset allocation MW'!H25*'Asset allocation time'!H25*NUM_HRS_IN_A_YEAR</f>
        <v>0</v>
      </c>
      <c r="I25" s="47">
        <f>'Services achieved price'!I25*'Services annual average price'!I25*'Asset allocation MW'!I25*'Asset allocation time'!I25*NUM_HRS_IN_A_YEAR</f>
        <v>0</v>
      </c>
      <c r="J25" s="47">
        <f>'Services achieved price'!J25*'Services annual average price'!J25*'Asset allocation MW'!J25*'Asset allocation time'!J25*NUM_HRS_IN_A_YEAR</f>
        <v>0</v>
      </c>
      <c r="K25" s="47">
        <f>'Services achieved price'!K25*'Services annual average price'!K25*'Asset allocation MW'!K25*'Asset allocation time'!K25*NUM_HRS_IN_A_YEAR</f>
        <v>10000</v>
      </c>
      <c r="L25" s="47">
        <f>'Services achieved price'!L25*'Services annual average price'!L25*'Asset allocation MW'!L25*'Asset allocation time'!L25*NUM_HRS_IN_A_YEAR</f>
        <v>10000</v>
      </c>
      <c r="M25" s="47">
        <f>'Services achieved price'!M25*'Services annual average price'!M25*'Asset allocation MW'!M25*'Asset allocation time'!M25*NUM_HRS_IN_A_YEAR</f>
        <v>10000</v>
      </c>
      <c r="N25" s="47">
        <f>'Services achieved price'!N25*'Services annual average price'!N25*'Asset allocation MW'!N25*'Asset allocation time'!N25*NUM_HRS_IN_A_YEAR</f>
        <v>10000</v>
      </c>
      <c r="O25" s="47">
        <f>'Services achieved price'!O25*'Services annual average price'!O25*'Asset allocation MW'!O25*'Asset allocation time'!O25*NUM_HRS_IN_A_YEAR</f>
        <v>10000</v>
      </c>
      <c r="P25" s="47">
        <f>'Services achieved price'!P25*'Services annual average price'!P25*'Asset allocation MW'!P25*'Asset allocation time'!P25*NUM_HRS_IN_A_YEAR</f>
        <v>10000</v>
      </c>
      <c r="Q25" s="47">
        <f>'Services achieved price'!Q25*'Services annual average price'!Q25*'Asset allocation MW'!Q25*'Asset allocation time'!Q25*NUM_HRS_IN_A_YEAR</f>
        <v>10000</v>
      </c>
      <c r="R25" s="47">
        <f>'Services achieved price'!R25*'Services annual average price'!R25*'Asset allocation MW'!R25*'Asset allocation time'!R25*NUM_HRS_IN_A_YEAR</f>
        <v>10000</v>
      </c>
      <c r="S25" s="47">
        <f>'Services achieved price'!S25*'Services annual average price'!S25*'Asset allocation MW'!S25*'Asset allocation time'!S25*NUM_HRS_IN_A_YEAR</f>
        <v>10000</v>
      </c>
    </row>
    <row r="26" spans="1:19" x14ac:dyDescent="0.5">
      <c r="D26" s="46">
        <f>'Services achieved price'!D26*'Services annual average price'!D26*'Asset allocation MW'!D26*'Asset allocation time'!D26*NUM_HRS_IN_A_YEAR</f>
        <v>0</v>
      </c>
      <c r="E26" s="47">
        <f>'Services achieved price'!E26*'Services annual average price'!E26*'Asset allocation MW'!E26*'Asset allocation time'!E26*NUM_HRS_IN_A_YEAR</f>
        <v>0</v>
      </c>
      <c r="F26" s="48">
        <f>'Services achieved price'!F26*'Services annual average price'!F26*'Asset allocation MW'!F26*'Asset allocation time'!F26*NUM_HRS_IN_A_YEAR</f>
        <v>0</v>
      </c>
      <c r="G26" s="47">
        <f>'Services achieved price'!G26*'Services annual average price'!G26*'Asset allocation MW'!G26*'Asset allocation time'!G26*NUM_HRS_IN_A_YEAR</f>
        <v>0</v>
      </c>
      <c r="H26" s="47">
        <f>'Services achieved price'!H26*'Services annual average price'!H26*'Asset allocation MW'!H26*'Asset allocation time'!H26*NUM_HRS_IN_A_YEAR</f>
        <v>0</v>
      </c>
      <c r="I26" s="47">
        <f>'Services achieved price'!I26*'Services annual average price'!I26*'Asset allocation MW'!I26*'Asset allocation time'!I26*NUM_HRS_IN_A_YEAR</f>
        <v>0</v>
      </c>
      <c r="J26" s="47">
        <f>'Services achieved price'!J26*'Services annual average price'!J26*'Asset allocation MW'!J26*'Asset allocation time'!J26*NUM_HRS_IN_A_YEAR</f>
        <v>0</v>
      </c>
      <c r="K26" s="47">
        <f>'Services achieved price'!K26*'Services annual average price'!K26*'Asset allocation MW'!K26*'Asset allocation time'!K26*NUM_HRS_IN_A_YEAR</f>
        <v>0</v>
      </c>
      <c r="L26" s="47">
        <f>'Services achieved price'!L26*'Services annual average price'!L26*'Asset allocation MW'!L26*'Asset allocation time'!L26*NUM_HRS_IN_A_YEAR</f>
        <v>0</v>
      </c>
      <c r="M26" s="47">
        <f>'Services achieved price'!M26*'Services annual average price'!M26*'Asset allocation MW'!M26*'Asset allocation time'!M26*NUM_HRS_IN_A_YEAR</f>
        <v>0</v>
      </c>
      <c r="N26" s="47">
        <f>'Services achieved price'!N26*'Services annual average price'!N26*'Asset allocation MW'!N26*'Asset allocation time'!N26*NUM_HRS_IN_A_YEAR</f>
        <v>0</v>
      </c>
      <c r="O26" s="47">
        <f>'Services achieved price'!O26*'Services annual average price'!O26*'Asset allocation MW'!O26*'Asset allocation time'!O26*NUM_HRS_IN_A_YEAR</f>
        <v>0</v>
      </c>
      <c r="P26" s="47">
        <f>'Services achieved price'!P26*'Services annual average price'!P26*'Asset allocation MW'!P26*'Asset allocation time'!P26*NUM_HRS_IN_A_YEAR</f>
        <v>0</v>
      </c>
      <c r="Q26" s="47">
        <f>'Services achieved price'!Q26*'Services annual average price'!Q26*'Asset allocation MW'!Q26*'Asset allocation time'!Q26*NUM_HRS_IN_A_YEAR</f>
        <v>0</v>
      </c>
      <c r="R26" s="47">
        <f>'Services achieved price'!R26*'Services annual average price'!R26*'Asset allocation MW'!R26*'Asset allocation time'!R26*NUM_HRS_IN_A_YEAR</f>
        <v>0</v>
      </c>
      <c r="S26" s="48">
        <f>'Services achieved price'!S26*'Services annual average price'!S26*'Asset allocation MW'!S26*'Asset allocation time'!S26*NUM_HRS_IN_A_YEAR</f>
        <v>0</v>
      </c>
    </row>
    <row r="27" spans="1:19" x14ac:dyDescent="0.5">
      <c r="B27" s="19" t="s">
        <v>9</v>
      </c>
      <c r="C27" s="19"/>
      <c r="D27" s="49">
        <f>'Services achieved price'!D27*'Services annual average price'!D27*'Asset allocation MW'!D27*'Asset allocation time'!D27*NUM_HRS_IN_A_YEAR</f>
        <v>0</v>
      </c>
      <c r="E27" s="50">
        <f>'Services achieved price'!E27*'Services annual average price'!E27*'Asset allocation MW'!E27*'Asset allocation time'!E27*NUM_HRS_IN_A_YEAR</f>
        <v>0</v>
      </c>
      <c r="F27" s="51">
        <f>'Services achieved price'!F27*'Services annual average price'!F27*'Asset allocation MW'!F27*'Asset allocation time'!F27*NUM_HRS_IN_A_YEAR</f>
        <v>0</v>
      </c>
      <c r="G27" s="50">
        <f>'Services achieved price'!G27*'Services annual average price'!G27*'Asset allocation MW'!G27*'Asset allocation time'!G27*NUM_HRS_IN_A_YEAR</f>
        <v>0</v>
      </c>
      <c r="H27" s="50">
        <f>'Services achieved price'!H27*'Services annual average price'!H27*'Asset allocation MW'!H27*'Asset allocation time'!H27*NUM_HRS_IN_A_YEAR</f>
        <v>0</v>
      </c>
      <c r="I27" s="50">
        <f>'Services achieved price'!I27*'Services annual average price'!I27*'Asset allocation MW'!I27*'Asset allocation time'!I27*NUM_HRS_IN_A_YEAR</f>
        <v>0</v>
      </c>
      <c r="J27" s="50">
        <f>'Services achieved price'!J27*'Services annual average price'!J27*'Asset allocation MW'!J27*'Asset allocation time'!J27*NUM_HRS_IN_A_YEAR</f>
        <v>0</v>
      </c>
      <c r="K27" s="50">
        <f>'Services achieved price'!K27*'Services annual average price'!K27*'Asset allocation MW'!K27*'Asset allocation time'!K27*NUM_HRS_IN_A_YEAR</f>
        <v>0</v>
      </c>
      <c r="L27" s="50">
        <f>'Services achieved price'!L27*'Services annual average price'!L27*'Asset allocation MW'!L27*'Asset allocation time'!L27*NUM_HRS_IN_A_YEAR</f>
        <v>0</v>
      </c>
      <c r="M27" s="50">
        <f>'Services achieved price'!M27*'Services annual average price'!M27*'Asset allocation MW'!M27*'Asset allocation time'!M27*NUM_HRS_IN_A_YEAR</f>
        <v>0</v>
      </c>
      <c r="N27" s="50">
        <f>'Services achieved price'!N27*'Services annual average price'!N27*'Asset allocation MW'!N27*'Asset allocation time'!N27*NUM_HRS_IN_A_YEAR</f>
        <v>0</v>
      </c>
      <c r="O27" s="50">
        <f>'Services achieved price'!O27*'Services annual average price'!O27*'Asset allocation MW'!O27*'Asset allocation time'!O27*NUM_HRS_IN_A_YEAR</f>
        <v>0</v>
      </c>
      <c r="P27" s="50">
        <f>'Services achieved price'!P27*'Services annual average price'!P27*'Asset allocation MW'!P27*'Asset allocation time'!P27*NUM_HRS_IN_A_YEAR</f>
        <v>0</v>
      </c>
      <c r="Q27" s="50">
        <f>'Services achieved price'!Q27*'Services annual average price'!Q27*'Asset allocation MW'!Q27*'Asset allocation time'!Q27*NUM_HRS_IN_A_YEAR</f>
        <v>0</v>
      </c>
      <c r="R27" s="50">
        <f>'Services achieved price'!R27*'Services annual average price'!R27*'Asset allocation MW'!R27*'Asset allocation time'!R27*NUM_HRS_IN_A_YEAR</f>
        <v>0</v>
      </c>
      <c r="S27" s="51">
        <f>'Services achieved price'!S27*'Services annual average price'!S27*'Asset allocation MW'!S27*'Asset allocation time'!S27*NUM_HRS_IN_A_YEAR</f>
        <v>0</v>
      </c>
    </row>
    <row r="28" spans="1:19" x14ac:dyDescent="0.5">
      <c r="A28" s="52"/>
      <c r="B28" s="9" t="s">
        <v>29</v>
      </c>
      <c r="C28" s="9" t="str">
        <f>$C$9</f>
        <v>EUR p.a.</v>
      </c>
      <c r="D28" s="46">
        <f>'Services achieved price'!D28*'Services annual average price'!D28*'Asset allocation MW'!D28*'Asset allocation time'!D28*NUM_HRS_IN_A_YEAR</f>
        <v>19867.118203613991</v>
      </c>
      <c r="E28" s="47">
        <f>'Services achieved price'!E28*'Services annual average price'!E28*'Asset allocation MW'!E28*'Asset allocation time'!E28*NUM_HRS_IN_A_YEAR</f>
        <v>19867.118203613991</v>
      </c>
      <c r="F28" s="48">
        <f>'Services achieved price'!F28*'Services annual average price'!F28*'Asset allocation MW'!F28*'Asset allocation time'!F28*NUM_HRS_IN_A_YEAR</f>
        <v>19867.118203613991</v>
      </c>
      <c r="G28" s="47">
        <f>'Services achieved price'!G28*'Services annual average price'!G28*'Asset allocation MW'!G28*'Asset allocation time'!G28*NUM_HRS_IN_A_YEAR</f>
        <v>24833.897754517489</v>
      </c>
      <c r="H28" s="47">
        <f>'Services achieved price'!H28*'Services annual average price'!H28*'Asset allocation MW'!H28*'Asset allocation time'!H28*NUM_HRS_IN_A_YEAR</f>
        <v>29254.337527379987</v>
      </c>
      <c r="I28" s="47">
        <f>'Services achieved price'!I28*'Services annual average price'!I28*'Asset allocation MW'!I28*'Asset allocation time'!I28*NUM_HRS_IN_A_YEAR</f>
        <v>34071.749406814204</v>
      </c>
      <c r="J28" s="47">
        <f>'Services achieved price'!J28*'Services annual average price'!J28*'Asset allocation MW'!J28*'Asset allocation time'!J28*NUM_HRS_IN_A_YEAR</f>
        <v>38385.037781569648</v>
      </c>
      <c r="K28" s="47">
        <f>'Services achieved price'!K28*'Services annual average price'!K28*'Asset allocation MW'!K28*'Asset allocation time'!K28*NUM_HRS_IN_A_YEAR</f>
        <v>42743.369629117879</v>
      </c>
      <c r="L28" s="47">
        <f>'Services achieved price'!L28*'Services annual average price'!L28*'Asset allocation MW'!L28*'Asset allocation time'!L28*NUM_HRS_IN_A_YEAR</f>
        <v>47454.504535139393</v>
      </c>
      <c r="M28" s="47">
        <f>'Services achieved price'!M28*'Services annual average price'!M28*'Asset allocation MW'!M28*'Asset allocation time'!M28*NUM_HRS_IN_A_YEAR</f>
        <v>51687.558501184911</v>
      </c>
      <c r="N28" s="47">
        <f>'Services achieved price'!N28*'Services annual average price'!N28*'Asset allocation MW'!N28*'Asset allocation time'!N28*NUM_HRS_IN_A_YEAR</f>
        <v>55891.160866944854</v>
      </c>
      <c r="O28" s="47">
        <f>'Services achieved price'!O28*'Services annual average price'!O28*'Asset allocation MW'!O28*'Asset allocation time'!O28*NUM_HRS_IN_A_YEAR</f>
        <v>60061.630182383531</v>
      </c>
      <c r="P28" s="47">
        <f>'Services achieved price'!P28*'Services annual average price'!P28*'Asset allocation MW'!P28*'Asset allocation time'!P28*NUM_HRS_IN_A_YEAR</f>
        <v>64195.284997465242</v>
      </c>
      <c r="Q28" s="47">
        <f>'Services achieved price'!Q28*'Services annual average price'!Q28*'Asset allocation MW'!Q28*'Asset allocation time'!Q28*NUM_HRS_IN_A_YEAR</f>
        <v>68288.443862154294</v>
      </c>
      <c r="R28" s="47">
        <f>'Services achieved price'!R28*'Services annual average price'!R28*'Asset allocation MW'!R28*'Asset allocation time'!R28*NUM_HRS_IN_A_YEAR</f>
        <v>72337.425326414945</v>
      </c>
      <c r="S28" s="48">
        <f>'Services achieved price'!S28*'Services annual average price'!S28*'Asset allocation MW'!S28*'Asset allocation time'!S28*NUM_HRS_IN_A_YEAR</f>
        <v>76338.547940211574</v>
      </c>
    </row>
    <row r="29" spans="1:19" x14ac:dyDescent="0.5">
      <c r="B29" s="9" t="s">
        <v>30</v>
      </c>
      <c r="C29" s="9" t="str">
        <f>$C$9</f>
        <v>EUR p.a.</v>
      </c>
      <c r="D29" s="46">
        <f>'Services achieved price'!D29*'Services annual average price'!D29*'Asset allocation MW'!D29*'Asset allocation time'!D29*NUM_HRS_IN_A_YEAR</f>
        <v>14758.430665541828</v>
      </c>
      <c r="E29" s="47">
        <f>'Services achieved price'!E29*'Services annual average price'!E29*'Asset allocation MW'!E29*'Asset allocation time'!E29*NUM_HRS_IN_A_YEAR</f>
        <v>14758.430665541828</v>
      </c>
      <c r="F29" s="48">
        <f>'Services achieved price'!F29*'Services annual average price'!F29*'Asset allocation MW'!F29*'Asset allocation time'!F29*NUM_HRS_IN_A_YEAR</f>
        <v>14758.430665541828</v>
      </c>
      <c r="G29" s="47">
        <f>'Services achieved price'!G29*'Services annual average price'!G29*'Asset allocation MW'!G29*'Asset allocation time'!G29*NUM_HRS_IN_A_YEAR</f>
        <v>14758.430665541828</v>
      </c>
      <c r="H29" s="47">
        <f>'Services achieved price'!H29*'Services annual average price'!H29*'Asset allocation MW'!H29*'Asset allocation time'!H29*NUM_HRS_IN_A_YEAR</f>
        <v>22826.565422558109</v>
      </c>
      <c r="I29" s="47">
        <f>'Services achieved price'!I29*'Services annual average price'!I29*'Asset allocation MW'!I29*'Asset allocation time'!I29*NUM_HRS_IN_A_YEAR</f>
        <v>31228.108736047321</v>
      </c>
      <c r="J29" s="47">
        <f>'Services achieved price'!J29*'Services annual average price'!J29*'Asset allocation MW'!J29*'Asset allocation time'!J29*NUM_HRS_IN_A_YEAR</f>
        <v>39134.967686376251</v>
      </c>
      <c r="K29" s="47">
        <f>'Services achieved price'!K29*'Services annual average price'!K29*'Asset allocation MW'!K29*'Asset allocation time'!K29*NUM_HRS_IN_A_YEAR</f>
        <v>46981.374727844901</v>
      </c>
      <c r="L29" s="47">
        <f>'Services achieved price'!L29*'Services annual average price'!L29*'Asset allocation MW'!L29*'Asset allocation time'!L29*NUM_HRS_IN_A_YEAR</f>
        <v>55125.997553962989</v>
      </c>
      <c r="M29" s="47">
        <f>'Services achieved price'!M29*'Services annual average price'!M29*'Asset allocation MW'!M29*'Asset allocation time'!M29*NUM_HRS_IN_A_YEAR</f>
        <v>62606.555234560205</v>
      </c>
      <c r="N29" s="47">
        <f>'Services achieved price'!N29*'Services annual average price'!N29*'Asset allocation MW'!N29*'Asset allocation time'!N29*NUM_HRS_IN_A_YEAR</f>
        <v>69909.317285683428</v>
      </c>
      <c r="O29" s="47">
        <f>'Services achieved price'!O29*'Services annual average price'!O29*'Asset allocation MW'!O29*'Asset allocation time'!O29*NUM_HRS_IN_A_YEAR</f>
        <v>77023.395818852077</v>
      </c>
      <c r="P29" s="47">
        <f>'Services achieved price'!P29*'Services annual average price'!P29*'Asset allocation MW'!P29*'Asset allocation time'!P29*NUM_HRS_IN_A_YEAR</f>
        <v>83937.902945585622</v>
      </c>
      <c r="Q29" s="47">
        <f>'Services achieved price'!Q29*'Services annual average price'!Q29*'Asset allocation MW'!Q29*'Asset allocation time'!Q29*NUM_HRS_IN_A_YEAR</f>
        <v>90641.950777403472</v>
      </c>
      <c r="R29" s="47">
        <f>'Services achieved price'!R29*'Services annual average price'!R29*'Asset allocation MW'!R29*'Asset allocation time'!R29*NUM_HRS_IN_A_YEAR</f>
        <v>97124.651425824995</v>
      </c>
      <c r="S29" s="48">
        <f>'Services achieved price'!S29*'Services annual average price'!S29*'Asset allocation MW'!S29*'Asset allocation time'!S29*NUM_HRS_IN_A_YEAR</f>
        <v>103375.11700236985</v>
      </c>
    </row>
    <row r="30" spans="1:19" x14ac:dyDescent="0.5">
      <c r="B30" s="9" t="s">
        <v>31</v>
      </c>
      <c r="C30" s="9" t="str">
        <f>$C$9</f>
        <v>EUR p.a.</v>
      </c>
      <c r="D30" s="46">
        <f>'Services achieved price'!D30*'Services annual average price'!D30*'Asset allocation MW'!D30*'Asset allocation time'!D30*NUM_HRS_IN_A_YEAR</f>
        <v>50457.599999999999</v>
      </c>
      <c r="E30" s="47">
        <f>'Services achieved price'!E30*'Services annual average price'!E30*'Asset allocation MW'!E30*'Asset allocation time'!E30*NUM_HRS_IN_A_YEAR</f>
        <v>50457.599999999999</v>
      </c>
      <c r="F30" s="48">
        <f>'Services achieved price'!F30*'Services annual average price'!F30*'Asset allocation MW'!F30*'Asset allocation time'!F30*NUM_HRS_IN_A_YEAR</f>
        <v>50457.599999999999</v>
      </c>
      <c r="G30" s="47">
        <f>'Services achieved price'!G30*'Services annual average price'!G30*'Asset allocation MW'!G30*'Asset allocation time'!G30*NUM_HRS_IN_A_YEAR</f>
        <v>50457.599999999999</v>
      </c>
      <c r="H30" s="47">
        <f>'Services achieved price'!H30*'Services annual average price'!H30*'Asset allocation MW'!H30*'Asset allocation time'!H30*NUM_HRS_IN_A_YEAR</f>
        <v>76370.775000000009</v>
      </c>
      <c r="I30" s="47">
        <f>'Services achieved price'!I30*'Services annual average price'!I30*'Asset allocation MW'!I30*'Asset allocation time'!I30*NUM_HRS_IN_A_YEAR</f>
        <v>101287.49999999999</v>
      </c>
      <c r="J30" s="47">
        <f>'Services achieved price'!J30*'Services annual average price'!J30*'Asset allocation MW'!J30*'Asset allocation time'!J30*NUM_HRS_IN_A_YEAR</f>
        <v>125207.77499999998</v>
      </c>
      <c r="K30" s="47">
        <f>'Services achieved price'!K30*'Services annual average price'!K30*'Asset allocation MW'!K30*'Asset allocation time'!K30*NUM_HRS_IN_A_YEAR</f>
        <v>148131.59999999998</v>
      </c>
      <c r="L30" s="47">
        <f>'Services achieved price'!L30*'Services annual average price'!L30*'Asset allocation MW'!L30*'Asset allocation time'!L30*NUM_HRS_IN_A_YEAR</f>
        <v>170058.97499999995</v>
      </c>
      <c r="M30" s="47">
        <f>'Services achieved price'!M30*'Services annual average price'!M30*'Asset allocation MW'!M30*'Asset allocation time'!M30*NUM_HRS_IN_A_YEAR</f>
        <v>190989.89999999994</v>
      </c>
      <c r="N30" s="47">
        <f>'Services achieved price'!N30*'Services annual average price'!N30*'Asset allocation MW'!N30*'Asset allocation time'!N30*NUM_HRS_IN_A_YEAR</f>
        <v>210924.37499999991</v>
      </c>
      <c r="O30" s="47">
        <f>'Services achieved price'!O30*'Services annual average price'!O30*'Asset allocation MW'!O30*'Asset allocation time'!O30*NUM_HRS_IN_A_YEAR</f>
        <v>229862.39999999985</v>
      </c>
      <c r="P30" s="47">
        <f>'Services achieved price'!P30*'Services annual average price'!P30*'Asset allocation MW'!P30*'Asset allocation time'!P30*NUM_HRS_IN_A_YEAR</f>
        <v>247803.97499999986</v>
      </c>
      <c r="Q30" s="47">
        <f>'Services achieved price'!Q30*'Services annual average price'!Q30*'Asset allocation MW'!Q30*'Asset allocation time'!Q30*NUM_HRS_IN_A_YEAR</f>
        <v>264749.0999999998</v>
      </c>
      <c r="R30" s="47">
        <f>'Services achieved price'!R30*'Services annual average price'!R30*'Asset allocation MW'!R30*'Asset allocation time'!R30*NUM_HRS_IN_A_YEAR</f>
        <v>280697.77499999979</v>
      </c>
      <c r="S30" s="48">
        <f>'Services achieved price'!S30*'Services annual average price'!S30*'Asset allocation MW'!S30*'Asset allocation time'!S30*NUM_HRS_IN_A_YEAR</f>
        <v>295650</v>
      </c>
    </row>
    <row r="31" spans="1:19" x14ac:dyDescent="0.5"/>
    <row r="32" spans="1:19" s="19" customFormat="1" x14ac:dyDescent="0.5">
      <c r="A32" s="35"/>
      <c r="B32" s="9" t="s">
        <v>32</v>
      </c>
      <c r="C32" s="9" t="s">
        <v>33</v>
      </c>
      <c r="D32" s="47">
        <f>SUM(D9:D31)/$C$2</f>
        <v>124338.46608691561</v>
      </c>
      <c r="E32" s="47">
        <f t="shared" ref="E32:S32" si="6">SUM(E9:E31)/$C$2</f>
        <v>155230.43088691559</v>
      </c>
      <c r="F32" s="47">
        <f t="shared" si="6"/>
        <v>209761.78128691562</v>
      </c>
      <c r="G32" s="47">
        <f t="shared" si="6"/>
        <v>201973.07604200597</v>
      </c>
      <c r="H32" s="47">
        <f t="shared" si="6"/>
        <v>190933.79969499382</v>
      </c>
      <c r="I32" s="47">
        <f t="shared" si="6"/>
        <v>188934.64781428617</v>
      </c>
      <c r="J32" s="47">
        <f t="shared" si="6"/>
        <v>183947.66214679464</v>
      </c>
      <c r="K32" s="47">
        <f t="shared" si="6"/>
        <v>179097.70643569631</v>
      </c>
      <c r="L32" s="47">
        <f t="shared" si="6"/>
        <v>173637.51280891028</v>
      </c>
      <c r="M32" s="47">
        <f t="shared" si="6"/>
        <v>171815.46517357454</v>
      </c>
      <c r="N32" s="47">
        <f t="shared" si="6"/>
        <v>169290.59906526288</v>
      </c>
      <c r="O32" s="47">
        <f t="shared" si="6"/>
        <v>166682.76420012364</v>
      </c>
      <c r="P32" s="47">
        <f t="shared" si="6"/>
        <v>163990.50364430514</v>
      </c>
      <c r="Q32" s="47">
        <f t="shared" si="6"/>
        <v>161212.36046395585</v>
      </c>
      <c r="R32" s="47">
        <f t="shared" si="6"/>
        <v>158346.87772522401</v>
      </c>
      <c r="S32" s="47">
        <f t="shared" si="6"/>
        <v>155392.59849425816</v>
      </c>
    </row>
    <row r="33" spans="1:19" x14ac:dyDescent="0.5"/>
    <row r="34" spans="1:19" x14ac:dyDescent="0.5"/>
    <row r="35" spans="1:19" s="19" customFormat="1" x14ac:dyDescent="0.5">
      <c r="A35" s="35"/>
      <c r="B35" s="9"/>
      <c r="C35" s="9"/>
      <c r="D35" s="46"/>
      <c r="E35" s="47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8"/>
    </row>
    <row r="36" spans="1:19" x14ac:dyDescent="0.5"/>
    <row r="37" spans="1:19" x14ac:dyDescent="0.5"/>
    <row r="38" spans="1:19" x14ac:dyDescent="0.5"/>
    <row r="39" spans="1:19" x14ac:dyDescent="0.5"/>
    <row r="40" spans="1:19" x14ac:dyDescent="0.5"/>
    <row r="41" spans="1:19" x14ac:dyDescent="0.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905A-4760-1644-AE0A-1E4A51CDC3F2}">
  <dimension ref="A1:U44"/>
  <sheetViews>
    <sheetView zoomScale="70" zoomScaleNormal="70" workbookViewId="0">
      <selection activeCell="E42" sqref="E42"/>
    </sheetView>
  </sheetViews>
  <sheetFormatPr defaultColWidth="0" defaultRowHeight="0" customHeight="1" zeroHeight="1" x14ac:dyDescent="0.4"/>
  <cols>
    <col min="1" max="1" width="10.83203125" style="4" customWidth="1"/>
    <col min="2" max="2" width="27.33203125" style="4" bestFit="1" customWidth="1"/>
    <col min="3" max="3" width="11.08203125" style="4" bestFit="1" customWidth="1"/>
    <col min="4" max="6" width="11.08203125" style="82" customWidth="1"/>
    <col min="7" max="7" width="15.83203125" style="87" customWidth="1"/>
    <col min="8" max="18" width="15.83203125" style="7" customWidth="1"/>
    <col min="19" max="19" width="15.83203125" style="8" customWidth="1"/>
    <col min="20" max="21" width="10.83203125" style="4" customWidth="1"/>
    <col min="22" max="16384" width="10.83203125" style="4" hidden="1"/>
  </cols>
  <sheetData>
    <row r="1" spans="2:21" ht="16" x14ac:dyDescent="0.4"/>
    <row r="2" spans="2:21" ht="16" x14ac:dyDescent="0.4"/>
    <row r="3" spans="2:21" ht="18.5" x14ac:dyDescent="0.5">
      <c r="B3" s="9" t="s">
        <v>34</v>
      </c>
      <c r="C3" s="9"/>
      <c r="D3" s="83"/>
      <c r="E3" s="83"/>
      <c r="F3" s="83"/>
      <c r="G3" s="8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</row>
    <row r="4" spans="2:21" ht="18.5" x14ac:dyDescent="0.5">
      <c r="B4" s="9"/>
      <c r="C4" s="9"/>
      <c r="D4" s="83"/>
      <c r="E4" s="83"/>
      <c r="F4" s="83"/>
      <c r="G4" s="8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</row>
    <row r="5" spans="2:21" s="5" customFormat="1" ht="18.5" x14ac:dyDescent="0.5">
      <c r="B5" s="62"/>
      <c r="C5" s="62" t="s">
        <v>2</v>
      </c>
      <c r="D5" s="84">
        <v>2025</v>
      </c>
      <c r="E5" s="84">
        <v>2026</v>
      </c>
      <c r="F5" s="84">
        <v>2027</v>
      </c>
      <c r="G5" s="89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71">
        <f t="shared" si="0"/>
        <v>2040</v>
      </c>
      <c r="T5" s="72"/>
      <c r="U5" s="72"/>
    </row>
    <row r="6" spans="2:21" ht="18.5" x14ac:dyDescent="0.5">
      <c r="B6" s="9"/>
      <c r="C6" s="9"/>
      <c r="D6" s="83"/>
      <c r="E6" s="83"/>
      <c r="F6" s="83"/>
      <c r="G6" s="8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2:21" ht="18.5" x14ac:dyDescent="0.5">
      <c r="B7" s="9"/>
      <c r="C7" s="9"/>
      <c r="D7" s="83"/>
      <c r="E7" s="83"/>
      <c r="F7" s="83"/>
      <c r="G7" s="8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2:21" s="1" customFormat="1" ht="18.5" x14ac:dyDescent="0.5">
      <c r="B8" s="13" t="s">
        <v>14</v>
      </c>
      <c r="C8" s="13" t="s">
        <v>15</v>
      </c>
      <c r="D8" s="15">
        <v>2025</v>
      </c>
      <c r="E8" s="90">
        <v>2026</v>
      </c>
      <c r="F8" s="90">
        <v>2027</v>
      </c>
      <c r="G8" s="90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6">
        <f t="shared" si="1"/>
        <v>2040</v>
      </c>
      <c r="T8" s="4"/>
      <c r="U8" s="4"/>
    </row>
    <row r="9" spans="2:21" ht="18.5" x14ac:dyDescent="0.5">
      <c r="B9" s="9" t="s">
        <v>16</v>
      </c>
      <c r="C9" s="9"/>
      <c r="D9" s="17">
        <v>1.5</v>
      </c>
      <c r="E9" s="91">
        <v>1.5</v>
      </c>
      <c r="F9" s="91">
        <v>1.5</v>
      </c>
      <c r="G9" s="91">
        <v>1.5</v>
      </c>
      <c r="H9" s="17">
        <f>G9</f>
        <v>1.5</v>
      </c>
      <c r="I9" s="17">
        <f t="shared" ref="I9:S9" si="2">H9</f>
        <v>1.5</v>
      </c>
      <c r="J9" s="17">
        <f t="shared" si="2"/>
        <v>1.5</v>
      </c>
      <c r="K9" s="17">
        <f t="shared" si="2"/>
        <v>1.5</v>
      </c>
      <c r="L9" s="17">
        <f t="shared" si="2"/>
        <v>1.5</v>
      </c>
      <c r="M9" s="17">
        <f t="shared" si="2"/>
        <v>1.5</v>
      </c>
      <c r="N9" s="17">
        <f t="shared" si="2"/>
        <v>1.5</v>
      </c>
      <c r="O9" s="17">
        <f t="shared" si="2"/>
        <v>1.5</v>
      </c>
      <c r="P9" s="17">
        <f t="shared" si="2"/>
        <v>1.5</v>
      </c>
      <c r="Q9" s="17">
        <f t="shared" si="2"/>
        <v>1.5</v>
      </c>
      <c r="R9" s="17">
        <f t="shared" si="2"/>
        <v>1.5</v>
      </c>
      <c r="S9" s="17">
        <f t="shared" si="2"/>
        <v>1.5</v>
      </c>
    </row>
    <row r="10" spans="2:21" ht="18.5" x14ac:dyDescent="0.5">
      <c r="B10" s="9" t="s">
        <v>17</v>
      </c>
      <c r="C10" s="9"/>
      <c r="D10" s="17">
        <v>1.2</v>
      </c>
      <c r="E10" s="91">
        <v>1.2</v>
      </c>
      <c r="F10" s="91">
        <v>1.2</v>
      </c>
      <c r="G10" s="91">
        <v>1.2</v>
      </c>
      <c r="H10" s="17">
        <f>G10+($S10-$G10)/12</f>
        <v>1.1916666666666667</v>
      </c>
      <c r="I10" s="17">
        <f t="shared" ref="I10:R10" si="3">H10+($S10-$G10)/12</f>
        <v>1.1833333333333333</v>
      </c>
      <c r="J10" s="17">
        <f t="shared" si="3"/>
        <v>1.175</v>
      </c>
      <c r="K10" s="17">
        <f t="shared" si="3"/>
        <v>1.1666666666666667</v>
      </c>
      <c r="L10" s="17">
        <f t="shared" si="3"/>
        <v>1.1583333333333334</v>
      </c>
      <c r="M10" s="17">
        <f t="shared" si="3"/>
        <v>1.1500000000000001</v>
      </c>
      <c r="N10" s="17">
        <f t="shared" si="3"/>
        <v>1.1416666666666668</v>
      </c>
      <c r="O10" s="17">
        <f t="shared" si="3"/>
        <v>1.1333333333333335</v>
      </c>
      <c r="P10" s="17">
        <f t="shared" si="3"/>
        <v>1.1250000000000002</v>
      </c>
      <c r="Q10" s="17">
        <f t="shared" si="3"/>
        <v>1.1166666666666669</v>
      </c>
      <c r="R10" s="17">
        <f t="shared" si="3"/>
        <v>1.1083333333333336</v>
      </c>
      <c r="S10" s="17">
        <v>1.1000000000000001</v>
      </c>
    </row>
    <row r="11" spans="2:21" ht="18.5" x14ac:dyDescent="0.5">
      <c r="B11" s="9" t="s">
        <v>18</v>
      </c>
      <c r="C11" s="9"/>
      <c r="D11" s="17">
        <v>1.2</v>
      </c>
      <c r="E11" s="91">
        <v>1.2</v>
      </c>
      <c r="F11" s="91">
        <v>1.2</v>
      </c>
      <c r="G11" s="91">
        <v>1.2</v>
      </c>
      <c r="H11" s="17">
        <f t="shared" ref="H11:R11" si="4">G11+($S11-$G11)/12</f>
        <v>1.1916666666666667</v>
      </c>
      <c r="I11" s="17">
        <f t="shared" si="4"/>
        <v>1.1833333333333333</v>
      </c>
      <c r="J11" s="17">
        <f t="shared" si="4"/>
        <v>1.175</v>
      </c>
      <c r="K11" s="17">
        <f t="shared" si="4"/>
        <v>1.1666666666666667</v>
      </c>
      <c r="L11" s="17">
        <f t="shared" si="4"/>
        <v>1.1583333333333334</v>
      </c>
      <c r="M11" s="17">
        <f t="shared" si="4"/>
        <v>1.1500000000000001</v>
      </c>
      <c r="N11" s="17">
        <f t="shared" si="4"/>
        <v>1.1416666666666668</v>
      </c>
      <c r="O11" s="17">
        <f t="shared" si="4"/>
        <v>1.1333333333333335</v>
      </c>
      <c r="P11" s="17">
        <f t="shared" si="4"/>
        <v>1.1250000000000002</v>
      </c>
      <c r="Q11" s="17">
        <f t="shared" si="4"/>
        <v>1.1166666666666669</v>
      </c>
      <c r="R11" s="17">
        <f t="shared" si="4"/>
        <v>1.1083333333333336</v>
      </c>
      <c r="S11" s="17">
        <v>1.1000000000000001</v>
      </c>
    </row>
    <row r="12" spans="2:21" ht="18.5" x14ac:dyDescent="0.5">
      <c r="B12" s="9" t="s">
        <v>19</v>
      </c>
      <c r="C12" s="9"/>
      <c r="D12" s="17">
        <v>1.3</v>
      </c>
      <c r="E12" s="91">
        <v>1.3</v>
      </c>
      <c r="F12" s="91">
        <v>1.3</v>
      </c>
      <c r="G12" s="91">
        <v>1.3</v>
      </c>
      <c r="H12" s="17">
        <f t="shared" ref="H12:R12" si="5">G12+($S12-$G12)/12</f>
        <v>1.2833333333333334</v>
      </c>
      <c r="I12" s="17">
        <f t="shared" si="5"/>
        <v>1.2666666666666668</v>
      </c>
      <c r="J12" s="17">
        <f t="shared" si="5"/>
        <v>1.2500000000000002</v>
      </c>
      <c r="K12" s="17">
        <f t="shared" si="5"/>
        <v>1.2333333333333336</v>
      </c>
      <c r="L12" s="17">
        <f t="shared" si="5"/>
        <v>1.216666666666667</v>
      </c>
      <c r="M12" s="17">
        <f t="shared" si="5"/>
        <v>1.2000000000000004</v>
      </c>
      <c r="N12" s="17">
        <f t="shared" si="5"/>
        <v>1.1833333333333338</v>
      </c>
      <c r="O12" s="17">
        <f t="shared" si="5"/>
        <v>1.1666666666666672</v>
      </c>
      <c r="P12" s="17">
        <f t="shared" si="5"/>
        <v>1.1500000000000006</v>
      </c>
      <c r="Q12" s="17">
        <f t="shared" si="5"/>
        <v>1.133333333333334</v>
      </c>
      <c r="R12" s="17">
        <f t="shared" si="5"/>
        <v>1.1166666666666674</v>
      </c>
      <c r="S12" s="17">
        <v>1.1000000000000001</v>
      </c>
    </row>
    <row r="13" spans="2:21" ht="18.5" x14ac:dyDescent="0.5">
      <c r="B13" s="9"/>
      <c r="C13" s="9"/>
      <c r="D13" s="83"/>
      <c r="E13" s="83"/>
      <c r="F13" s="83"/>
      <c r="G13" s="8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2:21" s="2" customFormat="1" ht="18.5" x14ac:dyDescent="0.5">
      <c r="B14" s="19" t="s">
        <v>5</v>
      </c>
      <c r="C14" s="19"/>
      <c r="D14" s="86"/>
      <c r="E14" s="86"/>
      <c r="F14" s="86"/>
      <c r="G14" s="9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4"/>
      <c r="U14" s="4"/>
    </row>
    <row r="15" spans="2:21" ht="18.5" x14ac:dyDescent="0.5">
      <c r="B15" s="9" t="s">
        <v>20</v>
      </c>
      <c r="C15" s="9"/>
      <c r="D15" s="17">
        <v>1.1000000000000001</v>
      </c>
      <c r="E15" s="91">
        <v>1.1000000000000001</v>
      </c>
      <c r="F15" s="91">
        <v>1.1000000000000001</v>
      </c>
      <c r="G15" s="91">
        <v>1.1000000000000001</v>
      </c>
      <c r="H15" s="17">
        <f>G15+($S15-$G15)/12</f>
        <v>1.0916666666666668</v>
      </c>
      <c r="I15" s="17">
        <f t="shared" ref="I15:R15" si="6">H15+($S15-$G15)/12</f>
        <v>1.0833333333333335</v>
      </c>
      <c r="J15" s="17">
        <f t="shared" si="6"/>
        <v>1.0750000000000002</v>
      </c>
      <c r="K15" s="17">
        <f t="shared" si="6"/>
        <v>1.0666666666666669</v>
      </c>
      <c r="L15" s="17">
        <f t="shared" si="6"/>
        <v>1.0583333333333336</v>
      </c>
      <c r="M15" s="17">
        <f t="shared" si="6"/>
        <v>1.0500000000000003</v>
      </c>
      <c r="N15" s="17">
        <f t="shared" si="6"/>
        <v>1.041666666666667</v>
      </c>
      <c r="O15" s="17">
        <f t="shared" si="6"/>
        <v>1.0333333333333337</v>
      </c>
      <c r="P15" s="17">
        <f t="shared" si="6"/>
        <v>1.0250000000000004</v>
      </c>
      <c r="Q15" s="17">
        <f t="shared" si="6"/>
        <v>1.0166666666666671</v>
      </c>
      <c r="R15" s="17">
        <f t="shared" si="6"/>
        <v>1.0083333333333337</v>
      </c>
      <c r="S15" s="18">
        <v>1</v>
      </c>
    </row>
    <row r="16" spans="2:21" ht="18.5" x14ac:dyDescent="0.5">
      <c r="B16" s="9" t="s">
        <v>21</v>
      </c>
      <c r="C16" s="9"/>
      <c r="D16" s="17">
        <v>1.1000000000000001</v>
      </c>
      <c r="E16" s="91">
        <v>1.1000000000000001</v>
      </c>
      <c r="F16" s="91">
        <v>1.1000000000000001</v>
      </c>
      <c r="G16" s="91">
        <v>1.1000000000000001</v>
      </c>
      <c r="H16" s="17">
        <f t="shared" ref="H16:R16" si="7">G16+($S16-$G16)/12</f>
        <v>1.0916666666666668</v>
      </c>
      <c r="I16" s="17">
        <f t="shared" si="7"/>
        <v>1.0833333333333335</v>
      </c>
      <c r="J16" s="17">
        <f t="shared" si="7"/>
        <v>1.0750000000000002</v>
      </c>
      <c r="K16" s="17">
        <f t="shared" si="7"/>
        <v>1.0666666666666669</v>
      </c>
      <c r="L16" s="17">
        <f t="shared" si="7"/>
        <v>1.0583333333333336</v>
      </c>
      <c r="M16" s="17">
        <f t="shared" si="7"/>
        <v>1.0500000000000003</v>
      </c>
      <c r="N16" s="17">
        <f t="shared" si="7"/>
        <v>1.041666666666667</v>
      </c>
      <c r="O16" s="17">
        <f t="shared" si="7"/>
        <v>1.0333333333333337</v>
      </c>
      <c r="P16" s="17">
        <f t="shared" si="7"/>
        <v>1.0250000000000004</v>
      </c>
      <c r="Q16" s="17">
        <f t="shared" si="7"/>
        <v>1.0166666666666671</v>
      </c>
      <c r="R16" s="17">
        <f t="shared" si="7"/>
        <v>1.0083333333333337</v>
      </c>
      <c r="S16" s="18">
        <v>1</v>
      </c>
    </row>
    <row r="17" spans="1:21" ht="18.5" x14ac:dyDescent="0.5">
      <c r="B17" s="9" t="s">
        <v>22</v>
      </c>
      <c r="C17" s="9"/>
      <c r="D17" s="17">
        <v>1.1000000000000001</v>
      </c>
      <c r="E17" s="91">
        <v>1.1000000000000001</v>
      </c>
      <c r="F17" s="91">
        <v>1.1000000000000001</v>
      </c>
      <c r="G17" s="91">
        <v>1.1000000000000001</v>
      </c>
      <c r="H17" s="17">
        <f t="shared" ref="H17:R17" si="8">G17+($S17-$G17)/12</f>
        <v>1.0916666666666668</v>
      </c>
      <c r="I17" s="17">
        <f t="shared" si="8"/>
        <v>1.0833333333333335</v>
      </c>
      <c r="J17" s="17">
        <f t="shared" si="8"/>
        <v>1.0750000000000002</v>
      </c>
      <c r="K17" s="17">
        <f t="shared" si="8"/>
        <v>1.0666666666666669</v>
      </c>
      <c r="L17" s="17">
        <f t="shared" si="8"/>
        <v>1.0583333333333336</v>
      </c>
      <c r="M17" s="17">
        <f t="shared" si="8"/>
        <v>1.0500000000000003</v>
      </c>
      <c r="N17" s="17">
        <f t="shared" si="8"/>
        <v>1.041666666666667</v>
      </c>
      <c r="O17" s="17">
        <f t="shared" si="8"/>
        <v>1.0333333333333337</v>
      </c>
      <c r="P17" s="17">
        <f t="shared" si="8"/>
        <v>1.0250000000000004</v>
      </c>
      <c r="Q17" s="17">
        <f t="shared" si="8"/>
        <v>1.0166666666666671</v>
      </c>
      <c r="R17" s="17">
        <f t="shared" si="8"/>
        <v>1.0083333333333337</v>
      </c>
      <c r="S17" s="17">
        <v>1</v>
      </c>
    </row>
    <row r="18" spans="1:21" ht="18.5" x14ac:dyDescent="0.5">
      <c r="B18" s="9" t="s">
        <v>23</v>
      </c>
      <c r="C18" s="9"/>
      <c r="D18" s="17">
        <v>1.1000000000000001</v>
      </c>
      <c r="E18" s="91">
        <v>1.1000000000000001</v>
      </c>
      <c r="F18" s="91">
        <v>1.1000000000000001</v>
      </c>
      <c r="G18" s="91">
        <v>1.1000000000000001</v>
      </c>
      <c r="H18" s="17">
        <f t="shared" ref="H18:R18" si="9">G18+($S18-$G18)/12</f>
        <v>1.0916666666666668</v>
      </c>
      <c r="I18" s="17">
        <f t="shared" si="9"/>
        <v>1.0833333333333335</v>
      </c>
      <c r="J18" s="17">
        <f t="shared" si="9"/>
        <v>1.0750000000000002</v>
      </c>
      <c r="K18" s="17">
        <f t="shared" si="9"/>
        <v>1.0666666666666669</v>
      </c>
      <c r="L18" s="17">
        <f t="shared" si="9"/>
        <v>1.0583333333333336</v>
      </c>
      <c r="M18" s="17">
        <f t="shared" si="9"/>
        <v>1.0500000000000003</v>
      </c>
      <c r="N18" s="17">
        <f t="shared" si="9"/>
        <v>1.041666666666667</v>
      </c>
      <c r="O18" s="17">
        <f t="shared" si="9"/>
        <v>1.0333333333333337</v>
      </c>
      <c r="P18" s="17">
        <f t="shared" si="9"/>
        <v>1.0250000000000004</v>
      </c>
      <c r="Q18" s="17">
        <f t="shared" si="9"/>
        <v>1.0166666666666671</v>
      </c>
      <c r="R18" s="17">
        <f t="shared" si="9"/>
        <v>1.0083333333333337</v>
      </c>
      <c r="S18" s="17">
        <v>1</v>
      </c>
    </row>
    <row r="19" spans="1:21" ht="18.5" x14ac:dyDescent="0.5">
      <c r="B19" s="9" t="s">
        <v>24</v>
      </c>
      <c r="C19" s="9"/>
      <c r="D19" s="17">
        <v>1.2</v>
      </c>
      <c r="E19" s="91">
        <v>1.2</v>
      </c>
      <c r="F19" s="91">
        <v>1.2</v>
      </c>
      <c r="G19" s="91">
        <v>1.2</v>
      </c>
      <c r="H19" s="17">
        <f>G19</f>
        <v>1.2</v>
      </c>
      <c r="I19" s="17">
        <f t="shared" ref="I19:S19" si="10">H19</f>
        <v>1.2</v>
      </c>
      <c r="J19" s="17">
        <f t="shared" si="10"/>
        <v>1.2</v>
      </c>
      <c r="K19" s="17">
        <f t="shared" si="10"/>
        <v>1.2</v>
      </c>
      <c r="L19" s="17">
        <f t="shared" si="10"/>
        <v>1.2</v>
      </c>
      <c r="M19" s="17">
        <f t="shared" si="10"/>
        <v>1.2</v>
      </c>
      <c r="N19" s="17">
        <f t="shared" si="10"/>
        <v>1.2</v>
      </c>
      <c r="O19" s="17">
        <f t="shared" si="10"/>
        <v>1.2</v>
      </c>
      <c r="P19" s="17">
        <f t="shared" si="10"/>
        <v>1.2</v>
      </c>
      <c r="Q19" s="17">
        <f t="shared" si="10"/>
        <v>1.2</v>
      </c>
      <c r="R19" s="17">
        <f t="shared" si="10"/>
        <v>1.2</v>
      </c>
      <c r="S19" s="17">
        <f t="shared" si="10"/>
        <v>1.2</v>
      </c>
    </row>
    <row r="20" spans="1:21" ht="18.5" x14ac:dyDescent="0.5">
      <c r="B20" s="9"/>
      <c r="C20" s="9"/>
      <c r="D20" s="83"/>
      <c r="E20" s="83"/>
      <c r="F20" s="83"/>
      <c r="G20" s="9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1:21" ht="18.5" x14ac:dyDescent="0.5">
      <c r="B21" s="19" t="s">
        <v>25</v>
      </c>
      <c r="C21" s="19"/>
      <c r="D21" s="86"/>
      <c r="E21" s="86"/>
      <c r="F21" s="86"/>
      <c r="G21" s="9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</row>
    <row r="22" spans="1:21" ht="18.5" x14ac:dyDescent="0.5">
      <c r="A22" s="6"/>
      <c r="B22" s="9" t="s">
        <v>26</v>
      </c>
      <c r="C22" s="9"/>
      <c r="D22" s="17">
        <v>1</v>
      </c>
      <c r="E22" s="91">
        <v>1</v>
      </c>
      <c r="F22" s="91">
        <v>1</v>
      </c>
      <c r="G22" s="91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8">
        <v>1</v>
      </c>
    </row>
    <row r="23" spans="1:21" ht="18.5" x14ac:dyDescent="0.5">
      <c r="B23" s="9"/>
      <c r="C23" s="9"/>
      <c r="D23" s="83"/>
      <c r="E23" s="83"/>
      <c r="F23" s="83"/>
      <c r="G23" s="8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1" s="2" customFormat="1" ht="18.5" x14ac:dyDescent="0.5">
      <c r="B24" s="19" t="s">
        <v>27</v>
      </c>
      <c r="C24" s="19"/>
      <c r="D24" s="86"/>
      <c r="E24" s="86"/>
      <c r="F24" s="86"/>
      <c r="G24" s="9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4"/>
      <c r="U24" s="4"/>
    </row>
    <row r="25" spans="1:21" ht="18.5" x14ac:dyDescent="0.5">
      <c r="B25" s="9" t="s">
        <v>28</v>
      </c>
      <c r="C25" s="9"/>
      <c r="D25" s="17">
        <v>1</v>
      </c>
      <c r="E25" s="91">
        <v>1</v>
      </c>
      <c r="F25" s="91">
        <v>1</v>
      </c>
      <c r="G25" s="91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1</v>
      </c>
    </row>
    <row r="26" spans="1:21" ht="18.5" x14ac:dyDescent="0.5">
      <c r="B26" s="9"/>
      <c r="C26" s="9"/>
      <c r="D26" s="83"/>
      <c r="E26" s="83"/>
      <c r="F26" s="83"/>
      <c r="G26" s="8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21" ht="18.5" x14ac:dyDescent="0.5">
      <c r="B27" s="19" t="s">
        <v>9</v>
      </c>
      <c r="C27" s="19"/>
      <c r="D27" s="86"/>
      <c r="E27" s="86"/>
      <c r="F27" s="86"/>
      <c r="G27" s="9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</row>
    <row r="28" spans="1:21" ht="18.5" x14ac:dyDescent="0.5">
      <c r="A28" s="6"/>
      <c r="B28" s="9" t="s">
        <v>29</v>
      </c>
      <c r="C28" s="9"/>
      <c r="D28" s="17">
        <v>1.4</v>
      </c>
      <c r="E28" s="91">
        <v>1.4</v>
      </c>
      <c r="F28" s="91">
        <v>1.4</v>
      </c>
      <c r="G28" s="91">
        <v>1.4</v>
      </c>
      <c r="H28" s="17">
        <f>G28+($S28-$G28)/12</f>
        <v>1.3833333333333333</v>
      </c>
      <c r="I28" s="17">
        <f t="shared" ref="I28:R28" si="11">H28+($S28-$G28)/12</f>
        <v>1.3666666666666667</v>
      </c>
      <c r="J28" s="17">
        <f t="shared" si="11"/>
        <v>1.35</v>
      </c>
      <c r="K28" s="17">
        <f t="shared" si="11"/>
        <v>1.3333333333333335</v>
      </c>
      <c r="L28" s="17">
        <f t="shared" si="11"/>
        <v>1.3166666666666669</v>
      </c>
      <c r="M28" s="17">
        <f t="shared" si="11"/>
        <v>1.3000000000000003</v>
      </c>
      <c r="N28" s="17">
        <f t="shared" si="11"/>
        <v>1.2833333333333337</v>
      </c>
      <c r="O28" s="17">
        <f t="shared" si="11"/>
        <v>1.2666666666666671</v>
      </c>
      <c r="P28" s="17">
        <f t="shared" si="11"/>
        <v>1.2500000000000004</v>
      </c>
      <c r="Q28" s="17">
        <f t="shared" si="11"/>
        <v>1.2333333333333338</v>
      </c>
      <c r="R28" s="17">
        <f t="shared" si="11"/>
        <v>1.2166666666666672</v>
      </c>
      <c r="S28" s="18">
        <v>1.2</v>
      </c>
    </row>
    <row r="29" spans="1:21" ht="18.5" x14ac:dyDescent="0.5">
      <c r="B29" s="9" t="s">
        <v>30</v>
      </c>
      <c r="C29" s="9"/>
      <c r="D29" s="17">
        <v>1.6</v>
      </c>
      <c r="E29" s="91">
        <v>1.6</v>
      </c>
      <c r="F29" s="91">
        <v>1.6</v>
      </c>
      <c r="G29" s="91">
        <v>1.6</v>
      </c>
      <c r="H29" s="17">
        <f t="shared" ref="H29:R29" si="12">G29+($S29-$G29)/12</f>
        <v>1.5708333333333333</v>
      </c>
      <c r="I29" s="17">
        <f t="shared" si="12"/>
        <v>1.5416666666666665</v>
      </c>
      <c r="J29" s="17">
        <f t="shared" si="12"/>
        <v>1.5124999999999997</v>
      </c>
      <c r="K29" s="17">
        <f t="shared" si="12"/>
        <v>1.4833333333333329</v>
      </c>
      <c r="L29" s="17">
        <f t="shared" si="12"/>
        <v>1.4541666666666662</v>
      </c>
      <c r="M29" s="17">
        <f t="shared" si="12"/>
        <v>1.4249999999999994</v>
      </c>
      <c r="N29" s="17">
        <f t="shared" si="12"/>
        <v>1.3958333333333326</v>
      </c>
      <c r="O29" s="17">
        <f t="shared" si="12"/>
        <v>1.3666666666666658</v>
      </c>
      <c r="P29" s="17">
        <f t="shared" si="12"/>
        <v>1.337499999999999</v>
      </c>
      <c r="Q29" s="17">
        <f t="shared" si="12"/>
        <v>1.3083333333333322</v>
      </c>
      <c r="R29" s="17">
        <f t="shared" si="12"/>
        <v>1.2791666666666655</v>
      </c>
      <c r="S29" s="18">
        <v>1.25</v>
      </c>
    </row>
    <row r="30" spans="1:21" ht="18.5" x14ac:dyDescent="0.5">
      <c r="B30" s="9" t="s">
        <v>31</v>
      </c>
      <c r="C30" s="9"/>
      <c r="D30" s="17">
        <v>1.6</v>
      </c>
      <c r="E30" s="91">
        <v>1.6</v>
      </c>
      <c r="F30" s="91">
        <v>1.6</v>
      </c>
      <c r="G30" s="91">
        <v>1.6</v>
      </c>
      <c r="H30" s="17">
        <f t="shared" ref="H30" si="13">G30+($S30-$G30)/12</f>
        <v>1.5708333333333333</v>
      </c>
      <c r="I30" s="17">
        <f t="shared" ref="I30" si="14">H30+($S30-$G30)/12</f>
        <v>1.5416666666666665</v>
      </c>
      <c r="J30" s="17">
        <f t="shared" ref="J30" si="15">I30+($S30-$G30)/12</f>
        <v>1.5124999999999997</v>
      </c>
      <c r="K30" s="17">
        <f t="shared" ref="K30" si="16">J30+($S30-$G30)/12</f>
        <v>1.4833333333333329</v>
      </c>
      <c r="L30" s="17">
        <f t="shared" ref="L30" si="17">K30+($S30-$G30)/12</f>
        <v>1.4541666666666662</v>
      </c>
      <c r="M30" s="17">
        <f t="shared" ref="M30" si="18">L30+($S30-$G30)/12</f>
        <v>1.4249999999999994</v>
      </c>
      <c r="N30" s="17">
        <f t="shared" ref="N30" si="19">M30+($S30-$G30)/12</f>
        <v>1.3958333333333326</v>
      </c>
      <c r="O30" s="17">
        <f t="shared" ref="O30" si="20">N30+($S30-$G30)/12</f>
        <v>1.3666666666666658</v>
      </c>
      <c r="P30" s="17">
        <f t="shared" ref="P30" si="21">O30+($S30-$G30)/12</f>
        <v>1.337499999999999</v>
      </c>
      <c r="Q30" s="17">
        <f t="shared" ref="Q30" si="22">P30+($S30-$G30)/12</f>
        <v>1.3083333333333322</v>
      </c>
      <c r="R30" s="17">
        <f t="shared" ref="R30" si="23">Q30+($S30-$G30)/12</f>
        <v>1.2791666666666655</v>
      </c>
      <c r="S30" s="18">
        <v>1.25</v>
      </c>
    </row>
    <row r="31" spans="1:21" ht="16" x14ac:dyDescent="0.4"/>
    <row r="32" spans="1:21" s="2" customFormat="1" ht="16" x14ac:dyDescent="0.4">
      <c r="A32" s="3"/>
      <c r="B32" s="4"/>
      <c r="C32" s="4"/>
      <c r="D32" s="82"/>
      <c r="E32" s="82"/>
      <c r="F32" s="82"/>
      <c r="G32" s="8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8"/>
      <c r="T32" s="4"/>
      <c r="U32" s="4"/>
    </row>
    <row r="33" spans="1:21" ht="16" x14ac:dyDescent="0.4"/>
    <row r="34" spans="1:21" ht="16" x14ac:dyDescent="0.4"/>
    <row r="35" spans="1:21" s="2" customFormat="1" ht="16" x14ac:dyDescent="0.4">
      <c r="A35" s="3"/>
      <c r="B35" s="4"/>
      <c r="C35" s="4"/>
      <c r="D35" s="82"/>
      <c r="E35" s="82"/>
      <c r="F35" s="82"/>
      <c r="G35" s="8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8"/>
      <c r="T35" s="4"/>
      <c r="U35" s="4"/>
    </row>
    <row r="36" spans="1:21" ht="16" x14ac:dyDescent="0.4"/>
    <row r="37" spans="1:21" ht="16" x14ac:dyDescent="0.4"/>
    <row r="38" spans="1:21" ht="16" x14ac:dyDescent="0.4"/>
    <row r="39" spans="1:21" ht="16" x14ac:dyDescent="0.4"/>
    <row r="40" spans="1:21" ht="16" x14ac:dyDescent="0.4"/>
    <row r="41" spans="1:21" s="2" customFormat="1" ht="16" x14ac:dyDescent="0.4">
      <c r="A41" s="3"/>
      <c r="B41" s="4"/>
      <c r="C41" s="4"/>
      <c r="D41" s="82"/>
      <c r="E41" s="82"/>
      <c r="F41" s="82"/>
      <c r="G41" s="8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8"/>
      <c r="T41" s="4"/>
      <c r="U41" s="4"/>
    </row>
    <row r="42" spans="1:21" ht="16" x14ac:dyDescent="0.4"/>
    <row r="43" spans="1:21" ht="16" x14ac:dyDescent="0.4"/>
    <row r="44" spans="1:21" ht="16" x14ac:dyDescent="0.4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D1F2-8968-4343-8F74-6544A10B23EA}">
  <dimension ref="A1:X44"/>
  <sheetViews>
    <sheetView topLeftCell="A7" zoomScale="85" zoomScaleNormal="85" workbookViewId="0">
      <selection activeCell="I22" sqref="I22"/>
    </sheetView>
  </sheetViews>
  <sheetFormatPr defaultColWidth="0" defaultRowHeight="18.5" zeroHeight="1" x14ac:dyDescent="0.5"/>
  <cols>
    <col min="1" max="1" width="10.83203125" style="9" customWidth="1"/>
    <col min="2" max="2" width="27.33203125" style="9" bestFit="1" customWidth="1"/>
    <col min="3" max="3" width="13.33203125" style="9" bestFit="1" customWidth="1"/>
    <col min="4" max="4" width="15.83203125" style="96" customWidth="1"/>
    <col min="5" max="7" width="15.83203125" style="88" customWidth="1"/>
    <col min="8" max="18" width="15.83203125" style="11" customWidth="1"/>
    <col min="19" max="19" width="15.83203125" style="12" customWidth="1"/>
    <col min="20" max="21" width="10.83203125" style="9" customWidth="1"/>
    <col min="22" max="24" width="0" style="9" hidden="1" customWidth="1"/>
    <col min="25" max="16384" width="10.83203125" style="9" hidden="1"/>
  </cols>
  <sheetData>
    <row r="1" spans="2:19" x14ac:dyDescent="0.5"/>
    <row r="2" spans="2:19" x14ac:dyDescent="0.5"/>
    <row r="3" spans="2:19" x14ac:dyDescent="0.5">
      <c r="B3" s="9" t="s">
        <v>11</v>
      </c>
    </row>
    <row r="4" spans="2:19" x14ac:dyDescent="0.5"/>
    <row r="5" spans="2:19" s="62" customFormat="1" x14ac:dyDescent="0.5">
      <c r="C5" s="62" t="s">
        <v>2</v>
      </c>
      <c r="D5" s="97">
        <v>2025</v>
      </c>
      <c r="E5" s="89">
        <v>2026</v>
      </c>
      <c r="F5" s="89">
        <v>2027</v>
      </c>
      <c r="G5" s="89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71">
        <f t="shared" si="0"/>
        <v>2040</v>
      </c>
    </row>
    <row r="6" spans="2:19" x14ac:dyDescent="0.5"/>
    <row r="7" spans="2:19" x14ac:dyDescent="0.5"/>
    <row r="8" spans="2:19" s="13" customFormat="1" x14ac:dyDescent="0.5">
      <c r="B8" s="13" t="s">
        <v>14</v>
      </c>
      <c r="C8" s="13" t="s">
        <v>15</v>
      </c>
      <c r="D8" s="98">
        <v>2025</v>
      </c>
      <c r="E8" s="90">
        <v>2026</v>
      </c>
      <c r="F8" s="90">
        <v>2027</v>
      </c>
      <c r="G8" s="90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6">
        <f t="shared" si="1"/>
        <v>2040</v>
      </c>
    </row>
    <row r="9" spans="2:19" x14ac:dyDescent="0.5">
      <c r="B9" s="9" t="s">
        <v>16</v>
      </c>
      <c r="C9" s="9" t="s">
        <v>11</v>
      </c>
      <c r="D9" s="99">
        <f t="shared" ref="D9:F9" si="2">D10</f>
        <v>8</v>
      </c>
      <c r="E9" s="94">
        <f t="shared" si="2"/>
        <v>7.6</v>
      </c>
      <c r="F9" s="94">
        <f t="shared" si="2"/>
        <v>7.1999999999999993</v>
      </c>
      <c r="G9" s="94">
        <f>G10</f>
        <v>6.7999999999999989</v>
      </c>
      <c r="H9" s="53">
        <f t="shared" ref="H9:S9" si="3">H10</f>
        <v>6.3999999999999986</v>
      </c>
      <c r="I9" s="53">
        <f t="shared" si="3"/>
        <v>6</v>
      </c>
      <c r="J9" s="53">
        <f t="shared" si="3"/>
        <v>5.9</v>
      </c>
      <c r="K9" s="53">
        <f t="shared" si="3"/>
        <v>5.8000000000000007</v>
      </c>
      <c r="L9" s="53">
        <f t="shared" si="3"/>
        <v>5.7000000000000011</v>
      </c>
      <c r="M9" s="53">
        <f t="shared" si="3"/>
        <v>5.6000000000000014</v>
      </c>
      <c r="N9" s="53">
        <f t="shared" si="3"/>
        <v>5.5000000000000018</v>
      </c>
      <c r="O9" s="53">
        <f t="shared" si="3"/>
        <v>5.4000000000000021</v>
      </c>
      <c r="P9" s="53">
        <f t="shared" si="3"/>
        <v>5.3000000000000025</v>
      </c>
      <c r="Q9" s="53">
        <f t="shared" si="3"/>
        <v>5.2000000000000028</v>
      </c>
      <c r="R9" s="53">
        <f t="shared" si="3"/>
        <v>5.1000000000000032</v>
      </c>
      <c r="S9" s="53">
        <f t="shared" si="3"/>
        <v>5</v>
      </c>
    </row>
    <row r="10" spans="2:19" x14ac:dyDescent="0.5">
      <c r="B10" s="9" t="s">
        <v>17</v>
      </c>
      <c r="C10" s="9" t="s">
        <v>11</v>
      </c>
      <c r="D10" s="101">
        <v>8</v>
      </c>
      <c r="E10" s="93">
        <v>7.6</v>
      </c>
      <c r="F10" s="93">
        <v>7.1999999999999993</v>
      </c>
      <c r="G10" s="93">
        <v>6.7999999999999989</v>
      </c>
      <c r="H10" s="22">
        <v>6.3999999999999986</v>
      </c>
      <c r="I10" s="22">
        <v>6</v>
      </c>
      <c r="J10" s="22">
        <v>5.9</v>
      </c>
      <c r="K10" s="22">
        <v>5.8000000000000007</v>
      </c>
      <c r="L10" s="22">
        <v>5.7000000000000011</v>
      </c>
      <c r="M10" s="22">
        <v>5.6000000000000014</v>
      </c>
      <c r="N10" s="22">
        <v>5.5000000000000018</v>
      </c>
      <c r="O10" s="22">
        <v>5.4000000000000021</v>
      </c>
      <c r="P10" s="22">
        <v>5.3000000000000025</v>
      </c>
      <c r="Q10" s="22">
        <v>5.2000000000000028</v>
      </c>
      <c r="R10" s="22">
        <v>5.1000000000000032</v>
      </c>
      <c r="S10" s="23">
        <v>5</v>
      </c>
    </row>
    <row r="11" spans="2:19" x14ac:dyDescent="0.5">
      <c r="B11" s="9" t="s">
        <v>18</v>
      </c>
      <c r="C11" s="9" t="s">
        <v>11</v>
      </c>
      <c r="D11" s="101">
        <v>6</v>
      </c>
      <c r="E11" s="93">
        <v>6</v>
      </c>
      <c r="F11" s="93">
        <v>6</v>
      </c>
      <c r="G11" s="93">
        <v>6</v>
      </c>
      <c r="H11" s="22">
        <v>6</v>
      </c>
      <c r="I11" s="22">
        <v>6</v>
      </c>
      <c r="J11" s="22">
        <v>5.9</v>
      </c>
      <c r="K11" s="22">
        <v>5.8000000000000007</v>
      </c>
      <c r="L11" s="22">
        <v>5.7000000000000011</v>
      </c>
      <c r="M11" s="22">
        <v>5.6000000000000014</v>
      </c>
      <c r="N11" s="22">
        <v>5.5000000000000018</v>
      </c>
      <c r="O11" s="22">
        <v>5.4000000000000021</v>
      </c>
      <c r="P11" s="22">
        <v>5.3000000000000025</v>
      </c>
      <c r="Q11" s="22">
        <v>5.2000000000000028</v>
      </c>
      <c r="R11" s="22">
        <v>5.1000000000000032</v>
      </c>
      <c r="S11" s="23">
        <v>5</v>
      </c>
    </row>
    <row r="12" spans="2:19" x14ac:dyDescent="0.5">
      <c r="B12" s="9" t="s">
        <v>19</v>
      </c>
      <c r="C12" s="9" t="s">
        <v>11</v>
      </c>
      <c r="D12" s="99">
        <v>30</v>
      </c>
      <c r="E12" s="94">
        <v>28</v>
      </c>
      <c r="F12" s="94">
        <v>26</v>
      </c>
      <c r="G12" s="94">
        <v>24</v>
      </c>
      <c r="H12" s="53">
        <v>22</v>
      </c>
      <c r="I12" s="53">
        <v>20</v>
      </c>
      <c r="J12" s="53">
        <v>19.8</v>
      </c>
      <c r="K12" s="53">
        <v>19.600000000000001</v>
      </c>
      <c r="L12" s="53">
        <v>19.400000000000002</v>
      </c>
      <c r="M12" s="53">
        <v>19.200000000000003</v>
      </c>
      <c r="N12" s="53">
        <v>19.000000000000004</v>
      </c>
      <c r="O12" s="53">
        <v>18.800000000000004</v>
      </c>
      <c r="P12" s="53">
        <v>18.600000000000005</v>
      </c>
      <c r="Q12" s="53">
        <v>18.400000000000006</v>
      </c>
      <c r="R12" s="53">
        <v>18.200000000000006</v>
      </c>
      <c r="S12" s="54">
        <v>18</v>
      </c>
    </row>
    <row r="13" spans="2:19" x14ac:dyDescent="0.5"/>
    <row r="14" spans="2:19" s="19" customFormat="1" x14ac:dyDescent="0.5">
      <c r="B14" s="19" t="s">
        <v>5</v>
      </c>
      <c r="D14" s="100"/>
      <c r="E14" s="92"/>
      <c r="F14" s="92"/>
      <c r="G14" s="9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</row>
    <row r="15" spans="2:19" x14ac:dyDescent="0.5">
      <c r="B15" s="9" t="s">
        <v>20</v>
      </c>
      <c r="C15" s="9" t="s">
        <v>11</v>
      </c>
      <c r="D15" s="101">
        <v>22</v>
      </c>
      <c r="E15" s="93">
        <v>22</v>
      </c>
      <c r="F15" s="93">
        <v>22</v>
      </c>
      <c r="G15" s="93">
        <v>22</v>
      </c>
      <c r="H15" s="22">
        <f t="shared" ref="H15:R15" si="4">G15+($S15-$G15)/12</f>
        <v>21.25</v>
      </c>
      <c r="I15" s="22">
        <f t="shared" si="4"/>
        <v>20.5</v>
      </c>
      <c r="J15" s="22">
        <f t="shared" si="4"/>
        <v>19.75</v>
      </c>
      <c r="K15" s="22">
        <f t="shared" si="4"/>
        <v>19</v>
      </c>
      <c r="L15" s="22">
        <f t="shared" si="4"/>
        <v>18.25</v>
      </c>
      <c r="M15" s="22">
        <f t="shared" si="4"/>
        <v>17.5</v>
      </c>
      <c r="N15" s="22">
        <f t="shared" si="4"/>
        <v>16.75</v>
      </c>
      <c r="O15" s="22">
        <f t="shared" si="4"/>
        <v>16</v>
      </c>
      <c r="P15" s="22">
        <f t="shared" si="4"/>
        <v>15.25</v>
      </c>
      <c r="Q15" s="22">
        <f t="shared" si="4"/>
        <v>14.5</v>
      </c>
      <c r="R15" s="22">
        <f t="shared" si="4"/>
        <v>13.75</v>
      </c>
      <c r="S15" s="23">
        <v>13</v>
      </c>
    </row>
    <row r="16" spans="2:19" x14ac:dyDescent="0.5">
      <c r="B16" s="9" t="s">
        <v>21</v>
      </c>
      <c r="C16" s="9" t="s">
        <v>11</v>
      </c>
      <c r="D16" s="101">
        <v>17</v>
      </c>
      <c r="E16" s="93">
        <v>17</v>
      </c>
      <c r="F16" s="93">
        <v>17</v>
      </c>
      <c r="G16" s="93">
        <v>17</v>
      </c>
      <c r="H16" s="22">
        <f t="shared" ref="H16:R16" si="5">G16+($S16-$G16)/12</f>
        <v>16.416666666666668</v>
      </c>
      <c r="I16" s="22">
        <f t="shared" si="5"/>
        <v>15.833333333333334</v>
      </c>
      <c r="J16" s="22">
        <f t="shared" si="5"/>
        <v>15.25</v>
      </c>
      <c r="K16" s="22">
        <f t="shared" si="5"/>
        <v>14.666666666666666</v>
      </c>
      <c r="L16" s="22">
        <f t="shared" si="5"/>
        <v>14.083333333333332</v>
      </c>
      <c r="M16" s="22">
        <f t="shared" si="5"/>
        <v>13.499999999999998</v>
      </c>
      <c r="N16" s="22">
        <f t="shared" si="5"/>
        <v>12.916666666666664</v>
      </c>
      <c r="O16" s="22">
        <f t="shared" si="5"/>
        <v>12.33333333333333</v>
      </c>
      <c r="P16" s="22">
        <f t="shared" si="5"/>
        <v>11.749999999999996</v>
      </c>
      <c r="Q16" s="22">
        <f t="shared" si="5"/>
        <v>11.166666666666663</v>
      </c>
      <c r="R16" s="22">
        <f t="shared" si="5"/>
        <v>10.583333333333329</v>
      </c>
      <c r="S16" s="23">
        <v>10</v>
      </c>
    </row>
    <row r="17" spans="2:19" x14ac:dyDescent="0.5">
      <c r="B17" s="9" t="s">
        <v>22</v>
      </c>
      <c r="C17" s="9" t="s">
        <v>11</v>
      </c>
      <c r="D17" s="101">
        <v>18.100000000000001</v>
      </c>
      <c r="E17" s="93">
        <v>18.100000000000001</v>
      </c>
      <c r="F17" s="93">
        <v>18.100000000000001</v>
      </c>
      <c r="G17" s="93">
        <v>18.100000000000001</v>
      </c>
      <c r="H17" s="22">
        <v>17.425000000000001</v>
      </c>
      <c r="I17" s="22">
        <v>16.75</v>
      </c>
      <c r="J17" s="22">
        <v>16.074999999999999</v>
      </c>
      <c r="K17" s="22">
        <v>15.399999999999999</v>
      </c>
      <c r="L17" s="22">
        <v>14.724999999999998</v>
      </c>
      <c r="M17" s="22">
        <v>14.049999999999997</v>
      </c>
      <c r="N17" s="22">
        <v>13.374999999999996</v>
      </c>
      <c r="O17" s="22">
        <v>12.699999999999996</v>
      </c>
      <c r="P17" s="22">
        <v>12.024999999999995</v>
      </c>
      <c r="Q17" s="22">
        <v>11.349999999999994</v>
      </c>
      <c r="R17" s="22">
        <v>10.674999999999994</v>
      </c>
      <c r="S17" s="22">
        <v>10</v>
      </c>
    </row>
    <row r="18" spans="2:19" x14ac:dyDescent="0.5">
      <c r="B18" s="9" t="s">
        <v>23</v>
      </c>
      <c r="C18" s="9" t="s">
        <v>11</v>
      </c>
      <c r="D18" s="101">
        <v>13</v>
      </c>
      <c r="E18" s="93">
        <v>13</v>
      </c>
      <c r="F18" s="93">
        <v>13</v>
      </c>
      <c r="G18" s="93">
        <v>13</v>
      </c>
      <c r="H18" s="22">
        <v>12.583333333333334</v>
      </c>
      <c r="I18" s="22">
        <v>12.166666666666668</v>
      </c>
      <c r="J18" s="22">
        <v>11.750000000000002</v>
      </c>
      <c r="K18" s="22">
        <v>11.333333333333336</v>
      </c>
      <c r="L18" s="22">
        <v>10.91666666666667</v>
      </c>
      <c r="M18" s="22">
        <v>10.500000000000004</v>
      </c>
      <c r="N18" s="22">
        <v>10.083333333333337</v>
      </c>
      <c r="O18" s="22">
        <v>9.6666666666666714</v>
      </c>
      <c r="P18" s="22">
        <v>9.2500000000000053</v>
      </c>
      <c r="Q18" s="22">
        <v>8.8333333333333393</v>
      </c>
      <c r="R18" s="22">
        <v>8.4166666666666732</v>
      </c>
      <c r="S18" s="22">
        <v>8</v>
      </c>
    </row>
    <row r="19" spans="2:19" x14ac:dyDescent="0.5">
      <c r="B19" s="9" t="s">
        <v>24</v>
      </c>
      <c r="C19" s="9" t="s">
        <v>11</v>
      </c>
      <c r="D19" s="101">
        <v>18.100000000000001</v>
      </c>
      <c r="E19" s="93">
        <v>18.100000000000001</v>
      </c>
      <c r="F19" s="93">
        <v>18.100000000000001</v>
      </c>
      <c r="G19" s="93">
        <v>18.100000000000001</v>
      </c>
      <c r="H19" s="22">
        <f t="shared" ref="H19:R19" si="6">G19+($S19-$G19)/12</f>
        <v>17.425000000000001</v>
      </c>
      <c r="I19" s="22">
        <f t="shared" si="6"/>
        <v>16.75</v>
      </c>
      <c r="J19" s="22">
        <f t="shared" si="6"/>
        <v>16.074999999999999</v>
      </c>
      <c r="K19" s="22">
        <f t="shared" si="6"/>
        <v>15.399999999999999</v>
      </c>
      <c r="L19" s="22">
        <f t="shared" si="6"/>
        <v>14.724999999999998</v>
      </c>
      <c r="M19" s="22">
        <f t="shared" si="6"/>
        <v>14.049999999999997</v>
      </c>
      <c r="N19" s="22">
        <f t="shared" si="6"/>
        <v>13.374999999999996</v>
      </c>
      <c r="O19" s="22">
        <f t="shared" si="6"/>
        <v>12.699999999999996</v>
      </c>
      <c r="P19" s="22">
        <f t="shared" si="6"/>
        <v>12.024999999999995</v>
      </c>
      <c r="Q19" s="22">
        <f t="shared" si="6"/>
        <v>11.349999999999994</v>
      </c>
      <c r="R19" s="22">
        <f t="shared" si="6"/>
        <v>10.674999999999994</v>
      </c>
      <c r="S19" s="23">
        <v>10</v>
      </c>
    </row>
    <row r="20" spans="2:19" x14ac:dyDescent="0.5">
      <c r="D20" s="101"/>
      <c r="E20" s="93"/>
      <c r="F20" s="93"/>
      <c r="G20" s="9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2:19" s="19" customFormat="1" x14ac:dyDescent="0.5">
      <c r="B21" s="19" t="s">
        <v>25</v>
      </c>
      <c r="D21" s="100"/>
      <c r="E21" s="92"/>
      <c r="F21" s="92"/>
      <c r="G21" s="9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</row>
    <row r="22" spans="2:19" x14ac:dyDescent="0.5">
      <c r="B22" s="9" t="s">
        <v>26</v>
      </c>
      <c r="C22" s="9" t="s">
        <v>35</v>
      </c>
      <c r="D22" s="102">
        <v>0</v>
      </c>
      <c r="E22" s="95">
        <v>0</v>
      </c>
      <c r="F22" s="95">
        <v>0</v>
      </c>
      <c r="G22" s="95">
        <v>0</v>
      </c>
      <c r="H22" s="56">
        <v>0</v>
      </c>
      <c r="I22" s="11">
        <v>4.72</v>
      </c>
      <c r="J22" s="11">
        <v>4.72</v>
      </c>
      <c r="K22" s="11">
        <v>4.72</v>
      </c>
      <c r="L22" s="11">
        <v>4.72</v>
      </c>
      <c r="M22" s="11">
        <v>4.72</v>
      </c>
      <c r="N22" s="11">
        <v>4.72</v>
      </c>
      <c r="O22" s="11">
        <v>4.72</v>
      </c>
      <c r="P22" s="11">
        <v>4.72</v>
      </c>
      <c r="Q22" s="11">
        <v>4.72</v>
      </c>
      <c r="R22" s="11">
        <v>4.72</v>
      </c>
      <c r="S22" s="12">
        <v>4.72</v>
      </c>
    </row>
    <row r="23" spans="2:19" x14ac:dyDescent="0.5">
      <c r="S23" s="11"/>
    </row>
    <row r="24" spans="2:19" s="19" customFormat="1" x14ac:dyDescent="0.5">
      <c r="B24" s="19" t="s">
        <v>27</v>
      </c>
      <c r="D24" s="100"/>
      <c r="E24" s="92"/>
      <c r="F24" s="92"/>
      <c r="G24" s="9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</row>
    <row r="25" spans="2:19" x14ac:dyDescent="0.5">
      <c r="B25" s="9" t="s">
        <v>28</v>
      </c>
      <c r="C25" s="9" t="s">
        <v>11</v>
      </c>
      <c r="D25" s="102">
        <v>0</v>
      </c>
      <c r="E25" s="95">
        <v>0</v>
      </c>
      <c r="F25" s="95">
        <v>0</v>
      </c>
      <c r="G25" s="95">
        <v>0</v>
      </c>
      <c r="H25" s="56">
        <v>0</v>
      </c>
      <c r="I25" s="56">
        <v>0</v>
      </c>
      <c r="J25" s="56">
        <v>0</v>
      </c>
      <c r="K25" s="56">
        <f>50000/8760</f>
        <v>5.7077625570776256</v>
      </c>
      <c r="L25" s="56">
        <f>K25</f>
        <v>5.7077625570776256</v>
      </c>
      <c r="M25" s="56">
        <f t="shared" ref="M25:S25" si="7">L25</f>
        <v>5.7077625570776256</v>
      </c>
      <c r="N25" s="56">
        <f t="shared" si="7"/>
        <v>5.7077625570776256</v>
      </c>
      <c r="O25" s="56">
        <f t="shared" si="7"/>
        <v>5.7077625570776256</v>
      </c>
      <c r="P25" s="56">
        <f t="shared" si="7"/>
        <v>5.7077625570776256</v>
      </c>
      <c r="Q25" s="56">
        <f t="shared" si="7"/>
        <v>5.7077625570776256</v>
      </c>
      <c r="R25" s="56">
        <f t="shared" si="7"/>
        <v>5.7077625570776256</v>
      </c>
      <c r="S25" s="56">
        <f t="shared" si="7"/>
        <v>5.7077625570776256</v>
      </c>
    </row>
    <row r="26" spans="2:19" x14ac:dyDescent="0.5"/>
    <row r="27" spans="2:19" s="19" customFormat="1" x14ac:dyDescent="0.5">
      <c r="B27" s="19" t="s">
        <v>9</v>
      </c>
      <c r="D27" s="100"/>
      <c r="E27" s="92"/>
      <c r="F27" s="92"/>
      <c r="G27" s="9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</row>
    <row r="28" spans="2:19" x14ac:dyDescent="0.5">
      <c r="B28" s="9" t="s">
        <v>29</v>
      </c>
      <c r="C28" s="9" t="s">
        <v>35</v>
      </c>
      <c r="D28" s="102">
        <v>4.0498854785579725</v>
      </c>
      <c r="E28" s="95">
        <v>4.0498854785579725</v>
      </c>
      <c r="F28" s="95">
        <v>4.0498854785579725</v>
      </c>
      <c r="G28" s="95">
        <v>4.0498854785579725</v>
      </c>
      <c r="H28" s="56">
        <v>4.1384958659910858</v>
      </c>
      <c r="I28" s="56">
        <v>4.2689295113783254</v>
      </c>
      <c r="J28" s="56">
        <v>4.3277566696622864</v>
      </c>
      <c r="K28" s="56">
        <v>4.3914420851833436</v>
      </c>
      <c r="L28" s="56">
        <v>4.4883431942058474</v>
      </c>
      <c r="M28" s="56">
        <v>4.5387740166126544</v>
      </c>
      <c r="N28" s="56">
        <v>4.5892048390194615</v>
      </c>
      <c r="O28" s="56">
        <v>4.6396356614262686</v>
      </c>
      <c r="P28" s="56">
        <v>4.6900664838330757</v>
      </c>
      <c r="Q28" s="56">
        <v>4.7404973062398827</v>
      </c>
      <c r="R28" s="56">
        <v>4.7909281286466898</v>
      </c>
      <c r="S28" s="57">
        <v>4.8413589510534996</v>
      </c>
    </row>
    <row r="29" spans="2:19" x14ac:dyDescent="0.5">
      <c r="B29" s="9" t="s">
        <v>30</v>
      </c>
      <c r="C29" s="9" t="s">
        <v>35</v>
      </c>
      <c r="D29" s="102">
        <v>5.2648511221253651</v>
      </c>
      <c r="E29" s="95">
        <v>5.2648511221253651</v>
      </c>
      <c r="F29" s="95">
        <v>5.2648511221253651</v>
      </c>
      <c r="G29" s="95">
        <v>5.2648511221253651</v>
      </c>
      <c r="H29" s="56">
        <v>5.3800446257884111</v>
      </c>
      <c r="I29" s="56">
        <v>5.5496083647918226</v>
      </c>
      <c r="J29" s="56">
        <v>5.6260836705609734</v>
      </c>
      <c r="K29" s="56">
        <v>5.7088747107383462</v>
      </c>
      <c r="L29" s="56">
        <v>5.8348461524676019</v>
      </c>
      <c r="M29" s="56">
        <v>5.9004062215964508</v>
      </c>
      <c r="N29" s="56">
        <v>5.9659662907253006</v>
      </c>
      <c r="O29" s="56">
        <v>6.0315263598541486</v>
      </c>
      <c r="P29" s="56">
        <v>6.0970864289829985</v>
      </c>
      <c r="Q29" s="56">
        <v>6.1626464981118474</v>
      </c>
      <c r="R29" s="56">
        <v>6.2282065672406963</v>
      </c>
      <c r="S29" s="57">
        <v>6.2937666363695497</v>
      </c>
    </row>
    <row r="30" spans="2:19" x14ac:dyDescent="0.5">
      <c r="B30" s="9" t="s">
        <v>31</v>
      </c>
      <c r="C30" s="9" t="s">
        <v>35</v>
      </c>
      <c r="D30" s="102">
        <v>18</v>
      </c>
      <c r="E30" s="95">
        <v>18</v>
      </c>
      <c r="F30" s="95">
        <v>18</v>
      </c>
      <c r="G30" s="95">
        <v>18</v>
      </c>
      <c r="H30" s="56">
        <v>18</v>
      </c>
      <c r="I30" s="56">
        <v>18</v>
      </c>
      <c r="J30" s="56">
        <v>18</v>
      </c>
      <c r="K30" s="56">
        <v>18</v>
      </c>
      <c r="L30" s="56">
        <v>18</v>
      </c>
      <c r="M30" s="56">
        <v>18</v>
      </c>
      <c r="N30" s="56">
        <v>18</v>
      </c>
      <c r="O30" s="56">
        <v>18</v>
      </c>
      <c r="P30" s="56">
        <v>18</v>
      </c>
      <c r="Q30" s="56">
        <v>18</v>
      </c>
      <c r="R30" s="56">
        <v>18</v>
      </c>
      <c r="S30" s="57">
        <v>18</v>
      </c>
    </row>
    <row r="31" spans="2:19" x14ac:dyDescent="0.5"/>
    <row r="32" spans="2:19" x14ac:dyDescent="0.5"/>
    <row r="33" spans="6:6" x14ac:dyDescent="0.5"/>
    <row r="34" spans="6:6" x14ac:dyDescent="0.5"/>
    <row r="35" spans="6:6" x14ac:dyDescent="0.5"/>
    <row r="36" spans="6:6" x14ac:dyDescent="0.5"/>
    <row r="37" spans="6:6" x14ac:dyDescent="0.5">
      <c r="F37" s="138"/>
    </row>
    <row r="38" spans="6:6" x14ac:dyDescent="0.5">
      <c r="F38" s="138"/>
    </row>
    <row r="39" spans="6:6" x14ac:dyDescent="0.5"/>
    <row r="40" spans="6:6" x14ac:dyDescent="0.5"/>
    <row r="41" spans="6:6" x14ac:dyDescent="0.5"/>
    <row r="42" spans="6:6" x14ac:dyDescent="0.5"/>
    <row r="43" spans="6:6" x14ac:dyDescent="0.5"/>
    <row r="44" spans="6:6" x14ac:dyDescent="0.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3A10-E03D-43EC-A8B3-B0E2A283DA6E}">
  <dimension ref="A1:U49"/>
  <sheetViews>
    <sheetView zoomScale="70" zoomScaleNormal="70" workbookViewId="0">
      <selection activeCell="F15" sqref="F15"/>
    </sheetView>
  </sheetViews>
  <sheetFormatPr defaultColWidth="0" defaultRowHeight="18.649999999999999" customHeight="1" zeroHeight="1" x14ac:dyDescent="0.5"/>
  <cols>
    <col min="1" max="1" width="10.83203125" style="9" customWidth="1"/>
    <col min="2" max="2" width="27.33203125" style="9" bestFit="1" customWidth="1"/>
    <col min="3" max="3" width="6.83203125" style="9" bestFit="1" customWidth="1"/>
    <col min="4" max="4" width="15.83203125" style="96" customWidth="1"/>
    <col min="5" max="19" width="15.83203125" style="11" customWidth="1"/>
    <col min="20" max="21" width="10.83203125" style="9" customWidth="1"/>
    <col min="22" max="16384" width="10.83203125" style="9" hidden="1"/>
  </cols>
  <sheetData>
    <row r="1" spans="2:21" ht="18.5" x14ac:dyDescent="0.5"/>
    <row r="2" spans="2:21" ht="18.5" x14ac:dyDescent="0.5"/>
    <row r="3" spans="2:21" ht="18.5" x14ac:dyDescent="0.5">
      <c r="B3" s="9" t="s">
        <v>36</v>
      </c>
      <c r="C3" s="9">
        <v>10</v>
      </c>
    </row>
    <row r="4" spans="2:21" ht="18.5" x14ac:dyDescent="0.5"/>
    <row r="5" spans="2:21" s="62" customFormat="1" ht="18.5" x14ac:dyDescent="0.5">
      <c r="C5" s="62" t="s">
        <v>2</v>
      </c>
      <c r="D5" s="97">
        <v>2025</v>
      </c>
      <c r="E5" s="64">
        <v>2026</v>
      </c>
      <c r="F5" s="64">
        <v>2027</v>
      </c>
      <c r="G5" s="64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64">
        <f t="shared" si="0"/>
        <v>2040</v>
      </c>
    </row>
    <row r="6" spans="2:21" ht="18.5" x14ac:dyDescent="0.5"/>
    <row r="7" spans="2:21" ht="18.5" x14ac:dyDescent="0.5"/>
    <row r="8" spans="2:21" s="13" customFormat="1" ht="18.5" x14ac:dyDescent="0.5">
      <c r="B8" s="13" t="s">
        <v>14</v>
      </c>
      <c r="C8" s="13" t="s">
        <v>15</v>
      </c>
      <c r="D8" s="98">
        <v>2025</v>
      </c>
      <c r="E8" s="15">
        <v>2026</v>
      </c>
      <c r="F8" s="15">
        <v>2027</v>
      </c>
      <c r="G8" s="15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5">
        <f t="shared" si="1"/>
        <v>2040</v>
      </c>
      <c r="T8" s="35"/>
      <c r="U8" s="35"/>
    </row>
    <row r="9" spans="2:21" ht="18.5" x14ac:dyDescent="0.5">
      <c r="B9" s="9" t="s">
        <v>16</v>
      </c>
      <c r="C9" s="9" t="s">
        <v>37</v>
      </c>
      <c r="D9" s="130">
        <f>'Asset allocation MW'!D9/$C$3</f>
        <v>0.11333333333333299</v>
      </c>
      <c r="E9" s="131">
        <f>'Asset allocation MW'!E9/$C$3</f>
        <v>0.11333333333333333</v>
      </c>
      <c r="F9" s="131">
        <f>'Asset allocation MW'!F9/$C$3</f>
        <v>0.11333333333333333</v>
      </c>
      <c r="G9" s="131">
        <f>'Asset allocation MW'!G9/$C$3</f>
        <v>0.11333333333333333</v>
      </c>
      <c r="H9" s="131">
        <f>'Asset allocation MW'!H9/$C$3</f>
        <v>0.11333333333333333</v>
      </c>
      <c r="I9" s="131">
        <f>'Asset allocation MW'!I9/$C$3</f>
        <v>0.11333333333333333</v>
      </c>
      <c r="J9" s="131">
        <f>'Asset allocation MW'!J9/$C$3</f>
        <v>0.11333333333333333</v>
      </c>
      <c r="K9" s="131">
        <f>'Asset allocation MW'!K9/$C$3</f>
        <v>0.11333333333333333</v>
      </c>
      <c r="L9" s="131">
        <f>'Asset allocation MW'!L9/$C$3</f>
        <v>0.11333333333333333</v>
      </c>
      <c r="M9" s="131">
        <f>'Asset allocation MW'!M9/$C$3</f>
        <v>0.11333333333333333</v>
      </c>
      <c r="N9" s="131">
        <f>'Asset allocation MW'!N9/$C$3</f>
        <v>0.11333333333333333</v>
      </c>
      <c r="O9" s="131">
        <f>'Asset allocation MW'!O9/$C$3</f>
        <v>0.11333333333333333</v>
      </c>
      <c r="P9" s="131">
        <f>'Asset allocation MW'!P9/$C$3</f>
        <v>0.11333333333333333</v>
      </c>
      <c r="Q9" s="131">
        <f>'Asset allocation MW'!Q9/$C$3</f>
        <v>0.11333333333333333</v>
      </c>
      <c r="R9" s="131">
        <f>'Asset allocation MW'!R9/$C$3</f>
        <v>0.11333333333333333</v>
      </c>
      <c r="S9" s="131">
        <f>'Asset allocation MW'!S9/$C$3</f>
        <v>0.11333333333333333</v>
      </c>
    </row>
    <row r="10" spans="2:21" ht="18.5" x14ac:dyDescent="0.5">
      <c r="B10" s="9" t="s">
        <v>17</v>
      </c>
      <c r="C10" s="9" t="s">
        <v>37</v>
      </c>
      <c r="D10" s="130">
        <f>'Asset allocation MW'!D10/$C$3</f>
        <v>1</v>
      </c>
      <c r="E10" s="131">
        <f>'Asset allocation MW'!E10/$C$3</f>
        <v>1</v>
      </c>
      <c r="F10" s="131">
        <f>'Asset allocation MW'!F10/$C$3</f>
        <v>1</v>
      </c>
      <c r="G10" s="131">
        <f>'Asset allocation MW'!G10/$C$3</f>
        <v>1</v>
      </c>
      <c r="H10" s="131">
        <f>'Asset allocation MW'!H10/$C$3</f>
        <v>1</v>
      </c>
      <c r="I10" s="131">
        <f>'Asset allocation MW'!I10/$C$3</f>
        <v>1</v>
      </c>
      <c r="J10" s="131">
        <f>'Asset allocation MW'!J10/$C$3</f>
        <v>1</v>
      </c>
      <c r="K10" s="131">
        <f>'Asset allocation MW'!K10/$C$3</f>
        <v>1</v>
      </c>
      <c r="L10" s="131">
        <f>'Asset allocation MW'!L10/$C$3</f>
        <v>1</v>
      </c>
      <c r="M10" s="131">
        <f>'Asset allocation MW'!M10/$C$3</f>
        <v>1</v>
      </c>
      <c r="N10" s="131">
        <f>'Asset allocation MW'!N10/$C$3</f>
        <v>1</v>
      </c>
      <c r="O10" s="131">
        <f>'Asset allocation MW'!O10/$C$3</f>
        <v>1</v>
      </c>
      <c r="P10" s="131">
        <f>'Asset allocation MW'!P10/$C$3</f>
        <v>1</v>
      </c>
      <c r="Q10" s="131">
        <f>'Asset allocation MW'!Q10/$C$3</f>
        <v>1</v>
      </c>
      <c r="R10" s="131">
        <f>'Asset allocation MW'!R10/$C$3</f>
        <v>1</v>
      </c>
      <c r="S10" s="131">
        <f>'Asset allocation MW'!S10/$C$3</f>
        <v>1</v>
      </c>
    </row>
    <row r="11" spans="2:21" ht="18.5" x14ac:dyDescent="0.5">
      <c r="B11" s="9" t="s">
        <v>18</v>
      </c>
      <c r="C11" s="9" t="s">
        <v>37</v>
      </c>
      <c r="D11" s="130">
        <f>'Asset allocation MW'!D11/$C$3</f>
        <v>1</v>
      </c>
      <c r="E11" s="131">
        <f>'Asset allocation MW'!E11/$C$3</f>
        <v>1</v>
      </c>
      <c r="F11" s="131">
        <f>'Asset allocation MW'!F11/$C$3</f>
        <v>1</v>
      </c>
      <c r="G11" s="131">
        <f>'Asset allocation MW'!G11/$C$3</f>
        <v>1</v>
      </c>
      <c r="H11" s="131">
        <f>'Asset allocation MW'!H11/$C$3</f>
        <v>1</v>
      </c>
      <c r="I11" s="131">
        <f>'Asset allocation MW'!I11/$C$3</f>
        <v>1</v>
      </c>
      <c r="J11" s="131">
        <f>'Asset allocation MW'!J11/$C$3</f>
        <v>1</v>
      </c>
      <c r="K11" s="131">
        <f>'Asset allocation MW'!K11/$C$3</f>
        <v>1</v>
      </c>
      <c r="L11" s="131">
        <f>'Asset allocation MW'!L11/$C$3</f>
        <v>1</v>
      </c>
      <c r="M11" s="131">
        <f>'Asset allocation MW'!M11/$C$3</f>
        <v>1</v>
      </c>
      <c r="N11" s="131">
        <f>'Asset allocation MW'!N11/$C$3</f>
        <v>1</v>
      </c>
      <c r="O11" s="131">
        <f>'Asset allocation MW'!O11/$C$3</f>
        <v>1</v>
      </c>
      <c r="P11" s="131">
        <f>'Asset allocation MW'!P11/$C$3</f>
        <v>1</v>
      </c>
      <c r="Q11" s="131">
        <f>'Asset allocation MW'!Q11/$C$3</f>
        <v>1</v>
      </c>
      <c r="R11" s="131">
        <f>'Asset allocation MW'!R11/$C$3</f>
        <v>1</v>
      </c>
      <c r="S11" s="131">
        <f>'Asset allocation MW'!S11/$C$3</f>
        <v>1</v>
      </c>
    </row>
    <row r="12" spans="2:21" ht="18.5" x14ac:dyDescent="0.5">
      <c r="B12" s="9" t="s">
        <v>19</v>
      </c>
      <c r="C12" s="9" t="s">
        <v>37</v>
      </c>
      <c r="D12" s="130">
        <f>'Asset allocation MW'!D12/$C$3</f>
        <v>0.1</v>
      </c>
      <c r="E12" s="131">
        <f>'Asset allocation MW'!E12/$C$3</f>
        <v>0.1</v>
      </c>
      <c r="F12" s="131">
        <f>'Asset allocation MW'!F12/$C$3</f>
        <v>0.1</v>
      </c>
      <c r="G12" s="131">
        <f>'Asset allocation MW'!G12/$C$3</f>
        <v>0.1</v>
      </c>
      <c r="H12" s="131">
        <f>'Asset allocation MW'!H12/$C$3</f>
        <v>0.1</v>
      </c>
      <c r="I12" s="131">
        <f>'Asset allocation MW'!I12/$C$3</f>
        <v>0.1</v>
      </c>
      <c r="J12" s="131">
        <f>'Asset allocation MW'!J12/$C$3</f>
        <v>0.1</v>
      </c>
      <c r="K12" s="131">
        <f>'Asset allocation MW'!K12/$C$3</f>
        <v>0.1</v>
      </c>
      <c r="L12" s="131">
        <f>'Asset allocation MW'!L12/$C$3</f>
        <v>0.1</v>
      </c>
      <c r="M12" s="131">
        <f>'Asset allocation MW'!M12/$C$3</f>
        <v>0.1</v>
      </c>
      <c r="N12" s="131">
        <f>'Asset allocation MW'!N12/$C$3</f>
        <v>0.1</v>
      </c>
      <c r="O12" s="131">
        <f>'Asset allocation MW'!O12/$C$3</f>
        <v>0.1</v>
      </c>
      <c r="P12" s="131">
        <f>'Asset allocation MW'!P12/$C$3</f>
        <v>0.1</v>
      </c>
      <c r="Q12" s="131">
        <f>'Asset allocation MW'!Q12/$C$3</f>
        <v>0.1</v>
      </c>
      <c r="R12" s="131">
        <f>'Asset allocation MW'!R12/$C$3</f>
        <v>0.1</v>
      </c>
      <c r="S12" s="131">
        <f>'Asset allocation MW'!S12/$C$3</f>
        <v>0.1</v>
      </c>
    </row>
    <row r="13" spans="2:21" ht="18.5" x14ac:dyDescent="0.5"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</row>
    <row r="14" spans="2:21" s="19" customFormat="1" ht="18.5" x14ac:dyDescent="0.5">
      <c r="B14" s="19" t="s">
        <v>5</v>
      </c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35"/>
      <c r="U14" s="35"/>
    </row>
    <row r="15" spans="2:21" ht="18.5" x14ac:dyDescent="0.5">
      <c r="B15" s="9" t="s">
        <v>20</v>
      </c>
      <c r="C15" s="9" t="s">
        <v>37</v>
      </c>
      <c r="D15" s="132">
        <f>'Asset allocation MW'!D15/$C$3</f>
        <v>0.16999999999999998</v>
      </c>
      <c r="E15" s="133">
        <f>'Asset allocation MW'!E15/$C$3</f>
        <v>0.5</v>
      </c>
      <c r="F15" s="133">
        <f>'Asset allocation MW'!F15/$C$3</f>
        <v>1</v>
      </c>
      <c r="G15" s="133">
        <f>'Asset allocation MW'!G15/$C$3</f>
        <v>1</v>
      </c>
      <c r="H15" s="133">
        <f>'Asset allocation MW'!H15/$C$3</f>
        <v>1</v>
      </c>
      <c r="I15" s="133">
        <f>'Asset allocation MW'!I15/$C$3</f>
        <v>1</v>
      </c>
      <c r="J15" s="133">
        <f>'Asset allocation MW'!J15/$C$3</f>
        <v>1</v>
      </c>
      <c r="K15" s="133">
        <f>'Asset allocation MW'!K15/$C$3</f>
        <v>1</v>
      </c>
      <c r="L15" s="133">
        <f>'Asset allocation MW'!L15/$C$3</f>
        <v>1</v>
      </c>
      <c r="M15" s="133">
        <f>'Asset allocation MW'!M15/$C$3</f>
        <v>1</v>
      </c>
      <c r="N15" s="133">
        <f>'Asset allocation MW'!N15/$C$3</f>
        <v>1</v>
      </c>
      <c r="O15" s="133">
        <f>'Asset allocation MW'!O15/$C$3</f>
        <v>1</v>
      </c>
      <c r="P15" s="133">
        <f>'Asset allocation MW'!P15/$C$3</f>
        <v>1</v>
      </c>
      <c r="Q15" s="133">
        <f>'Asset allocation MW'!Q15/$C$3</f>
        <v>1</v>
      </c>
      <c r="R15" s="133">
        <f>'Asset allocation MW'!R15/$C$3</f>
        <v>1</v>
      </c>
      <c r="S15" s="133">
        <f>'Asset allocation MW'!S15/$C$3</f>
        <v>1</v>
      </c>
    </row>
    <row r="16" spans="2:21" ht="18.5" x14ac:dyDescent="0.5">
      <c r="B16" s="9" t="s">
        <v>21</v>
      </c>
      <c r="C16" s="9" t="s">
        <v>37</v>
      </c>
      <c r="D16" s="130">
        <f>'Asset allocation MW'!D16/$C$3</f>
        <v>0.16999999999999998</v>
      </c>
      <c r="E16" s="131">
        <f>'Asset allocation MW'!E16/$C$3</f>
        <v>0.5</v>
      </c>
      <c r="F16" s="131">
        <f>'Asset allocation MW'!F16/$C$3</f>
        <v>1</v>
      </c>
      <c r="G16" s="131">
        <f>'Asset allocation MW'!G16/$C$3</f>
        <v>1</v>
      </c>
      <c r="H16" s="131">
        <f>'Asset allocation MW'!H16/$C$3</f>
        <v>1</v>
      </c>
      <c r="I16" s="131">
        <f>'Asset allocation MW'!I16/$C$3</f>
        <v>1</v>
      </c>
      <c r="J16" s="131">
        <f>'Asset allocation MW'!J16/$C$3</f>
        <v>1</v>
      </c>
      <c r="K16" s="131">
        <f>'Asset allocation MW'!K16/$C$3</f>
        <v>1</v>
      </c>
      <c r="L16" s="131">
        <f>'Asset allocation MW'!L16/$C$3</f>
        <v>1</v>
      </c>
      <c r="M16" s="131">
        <f>'Asset allocation MW'!M16/$C$3</f>
        <v>1</v>
      </c>
      <c r="N16" s="131">
        <f>'Asset allocation MW'!N16/$C$3</f>
        <v>1</v>
      </c>
      <c r="O16" s="131">
        <f>'Asset allocation MW'!O16/$C$3</f>
        <v>1</v>
      </c>
      <c r="P16" s="131">
        <f>'Asset allocation MW'!P16/$C$3</f>
        <v>1</v>
      </c>
      <c r="Q16" s="131">
        <f>'Asset allocation MW'!Q16/$C$3</f>
        <v>1</v>
      </c>
      <c r="R16" s="131">
        <f>'Asset allocation MW'!R16/$C$3</f>
        <v>1</v>
      </c>
      <c r="S16" s="131">
        <f>'Asset allocation MW'!S16/$C$3</f>
        <v>1</v>
      </c>
    </row>
    <row r="17" spans="1:21" ht="18.5" x14ac:dyDescent="0.5">
      <c r="B17" s="9" t="s">
        <v>22</v>
      </c>
      <c r="C17" s="9" t="s">
        <v>37</v>
      </c>
      <c r="D17" s="130">
        <f>'Asset allocation MW'!D17/$C$3</f>
        <v>1</v>
      </c>
      <c r="E17" s="131">
        <f>'Asset allocation MW'!E17/$C$3</f>
        <v>1</v>
      </c>
      <c r="F17" s="131">
        <f>'Asset allocation MW'!F17/$C$3</f>
        <v>1</v>
      </c>
      <c r="G17" s="131">
        <f>'Asset allocation MW'!G17/$C$3</f>
        <v>1</v>
      </c>
      <c r="H17" s="131">
        <f>'Asset allocation MW'!H17/$C$3</f>
        <v>1</v>
      </c>
      <c r="I17" s="131">
        <f>'Asset allocation MW'!I17/$C$3</f>
        <v>1</v>
      </c>
      <c r="J17" s="131">
        <f>'Asset allocation MW'!J17/$C$3</f>
        <v>1</v>
      </c>
      <c r="K17" s="131">
        <f>'Asset allocation MW'!K17/$C$3</f>
        <v>1</v>
      </c>
      <c r="L17" s="131">
        <f>'Asset allocation MW'!L17/$C$3</f>
        <v>1</v>
      </c>
      <c r="M17" s="131">
        <f>'Asset allocation MW'!M17/$C$3</f>
        <v>1</v>
      </c>
      <c r="N17" s="131">
        <f>'Asset allocation MW'!N17/$C$3</f>
        <v>1</v>
      </c>
      <c r="O17" s="131">
        <f>'Asset allocation MW'!O17/$C$3</f>
        <v>1</v>
      </c>
      <c r="P17" s="131">
        <f>'Asset allocation MW'!P17/$C$3</f>
        <v>1</v>
      </c>
      <c r="Q17" s="131">
        <f>'Asset allocation MW'!Q17/$C$3</f>
        <v>1</v>
      </c>
      <c r="R17" s="131">
        <f>'Asset allocation MW'!R17/$C$3</f>
        <v>1</v>
      </c>
      <c r="S17" s="131">
        <f>'Asset allocation MW'!S17/$C$3</f>
        <v>1</v>
      </c>
    </row>
    <row r="18" spans="1:21" ht="18.5" x14ac:dyDescent="0.5">
      <c r="B18" s="9" t="s">
        <v>23</v>
      </c>
      <c r="C18" s="9" t="s">
        <v>37</v>
      </c>
      <c r="D18" s="130">
        <f>'Asset allocation MW'!D18/$C$3</f>
        <v>1</v>
      </c>
      <c r="E18" s="131">
        <f>'Asset allocation MW'!E18/$C$3</f>
        <v>1</v>
      </c>
      <c r="F18" s="131">
        <f>'Asset allocation MW'!F18/$C$3</f>
        <v>1</v>
      </c>
      <c r="G18" s="131">
        <f>'Asset allocation MW'!G18/$C$3</f>
        <v>1</v>
      </c>
      <c r="H18" s="131">
        <f>'Asset allocation MW'!H18/$C$3</f>
        <v>1</v>
      </c>
      <c r="I18" s="131">
        <f>'Asset allocation MW'!I18/$C$3</f>
        <v>1</v>
      </c>
      <c r="J18" s="131">
        <f>'Asset allocation MW'!J18/$C$3</f>
        <v>1</v>
      </c>
      <c r="K18" s="131">
        <f>'Asset allocation MW'!K18/$C$3</f>
        <v>1</v>
      </c>
      <c r="L18" s="131">
        <f>'Asset allocation MW'!L18/$C$3</f>
        <v>1</v>
      </c>
      <c r="M18" s="131">
        <f>'Asset allocation MW'!M18/$C$3</f>
        <v>1</v>
      </c>
      <c r="N18" s="131">
        <f>'Asset allocation MW'!N18/$C$3</f>
        <v>1</v>
      </c>
      <c r="O18" s="131">
        <f>'Asset allocation MW'!O18/$C$3</f>
        <v>1</v>
      </c>
      <c r="P18" s="131">
        <f>'Asset allocation MW'!P18/$C$3</f>
        <v>1</v>
      </c>
      <c r="Q18" s="131">
        <f>'Asset allocation MW'!Q18/$C$3</f>
        <v>1</v>
      </c>
      <c r="R18" s="131">
        <f>'Asset allocation MW'!R18/$C$3</f>
        <v>1</v>
      </c>
      <c r="S18" s="131">
        <f>'Asset allocation MW'!S18/$C$3</f>
        <v>1</v>
      </c>
    </row>
    <row r="19" spans="1:21" ht="18.5" x14ac:dyDescent="0.5">
      <c r="B19" s="9" t="s">
        <v>24</v>
      </c>
      <c r="C19" s="9" t="s">
        <v>37</v>
      </c>
      <c r="D19" s="130">
        <f>'Asset allocation MW'!D19/$C$3</f>
        <v>0.28333333333333333</v>
      </c>
      <c r="E19" s="131">
        <f>'Asset allocation MW'!E19/$C$3</f>
        <v>0.28333333333333333</v>
      </c>
      <c r="F19" s="131">
        <f>'Asset allocation MW'!F19/$C$3</f>
        <v>0.28333333333333333</v>
      </c>
      <c r="G19" s="131">
        <f>'Asset allocation MW'!G19/$C$3</f>
        <v>0.28333333333333333</v>
      </c>
      <c r="H19" s="131">
        <f>'Asset allocation MW'!H19/$C$3</f>
        <v>0.30694444444444441</v>
      </c>
      <c r="I19" s="131">
        <f>'Asset allocation MW'!I19/$C$3</f>
        <v>0.33055555555555555</v>
      </c>
      <c r="J19" s="131">
        <f>'Asset allocation MW'!J19/$C$3</f>
        <v>0.35416666666666663</v>
      </c>
      <c r="K19" s="131">
        <f>'Asset allocation MW'!K19/$C$3</f>
        <v>0.37777777777777777</v>
      </c>
      <c r="L19" s="131">
        <f>'Asset allocation MW'!L19/$C$3</f>
        <v>0.40138888888888885</v>
      </c>
      <c r="M19" s="131">
        <f>'Asset allocation MW'!M19/$C$3</f>
        <v>0.42499999999999999</v>
      </c>
      <c r="N19" s="131">
        <f>'Asset allocation MW'!N19/$C$3</f>
        <v>0.44861111111111118</v>
      </c>
      <c r="O19" s="131">
        <f>'Asset allocation MW'!O19/$C$3</f>
        <v>0.47222222222222221</v>
      </c>
      <c r="P19" s="131">
        <f>'Asset allocation MW'!P19/$C$3</f>
        <v>0.4958333333333334</v>
      </c>
      <c r="Q19" s="131">
        <f>'Asset allocation MW'!Q19/$C$3</f>
        <v>0.5194444444444446</v>
      </c>
      <c r="R19" s="131">
        <f>'Asset allocation MW'!R19/$C$3</f>
        <v>0.54305555555555562</v>
      </c>
      <c r="S19" s="131">
        <f>'Asset allocation MW'!S19/$C$3</f>
        <v>0.56666666666666665</v>
      </c>
    </row>
    <row r="20" spans="1:21" ht="18.5" x14ac:dyDescent="0.5">
      <c r="D20" s="130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 spans="1:21" ht="18.5" x14ac:dyDescent="0.5">
      <c r="B21" s="19" t="s">
        <v>25</v>
      </c>
      <c r="C21" s="19"/>
      <c r="D21" s="130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21" ht="18.5" x14ac:dyDescent="0.5">
      <c r="A22" s="52"/>
      <c r="B22" s="9" t="s">
        <v>26</v>
      </c>
      <c r="C22" s="9" t="s">
        <v>37</v>
      </c>
      <c r="D22" s="132">
        <f>'Asset allocation MW'!D22/$C$3</f>
        <v>0</v>
      </c>
      <c r="E22" s="133">
        <f>'Asset allocation MW'!E22/$C$3</f>
        <v>0</v>
      </c>
      <c r="F22" s="133">
        <f>'Asset allocation MW'!F22/$C$3</f>
        <v>0</v>
      </c>
      <c r="G22" s="133">
        <f>'Asset allocation MW'!G22/$C$3</f>
        <v>0</v>
      </c>
      <c r="H22" s="133">
        <f>'Asset allocation MW'!H22/$C$3</f>
        <v>0</v>
      </c>
      <c r="I22" s="133">
        <f>'Asset allocation MW'!I22/$C$3</f>
        <v>1</v>
      </c>
      <c r="J22" s="133">
        <f>'Asset allocation MW'!J22/$C$3</f>
        <v>1</v>
      </c>
      <c r="K22" s="133">
        <f>'Asset allocation MW'!K22/$C$3</f>
        <v>1</v>
      </c>
      <c r="L22" s="133">
        <f>'Asset allocation MW'!L22/$C$3</f>
        <v>1</v>
      </c>
      <c r="M22" s="133">
        <f>'Asset allocation MW'!M22/$C$3</f>
        <v>1</v>
      </c>
      <c r="N22" s="133">
        <f>'Asset allocation MW'!N22/$C$3</f>
        <v>1</v>
      </c>
      <c r="O22" s="133">
        <f>'Asset allocation MW'!O22/$C$3</f>
        <v>1</v>
      </c>
      <c r="P22" s="133">
        <f>'Asset allocation MW'!P22/$C$3</f>
        <v>1</v>
      </c>
      <c r="Q22" s="133">
        <f>'Asset allocation MW'!Q22/$C$3</f>
        <v>1</v>
      </c>
      <c r="R22" s="133">
        <f>'Asset allocation MW'!R22/$C$3</f>
        <v>1</v>
      </c>
      <c r="S22" s="133">
        <f>'Asset allocation MW'!S22/$C$3</f>
        <v>1</v>
      </c>
    </row>
    <row r="23" spans="1:21" ht="18.5" x14ac:dyDescent="0.5">
      <c r="D23" s="130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1:21" s="19" customFormat="1" ht="18.5" x14ac:dyDescent="0.5">
      <c r="B24" s="19" t="s">
        <v>27</v>
      </c>
      <c r="D24" s="130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35"/>
      <c r="U24" s="35"/>
    </row>
    <row r="25" spans="1:21" ht="18.5" x14ac:dyDescent="0.5">
      <c r="B25" s="9" t="s">
        <v>28</v>
      </c>
      <c r="C25" s="9" t="s">
        <v>37</v>
      </c>
      <c r="D25" s="132">
        <f>'Asset allocation MW'!D25/17</f>
        <v>0</v>
      </c>
      <c r="E25" s="133">
        <f>'Asset allocation MW'!E25/17</f>
        <v>0</v>
      </c>
      <c r="F25" s="133">
        <f>'Asset allocation MW'!F25/17</f>
        <v>0</v>
      </c>
      <c r="G25" s="133">
        <f>'Asset allocation MW'!G25/17</f>
        <v>0</v>
      </c>
      <c r="H25" s="133">
        <f>'Asset allocation MW'!H25/17</f>
        <v>0</v>
      </c>
      <c r="I25" s="133">
        <f>'Asset allocation MW'!I25/17</f>
        <v>0.58823529411764708</v>
      </c>
      <c r="J25" s="133">
        <f>'Asset allocation MW'!J25/17</f>
        <v>0.58823529411764708</v>
      </c>
      <c r="K25" s="133">
        <f>'Asset allocation MW'!K25/17</f>
        <v>0.58823529411764708</v>
      </c>
      <c r="L25" s="133">
        <f>'Asset allocation MW'!L25/17</f>
        <v>0.58823529411764708</v>
      </c>
      <c r="M25" s="133">
        <f>'Asset allocation MW'!M25/17</f>
        <v>0.58823529411764708</v>
      </c>
      <c r="N25" s="133">
        <f>'Asset allocation MW'!N25/17</f>
        <v>0.58823529411764708</v>
      </c>
      <c r="O25" s="133">
        <f>'Asset allocation MW'!O25/17</f>
        <v>0.58823529411764708</v>
      </c>
      <c r="P25" s="133">
        <f>'Asset allocation MW'!P25/17</f>
        <v>0.58823529411764708</v>
      </c>
      <c r="Q25" s="133">
        <f>'Asset allocation MW'!Q25/17</f>
        <v>0.58823529411764708</v>
      </c>
      <c r="R25" s="133">
        <f>'Asset allocation MW'!R25/17</f>
        <v>0.58823529411764708</v>
      </c>
      <c r="S25" s="133">
        <f>'Asset allocation MW'!S25/17</f>
        <v>0.58823529411764708</v>
      </c>
    </row>
    <row r="26" spans="1:21" ht="18.5" x14ac:dyDescent="0.5">
      <c r="D26" s="130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1:21" ht="18.5" x14ac:dyDescent="0.5">
      <c r="B27" s="19" t="s">
        <v>9</v>
      </c>
      <c r="C27" s="19"/>
      <c r="D27" s="130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21" ht="18.5" x14ac:dyDescent="0.5">
      <c r="A28" s="52"/>
      <c r="B28" s="9" t="s">
        <v>29</v>
      </c>
      <c r="C28" s="9" t="s">
        <v>37</v>
      </c>
      <c r="D28" s="132">
        <f>'Asset allocation MW'!D28/$C$3</f>
        <v>1</v>
      </c>
      <c r="E28" s="133">
        <f>'Asset allocation MW'!E28/$C$3</f>
        <v>1</v>
      </c>
      <c r="F28" s="133">
        <f>'Asset allocation MW'!F28/$C$3</f>
        <v>1</v>
      </c>
      <c r="G28" s="133">
        <f>'Asset allocation MW'!G28/$C$3</f>
        <v>1</v>
      </c>
      <c r="H28" s="133">
        <f>'Asset allocation MW'!H28/$C$3</f>
        <v>1</v>
      </c>
      <c r="I28" s="133">
        <f>'Asset allocation MW'!I28/$C$3</f>
        <v>1</v>
      </c>
      <c r="J28" s="133">
        <f>'Asset allocation MW'!J28/$C$3</f>
        <v>1</v>
      </c>
      <c r="K28" s="133">
        <f>'Asset allocation MW'!K28/$C$3</f>
        <v>1</v>
      </c>
      <c r="L28" s="133">
        <f>'Asset allocation MW'!L28/$C$3</f>
        <v>1</v>
      </c>
      <c r="M28" s="133">
        <f>'Asset allocation MW'!M28/$C$3</f>
        <v>1</v>
      </c>
      <c r="N28" s="133">
        <f>'Asset allocation MW'!N28/$C$3</f>
        <v>1</v>
      </c>
      <c r="O28" s="133">
        <f>'Asset allocation MW'!O28/$C$3</f>
        <v>1</v>
      </c>
      <c r="P28" s="133">
        <f>'Asset allocation MW'!P28/$C$3</f>
        <v>1</v>
      </c>
      <c r="Q28" s="133">
        <f>'Asset allocation MW'!Q28/$C$3</f>
        <v>1</v>
      </c>
      <c r="R28" s="133">
        <f>'Asset allocation MW'!R28/$C$3</f>
        <v>1</v>
      </c>
      <c r="S28" s="133">
        <f>'Asset allocation MW'!S28/$C$3</f>
        <v>1</v>
      </c>
    </row>
    <row r="29" spans="1:21" ht="18.5" x14ac:dyDescent="0.5">
      <c r="B29" s="9" t="s">
        <v>30</v>
      </c>
      <c r="C29" s="9" t="s">
        <v>37</v>
      </c>
      <c r="D29" s="130">
        <f>'Asset allocation MW'!D29/$C$3</f>
        <v>1</v>
      </c>
      <c r="E29" s="131">
        <f>'Asset allocation MW'!E29/$C$3</f>
        <v>1</v>
      </c>
      <c r="F29" s="131">
        <f>'Asset allocation MW'!F29/$C$3</f>
        <v>1</v>
      </c>
      <c r="G29" s="131">
        <f>'Asset allocation MW'!G29/$C$3</f>
        <v>1</v>
      </c>
      <c r="H29" s="131">
        <f>'Asset allocation MW'!H29/$C$3</f>
        <v>1</v>
      </c>
      <c r="I29" s="131">
        <f>'Asset allocation MW'!I29/$C$3</f>
        <v>1</v>
      </c>
      <c r="J29" s="131">
        <f>'Asset allocation MW'!J29/$C$3</f>
        <v>1</v>
      </c>
      <c r="K29" s="131">
        <f>'Asset allocation MW'!K29/$C$3</f>
        <v>1</v>
      </c>
      <c r="L29" s="131">
        <f>'Asset allocation MW'!L29/$C$3</f>
        <v>1</v>
      </c>
      <c r="M29" s="131">
        <f>'Asset allocation MW'!M29/$C$3</f>
        <v>1</v>
      </c>
      <c r="N29" s="131">
        <f>'Asset allocation MW'!N29/$C$3</f>
        <v>1</v>
      </c>
      <c r="O29" s="131">
        <f>'Asset allocation MW'!O29/$C$3</f>
        <v>1</v>
      </c>
      <c r="P29" s="131">
        <f>'Asset allocation MW'!P29/$C$3</f>
        <v>1</v>
      </c>
      <c r="Q29" s="131">
        <f>'Asset allocation MW'!Q29/$C$3</f>
        <v>1</v>
      </c>
      <c r="R29" s="131">
        <f>'Asset allocation MW'!R29/$C$3</f>
        <v>1</v>
      </c>
      <c r="S29" s="131">
        <f>'Asset allocation MW'!S29/$C$3</f>
        <v>1</v>
      </c>
    </row>
    <row r="30" spans="1:21" ht="18.5" x14ac:dyDescent="0.5">
      <c r="B30" s="9" t="s">
        <v>31</v>
      </c>
      <c r="C30" s="9" t="s">
        <v>37</v>
      </c>
      <c r="D30" s="130">
        <f>'Asset allocation MW'!D30/$C$3</f>
        <v>1</v>
      </c>
      <c r="E30" s="131">
        <f>'Asset allocation MW'!E30/$C$3</f>
        <v>1</v>
      </c>
      <c r="F30" s="131">
        <f>'Asset allocation MW'!F30/$C$3</f>
        <v>1</v>
      </c>
      <c r="G30" s="131">
        <f>'Asset allocation MW'!G30/$C$3</f>
        <v>1</v>
      </c>
      <c r="H30" s="131">
        <f>'Asset allocation MW'!H30/$C$3</f>
        <v>1</v>
      </c>
      <c r="I30" s="131">
        <f>'Asset allocation MW'!I30/$C$3</f>
        <v>1</v>
      </c>
      <c r="J30" s="131">
        <f>'Asset allocation MW'!J30/$C$3</f>
        <v>1</v>
      </c>
      <c r="K30" s="131">
        <f>'Asset allocation MW'!K30/$C$3</f>
        <v>1</v>
      </c>
      <c r="L30" s="131">
        <f>'Asset allocation MW'!L30/$C$3</f>
        <v>1</v>
      </c>
      <c r="M30" s="131">
        <f>'Asset allocation MW'!M30/$C$3</f>
        <v>1</v>
      </c>
      <c r="N30" s="131">
        <f>'Asset allocation MW'!N30/$C$3</f>
        <v>1</v>
      </c>
      <c r="O30" s="131">
        <f>'Asset allocation MW'!O30/$C$3</f>
        <v>1</v>
      </c>
      <c r="P30" s="131">
        <f>'Asset allocation MW'!P30/$C$3</f>
        <v>1</v>
      </c>
      <c r="Q30" s="131">
        <f>'Asset allocation MW'!Q30/$C$3</f>
        <v>1</v>
      </c>
      <c r="R30" s="131">
        <f>'Asset allocation MW'!R30/$C$3</f>
        <v>1</v>
      </c>
      <c r="S30" s="131">
        <f>'Asset allocation MW'!S30/$C$3</f>
        <v>1</v>
      </c>
    </row>
    <row r="31" spans="1:21" ht="18.5" x14ac:dyDescent="0.5"/>
    <row r="32" spans="1:21" ht="18.5" x14ac:dyDescent="0.5">
      <c r="B32" s="58"/>
      <c r="C32" s="58"/>
      <c r="D32" s="103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21" ht="18.5" x14ac:dyDescent="0.5">
      <c r="B33" s="58"/>
      <c r="C33" s="58"/>
      <c r="D33" s="104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21" s="19" customFormat="1" ht="18.5" x14ac:dyDescent="0.5">
      <c r="A34" s="35"/>
      <c r="B34" s="58"/>
      <c r="C34" s="58"/>
      <c r="D34" s="104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35"/>
      <c r="U34" s="35"/>
    </row>
    <row r="35" spans="1:21" s="19" customFormat="1" ht="18.5" x14ac:dyDescent="0.5">
      <c r="A35" s="35"/>
      <c r="B35" s="9"/>
      <c r="C35" s="9"/>
      <c r="D35" s="10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5"/>
      <c r="U35" s="35"/>
    </row>
    <row r="36" spans="1:21" ht="18.5" x14ac:dyDescent="0.5"/>
    <row r="37" spans="1:21" ht="18.5" x14ac:dyDescent="0.5"/>
    <row r="38" spans="1:21" ht="18.5" x14ac:dyDescent="0.5"/>
    <row r="39" spans="1:21" ht="18.5" x14ac:dyDescent="0.5"/>
    <row r="40" spans="1:21" ht="18.5" x14ac:dyDescent="0.5"/>
    <row r="41" spans="1:21" s="19" customFormat="1" ht="18.5" x14ac:dyDescent="0.5">
      <c r="A41" s="35"/>
      <c r="B41" s="9"/>
      <c r="C41" s="9"/>
      <c r="D41" s="9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5"/>
      <c r="U41" s="35"/>
    </row>
    <row r="42" spans="1:21" ht="18.5" x14ac:dyDescent="0.5"/>
    <row r="43" spans="1:21" ht="18.5" x14ac:dyDescent="0.5"/>
    <row r="44" spans="1:21" ht="18.5" x14ac:dyDescent="0.5"/>
    <row r="45" spans="1:21" ht="18.5" x14ac:dyDescent="0.5"/>
    <row r="46" spans="1:21" ht="18.5" x14ac:dyDescent="0.5"/>
    <row r="47" spans="1:21" ht="18.5" x14ac:dyDescent="0.5"/>
    <row r="48" spans="1:21" ht="18.5" x14ac:dyDescent="0.5"/>
    <row r="49" ht="18.5" x14ac:dyDescent="0.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AF94-5DA7-472A-895A-346B25969C84}">
  <dimension ref="A1:U49"/>
  <sheetViews>
    <sheetView topLeftCell="A7" zoomScale="85" zoomScaleNormal="85" workbookViewId="0">
      <selection activeCell="E15" sqref="E15"/>
    </sheetView>
  </sheetViews>
  <sheetFormatPr defaultColWidth="0" defaultRowHeight="18.5" zeroHeight="1" x14ac:dyDescent="0.5"/>
  <cols>
    <col min="1" max="1" width="10.83203125" style="9" customWidth="1"/>
    <col min="2" max="2" width="27.33203125" style="9" bestFit="1" customWidth="1"/>
    <col min="3" max="3" width="6.83203125" style="9" bestFit="1" customWidth="1"/>
    <col min="4" max="4" width="15.83203125" style="96" customWidth="1"/>
    <col min="5" max="19" width="15.83203125" style="11" customWidth="1"/>
    <col min="20" max="21" width="10.83203125" style="9" customWidth="1"/>
    <col min="22" max="16384" width="10.83203125" style="9" hidden="1"/>
  </cols>
  <sheetData>
    <row r="1" spans="2:21" x14ac:dyDescent="0.5"/>
    <row r="2" spans="2:21" x14ac:dyDescent="0.5"/>
    <row r="3" spans="2:21" x14ac:dyDescent="0.5">
      <c r="B3" s="9" t="s">
        <v>36</v>
      </c>
      <c r="C3" s="9">
        <v>10</v>
      </c>
    </row>
    <row r="4" spans="2:21" x14ac:dyDescent="0.5"/>
    <row r="5" spans="2:21" s="62" customFormat="1" x14ac:dyDescent="0.5">
      <c r="C5" s="62" t="s">
        <v>2</v>
      </c>
      <c r="D5" s="97">
        <v>2025</v>
      </c>
      <c r="E5" s="64">
        <v>2026</v>
      </c>
      <c r="F5" s="64">
        <v>2027</v>
      </c>
      <c r="G5" s="64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64">
        <f t="shared" si="0"/>
        <v>2040</v>
      </c>
    </row>
    <row r="6" spans="2:21" x14ac:dyDescent="0.5"/>
    <row r="7" spans="2:21" x14ac:dyDescent="0.5"/>
    <row r="8" spans="2:21" s="13" customFormat="1" x14ac:dyDescent="0.5">
      <c r="B8" s="13" t="s">
        <v>14</v>
      </c>
      <c r="C8" s="13" t="s">
        <v>15</v>
      </c>
      <c r="D8" s="98">
        <v>2025</v>
      </c>
      <c r="E8" s="15">
        <v>2026</v>
      </c>
      <c r="F8" s="15">
        <v>2027</v>
      </c>
      <c r="G8" s="15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5">
        <f t="shared" si="1"/>
        <v>2040</v>
      </c>
      <c r="T8" s="35"/>
      <c r="U8" s="35"/>
    </row>
    <row r="9" spans="2:21" x14ac:dyDescent="0.5">
      <c r="B9" s="9" t="s">
        <v>16</v>
      </c>
      <c r="C9" s="9" t="s">
        <v>37</v>
      </c>
      <c r="D9" s="105">
        <v>1.13333333333333</v>
      </c>
      <c r="E9" s="106">
        <v>1.1333333333333333</v>
      </c>
      <c r="F9" s="106">
        <v>1.1333333333333333</v>
      </c>
      <c r="G9" s="106">
        <v>1.1333333333333333</v>
      </c>
      <c r="H9" s="106">
        <v>1.1333333333333333</v>
      </c>
      <c r="I9" s="106">
        <v>1.1333333333333333</v>
      </c>
      <c r="J9" s="106">
        <v>1.1333333333333333</v>
      </c>
      <c r="K9" s="106">
        <v>1.1333333333333333</v>
      </c>
      <c r="L9" s="106">
        <v>1.1333333333333333</v>
      </c>
      <c r="M9" s="106">
        <v>1.1333333333333333</v>
      </c>
      <c r="N9" s="106">
        <v>1.1333333333333333</v>
      </c>
      <c r="O9" s="106">
        <v>1.1333333333333333</v>
      </c>
      <c r="P9" s="106">
        <v>1.1333333333333333</v>
      </c>
      <c r="Q9" s="106">
        <v>1.1333333333333333</v>
      </c>
      <c r="R9" s="106">
        <v>1.1333333333333333</v>
      </c>
      <c r="S9" s="106">
        <v>1.1333333333333333</v>
      </c>
    </row>
    <row r="10" spans="2:21" x14ac:dyDescent="0.5">
      <c r="B10" s="9" t="s">
        <v>17</v>
      </c>
      <c r="C10" s="9" t="s">
        <v>37</v>
      </c>
      <c r="D10" s="105">
        <v>10</v>
      </c>
      <c r="E10" s="105">
        <v>10</v>
      </c>
      <c r="F10" s="105">
        <v>10</v>
      </c>
      <c r="G10" s="105">
        <v>10</v>
      </c>
      <c r="H10" s="105">
        <v>10</v>
      </c>
      <c r="I10" s="105">
        <v>10</v>
      </c>
      <c r="J10" s="105">
        <v>10</v>
      </c>
      <c r="K10" s="105">
        <v>10</v>
      </c>
      <c r="L10" s="105">
        <v>10</v>
      </c>
      <c r="M10" s="105">
        <v>10</v>
      </c>
      <c r="N10" s="105">
        <v>10</v>
      </c>
      <c r="O10" s="105">
        <v>10</v>
      </c>
      <c r="P10" s="105">
        <v>10</v>
      </c>
      <c r="Q10" s="105">
        <v>10</v>
      </c>
      <c r="R10" s="105">
        <v>10</v>
      </c>
      <c r="S10" s="105">
        <v>10</v>
      </c>
    </row>
    <row r="11" spans="2:21" x14ac:dyDescent="0.5">
      <c r="B11" s="9" t="s">
        <v>18</v>
      </c>
      <c r="C11" s="9" t="s">
        <v>37</v>
      </c>
      <c r="D11" s="105">
        <v>10</v>
      </c>
      <c r="E11" s="105">
        <v>10</v>
      </c>
      <c r="F11" s="105">
        <v>10</v>
      </c>
      <c r="G11" s="105">
        <v>10</v>
      </c>
      <c r="H11" s="105">
        <v>10</v>
      </c>
      <c r="I11" s="105">
        <v>10</v>
      </c>
      <c r="J11" s="105">
        <v>10</v>
      </c>
      <c r="K11" s="105">
        <v>10</v>
      </c>
      <c r="L11" s="105">
        <v>10</v>
      </c>
      <c r="M11" s="105">
        <v>10</v>
      </c>
      <c r="N11" s="105">
        <v>10</v>
      </c>
      <c r="O11" s="105">
        <v>10</v>
      </c>
      <c r="P11" s="105">
        <v>10</v>
      </c>
      <c r="Q11" s="105">
        <v>10</v>
      </c>
      <c r="R11" s="105">
        <v>10</v>
      </c>
      <c r="S11" s="105">
        <v>10</v>
      </c>
    </row>
    <row r="12" spans="2:21" x14ac:dyDescent="0.5">
      <c r="B12" s="9" t="s">
        <v>19</v>
      </c>
      <c r="C12" s="9" t="s">
        <v>37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105">
        <v>1</v>
      </c>
      <c r="J12" s="105">
        <v>1</v>
      </c>
      <c r="K12" s="105">
        <v>1</v>
      </c>
      <c r="L12" s="105">
        <v>1</v>
      </c>
      <c r="M12" s="105">
        <v>1</v>
      </c>
      <c r="N12" s="105">
        <v>1</v>
      </c>
      <c r="O12" s="105">
        <v>1</v>
      </c>
      <c r="P12" s="105">
        <v>1</v>
      </c>
      <c r="Q12" s="105">
        <v>1</v>
      </c>
      <c r="R12" s="105">
        <v>1</v>
      </c>
      <c r="S12" s="105">
        <v>1</v>
      </c>
    </row>
    <row r="13" spans="2:21" x14ac:dyDescent="0.5"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</row>
    <row r="14" spans="2:21" s="19" customFormat="1" x14ac:dyDescent="0.5">
      <c r="B14" s="19" t="s">
        <v>5</v>
      </c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35"/>
      <c r="U14" s="35"/>
    </row>
    <row r="15" spans="2:21" x14ac:dyDescent="0.5">
      <c r="B15" s="9" t="s">
        <v>20</v>
      </c>
      <c r="C15" s="9" t="s">
        <v>37</v>
      </c>
      <c r="D15" s="108">
        <v>1.7</v>
      </c>
      <c r="E15" s="108">
        <v>5</v>
      </c>
      <c r="F15" s="108">
        <v>10</v>
      </c>
      <c r="G15" s="108">
        <v>10</v>
      </c>
      <c r="H15" s="108">
        <v>10</v>
      </c>
      <c r="I15" s="108">
        <v>10</v>
      </c>
      <c r="J15" s="108">
        <v>10</v>
      </c>
      <c r="K15" s="108">
        <v>10</v>
      </c>
      <c r="L15" s="108">
        <v>10</v>
      </c>
      <c r="M15" s="108">
        <v>10</v>
      </c>
      <c r="N15" s="108">
        <v>10</v>
      </c>
      <c r="O15" s="108">
        <v>10</v>
      </c>
      <c r="P15" s="108">
        <v>10</v>
      </c>
      <c r="Q15" s="108">
        <v>10</v>
      </c>
      <c r="R15" s="108">
        <v>10</v>
      </c>
      <c r="S15" s="108">
        <v>10</v>
      </c>
    </row>
    <row r="16" spans="2:21" x14ac:dyDescent="0.5">
      <c r="B16" s="9" t="s">
        <v>21</v>
      </c>
      <c r="C16" s="9" t="s">
        <v>37</v>
      </c>
      <c r="D16" s="108">
        <v>1.7</v>
      </c>
      <c r="E16" s="108">
        <v>5</v>
      </c>
      <c r="F16" s="108">
        <v>10</v>
      </c>
      <c r="G16" s="108">
        <v>10</v>
      </c>
      <c r="H16" s="108">
        <v>10</v>
      </c>
      <c r="I16" s="108">
        <v>10</v>
      </c>
      <c r="J16" s="108">
        <v>10</v>
      </c>
      <c r="K16" s="108">
        <v>10</v>
      </c>
      <c r="L16" s="108">
        <v>10</v>
      </c>
      <c r="M16" s="108">
        <v>10</v>
      </c>
      <c r="N16" s="108">
        <v>10</v>
      </c>
      <c r="O16" s="108">
        <v>10</v>
      </c>
      <c r="P16" s="108">
        <v>10</v>
      </c>
      <c r="Q16" s="108">
        <v>10</v>
      </c>
      <c r="R16" s="108">
        <v>10</v>
      </c>
      <c r="S16" s="108">
        <v>10</v>
      </c>
    </row>
    <row r="17" spans="1:21" x14ac:dyDescent="0.5">
      <c r="B17" s="9" t="s">
        <v>22</v>
      </c>
      <c r="C17" s="9" t="s">
        <v>37</v>
      </c>
      <c r="D17" s="105">
        <v>10</v>
      </c>
      <c r="E17" s="106">
        <v>10</v>
      </c>
      <c r="F17" s="106">
        <v>10</v>
      </c>
      <c r="G17" s="106">
        <v>10</v>
      </c>
      <c r="H17" s="106">
        <v>10</v>
      </c>
      <c r="I17" s="106">
        <v>10</v>
      </c>
      <c r="J17" s="106">
        <v>10</v>
      </c>
      <c r="K17" s="106">
        <v>10</v>
      </c>
      <c r="L17" s="106">
        <v>10</v>
      </c>
      <c r="M17" s="106">
        <v>10</v>
      </c>
      <c r="N17" s="106">
        <v>10</v>
      </c>
      <c r="O17" s="106">
        <v>10</v>
      </c>
      <c r="P17" s="106">
        <v>10</v>
      </c>
      <c r="Q17" s="106">
        <v>10</v>
      </c>
      <c r="R17" s="106">
        <v>10</v>
      </c>
      <c r="S17" s="106">
        <v>10</v>
      </c>
    </row>
    <row r="18" spans="1:21" x14ac:dyDescent="0.5">
      <c r="B18" s="9" t="s">
        <v>23</v>
      </c>
      <c r="C18" s="9" t="s">
        <v>37</v>
      </c>
      <c r="D18" s="105">
        <v>10</v>
      </c>
      <c r="E18" s="106">
        <v>10</v>
      </c>
      <c r="F18" s="106">
        <v>10</v>
      </c>
      <c r="G18" s="106">
        <v>10</v>
      </c>
      <c r="H18" s="106">
        <v>10</v>
      </c>
      <c r="I18" s="106">
        <v>10</v>
      </c>
      <c r="J18" s="106">
        <v>10</v>
      </c>
      <c r="K18" s="106">
        <v>10</v>
      </c>
      <c r="L18" s="106">
        <v>10</v>
      </c>
      <c r="M18" s="106">
        <v>10</v>
      </c>
      <c r="N18" s="106">
        <v>10</v>
      </c>
      <c r="O18" s="106">
        <v>10</v>
      </c>
      <c r="P18" s="106">
        <v>10</v>
      </c>
      <c r="Q18" s="106">
        <v>10</v>
      </c>
      <c r="R18" s="106">
        <v>10</v>
      </c>
      <c r="S18" s="106">
        <v>10</v>
      </c>
    </row>
    <row r="19" spans="1:21" x14ac:dyDescent="0.5">
      <c r="B19" s="9" t="s">
        <v>24</v>
      </c>
      <c r="C19" s="9" t="s">
        <v>37</v>
      </c>
      <c r="D19" s="105">
        <v>2.8333333333333335</v>
      </c>
      <c r="E19" s="106">
        <v>2.8333333333333335</v>
      </c>
      <c r="F19" s="106">
        <v>2.8333333333333335</v>
      </c>
      <c r="G19" s="106">
        <v>2.8333333333333335</v>
      </c>
      <c r="H19" s="106">
        <v>3.0694444444444442</v>
      </c>
      <c r="I19" s="106">
        <v>3.3055555555555554</v>
      </c>
      <c r="J19" s="106">
        <v>3.5416666666666661</v>
      </c>
      <c r="K19" s="106">
        <v>3.7777777777777777</v>
      </c>
      <c r="L19" s="106">
        <v>4.0138888888888884</v>
      </c>
      <c r="M19" s="106">
        <v>4.25</v>
      </c>
      <c r="N19" s="106">
        <v>4.4861111111111116</v>
      </c>
      <c r="O19" s="106">
        <v>4.7222222222222223</v>
      </c>
      <c r="P19" s="106">
        <v>4.9583333333333339</v>
      </c>
      <c r="Q19" s="106">
        <v>5.1944444444444455</v>
      </c>
      <c r="R19" s="106">
        <v>5.4305555555555562</v>
      </c>
      <c r="S19" s="106">
        <v>5.666666666666667</v>
      </c>
    </row>
    <row r="20" spans="1:21" x14ac:dyDescent="0.5"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</row>
    <row r="21" spans="1:21" x14ac:dyDescent="0.5">
      <c r="B21" s="19" t="s">
        <v>25</v>
      </c>
      <c r="C21" s="19"/>
      <c r="D21" s="105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</row>
    <row r="22" spans="1:21" x14ac:dyDescent="0.5">
      <c r="A22" s="52"/>
      <c r="B22" s="9" t="s">
        <v>26</v>
      </c>
      <c r="C22" s="9" t="s">
        <v>37</v>
      </c>
      <c r="D22" s="107">
        <v>0</v>
      </c>
      <c r="E22" s="108">
        <v>0</v>
      </c>
      <c r="F22" s="108">
        <v>0</v>
      </c>
      <c r="G22" s="108">
        <v>0</v>
      </c>
      <c r="H22" s="108">
        <v>0</v>
      </c>
      <c r="I22" s="108">
        <v>10</v>
      </c>
      <c r="J22" s="108">
        <v>10</v>
      </c>
      <c r="K22" s="108">
        <v>10</v>
      </c>
      <c r="L22" s="108">
        <v>10</v>
      </c>
      <c r="M22" s="108">
        <v>10</v>
      </c>
      <c r="N22" s="108">
        <v>10</v>
      </c>
      <c r="O22" s="108">
        <v>10</v>
      </c>
      <c r="P22" s="108">
        <v>10</v>
      </c>
      <c r="Q22" s="108">
        <v>10</v>
      </c>
      <c r="R22" s="108">
        <v>10</v>
      </c>
      <c r="S22" s="108">
        <v>10</v>
      </c>
    </row>
    <row r="23" spans="1:21" x14ac:dyDescent="0.5"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</row>
    <row r="24" spans="1:21" s="19" customFormat="1" x14ac:dyDescent="0.5">
      <c r="B24" s="19" t="s">
        <v>27</v>
      </c>
      <c r="D24" s="105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35"/>
      <c r="U24" s="35"/>
    </row>
    <row r="25" spans="1:21" x14ac:dyDescent="0.5">
      <c r="B25" s="9" t="s">
        <v>28</v>
      </c>
      <c r="C25" s="9" t="s">
        <v>37</v>
      </c>
      <c r="D25" s="107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10</v>
      </c>
      <c r="J25" s="108">
        <v>10</v>
      </c>
      <c r="K25" s="108">
        <v>10</v>
      </c>
      <c r="L25" s="108">
        <v>10</v>
      </c>
      <c r="M25" s="108">
        <v>10</v>
      </c>
      <c r="N25" s="108">
        <v>10</v>
      </c>
      <c r="O25" s="108">
        <v>10</v>
      </c>
      <c r="P25" s="108">
        <v>10</v>
      </c>
      <c r="Q25" s="108">
        <v>10</v>
      </c>
      <c r="R25" s="108">
        <v>10</v>
      </c>
      <c r="S25" s="108">
        <v>10</v>
      </c>
    </row>
    <row r="26" spans="1:21" x14ac:dyDescent="0.5"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</row>
    <row r="27" spans="1:21" x14ac:dyDescent="0.5">
      <c r="B27" s="19" t="s">
        <v>9</v>
      </c>
      <c r="C27" s="19"/>
      <c r="D27" s="105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</row>
    <row r="28" spans="1:21" x14ac:dyDescent="0.5">
      <c r="A28" s="52"/>
      <c r="B28" s="9" t="s">
        <v>29</v>
      </c>
      <c r="C28" s="9" t="s">
        <v>37</v>
      </c>
      <c r="D28" s="107">
        <v>10</v>
      </c>
      <c r="E28" s="108">
        <v>10</v>
      </c>
      <c r="F28" s="108">
        <v>10</v>
      </c>
      <c r="G28" s="108">
        <v>10</v>
      </c>
      <c r="H28" s="108">
        <v>10</v>
      </c>
      <c r="I28" s="108">
        <v>10</v>
      </c>
      <c r="J28" s="108">
        <v>10</v>
      </c>
      <c r="K28" s="108">
        <v>10</v>
      </c>
      <c r="L28" s="108">
        <v>10</v>
      </c>
      <c r="M28" s="108">
        <v>10</v>
      </c>
      <c r="N28" s="108">
        <v>10</v>
      </c>
      <c r="O28" s="108">
        <v>10</v>
      </c>
      <c r="P28" s="108">
        <v>10</v>
      </c>
      <c r="Q28" s="108">
        <v>10</v>
      </c>
      <c r="R28" s="108">
        <v>10</v>
      </c>
      <c r="S28" s="108">
        <v>10</v>
      </c>
    </row>
    <row r="29" spans="1:21" x14ac:dyDescent="0.5">
      <c r="B29" s="9" t="s">
        <v>30</v>
      </c>
      <c r="C29" s="9" t="s">
        <v>37</v>
      </c>
      <c r="D29" s="105">
        <v>10</v>
      </c>
      <c r="E29" s="108">
        <v>10</v>
      </c>
      <c r="F29" s="108">
        <v>10</v>
      </c>
      <c r="G29" s="108">
        <v>10</v>
      </c>
      <c r="H29" s="108">
        <v>10</v>
      </c>
      <c r="I29" s="108">
        <v>10</v>
      </c>
      <c r="J29" s="108">
        <v>10</v>
      </c>
      <c r="K29" s="108">
        <v>10</v>
      </c>
      <c r="L29" s="108">
        <v>10</v>
      </c>
      <c r="M29" s="108">
        <v>10</v>
      </c>
      <c r="N29" s="108">
        <v>10</v>
      </c>
      <c r="O29" s="108">
        <v>10</v>
      </c>
      <c r="P29" s="108">
        <v>10</v>
      </c>
      <c r="Q29" s="108">
        <v>10</v>
      </c>
      <c r="R29" s="108">
        <v>10</v>
      </c>
      <c r="S29" s="108">
        <v>10</v>
      </c>
    </row>
    <row r="30" spans="1:21" x14ac:dyDescent="0.5">
      <c r="B30" s="9" t="s">
        <v>31</v>
      </c>
      <c r="C30" s="9" t="s">
        <v>37</v>
      </c>
      <c r="D30" s="105">
        <v>10</v>
      </c>
      <c r="E30" s="108">
        <v>10</v>
      </c>
      <c r="F30" s="108">
        <v>10</v>
      </c>
      <c r="G30" s="108">
        <v>10</v>
      </c>
      <c r="H30" s="108">
        <v>10</v>
      </c>
      <c r="I30" s="108">
        <v>10</v>
      </c>
      <c r="J30" s="108">
        <v>10</v>
      </c>
      <c r="K30" s="108">
        <v>10</v>
      </c>
      <c r="L30" s="108">
        <v>10</v>
      </c>
      <c r="M30" s="108">
        <v>10</v>
      </c>
      <c r="N30" s="108">
        <v>10</v>
      </c>
      <c r="O30" s="108">
        <v>10</v>
      </c>
      <c r="P30" s="108">
        <v>10</v>
      </c>
      <c r="Q30" s="108">
        <v>10</v>
      </c>
      <c r="R30" s="108">
        <v>10</v>
      </c>
      <c r="S30" s="108">
        <v>10</v>
      </c>
    </row>
    <row r="31" spans="1:21" x14ac:dyDescent="0.5"/>
    <row r="32" spans="1:21" x14ac:dyDescent="0.5">
      <c r="B32" s="58"/>
      <c r="C32" s="58"/>
      <c r="D32" s="103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21" x14ac:dyDescent="0.5">
      <c r="B33" s="58"/>
      <c r="C33" s="58"/>
      <c r="D33" s="104"/>
      <c r="E33" s="60"/>
      <c r="F33" s="60"/>
      <c r="G33" s="137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21" s="19" customFormat="1" x14ac:dyDescent="0.5">
      <c r="A34" s="35"/>
      <c r="B34" s="58"/>
      <c r="C34" s="58"/>
      <c r="D34" s="104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35"/>
      <c r="U34" s="35"/>
    </row>
    <row r="35" spans="1:21" s="19" customFormat="1" x14ac:dyDescent="0.5">
      <c r="A35" s="35"/>
      <c r="B35" s="9"/>
      <c r="C35" s="9"/>
      <c r="D35" s="10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5"/>
      <c r="U35" s="35"/>
    </row>
    <row r="36" spans="1:21" x14ac:dyDescent="0.5"/>
    <row r="37" spans="1:21" x14ac:dyDescent="0.5"/>
    <row r="38" spans="1:21" x14ac:dyDescent="0.5"/>
    <row r="39" spans="1:21" x14ac:dyDescent="0.5"/>
    <row r="40" spans="1:21" x14ac:dyDescent="0.5"/>
    <row r="41" spans="1:21" s="19" customFormat="1" x14ac:dyDescent="0.5">
      <c r="A41" s="35"/>
      <c r="B41" s="9"/>
      <c r="C41" s="9"/>
      <c r="D41" s="9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5"/>
      <c r="U41" s="35"/>
    </row>
    <row r="42" spans="1:21" x14ac:dyDescent="0.5"/>
    <row r="43" spans="1:21" x14ac:dyDescent="0.5"/>
    <row r="44" spans="1:21" x14ac:dyDescent="0.5"/>
    <row r="45" spans="1:21" x14ac:dyDescent="0.5"/>
    <row r="46" spans="1:21" x14ac:dyDescent="0.5"/>
    <row r="47" spans="1:21" x14ac:dyDescent="0.5"/>
    <row r="48" spans="1:21" x14ac:dyDescent="0.5"/>
    <row r="49" x14ac:dyDescent="0.5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4BE6-F34D-8444-9ADE-721C10851640}">
  <dimension ref="A1:U49"/>
  <sheetViews>
    <sheetView topLeftCell="A10" zoomScaleNormal="100" workbookViewId="0">
      <selection activeCell="D15" sqref="D15"/>
    </sheetView>
  </sheetViews>
  <sheetFormatPr defaultColWidth="0" defaultRowHeight="18.5" zeroHeight="1" x14ac:dyDescent="0.5"/>
  <cols>
    <col min="1" max="1" width="10.83203125" style="9" customWidth="1"/>
    <col min="2" max="2" width="27.33203125" style="9" bestFit="1" customWidth="1"/>
    <col min="3" max="3" width="11.58203125" style="9" customWidth="1"/>
    <col min="4" max="4" width="11.58203125" style="111" customWidth="1"/>
    <col min="5" max="6" width="11.58203125" style="83" customWidth="1"/>
    <col min="7" max="7" width="15.83203125" style="88" customWidth="1"/>
    <col min="8" max="19" width="15.83203125" style="11" customWidth="1"/>
    <col min="20" max="21" width="10.83203125" style="9" customWidth="1"/>
    <col min="22" max="16384" width="10.83203125" style="9" hidden="1"/>
  </cols>
  <sheetData>
    <row r="1" spans="2:21" x14ac:dyDescent="0.5"/>
    <row r="2" spans="2:21" x14ac:dyDescent="0.5"/>
    <row r="3" spans="2:21" x14ac:dyDescent="0.5">
      <c r="B3" s="9" t="s">
        <v>38</v>
      </c>
    </row>
    <row r="4" spans="2:21" x14ac:dyDescent="0.5"/>
    <row r="5" spans="2:21" s="62" customFormat="1" x14ac:dyDescent="0.5">
      <c r="C5" s="62" t="s">
        <v>2</v>
      </c>
      <c r="D5" s="112">
        <v>2025</v>
      </c>
      <c r="E5" s="84">
        <v>2026</v>
      </c>
      <c r="F5" s="84">
        <v>2027</v>
      </c>
      <c r="G5" s="89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64">
        <f t="shared" si="0"/>
        <v>2040</v>
      </c>
    </row>
    <row r="6" spans="2:21" x14ac:dyDescent="0.5"/>
    <row r="7" spans="2:21" x14ac:dyDescent="0.5"/>
    <row r="8" spans="2:21" s="13" customFormat="1" x14ac:dyDescent="0.5">
      <c r="B8" s="13" t="s">
        <v>14</v>
      </c>
      <c r="C8" s="13" t="s">
        <v>15</v>
      </c>
      <c r="D8" s="113">
        <v>2025</v>
      </c>
      <c r="E8" s="85">
        <v>2026</v>
      </c>
      <c r="F8" s="85">
        <v>2027</v>
      </c>
      <c r="G8" s="90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5">
        <f t="shared" si="1"/>
        <v>2040</v>
      </c>
      <c r="T8" s="35"/>
      <c r="U8" s="35"/>
    </row>
    <row r="9" spans="2:21" x14ac:dyDescent="0.5">
      <c r="B9" s="9" t="s">
        <v>16</v>
      </c>
      <c r="C9" s="9" t="s">
        <v>38</v>
      </c>
      <c r="D9" s="114">
        <v>0.02</v>
      </c>
      <c r="E9" s="109">
        <v>0.02</v>
      </c>
      <c r="F9" s="109">
        <v>0.02</v>
      </c>
      <c r="G9" s="109">
        <v>0.02</v>
      </c>
      <c r="H9" s="61">
        <f>G9</f>
        <v>0.02</v>
      </c>
      <c r="I9" s="61">
        <f t="shared" ref="I9:S9" si="2">H9</f>
        <v>0.02</v>
      </c>
      <c r="J9" s="61">
        <f t="shared" si="2"/>
        <v>0.02</v>
      </c>
      <c r="K9" s="61">
        <f t="shared" si="2"/>
        <v>0.02</v>
      </c>
      <c r="L9" s="61">
        <f t="shared" si="2"/>
        <v>0.02</v>
      </c>
      <c r="M9" s="61">
        <f t="shared" si="2"/>
        <v>0.02</v>
      </c>
      <c r="N9" s="61">
        <f t="shared" si="2"/>
        <v>0.02</v>
      </c>
      <c r="O9" s="61">
        <f t="shared" si="2"/>
        <v>0.02</v>
      </c>
      <c r="P9" s="61">
        <f t="shared" si="2"/>
        <v>0.02</v>
      </c>
      <c r="Q9" s="61">
        <f t="shared" si="2"/>
        <v>0.02</v>
      </c>
      <c r="R9" s="61">
        <f t="shared" si="2"/>
        <v>0.02</v>
      </c>
      <c r="S9" s="61">
        <f t="shared" si="2"/>
        <v>0.02</v>
      </c>
    </row>
    <row r="10" spans="2:21" x14ac:dyDescent="0.5">
      <c r="B10" s="9" t="s">
        <v>17</v>
      </c>
      <c r="C10" s="9" t="s">
        <v>38</v>
      </c>
      <c r="D10" s="114">
        <v>0.28000000000000003</v>
      </c>
      <c r="E10" s="109">
        <v>0.23</v>
      </c>
      <c r="F10" s="109">
        <v>0.2</v>
      </c>
      <c r="G10" s="109">
        <v>0.2</v>
      </c>
      <c r="H10" s="61">
        <f>G10-2%</f>
        <v>0.18000000000000002</v>
      </c>
      <c r="I10" s="61">
        <f t="shared" ref="I10:J10" si="3">H10-2%</f>
        <v>0.16000000000000003</v>
      </c>
      <c r="J10" s="61">
        <f t="shared" si="3"/>
        <v>0.14000000000000004</v>
      </c>
      <c r="K10" s="61">
        <f>J10</f>
        <v>0.14000000000000004</v>
      </c>
      <c r="L10" s="61">
        <f t="shared" ref="L10:S10" si="4">K10</f>
        <v>0.14000000000000004</v>
      </c>
      <c r="M10" s="61">
        <f t="shared" si="4"/>
        <v>0.14000000000000004</v>
      </c>
      <c r="N10" s="61">
        <f t="shared" si="4"/>
        <v>0.14000000000000004</v>
      </c>
      <c r="O10" s="61">
        <f t="shared" si="4"/>
        <v>0.14000000000000004</v>
      </c>
      <c r="P10" s="61">
        <f t="shared" si="4"/>
        <v>0.14000000000000004</v>
      </c>
      <c r="Q10" s="61">
        <f t="shared" si="4"/>
        <v>0.14000000000000004</v>
      </c>
      <c r="R10" s="61">
        <f t="shared" si="4"/>
        <v>0.14000000000000004</v>
      </c>
      <c r="S10" s="61">
        <f t="shared" si="4"/>
        <v>0.14000000000000004</v>
      </c>
    </row>
    <row r="11" spans="2:21" x14ac:dyDescent="0.5">
      <c r="B11" s="9" t="s">
        <v>18</v>
      </c>
      <c r="C11" s="9" t="s">
        <v>38</v>
      </c>
      <c r="D11" s="114">
        <v>0.28000000000000003</v>
      </c>
      <c r="E11" s="109">
        <v>0.23</v>
      </c>
      <c r="F11" s="109">
        <v>0.2</v>
      </c>
      <c r="G11" s="109">
        <v>0.2</v>
      </c>
      <c r="H11" s="61">
        <f t="shared" ref="H11:J11" si="5">G11-2%</f>
        <v>0.18000000000000002</v>
      </c>
      <c r="I11" s="61">
        <f t="shared" si="5"/>
        <v>0.16000000000000003</v>
      </c>
      <c r="J11" s="61">
        <f t="shared" si="5"/>
        <v>0.14000000000000004</v>
      </c>
      <c r="K11" s="61">
        <f t="shared" ref="K11:S11" si="6">J11</f>
        <v>0.14000000000000004</v>
      </c>
      <c r="L11" s="61">
        <f t="shared" si="6"/>
        <v>0.14000000000000004</v>
      </c>
      <c r="M11" s="61">
        <f t="shared" si="6"/>
        <v>0.14000000000000004</v>
      </c>
      <c r="N11" s="61">
        <f t="shared" si="6"/>
        <v>0.14000000000000004</v>
      </c>
      <c r="O11" s="61">
        <f t="shared" si="6"/>
        <v>0.14000000000000004</v>
      </c>
      <c r="P11" s="61">
        <f t="shared" si="6"/>
        <v>0.14000000000000004</v>
      </c>
      <c r="Q11" s="61">
        <f t="shared" si="6"/>
        <v>0.14000000000000004</v>
      </c>
      <c r="R11" s="61">
        <f t="shared" si="6"/>
        <v>0.14000000000000004</v>
      </c>
      <c r="S11" s="61">
        <f t="shared" si="6"/>
        <v>0.14000000000000004</v>
      </c>
    </row>
    <row r="12" spans="2:21" x14ac:dyDescent="0.5">
      <c r="B12" s="9" t="s">
        <v>19</v>
      </c>
      <c r="C12" s="9" t="s">
        <v>38</v>
      </c>
      <c r="D12" s="114">
        <v>0.2</v>
      </c>
      <c r="E12" s="109">
        <v>0.2</v>
      </c>
      <c r="F12" s="109">
        <v>0.2</v>
      </c>
      <c r="G12" s="109">
        <v>0.2</v>
      </c>
      <c r="H12" s="61">
        <f t="shared" ref="H12:J12" si="7">G12-2%</f>
        <v>0.18000000000000002</v>
      </c>
      <c r="I12" s="61">
        <f t="shared" si="7"/>
        <v>0.16000000000000003</v>
      </c>
      <c r="J12" s="61">
        <f t="shared" si="7"/>
        <v>0.14000000000000004</v>
      </c>
      <c r="K12" s="61">
        <f t="shared" ref="K12:S12" si="8">J12</f>
        <v>0.14000000000000004</v>
      </c>
      <c r="L12" s="61">
        <f t="shared" si="8"/>
        <v>0.14000000000000004</v>
      </c>
      <c r="M12" s="61">
        <f t="shared" si="8"/>
        <v>0.14000000000000004</v>
      </c>
      <c r="N12" s="61">
        <f t="shared" si="8"/>
        <v>0.14000000000000004</v>
      </c>
      <c r="O12" s="61">
        <f t="shared" si="8"/>
        <v>0.14000000000000004</v>
      </c>
      <c r="P12" s="61">
        <f t="shared" si="8"/>
        <v>0.14000000000000004</v>
      </c>
      <c r="Q12" s="61">
        <f t="shared" si="8"/>
        <v>0.14000000000000004</v>
      </c>
      <c r="R12" s="61">
        <f t="shared" si="8"/>
        <v>0.14000000000000004</v>
      </c>
      <c r="S12" s="61">
        <f t="shared" si="8"/>
        <v>0.14000000000000004</v>
      </c>
    </row>
    <row r="13" spans="2:21" x14ac:dyDescent="0.5">
      <c r="D13" s="96"/>
      <c r="E13" s="88"/>
      <c r="F13" s="88"/>
    </row>
    <row r="14" spans="2:21" s="19" customFormat="1" x14ac:dyDescent="0.5">
      <c r="B14" s="19" t="s">
        <v>5</v>
      </c>
      <c r="D14" s="100"/>
      <c r="E14" s="92"/>
      <c r="F14" s="92"/>
      <c r="G14" s="9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35"/>
      <c r="U14" s="35"/>
    </row>
    <row r="15" spans="2:21" x14ac:dyDescent="0.5">
      <c r="B15" s="9" t="s">
        <v>20</v>
      </c>
      <c r="C15" s="9" t="s">
        <v>38</v>
      </c>
      <c r="D15" s="114">
        <v>0.32</v>
      </c>
      <c r="E15" s="109">
        <v>0.32</v>
      </c>
      <c r="F15" s="109">
        <v>0.32</v>
      </c>
      <c r="G15" s="109">
        <v>0.3</v>
      </c>
      <c r="H15" s="61">
        <f>G15-2%</f>
        <v>0.27999999999999997</v>
      </c>
      <c r="I15" s="61">
        <f t="shared" ref="I15:L15" si="9">H15-2%</f>
        <v>0.25999999999999995</v>
      </c>
      <c r="J15" s="61">
        <f t="shared" si="9"/>
        <v>0.23999999999999996</v>
      </c>
      <c r="K15" s="61">
        <f t="shared" si="9"/>
        <v>0.21999999999999997</v>
      </c>
      <c r="L15" s="61">
        <f t="shared" si="9"/>
        <v>0.19999999999999998</v>
      </c>
      <c r="M15" s="61">
        <f>L15</f>
        <v>0.19999999999999998</v>
      </c>
      <c r="N15" s="61">
        <f t="shared" ref="N15:S15" si="10">M15</f>
        <v>0.19999999999999998</v>
      </c>
      <c r="O15" s="61">
        <f t="shared" si="10"/>
        <v>0.19999999999999998</v>
      </c>
      <c r="P15" s="61">
        <f t="shared" si="10"/>
        <v>0.19999999999999998</v>
      </c>
      <c r="Q15" s="61">
        <f t="shared" si="10"/>
        <v>0.19999999999999998</v>
      </c>
      <c r="R15" s="61">
        <f t="shared" si="10"/>
        <v>0.19999999999999998</v>
      </c>
      <c r="S15" s="61">
        <f t="shared" si="10"/>
        <v>0.19999999999999998</v>
      </c>
    </row>
    <row r="16" spans="2:21" x14ac:dyDescent="0.5">
      <c r="B16" s="9" t="s">
        <v>21</v>
      </c>
      <c r="C16" s="9" t="s">
        <v>38</v>
      </c>
      <c r="D16" s="114">
        <v>0.32</v>
      </c>
      <c r="E16" s="109">
        <v>0.32</v>
      </c>
      <c r="F16" s="109">
        <v>0.32</v>
      </c>
      <c r="G16" s="109">
        <v>0.3</v>
      </c>
      <c r="H16" s="61">
        <f t="shared" ref="H16:L16" si="11">G16-2%</f>
        <v>0.27999999999999997</v>
      </c>
      <c r="I16" s="61">
        <f t="shared" si="11"/>
        <v>0.25999999999999995</v>
      </c>
      <c r="J16" s="61">
        <f t="shared" si="11"/>
        <v>0.23999999999999996</v>
      </c>
      <c r="K16" s="61">
        <f t="shared" si="11"/>
        <v>0.21999999999999997</v>
      </c>
      <c r="L16" s="61">
        <f t="shared" si="11"/>
        <v>0.19999999999999998</v>
      </c>
      <c r="M16" s="61">
        <f t="shared" ref="M16:S16" si="12">L16</f>
        <v>0.19999999999999998</v>
      </c>
      <c r="N16" s="61">
        <f t="shared" si="12"/>
        <v>0.19999999999999998</v>
      </c>
      <c r="O16" s="61">
        <f t="shared" si="12"/>
        <v>0.19999999999999998</v>
      </c>
      <c r="P16" s="61">
        <f t="shared" si="12"/>
        <v>0.19999999999999998</v>
      </c>
      <c r="Q16" s="61">
        <f t="shared" si="12"/>
        <v>0.19999999999999998</v>
      </c>
      <c r="R16" s="61">
        <f t="shared" si="12"/>
        <v>0.19999999999999998</v>
      </c>
      <c r="S16" s="61">
        <f t="shared" si="12"/>
        <v>0.19999999999999998</v>
      </c>
    </row>
    <row r="17" spans="1:21" x14ac:dyDescent="0.5">
      <c r="B17" s="9" t="s">
        <v>22</v>
      </c>
      <c r="C17" s="9" t="s">
        <v>38</v>
      </c>
      <c r="D17" s="114">
        <v>0.15</v>
      </c>
      <c r="E17" s="109">
        <v>0.15</v>
      </c>
      <c r="F17" s="109">
        <v>0.15</v>
      </c>
      <c r="G17" s="109">
        <v>0.15</v>
      </c>
      <c r="H17" s="61">
        <f>G17+1%</f>
        <v>0.16</v>
      </c>
      <c r="I17" s="61">
        <f t="shared" ref="I17:L17" si="13">H17+1%</f>
        <v>0.17</v>
      </c>
      <c r="J17" s="61">
        <f t="shared" si="13"/>
        <v>0.18000000000000002</v>
      </c>
      <c r="K17" s="61">
        <f t="shared" si="13"/>
        <v>0.19000000000000003</v>
      </c>
      <c r="L17" s="61">
        <f t="shared" si="13"/>
        <v>0.20000000000000004</v>
      </c>
      <c r="M17" s="61">
        <f t="shared" ref="M17:S17" si="14">L17</f>
        <v>0.20000000000000004</v>
      </c>
      <c r="N17" s="61">
        <f t="shared" si="14"/>
        <v>0.20000000000000004</v>
      </c>
      <c r="O17" s="61">
        <f t="shared" si="14"/>
        <v>0.20000000000000004</v>
      </c>
      <c r="P17" s="61">
        <f t="shared" si="14"/>
        <v>0.20000000000000004</v>
      </c>
      <c r="Q17" s="61">
        <f t="shared" si="14"/>
        <v>0.20000000000000004</v>
      </c>
      <c r="R17" s="61">
        <f t="shared" si="14"/>
        <v>0.20000000000000004</v>
      </c>
      <c r="S17" s="61">
        <f t="shared" si="14"/>
        <v>0.20000000000000004</v>
      </c>
    </row>
    <row r="18" spans="1:21" x14ac:dyDescent="0.5">
      <c r="B18" s="9" t="s">
        <v>23</v>
      </c>
      <c r="C18" s="9" t="s">
        <v>38</v>
      </c>
      <c r="D18" s="114">
        <v>0.15</v>
      </c>
      <c r="E18" s="109">
        <v>0.15</v>
      </c>
      <c r="F18" s="109">
        <v>0.15</v>
      </c>
      <c r="G18" s="109">
        <v>0.15</v>
      </c>
      <c r="H18" s="61">
        <f t="shared" ref="H18:L18" si="15">G18+1%</f>
        <v>0.16</v>
      </c>
      <c r="I18" s="61">
        <f t="shared" si="15"/>
        <v>0.17</v>
      </c>
      <c r="J18" s="61">
        <f t="shared" si="15"/>
        <v>0.18000000000000002</v>
      </c>
      <c r="K18" s="61">
        <f t="shared" si="15"/>
        <v>0.19000000000000003</v>
      </c>
      <c r="L18" s="61">
        <f t="shared" si="15"/>
        <v>0.20000000000000004</v>
      </c>
      <c r="M18" s="61">
        <f t="shared" ref="M18:S18" si="16">L18</f>
        <v>0.20000000000000004</v>
      </c>
      <c r="N18" s="61">
        <f t="shared" si="16"/>
        <v>0.20000000000000004</v>
      </c>
      <c r="O18" s="61">
        <f t="shared" si="16"/>
        <v>0.20000000000000004</v>
      </c>
      <c r="P18" s="61">
        <f t="shared" si="16"/>
        <v>0.20000000000000004</v>
      </c>
      <c r="Q18" s="61">
        <f t="shared" si="16"/>
        <v>0.20000000000000004</v>
      </c>
      <c r="R18" s="61">
        <f t="shared" si="16"/>
        <v>0.20000000000000004</v>
      </c>
      <c r="S18" s="61">
        <f t="shared" si="16"/>
        <v>0.20000000000000004</v>
      </c>
    </row>
    <row r="19" spans="1:21" x14ac:dyDescent="0.5">
      <c r="B19" s="9" t="s">
        <v>24</v>
      </c>
      <c r="C19" s="9" t="s">
        <v>38</v>
      </c>
      <c r="D19" s="114">
        <v>0.04</v>
      </c>
      <c r="E19" s="109">
        <v>0.04</v>
      </c>
      <c r="F19" s="109">
        <v>0.04</v>
      </c>
      <c r="G19" s="109">
        <v>0.05</v>
      </c>
      <c r="H19" s="61">
        <f>G19+1%</f>
        <v>6.0000000000000005E-2</v>
      </c>
      <c r="I19" s="61">
        <f t="shared" ref="I19:M19" si="17">H19+1%</f>
        <v>7.0000000000000007E-2</v>
      </c>
      <c r="J19" s="61">
        <f t="shared" si="17"/>
        <v>0.08</v>
      </c>
      <c r="K19" s="61">
        <f t="shared" si="17"/>
        <v>0.09</v>
      </c>
      <c r="L19" s="61">
        <f t="shared" si="17"/>
        <v>9.9999999999999992E-2</v>
      </c>
      <c r="M19" s="61">
        <f t="shared" si="17"/>
        <v>0.10999999999999999</v>
      </c>
      <c r="N19" s="61">
        <f>M19</f>
        <v>0.10999999999999999</v>
      </c>
      <c r="O19" s="61">
        <f t="shared" ref="O19:S19" si="18">N19</f>
        <v>0.10999999999999999</v>
      </c>
      <c r="P19" s="61">
        <f t="shared" si="18"/>
        <v>0.10999999999999999</v>
      </c>
      <c r="Q19" s="61">
        <f t="shared" si="18"/>
        <v>0.10999999999999999</v>
      </c>
      <c r="R19" s="61">
        <f t="shared" si="18"/>
        <v>0.10999999999999999</v>
      </c>
      <c r="S19" s="61">
        <f t="shared" si="18"/>
        <v>0.10999999999999999</v>
      </c>
    </row>
    <row r="20" spans="1:21" x14ac:dyDescent="0.5">
      <c r="D20" s="101"/>
      <c r="E20" s="93"/>
      <c r="F20" s="93"/>
      <c r="G20" s="9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21" x14ac:dyDescent="0.5">
      <c r="B21" s="19" t="s">
        <v>25</v>
      </c>
      <c r="C21" s="19"/>
      <c r="D21" s="100"/>
      <c r="E21" s="92"/>
      <c r="F21" s="92"/>
      <c r="G21" s="9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21" x14ac:dyDescent="0.5">
      <c r="B22" s="9" t="s">
        <v>26</v>
      </c>
      <c r="C22" s="9" t="s">
        <v>38</v>
      </c>
      <c r="D22" s="114">
        <v>0</v>
      </c>
      <c r="E22" s="109">
        <v>0</v>
      </c>
      <c r="F22" s="109">
        <v>0</v>
      </c>
      <c r="G22" s="109">
        <v>0</v>
      </c>
      <c r="H22" s="61">
        <v>0</v>
      </c>
      <c r="I22" s="61">
        <v>0.2</v>
      </c>
      <c r="J22" s="61">
        <v>0.3</v>
      </c>
      <c r="K22" s="61">
        <f>J22</f>
        <v>0.3</v>
      </c>
      <c r="L22" s="61">
        <f t="shared" ref="L22:S22" si="19">K22</f>
        <v>0.3</v>
      </c>
      <c r="M22" s="61">
        <f t="shared" si="19"/>
        <v>0.3</v>
      </c>
      <c r="N22" s="61">
        <f t="shared" si="19"/>
        <v>0.3</v>
      </c>
      <c r="O22" s="61">
        <f t="shared" si="19"/>
        <v>0.3</v>
      </c>
      <c r="P22" s="61">
        <f t="shared" si="19"/>
        <v>0.3</v>
      </c>
      <c r="Q22" s="61">
        <f t="shared" si="19"/>
        <v>0.3</v>
      </c>
      <c r="R22" s="61">
        <f t="shared" si="19"/>
        <v>0.3</v>
      </c>
      <c r="S22" s="61">
        <f t="shared" si="19"/>
        <v>0.3</v>
      </c>
    </row>
    <row r="23" spans="1:21" x14ac:dyDescent="0.5">
      <c r="D23" s="96"/>
      <c r="E23" s="88"/>
      <c r="F23" s="88"/>
    </row>
    <row r="24" spans="1:21" s="19" customFormat="1" x14ac:dyDescent="0.5">
      <c r="B24" s="19" t="s">
        <v>27</v>
      </c>
      <c r="D24" s="100"/>
      <c r="E24" s="92"/>
      <c r="F24" s="92"/>
      <c r="G24" s="9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35"/>
      <c r="U24" s="35"/>
    </row>
    <row r="25" spans="1:21" x14ac:dyDescent="0.5">
      <c r="B25" s="9" t="s">
        <v>28</v>
      </c>
      <c r="C25" s="9" t="s">
        <v>38</v>
      </c>
      <c r="D25" s="114">
        <v>0</v>
      </c>
      <c r="E25" s="109">
        <v>0</v>
      </c>
      <c r="F25" s="109">
        <v>0</v>
      </c>
      <c r="G25" s="109">
        <v>0</v>
      </c>
      <c r="H25" s="61">
        <f>G25</f>
        <v>0</v>
      </c>
      <c r="I25" s="61">
        <f t="shared" ref="I25:J25" si="20">H25</f>
        <v>0</v>
      </c>
      <c r="J25" s="61">
        <f t="shared" si="20"/>
        <v>0</v>
      </c>
      <c r="K25" s="61">
        <v>0.02</v>
      </c>
      <c r="L25" s="61">
        <f>K25</f>
        <v>0.02</v>
      </c>
      <c r="M25" s="61">
        <f t="shared" ref="M25:S25" si="21">L25</f>
        <v>0.02</v>
      </c>
      <c r="N25" s="61">
        <f t="shared" si="21"/>
        <v>0.02</v>
      </c>
      <c r="O25" s="61">
        <f t="shared" si="21"/>
        <v>0.02</v>
      </c>
      <c r="P25" s="61">
        <f t="shared" si="21"/>
        <v>0.02</v>
      </c>
      <c r="Q25" s="61">
        <f t="shared" si="21"/>
        <v>0.02</v>
      </c>
      <c r="R25" s="61">
        <f t="shared" si="21"/>
        <v>0.02</v>
      </c>
      <c r="S25" s="61">
        <f t="shared" si="21"/>
        <v>0.02</v>
      </c>
    </row>
    <row r="26" spans="1:21" x14ac:dyDescent="0.5">
      <c r="D26" s="96"/>
      <c r="E26" s="88"/>
      <c r="F26" s="88"/>
    </row>
    <row r="27" spans="1:21" x14ac:dyDescent="0.5">
      <c r="B27" s="19" t="s">
        <v>9</v>
      </c>
      <c r="C27" s="19"/>
      <c r="D27" s="100"/>
      <c r="E27" s="92"/>
      <c r="F27" s="92"/>
      <c r="G27" s="9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21" x14ac:dyDescent="0.5">
      <c r="B28" s="9" t="s">
        <v>39</v>
      </c>
      <c r="C28" s="9" t="s">
        <v>38</v>
      </c>
      <c r="D28" s="114">
        <v>0.04</v>
      </c>
      <c r="E28" s="109">
        <v>0.04</v>
      </c>
      <c r="F28" s="109">
        <v>0.04</v>
      </c>
      <c r="G28" s="109">
        <v>0.05</v>
      </c>
      <c r="H28" s="61">
        <f t="shared" ref="H28:Q29" si="22">G28+($S28-$G28)/12</f>
        <v>5.8333333333333334E-2</v>
      </c>
      <c r="I28" s="61">
        <f t="shared" si="22"/>
        <v>6.6666666666666666E-2</v>
      </c>
      <c r="J28" s="61">
        <f t="shared" si="22"/>
        <v>7.4999999999999997E-2</v>
      </c>
      <c r="K28" s="61">
        <f t="shared" si="22"/>
        <v>8.3333333333333329E-2</v>
      </c>
      <c r="L28" s="61">
        <f t="shared" si="22"/>
        <v>9.166666666666666E-2</v>
      </c>
      <c r="M28" s="61">
        <f t="shared" si="22"/>
        <v>9.9999999999999992E-2</v>
      </c>
      <c r="N28" s="61">
        <f t="shared" si="22"/>
        <v>0.10833333333333332</v>
      </c>
      <c r="O28" s="61">
        <f t="shared" si="22"/>
        <v>0.11666666666666665</v>
      </c>
      <c r="P28" s="61">
        <f t="shared" si="22"/>
        <v>0.12499999999999999</v>
      </c>
      <c r="Q28" s="61">
        <f t="shared" si="22"/>
        <v>0.13333333333333333</v>
      </c>
      <c r="R28" s="61">
        <f>Q28+($S28-$G28)/12</f>
        <v>0.14166666666666666</v>
      </c>
      <c r="S28" s="61">
        <v>0.15</v>
      </c>
    </row>
    <row r="29" spans="1:21" x14ac:dyDescent="0.5">
      <c r="B29" s="9" t="s">
        <v>30</v>
      </c>
      <c r="C29" s="9" t="s">
        <v>38</v>
      </c>
      <c r="D29" s="114">
        <v>0.02</v>
      </c>
      <c r="E29" s="109">
        <v>0.02</v>
      </c>
      <c r="F29" s="109">
        <v>0.02</v>
      </c>
      <c r="G29" s="109">
        <v>0.02</v>
      </c>
      <c r="H29" s="61">
        <f t="shared" si="22"/>
        <v>3.0833333333333334E-2</v>
      </c>
      <c r="I29" s="61">
        <f t="shared" si="22"/>
        <v>4.1666666666666671E-2</v>
      </c>
      <c r="J29" s="61">
        <f t="shared" si="22"/>
        <v>5.2500000000000005E-2</v>
      </c>
      <c r="K29" s="61">
        <f t="shared" si="22"/>
        <v>6.3333333333333339E-2</v>
      </c>
      <c r="L29" s="61">
        <f t="shared" si="22"/>
        <v>7.4166666666666672E-2</v>
      </c>
      <c r="M29" s="61">
        <f t="shared" si="22"/>
        <v>8.5000000000000006E-2</v>
      </c>
      <c r="N29" s="61">
        <f t="shared" si="22"/>
        <v>9.583333333333334E-2</v>
      </c>
      <c r="O29" s="61">
        <f t="shared" si="22"/>
        <v>0.10666666666666667</v>
      </c>
      <c r="P29" s="61">
        <f t="shared" si="22"/>
        <v>0.11750000000000001</v>
      </c>
      <c r="Q29" s="61">
        <f t="shared" si="22"/>
        <v>0.12833333333333335</v>
      </c>
      <c r="R29" s="61">
        <f>Q29+($S29-$G29)/12</f>
        <v>0.13916666666666669</v>
      </c>
      <c r="S29" s="61">
        <v>0.15</v>
      </c>
    </row>
    <row r="30" spans="1:21" x14ac:dyDescent="0.5">
      <c r="B30" s="9" t="s">
        <v>31</v>
      </c>
      <c r="C30" s="9" t="s">
        <v>38</v>
      </c>
      <c r="D30" s="114">
        <v>0.02</v>
      </c>
      <c r="E30" s="109">
        <v>0.02</v>
      </c>
      <c r="F30" s="109">
        <v>0.02</v>
      </c>
      <c r="G30" s="109">
        <v>0.02</v>
      </c>
      <c r="H30" s="61">
        <f t="shared" ref="H30" si="23">G30+($S30-$G30)/12</f>
        <v>3.0833333333333334E-2</v>
      </c>
      <c r="I30" s="61">
        <f t="shared" ref="I30" si="24">H30+($S30-$G30)/12</f>
        <v>4.1666666666666671E-2</v>
      </c>
      <c r="J30" s="61">
        <f t="shared" ref="J30" si="25">I30+($S30-$G30)/12</f>
        <v>5.2500000000000005E-2</v>
      </c>
      <c r="K30" s="61">
        <f t="shared" ref="K30" si="26">J30+($S30-$G30)/12</f>
        <v>6.3333333333333339E-2</v>
      </c>
      <c r="L30" s="61">
        <f t="shared" ref="L30" si="27">K30+($S30-$G30)/12</f>
        <v>7.4166666666666672E-2</v>
      </c>
      <c r="M30" s="61">
        <f t="shared" ref="M30" si="28">L30+($S30-$G30)/12</f>
        <v>8.5000000000000006E-2</v>
      </c>
      <c r="N30" s="61">
        <f t="shared" ref="N30" si="29">M30+($S30-$G30)/12</f>
        <v>9.583333333333334E-2</v>
      </c>
      <c r="O30" s="61">
        <f t="shared" ref="O30" si="30">N30+($S30-$G30)/12</f>
        <v>0.10666666666666667</v>
      </c>
      <c r="P30" s="61">
        <f t="shared" ref="P30" si="31">O30+($S30-$G30)/12</f>
        <v>0.11750000000000001</v>
      </c>
      <c r="Q30" s="61">
        <f t="shared" ref="Q30" si="32">P30+($S30-$G30)/12</f>
        <v>0.12833333333333335</v>
      </c>
      <c r="R30" s="61">
        <f>Q30+($S30-$G30)/12</f>
        <v>0.13916666666666669</v>
      </c>
      <c r="S30" s="61">
        <v>0.15</v>
      </c>
    </row>
    <row r="31" spans="1:21" x14ac:dyDescent="0.5">
      <c r="D31" s="96"/>
      <c r="E31" s="88"/>
      <c r="F31" s="88"/>
    </row>
    <row r="32" spans="1:21" s="19" customFormat="1" ht="17.149999999999999" customHeight="1" x14ac:dyDescent="0.5">
      <c r="A32" s="35"/>
      <c r="B32" s="9"/>
      <c r="C32" s="9"/>
      <c r="D32" s="96"/>
      <c r="E32" s="88"/>
      <c r="F32" s="88"/>
      <c r="G32" s="8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5"/>
      <c r="U32" s="35"/>
    </row>
    <row r="33" spans="1:21" x14ac:dyDescent="0.5">
      <c r="B33" s="58" t="s">
        <v>40</v>
      </c>
      <c r="C33" s="58"/>
      <c r="D33" s="103"/>
      <c r="E33" s="110"/>
      <c r="F33" s="110"/>
      <c r="G33" s="110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21" x14ac:dyDescent="0.5">
      <c r="B34" s="58" t="s">
        <v>41</v>
      </c>
      <c r="C34" s="58"/>
      <c r="D34" s="104">
        <f>D9+D10+D12+D15+D17+D25+D28/2+D29/2+D30/2</f>
        <v>1.01</v>
      </c>
      <c r="E34" s="109">
        <f t="shared" ref="E34:S34" si="33">E9+E10+E12+E15+E17+E25+E28/2+E29/2+E30/2</f>
        <v>0.96000000000000008</v>
      </c>
      <c r="F34" s="109">
        <f t="shared" si="33"/>
        <v>0.93</v>
      </c>
      <c r="G34" s="109">
        <f t="shared" si="33"/>
        <v>0.91500000000000004</v>
      </c>
      <c r="H34" s="109">
        <f t="shared" si="33"/>
        <v>0.87999999999999989</v>
      </c>
      <c r="I34" s="109">
        <f>I9+I10+I12+I15+I17+I25+I28/2+I29/2+I30/2</f>
        <v>0.8450000000000002</v>
      </c>
      <c r="J34" s="109">
        <f t="shared" si="33"/>
        <v>0.81</v>
      </c>
      <c r="K34" s="109">
        <f t="shared" si="33"/>
        <v>0.83499999999999996</v>
      </c>
      <c r="L34" s="109">
        <f t="shared" si="33"/>
        <v>0.84000000000000008</v>
      </c>
      <c r="M34" s="109">
        <f t="shared" si="33"/>
        <v>0.85500000000000009</v>
      </c>
      <c r="N34" s="109">
        <f t="shared" si="33"/>
        <v>0.87000000000000022</v>
      </c>
      <c r="O34" s="109">
        <f t="shared" si="33"/>
        <v>0.88500000000000012</v>
      </c>
      <c r="P34" s="109">
        <f t="shared" si="33"/>
        <v>0.9</v>
      </c>
      <c r="Q34" s="109">
        <f t="shared" si="33"/>
        <v>0.91500000000000015</v>
      </c>
      <c r="R34" s="109">
        <f t="shared" si="33"/>
        <v>0.93</v>
      </c>
      <c r="S34" s="109">
        <f t="shared" si="33"/>
        <v>0.94499999999999995</v>
      </c>
    </row>
    <row r="35" spans="1:21" s="19" customFormat="1" x14ac:dyDescent="0.5">
      <c r="A35" s="35"/>
      <c r="B35" s="58" t="s">
        <v>42</v>
      </c>
      <c r="C35" s="58"/>
      <c r="D35" s="104">
        <f>D11+D12+D16+D18+(D19+D28+D29+D30)/2</f>
        <v>1.01</v>
      </c>
      <c r="E35" s="109">
        <f t="shared" ref="E35:S35" si="34">E11+E12+E16+E18+(E19+E28+E29+E30)/2</f>
        <v>0.96000000000000008</v>
      </c>
      <c r="F35" s="109">
        <f t="shared" si="34"/>
        <v>0.93</v>
      </c>
      <c r="G35" s="109">
        <f t="shared" si="34"/>
        <v>0.91999999999999993</v>
      </c>
      <c r="H35" s="109">
        <f t="shared" si="34"/>
        <v>0.89</v>
      </c>
      <c r="I35" s="109">
        <f t="shared" si="34"/>
        <v>0.8600000000000001</v>
      </c>
      <c r="J35" s="109">
        <f t="shared" si="34"/>
        <v>0.83000000000000007</v>
      </c>
      <c r="K35" s="109">
        <f t="shared" si="34"/>
        <v>0.84000000000000008</v>
      </c>
      <c r="L35" s="109">
        <f t="shared" si="34"/>
        <v>0.85000000000000009</v>
      </c>
      <c r="M35" s="109">
        <f t="shared" si="34"/>
        <v>0.87000000000000011</v>
      </c>
      <c r="N35" s="109">
        <f t="shared" si="34"/>
        <v>0.88500000000000012</v>
      </c>
      <c r="O35" s="109">
        <f t="shared" si="34"/>
        <v>0.90000000000000013</v>
      </c>
      <c r="P35" s="109">
        <f t="shared" si="34"/>
        <v>0.91500000000000015</v>
      </c>
      <c r="Q35" s="109">
        <f t="shared" si="34"/>
        <v>0.93000000000000016</v>
      </c>
      <c r="R35" s="109">
        <f t="shared" si="34"/>
        <v>0.94500000000000017</v>
      </c>
      <c r="S35" s="109">
        <f t="shared" si="34"/>
        <v>0.96000000000000019</v>
      </c>
      <c r="T35" s="35"/>
      <c r="U35" s="35"/>
    </row>
    <row r="36" spans="1:21" x14ac:dyDescent="0.5"/>
    <row r="37" spans="1:21" x14ac:dyDescent="0.5"/>
    <row r="38" spans="1:21" x14ac:dyDescent="0.5"/>
    <row r="39" spans="1:21" x14ac:dyDescent="0.5"/>
    <row r="40" spans="1:21" x14ac:dyDescent="0.5"/>
    <row r="41" spans="1:21" s="19" customFormat="1" x14ac:dyDescent="0.5">
      <c r="A41" s="35"/>
      <c r="B41" s="9"/>
      <c r="C41" s="9"/>
      <c r="D41" s="111"/>
      <c r="E41" s="83"/>
      <c r="F41" s="83"/>
      <c r="G41" s="8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5"/>
      <c r="U41" s="35"/>
    </row>
    <row r="42" spans="1:21" x14ac:dyDescent="0.5"/>
    <row r="43" spans="1:21" x14ac:dyDescent="0.5"/>
    <row r="44" spans="1:21" x14ac:dyDescent="0.5"/>
    <row r="45" spans="1:21" x14ac:dyDescent="0.5"/>
    <row r="46" spans="1:21" x14ac:dyDescent="0.5"/>
    <row r="47" spans="1:21" x14ac:dyDescent="0.5">
      <c r="G47" s="134"/>
    </row>
    <row r="48" spans="1:21" x14ac:dyDescent="0.5"/>
    <row r="49" x14ac:dyDescent="0.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22D0-60FE-8949-8C48-5D9A4D07BA81}">
  <dimension ref="A1:FT50"/>
  <sheetViews>
    <sheetView zoomScale="70" zoomScaleNormal="70" workbookViewId="0">
      <selection activeCell="I45" sqref="I45"/>
    </sheetView>
  </sheetViews>
  <sheetFormatPr defaultColWidth="0" defaultRowHeight="16" customHeight="1" x14ac:dyDescent="0.5"/>
  <cols>
    <col min="1" max="1" width="15" style="9" bestFit="1" customWidth="1"/>
    <col min="2" max="2" width="28.58203125" style="9" bestFit="1" customWidth="1"/>
    <col min="3" max="3" width="28.5" style="9" bestFit="1" customWidth="1"/>
    <col min="4" max="4" width="13.33203125" style="118" customWidth="1"/>
    <col min="5" max="6" width="13.33203125" style="83" customWidth="1"/>
    <col min="7" max="7" width="15.83203125" style="88" customWidth="1"/>
    <col min="8" max="19" width="15.83203125" style="11" customWidth="1"/>
    <col min="20" max="21" width="10.83203125" style="9" hidden="1" customWidth="1"/>
    <col min="22" max="174" width="0" style="9" hidden="1" customWidth="1"/>
    <col min="175" max="175" width="10.83203125" style="9" hidden="1" customWidth="1"/>
    <col min="176" max="176" width="15.58203125" style="9" hidden="1" customWidth="1"/>
    <col min="177" max="16384" width="10.83203125" style="9" hidden="1"/>
  </cols>
  <sheetData>
    <row r="1" spans="1:176" ht="18.5" x14ac:dyDescent="0.5"/>
    <row r="2" spans="1:176" ht="18.5" x14ac:dyDescent="0.5"/>
    <row r="3" spans="1:176" ht="18.5" x14ac:dyDescent="0.5"/>
    <row r="4" spans="1:176" ht="18.5" x14ac:dyDescent="0.5"/>
    <row r="5" spans="1:176" s="62" customFormat="1" ht="18.5" x14ac:dyDescent="0.5">
      <c r="C5" s="62" t="s">
        <v>2</v>
      </c>
      <c r="D5" s="119">
        <v>2025</v>
      </c>
      <c r="E5" s="84">
        <v>2026</v>
      </c>
      <c r="F5" s="84">
        <v>2027</v>
      </c>
      <c r="G5" s="89">
        <v>2028</v>
      </c>
      <c r="H5" s="64">
        <f>G5+1</f>
        <v>2029</v>
      </c>
      <c r="I5" s="64">
        <f t="shared" ref="I5:S5" si="0">H5+1</f>
        <v>2030</v>
      </c>
      <c r="J5" s="64">
        <f t="shared" si="0"/>
        <v>2031</v>
      </c>
      <c r="K5" s="64">
        <f t="shared" si="0"/>
        <v>2032</v>
      </c>
      <c r="L5" s="64">
        <f t="shared" si="0"/>
        <v>2033</v>
      </c>
      <c r="M5" s="64">
        <f t="shared" si="0"/>
        <v>2034</v>
      </c>
      <c r="N5" s="64">
        <f t="shared" si="0"/>
        <v>2035</v>
      </c>
      <c r="O5" s="64">
        <f t="shared" si="0"/>
        <v>2036</v>
      </c>
      <c r="P5" s="64">
        <f t="shared" si="0"/>
        <v>2037</v>
      </c>
      <c r="Q5" s="64">
        <f t="shared" si="0"/>
        <v>2038</v>
      </c>
      <c r="R5" s="64">
        <f t="shared" si="0"/>
        <v>2039</v>
      </c>
      <c r="S5" s="64">
        <f t="shared" si="0"/>
        <v>2040</v>
      </c>
    </row>
    <row r="6" spans="1:176" ht="18.5" x14ac:dyDescent="0.5"/>
    <row r="7" spans="1:176" ht="18.5" x14ac:dyDescent="0.5"/>
    <row r="8" spans="1:176" s="13" customFormat="1" ht="18.5" x14ac:dyDescent="0.5">
      <c r="A8" s="77" t="s">
        <v>43</v>
      </c>
      <c r="B8" s="13" t="s">
        <v>14</v>
      </c>
      <c r="C8" s="13" t="s">
        <v>15</v>
      </c>
      <c r="D8" s="120">
        <v>2025</v>
      </c>
      <c r="E8" s="85">
        <v>2026</v>
      </c>
      <c r="F8" s="85">
        <v>2027</v>
      </c>
      <c r="G8" s="90">
        <f>G$5</f>
        <v>2028</v>
      </c>
      <c r="H8" s="15">
        <f t="shared" ref="H8:S8" si="1">H$5</f>
        <v>2029</v>
      </c>
      <c r="I8" s="15">
        <f t="shared" si="1"/>
        <v>2030</v>
      </c>
      <c r="J8" s="15">
        <f t="shared" si="1"/>
        <v>2031</v>
      </c>
      <c r="K8" s="15">
        <f t="shared" si="1"/>
        <v>2032</v>
      </c>
      <c r="L8" s="15">
        <f t="shared" si="1"/>
        <v>2033</v>
      </c>
      <c r="M8" s="15">
        <f t="shared" si="1"/>
        <v>2034</v>
      </c>
      <c r="N8" s="15">
        <f t="shared" si="1"/>
        <v>2035</v>
      </c>
      <c r="O8" s="15">
        <f t="shared" si="1"/>
        <v>2036</v>
      </c>
      <c r="P8" s="15">
        <f t="shared" si="1"/>
        <v>2037</v>
      </c>
      <c r="Q8" s="15">
        <f t="shared" si="1"/>
        <v>2038</v>
      </c>
      <c r="R8" s="15">
        <f t="shared" si="1"/>
        <v>2039</v>
      </c>
      <c r="S8" s="15">
        <f t="shared" si="1"/>
        <v>2040</v>
      </c>
      <c r="T8" s="35"/>
      <c r="U8" s="35"/>
    </row>
    <row r="9" spans="1:176" ht="18.5" x14ac:dyDescent="0.5">
      <c r="A9" s="78">
        <f>Params!G9</f>
        <v>1E-4</v>
      </c>
      <c r="B9" s="9" t="s">
        <v>16</v>
      </c>
      <c r="C9" s="9" t="s">
        <v>37</v>
      </c>
      <c r="D9" s="55">
        <f>'Asset allocation MW'!D9*'Asset allocation time'!D9*8760</f>
        <v>198.55999999999941</v>
      </c>
      <c r="E9" s="95">
        <f>'Asset allocation MW'!E9*'Asset allocation time'!E9*8760</f>
        <v>198.55999999999997</v>
      </c>
      <c r="F9" s="95">
        <f>'Asset allocation MW'!F9*'Asset allocation time'!F9*8760</f>
        <v>198.55999999999997</v>
      </c>
      <c r="G9" s="95">
        <f>'Asset allocation MW'!G9*'Asset allocation time'!G9*8760</f>
        <v>198.55999999999997</v>
      </c>
      <c r="H9" s="56">
        <f>'Asset allocation MW'!H9*'Asset allocation time'!H9*8760</f>
        <v>198.55999999999997</v>
      </c>
      <c r="I9" s="56">
        <f>'Asset allocation MW'!I9*'Asset allocation time'!I9*8760</f>
        <v>198.55999999999997</v>
      </c>
      <c r="J9" s="56">
        <f>'Asset allocation MW'!J9*'Asset allocation time'!J9*8760</f>
        <v>198.55999999999997</v>
      </c>
      <c r="K9" s="56">
        <f>'Asset allocation MW'!K9*'Asset allocation time'!K9*8760</f>
        <v>198.55999999999997</v>
      </c>
      <c r="L9" s="56">
        <f>'Asset allocation MW'!L9*'Asset allocation time'!L9*8760</f>
        <v>198.55999999999997</v>
      </c>
      <c r="M9" s="56">
        <f>'Asset allocation MW'!M9*'Asset allocation time'!M9*8760</f>
        <v>198.55999999999997</v>
      </c>
      <c r="N9" s="56">
        <f>'Asset allocation MW'!N9*'Asset allocation time'!N9*8760</f>
        <v>198.55999999999997</v>
      </c>
      <c r="O9" s="56">
        <f>'Asset allocation MW'!O9*'Asset allocation time'!O9*8760</f>
        <v>198.55999999999997</v>
      </c>
      <c r="P9" s="56">
        <f>'Asset allocation MW'!P9*'Asset allocation time'!P9*8760</f>
        <v>198.55999999999997</v>
      </c>
      <c r="Q9" s="56">
        <f>'Asset allocation MW'!Q9*'Asset allocation time'!Q9*8760</f>
        <v>198.55999999999997</v>
      </c>
      <c r="R9" s="56">
        <f>'Asset allocation MW'!R9*'Asset allocation time'!R9*8760</f>
        <v>198.55999999999997</v>
      </c>
      <c r="S9" s="56">
        <f>'Asset allocation MW'!S9*'Asset allocation time'!S9*8760</f>
        <v>198.55999999999997</v>
      </c>
      <c r="FT9" s="39"/>
    </row>
    <row r="10" spans="1:176" ht="18.5" x14ac:dyDescent="0.5">
      <c r="A10" s="78">
        <f>Params!G10</f>
        <v>5.7077625570776253E-3</v>
      </c>
      <c r="B10" s="9" t="s">
        <v>17</v>
      </c>
      <c r="C10" s="9" t="str">
        <f>$C$9</f>
        <v>MW.h</v>
      </c>
      <c r="D10" s="55">
        <f>'Asset allocation MW'!D10*'Asset allocation time'!D10*8760</f>
        <v>24528.000000000004</v>
      </c>
      <c r="E10" s="95">
        <f>'Asset allocation MW'!E10*'Asset allocation time'!E10*8760</f>
        <v>20148.000000000004</v>
      </c>
      <c r="F10" s="95">
        <f>'Asset allocation MW'!F10*'Asset allocation time'!F10*8760</f>
        <v>17520</v>
      </c>
      <c r="G10" s="95">
        <f>'Asset allocation MW'!G10*'Asset allocation time'!G10*8760</f>
        <v>17520</v>
      </c>
      <c r="H10" s="56">
        <f>'Asset allocation MW'!H10*'Asset allocation time'!H10*8760</f>
        <v>15768.000000000002</v>
      </c>
      <c r="I10" s="56">
        <f>'Asset allocation MW'!I10*'Asset allocation time'!I10*8760</f>
        <v>14016.000000000002</v>
      </c>
      <c r="J10" s="56">
        <f>'Asset allocation MW'!J10*'Asset allocation time'!J10*8760</f>
        <v>12264.000000000004</v>
      </c>
      <c r="K10" s="56">
        <f>'Asset allocation MW'!K10*'Asset allocation time'!K10*8760</f>
        <v>12264.000000000004</v>
      </c>
      <c r="L10" s="56">
        <f>'Asset allocation MW'!L10*'Asset allocation time'!L10*8760</f>
        <v>12264.000000000004</v>
      </c>
      <c r="M10" s="56">
        <f>'Asset allocation MW'!M10*'Asset allocation time'!M10*8760</f>
        <v>12264.000000000004</v>
      </c>
      <c r="N10" s="56">
        <f>'Asset allocation MW'!N10*'Asset allocation time'!N10*8760</f>
        <v>12264.000000000004</v>
      </c>
      <c r="O10" s="56">
        <f>'Asset allocation MW'!O10*'Asset allocation time'!O10*8760</f>
        <v>12264.000000000004</v>
      </c>
      <c r="P10" s="56">
        <f>'Asset allocation MW'!P10*'Asset allocation time'!P10*8760</f>
        <v>12264.000000000004</v>
      </c>
      <c r="Q10" s="56">
        <f>'Asset allocation MW'!Q10*'Asset allocation time'!Q10*8760</f>
        <v>12264.000000000004</v>
      </c>
      <c r="R10" s="56">
        <f>'Asset allocation MW'!R10*'Asset allocation time'!R10*8760</f>
        <v>12264.000000000004</v>
      </c>
      <c r="S10" s="56">
        <f>'Asset allocation MW'!S10*'Asset allocation time'!S10*8760</f>
        <v>12264.000000000004</v>
      </c>
      <c r="FT10" s="39"/>
    </row>
    <row r="11" spans="1:176" ht="18.5" x14ac:dyDescent="0.5">
      <c r="A11" s="78">
        <f>Params!G11</f>
        <v>5.7077625570776253E-3</v>
      </c>
      <c r="B11" s="9" t="s">
        <v>18</v>
      </c>
      <c r="C11" s="9" t="str">
        <f t="shared" ref="C11:C12" si="2">$C$9</f>
        <v>MW.h</v>
      </c>
      <c r="D11" s="55">
        <f>'Asset allocation MW'!D11*'Asset allocation time'!D11*8760</f>
        <v>24528.000000000004</v>
      </c>
      <c r="E11" s="95">
        <f>'Asset allocation MW'!E11*'Asset allocation time'!E11*8760</f>
        <v>20148.000000000004</v>
      </c>
      <c r="F11" s="95">
        <f>'Asset allocation MW'!F11*'Asset allocation time'!F11*8760</f>
        <v>17520</v>
      </c>
      <c r="G11" s="95">
        <f>'Asset allocation MW'!G11*'Asset allocation time'!G11*8760</f>
        <v>17520</v>
      </c>
      <c r="H11" s="56">
        <f>'Asset allocation MW'!H11*'Asset allocation time'!H11*8760</f>
        <v>15768.000000000002</v>
      </c>
      <c r="I11" s="56">
        <f>'Asset allocation MW'!I11*'Asset allocation time'!I11*8760</f>
        <v>14016.000000000002</v>
      </c>
      <c r="J11" s="56">
        <f>'Asset allocation MW'!J11*'Asset allocation time'!J11*8760</f>
        <v>12264.000000000004</v>
      </c>
      <c r="K11" s="56">
        <f>'Asset allocation MW'!K11*'Asset allocation time'!K11*8760</f>
        <v>12264.000000000004</v>
      </c>
      <c r="L11" s="56">
        <f>'Asset allocation MW'!L11*'Asset allocation time'!L11*8760</f>
        <v>12264.000000000004</v>
      </c>
      <c r="M11" s="56">
        <f>'Asset allocation MW'!M11*'Asset allocation time'!M11*8760</f>
        <v>12264.000000000004</v>
      </c>
      <c r="N11" s="56">
        <f>'Asset allocation MW'!N11*'Asset allocation time'!N11*8760</f>
        <v>12264.000000000004</v>
      </c>
      <c r="O11" s="56">
        <f>'Asset allocation MW'!O11*'Asset allocation time'!O11*8760</f>
        <v>12264.000000000004</v>
      </c>
      <c r="P11" s="56">
        <f>'Asset allocation MW'!P11*'Asset allocation time'!P11*8760</f>
        <v>12264.000000000004</v>
      </c>
      <c r="Q11" s="56">
        <f>'Asset allocation MW'!Q11*'Asset allocation time'!Q11*8760</f>
        <v>12264.000000000004</v>
      </c>
      <c r="R11" s="56">
        <f>'Asset allocation MW'!R11*'Asset allocation time'!R11*8760</f>
        <v>12264.000000000004</v>
      </c>
      <c r="S11" s="56">
        <f>'Asset allocation MW'!S11*'Asset allocation time'!S11*8760</f>
        <v>12264.000000000004</v>
      </c>
      <c r="FT11" s="39"/>
    </row>
    <row r="12" spans="1:176" ht="18.5" x14ac:dyDescent="0.5">
      <c r="A12" s="78">
        <f>Params!G12</f>
        <v>0.17123287671232876</v>
      </c>
      <c r="B12" s="9" t="s">
        <v>19</v>
      </c>
      <c r="C12" s="9" t="str">
        <f t="shared" si="2"/>
        <v>MW.h</v>
      </c>
      <c r="D12" s="55">
        <f>'Asset allocation MW'!D12*'Asset allocation time'!D12*8760</f>
        <v>1752</v>
      </c>
      <c r="E12" s="95">
        <f>'Asset allocation MW'!E12*'Asset allocation time'!E12*8760</f>
        <v>1752</v>
      </c>
      <c r="F12" s="95">
        <f>'Asset allocation MW'!F12*'Asset allocation time'!F12*8760</f>
        <v>1752</v>
      </c>
      <c r="G12" s="95">
        <f>'Asset allocation MW'!G12*'Asset allocation time'!G12*8760</f>
        <v>1752</v>
      </c>
      <c r="H12" s="56">
        <f>'Asset allocation MW'!H12*'Asset allocation time'!H12*8760</f>
        <v>1576.8000000000002</v>
      </c>
      <c r="I12" s="56">
        <f>'Asset allocation MW'!I12*'Asset allocation time'!I12*8760</f>
        <v>1401.6000000000004</v>
      </c>
      <c r="J12" s="56">
        <f>'Asset allocation MW'!J12*'Asset allocation time'!J12*8760</f>
        <v>1226.4000000000003</v>
      </c>
      <c r="K12" s="56">
        <f>'Asset allocation MW'!K12*'Asset allocation time'!K12*8760</f>
        <v>1226.4000000000003</v>
      </c>
      <c r="L12" s="56">
        <f>'Asset allocation MW'!L12*'Asset allocation time'!L12*8760</f>
        <v>1226.4000000000003</v>
      </c>
      <c r="M12" s="56">
        <f>'Asset allocation MW'!M12*'Asset allocation time'!M12*8760</f>
        <v>1226.4000000000003</v>
      </c>
      <c r="N12" s="56">
        <f>'Asset allocation MW'!N12*'Asset allocation time'!N12*8760</f>
        <v>1226.4000000000003</v>
      </c>
      <c r="O12" s="56">
        <f>'Asset allocation MW'!O12*'Asset allocation time'!O12*8760</f>
        <v>1226.4000000000003</v>
      </c>
      <c r="P12" s="56">
        <f>'Asset allocation MW'!P12*'Asset allocation time'!P12*8760</f>
        <v>1226.4000000000003</v>
      </c>
      <c r="Q12" s="56">
        <f>'Asset allocation MW'!Q12*'Asset allocation time'!Q12*8760</f>
        <v>1226.4000000000003</v>
      </c>
      <c r="R12" s="56">
        <f>'Asset allocation MW'!R12*'Asset allocation time'!R12*8760</f>
        <v>1226.4000000000003</v>
      </c>
      <c r="S12" s="56">
        <f>'Asset allocation MW'!S12*'Asset allocation time'!S12*8760</f>
        <v>1226.4000000000003</v>
      </c>
      <c r="FT12" s="39"/>
    </row>
    <row r="13" spans="1:176" ht="18.5" x14ac:dyDescent="0.5">
      <c r="A13" s="79"/>
      <c r="D13" s="55"/>
      <c r="E13" s="95"/>
      <c r="F13" s="95"/>
      <c r="G13" s="9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FT13" s="39"/>
    </row>
    <row r="14" spans="1:176" s="19" customFormat="1" ht="18.5" x14ac:dyDescent="0.5">
      <c r="A14" s="80"/>
      <c r="B14" s="19" t="s">
        <v>5</v>
      </c>
      <c r="D14" s="55"/>
      <c r="E14" s="95"/>
      <c r="F14" s="95"/>
      <c r="G14" s="9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35"/>
      <c r="U14" s="35"/>
      <c r="FT14" s="39"/>
    </row>
    <row r="15" spans="1:176" ht="18.5" x14ac:dyDescent="0.5">
      <c r="A15" s="78">
        <f>Params!G15</f>
        <v>0</v>
      </c>
      <c r="B15" s="9" t="s">
        <v>20</v>
      </c>
      <c r="C15" s="9" t="str">
        <f t="shared" ref="C15:C19" si="3">$C$9</f>
        <v>MW.h</v>
      </c>
      <c r="D15" s="121">
        <f>'Asset allocation MW'!D15*'Asset allocation time'!D15*8760</f>
        <v>4765.4400000000005</v>
      </c>
      <c r="E15" s="116">
        <f>'Asset allocation MW'!E15*'Asset allocation time'!E15*8760</f>
        <v>14016</v>
      </c>
      <c r="F15" s="116">
        <f>'Asset allocation MW'!F15*'Asset allocation time'!F15*8760</f>
        <v>28032</v>
      </c>
      <c r="G15" s="116">
        <f>'Asset allocation MW'!G15*'Asset allocation time'!G15*8760</f>
        <v>26280</v>
      </c>
      <c r="H15" s="115">
        <f>'Asset allocation MW'!H15*'Asset allocation time'!H15*8760</f>
        <v>24528</v>
      </c>
      <c r="I15" s="115">
        <f>'Asset allocation MW'!I15*'Asset allocation time'!I15*8760</f>
        <v>22775.999999999996</v>
      </c>
      <c r="J15" s="115">
        <f>'Asset allocation MW'!J15*'Asset allocation time'!J15*8760</f>
        <v>21023.999999999996</v>
      </c>
      <c r="K15" s="115">
        <f>'Asset allocation MW'!K15*'Asset allocation time'!K15*8760</f>
        <v>19271.999999999996</v>
      </c>
      <c r="L15" s="115">
        <f>'Asset allocation MW'!L15*'Asset allocation time'!L15*8760</f>
        <v>17519.999999999996</v>
      </c>
      <c r="M15" s="115">
        <f>'Asset allocation MW'!M15*'Asset allocation time'!M15*8760</f>
        <v>17519.999999999996</v>
      </c>
      <c r="N15" s="115">
        <f>'Asset allocation MW'!N15*'Asset allocation time'!N15*8760</f>
        <v>17519.999999999996</v>
      </c>
      <c r="O15" s="115">
        <f>'Asset allocation MW'!O15*'Asset allocation time'!O15*8760</f>
        <v>17519.999999999996</v>
      </c>
      <c r="P15" s="115">
        <f>'Asset allocation MW'!P15*'Asset allocation time'!P15*8760</f>
        <v>17519.999999999996</v>
      </c>
      <c r="Q15" s="115">
        <f>'Asset allocation MW'!Q15*'Asset allocation time'!Q15*8760</f>
        <v>17519.999999999996</v>
      </c>
      <c r="R15" s="115">
        <f>'Asset allocation MW'!R15*'Asset allocation time'!R15*8760</f>
        <v>17519.999999999996</v>
      </c>
      <c r="S15" s="115">
        <f>'Asset allocation MW'!S15*'Asset allocation time'!S15*8760</f>
        <v>17519.999999999996</v>
      </c>
      <c r="FT15" s="39"/>
    </row>
    <row r="16" spans="1:176" ht="18.5" x14ac:dyDescent="0.5">
      <c r="A16" s="78">
        <f>Params!G16</f>
        <v>0</v>
      </c>
      <c r="B16" s="9" t="s">
        <v>21</v>
      </c>
      <c r="C16" s="9" t="str">
        <f t="shared" si="3"/>
        <v>MW.h</v>
      </c>
      <c r="D16" s="55">
        <f>'Asset allocation MW'!D16*'Asset allocation time'!D16*8760</f>
        <v>4765.4400000000005</v>
      </c>
      <c r="E16" s="95">
        <f>'Asset allocation MW'!E16*'Asset allocation time'!E16*8760</f>
        <v>14016</v>
      </c>
      <c r="F16" s="95">
        <f>'Asset allocation MW'!F16*'Asset allocation time'!F16*8760</f>
        <v>28032</v>
      </c>
      <c r="G16" s="95">
        <f>'Asset allocation MW'!G16*'Asset allocation time'!G16*8760</f>
        <v>26280</v>
      </c>
      <c r="H16" s="56">
        <f>'Asset allocation MW'!H16*'Asset allocation time'!H16*8760</f>
        <v>24528</v>
      </c>
      <c r="I16" s="56">
        <f>'Asset allocation MW'!I16*'Asset allocation time'!I16*8760</f>
        <v>22775.999999999996</v>
      </c>
      <c r="J16" s="56">
        <f>'Asset allocation MW'!J16*'Asset allocation time'!J16*8760</f>
        <v>21023.999999999996</v>
      </c>
      <c r="K16" s="56">
        <f>'Asset allocation MW'!K16*'Asset allocation time'!K16*8760</f>
        <v>19271.999999999996</v>
      </c>
      <c r="L16" s="56">
        <f>'Asset allocation MW'!L16*'Asset allocation time'!L16*8760</f>
        <v>17519.999999999996</v>
      </c>
      <c r="M16" s="56">
        <f>'Asset allocation MW'!M16*'Asset allocation time'!M16*8760</f>
        <v>17519.999999999996</v>
      </c>
      <c r="N16" s="56">
        <f>'Asset allocation MW'!N16*'Asset allocation time'!N16*8760</f>
        <v>17519.999999999996</v>
      </c>
      <c r="O16" s="56">
        <f>'Asset allocation MW'!O16*'Asset allocation time'!O16*8760</f>
        <v>17519.999999999996</v>
      </c>
      <c r="P16" s="56">
        <f>'Asset allocation MW'!P16*'Asset allocation time'!P16*8760</f>
        <v>17519.999999999996</v>
      </c>
      <c r="Q16" s="56">
        <f>'Asset allocation MW'!Q16*'Asset allocation time'!Q16*8760</f>
        <v>17519.999999999996</v>
      </c>
      <c r="R16" s="56">
        <f>'Asset allocation MW'!R16*'Asset allocation time'!R16*8760</f>
        <v>17519.999999999996</v>
      </c>
      <c r="S16" s="56">
        <f>'Asset allocation MW'!S16*'Asset allocation time'!S16*8760</f>
        <v>17519.999999999996</v>
      </c>
      <c r="FT16" s="39"/>
    </row>
    <row r="17" spans="1:176" ht="18.5" x14ac:dyDescent="0.5">
      <c r="A17" s="78">
        <f>Params!G17</f>
        <v>0</v>
      </c>
      <c r="B17" s="9" t="s">
        <v>22</v>
      </c>
      <c r="C17" s="9" t="str">
        <f t="shared" si="3"/>
        <v>MW.h</v>
      </c>
      <c r="D17" s="55">
        <f>'Asset allocation MW'!D17*'Asset allocation time'!D17*8760</f>
        <v>13140</v>
      </c>
      <c r="E17" s="95">
        <f>'Asset allocation MW'!E17*'Asset allocation time'!E17*8760</f>
        <v>13140</v>
      </c>
      <c r="F17" s="95">
        <f>'Asset allocation MW'!F17*'Asset allocation time'!F17*8760</f>
        <v>13140</v>
      </c>
      <c r="G17" s="95">
        <f>'Asset allocation MW'!G17*'Asset allocation time'!G17*8760</f>
        <v>13140</v>
      </c>
      <c r="H17" s="56">
        <f>'Asset allocation MW'!H17*'Asset allocation time'!H17*8760</f>
        <v>14016</v>
      </c>
      <c r="I17" s="56">
        <f>'Asset allocation MW'!I17*'Asset allocation time'!I17*8760</f>
        <v>14892.000000000002</v>
      </c>
      <c r="J17" s="56">
        <f>'Asset allocation MW'!J17*'Asset allocation time'!J17*8760</f>
        <v>15768.000000000002</v>
      </c>
      <c r="K17" s="56">
        <f>'Asset allocation MW'!K17*'Asset allocation time'!K17*8760</f>
        <v>16644.000000000004</v>
      </c>
      <c r="L17" s="56">
        <f>'Asset allocation MW'!L17*'Asset allocation time'!L17*8760</f>
        <v>17520.000000000004</v>
      </c>
      <c r="M17" s="56">
        <f>'Asset allocation MW'!M17*'Asset allocation time'!M17*8760</f>
        <v>17520.000000000004</v>
      </c>
      <c r="N17" s="56">
        <f>'Asset allocation MW'!N17*'Asset allocation time'!N17*8760</f>
        <v>17520.000000000004</v>
      </c>
      <c r="O17" s="56">
        <f>'Asset allocation MW'!O17*'Asset allocation time'!O17*8760</f>
        <v>17520.000000000004</v>
      </c>
      <c r="P17" s="56">
        <f>'Asset allocation MW'!P17*'Asset allocation time'!P17*8760</f>
        <v>17520.000000000004</v>
      </c>
      <c r="Q17" s="56">
        <f>'Asset allocation MW'!Q17*'Asset allocation time'!Q17*8760</f>
        <v>17520.000000000004</v>
      </c>
      <c r="R17" s="56">
        <f>'Asset allocation MW'!R17*'Asset allocation time'!R17*8760</f>
        <v>17520.000000000004</v>
      </c>
      <c r="S17" s="56">
        <f>'Asset allocation MW'!S17*'Asset allocation time'!S17*8760</f>
        <v>17520.000000000004</v>
      </c>
      <c r="FT17" s="39"/>
    </row>
    <row r="18" spans="1:176" ht="18.5" x14ac:dyDescent="0.5">
      <c r="A18" s="78">
        <f>Params!G18</f>
        <v>0</v>
      </c>
      <c r="B18" s="9" t="s">
        <v>23</v>
      </c>
      <c r="C18" s="9" t="str">
        <f t="shared" si="3"/>
        <v>MW.h</v>
      </c>
      <c r="D18" s="55">
        <f>'Asset allocation MW'!D18*'Asset allocation time'!D18*8760</f>
        <v>13140</v>
      </c>
      <c r="E18" s="95">
        <f>'Asset allocation MW'!E18*'Asset allocation time'!E18*8760</f>
        <v>13140</v>
      </c>
      <c r="F18" s="95">
        <f>'Asset allocation MW'!F18*'Asset allocation time'!F18*8760</f>
        <v>13140</v>
      </c>
      <c r="G18" s="95">
        <f>'Asset allocation MW'!G18*'Asset allocation time'!G18*8760</f>
        <v>13140</v>
      </c>
      <c r="H18" s="56">
        <f>'Asset allocation MW'!H18*'Asset allocation time'!H18*8760</f>
        <v>14016</v>
      </c>
      <c r="I18" s="56">
        <f>'Asset allocation MW'!I18*'Asset allocation time'!I18*8760</f>
        <v>14892.000000000002</v>
      </c>
      <c r="J18" s="56">
        <f>'Asset allocation MW'!J18*'Asset allocation time'!J18*8760</f>
        <v>15768.000000000002</v>
      </c>
      <c r="K18" s="56">
        <f>'Asset allocation MW'!K18*'Asset allocation time'!K18*8760</f>
        <v>16644.000000000004</v>
      </c>
      <c r="L18" s="56">
        <f>'Asset allocation MW'!L18*'Asset allocation time'!L18*8760</f>
        <v>17520.000000000004</v>
      </c>
      <c r="M18" s="56">
        <f>'Asset allocation MW'!M18*'Asset allocation time'!M18*8760</f>
        <v>17520.000000000004</v>
      </c>
      <c r="N18" s="56">
        <f>'Asset allocation MW'!N18*'Asset allocation time'!N18*8760</f>
        <v>17520.000000000004</v>
      </c>
      <c r="O18" s="56">
        <f>'Asset allocation MW'!O18*'Asset allocation time'!O18*8760</f>
        <v>17520.000000000004</v>
      </c>
      <c r="P18" s="56">
        <f>'Asset allocation MW'!P18*'Asset allocation time'!P18*8760</f>
        <v>17520.000000000004</v>
      </c>
      <c r="Q18" s="56">
        <f>'Asset allocation MW'!Q18*'Asset allocation time'!Q18*8760</f>
        <v>17520.000000000004</v>
      </c>
      <c r="R18" s="56">
        <f>'Asset allocation MW'!R18*'Asset allocation time'!R18*8760</f>
        <v>17520.000000000004</v>
      </c>
      <c r="S18" s="56">
        <f>'Asset allocation MW'!S18*'Asset allocation time'!S18*8760</f>
        <v>17520.000000000004</v>
      </c>
      <c r="FT18" s="39"/>
    </row>
    <row r="19" spans="1:176" ht="18.5" x14ac:dyDescent="0.5">
      <c r="A19" s="78">
        <f>Params!G19</f>
        <v>1</v>
      </c>
      <c r="B19" s="9" t="s">
        <v>24</v>
      </c>
      <c r="C19" s="9" t="str">
        <f t="shared" si="3"/>
        <v>MW.h</v>
      </c>
      <c r="D19" s="55">
        <f>'Asset allocation MW'!D19*'Asset allocation time'!D19*8760</f>
        <v>992.80000000000007</v>
      </c>
      <c r="E19" s="95">
        <f>'Asset allocation MW'!E19*'Asset allocation time'!E19*8760</f>
        <v>992.80000000000007</v>
      </c>
      <c r="F19" s="95">
        <f>'Asset allocation MW'!F19*'Asset allocation time'!F19*8760</f>
        <v>992.80000000000007</v>
      </c>
      <c r="G19" s="95">
        <f>'Asset allocation MW'!G19*'Asset allocation time'!G19*8760</f>
        <v>1241.0000000000002</v>
      </c>
      <c r="H19" s="56">
        <f>'Asset allocation MW'!H19*'Asset allocation time'!H19*8760</f>
        <v>1613.3</v>
      </c>
      <c r="I19" s="56">
        <f>'Asset allocation MW'!I19*'Asset allocation time'!I19*8760</f>
        <v>2026.9666666666667</v>
      </c>
      <c r="J19" s="56">
        <f>'Asset allocation MW'!J19*'Asset allocation time'!J19*8760</f>
        <v>2481.9999999999995</v>
      </c>
      <c r="K19" s="56">
        <f>'Asset allocation MW'!K19*'Asset allocation time'!K19*8760</f>
        <v>2978.3999999999996</v>
      </c>
      <c r="L19" s="56">
        <f>'Asset allocation MW'!L19*'Asset allocation time'!L19*8760</f>
        <v>3516.1666666666661</v>
      </c>
      <c r="M19" s="56">
        <f>'Asset allocation MW'!M19*'Asset allocation time'!M19*8760</f>
        <v>4095.2999999999993</v>
      </c>
      <c r="N19" s="56">
        <f>'Asset allocation MW'!N19*'Asset allocation time'!N19*8760</f>
        <v>4322.8166666666666</v>
      </c>
      <c r="O19" s="56">
        <f>'Asset allocation MW'!O19*'Asset allocation time'!O19*8760</f>
        <v>4550.333333333333</v>
      </c>
      <c r="P19" s="56">
        <f>'Asset allocation MW'!P19*'Asset allocation time'!P19*8760</f>
        <v>4777.8500000000004</v>
      </c>
      <c r="Q19" s="56">
        <f>'Asset allocation MW'!Q19*'Asset allocation time'!Q19*8760</f>
        <v>5005.3666666666668</v>
      </c>
      <c r="R19" s="56">
        <f>'Asset allocation MW'!R19*'Asset allocation time'!R19*8760</f>
        <v>5232.8833333333332</v>
      </c>
      <c r="S19" s="56">
        <f>'Asset allocation MW'!S19*'Asset allocation time'!S19*8760</f>
        <v>5460.4</v>
      </c>
      <c r="FT19" s="39"/>
    </row>
    <row r="20" spans="1:176" ht="18.5" x14ac:dyDescent="0.5">
      <c r="A20" s="79"/>
      <c r="D20" s="55"/>
      <c r="E20" s="95"/>
      <c r="F20" s="95"/>
      <c r="G20" s="9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FT20" s="39"/>
    </row>
    <row r="21" spans="1:176" ht="18.5" x14ac:dyDescent="0.5">
      <c r="A21" s="79"/>
      <c r="B21" s="19" t="s">
        <v>25</v>
      </c>
      <c r="C21" s="19"/>
      <c r="D21" s="55"/>
      <c r="E21" s="95"/>
      <c r="F21" s="95"/>
      <c r="G21" s="9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FT21" s="39"/>
    </row>
    <row r="22" spans="1:176" ht="18.5" x14ac:dyDescent="0.5">
      <c r="A22" s="78">
        <f>Params!G22</f>
        <v>0.01</v>
      </c>
      <c r="B22" s="9" t="s">
        <v>26</v>
      </c>
      <c r="C22" s="9" t="str">
        <f>$C$9</f>
        <v>MW.h</v>
      </c>
      <c r="D22" s="121">
        <f>'Asset allocation MW'!D22*'Asset allocation time'!D22*8760</f>
        <v>0</v>
      </c>
      <c r="E22" s="116">
        <f>'Asset allocation MW'!E22*'Asset allocation time'!E22*8760</f>
        <v>0</v>
      </c>
      <c r="F22" s="116">
        <f>'Asset allocation MW'!F22*'Asset allocation time'!F22*8760</f>
        <v>0</v>
      </c>
      <c r="G22" s="116">
        <f>'Asset allocation MW'!G22*'Asset allocation time'!G22*8760</f>
        <v>0</v>
      </c>
      <c r="H22" s="115">
        <f>'Asset allocation MW'!H22*'Asset allocation time'!H22*8760</f>
        <v>0</v>
      </c>
      <c r="I22" s="115">
        <f>'Asset allocation MW'!I22*'Asset allocation time'!I22*8760</f>
        <v>17520</v>
      </c>
      <c r="J22" s="115">
        <f>'Asset allocation MW'!J22*'Asset allocation time'!J22*8760</f>
        <v>26280</v>
      </c>
      <c r="K22" s="115">
        <f>'Asset allocation MW'!K22*'Asset allocation time'!K22*8760</f>
        <v>26280</v>
      </c>
      <c r="L22" s="115">
        <f>'Asset allocation MW'!L22*'Asset allocation time'!L22*8760</f>
        <v>26280</v>
      </c>
      <c r="M22" s="115">
        <f>'Asset allocation MW'!M22*'Asset allocation time'!M22*8760</f>
        <v>26280</v>
      </c>
      <c r="N22" s="115">
        <f>'Asset allocation MW'!N22*'Asset allocation time'!N22*8760</f>
        <v>26280</v>
      </c>
      <c r="O22" s="115">
        <f>'Asset allocation MW'!O22*'Asset allocation time'!O22*8760</f>
        <v>26280</v>
      </c>
      <c r="P22" s="115">
        <f>'Asset allocation MW'!P22*'Asset allocation time'!P22*8760</f>
        <v>26280</v>
      </c>
      <c r="Q22" s="115">
        <f>'Asset allocation MW'!Q22*'Asset allocation time'!Q22*8760</f>
        <v>26280</v>
      </c>
      <c r="R22" s="115">
        <f>'Asset allocation MW'!R22*'Asset allocation time'!R22*8760</f>
        <v>26280</v>
      </c>
      <c r="S22" s="115">
        <f>'Asset allocation MW'!S22*'Asset allocation time'!S22*8760</f>
        <v>26280</v>
      </c>
      <c r="FS22" s="39"/>
      <c r="FT22" s="39"/>
    </row>
    <row r="23" spans="1:176" ht="18.5" x14ac:dyDescent="0.5">
      <c r="A23" s="79"/>
      <c r="D23" s="55"/>
      <c r="E23" s="95"/>
      <c r="F23" s="95"/>
      <c r="G23" s="9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FT23" s="39"/>
    </row>
    <row r="24" spans="1:176" s="19" customFormat="1" ht="18.5" x14ac:dyDescent="0.5">
      <c r="A24" s="80"/>
      <c r="B24" s="19" t="s">
        <v>27</v>
      </c>
      <c r="D24" s="55"/>
      <c r="E24" s="95"/>
      <c r="F24" s="95"/>
      <c r="G24" s="9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35"/>
      <c r="U24" s="35"/>
      <c r="FT24" s="39"/>
    </row>
    <row r="25" spans="1:176" ht="18.5" x14ac:dyDescent="0.5">
      <c r="A25" s="78">
        <f>Params!G25</f>
        <v>0.01</v>
      </c>
      <c r="B25" s="9" t="s">
        <v>28</v>
      </c>
      <c r="C25" s="9" t="str">
        <f>$C$9</f>
        <v>MW.h</v>
      </c>
      <c r="D25" s="121">
        <f>'Asset allocation MW'!D25*'Asset allocation time'!D25*8760</f>
        <v>0</v>
      </c>
      <c r="E25" s="116">
        <f>'Asset allocation MW'!E25*'Asset allocation time'!E25*8760</f>
        <v>0</v>
      </c>
      <c r="F25" s="116">
        <f>'Asset allocation MW'!F25*'Asset allocation time'!F25*8760</f>
        <v>0</v>
      </c>
      <c r="G25" s="116">
        <f>'Asset allocation MW'!G25*'Asset allocation time'!G25*8760</f>
        <v>0</v>
      </c>
      <c r="H25" s="115">
        <f>'Asset allocation MW'!H25*'Asset allocation time'!H25*8760</f>
        <v>0</v>
      </c>
      <c r="I25" s="115">
        <f>'Asset allocation MW'!I25*'Asset allocation time'!I25*8760</f>
        <v>0</v>
      </c>
      <c r="J25" s="115">
        <f>'Asset allocation MW'!J25*'Asset allocation time'!J25*8760</f>
        <v>0</v>
      </c>
      <c r="K25" s="115">
        <f>'Asset allocation MW'!K25*'Asset allocation time'!K25*8760</f>
        <v>1752</v>
      </c>
      <c r="L25" s="115">
        <f>'Asset allocation MW'!L25*'Asset allocation time'!L25*8760</f>
        <v>1752</v>
      </c>
      <c r="M25" s="115">
        <f>'Asset allocation MW'!M25*'Asset allocation time'!M25*8760</f>
        <v>1752</v>
      </c>
      <c r="N25" s="115">
        <f>'Asset allocation MW'!N25*'Asset allocation time'!N25*8760</f>
        <v>1752</v>
      </c>
      <c r="O25" s="115">
        <f>'Asset allocation MW'!O25*'Asset allocation time'!O25*8760</f>
        <v>1752</v>
      </c>
      <c r="P25" s="115">
        <f>'Asset allocation MW'!P25*'Asset allocation time'!P25*8760</f>
        <v>1752</v>
      </c>
      <c r="Q25" s="115">
        <f>'Asset allocation MW'!Q25*'Asset allocation time'!Q25*8760</f>
        <v>1752</v>
      </c>
      <c r="R25" s="115">
        <f>'Asset allocation MW'!R25*'Asset allocation time'!R25*8760</f>
        <v>1752</v>
      </c>
      <c r="S25" s="115">
        <f>'Asset allocation MW'!S25*'Asset allocation time'!S25*8760</f>
        <v>1752</v>
      </c>
      <c r="FT25" s="39"/>
    </row>
    <row r="26" spans="1:176" ht="18.5" x14ac:dyDescent="0.5">
      <c r="A26" s="79"/>
      <c r="D26" s="55"/>
      <c r="E26" s="95"/>
      <c r="F26" s="95"/>
      <c r="G26" s="9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FT26" s="39"/>
    </row>
    <row r="27" spans="1:176" ht="18.5" x14ac:dyDescent="0.5">
      <c r="A27" s="79"/>
      <c r="B27" s="19" t="s">
        <v>9</v>
      </c>
      <c r="C27" s="19"/>
      <c r="D27" s="55"/>
      <c r="E27" s="95"/>
      <c r="F27" s="95"/>
      <c r="G27" s="9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FT27" s="39"/>
    </row>
    <row r="28" spans="1:176" ht="18.5" x14ac:dyDescent="0.5">
      <c r="A28" s="78">
        <v>0.8</v>
      </c>
      <c r="B28" s="9" t="s">
        <v>39</v>
      </c>
      <c r="C28" s="9" t="str">
        <f t="shared" ref="C28:C30" si="4">$C$9</f>
        <v>MW.h</v>
      </c>
      <c r="D28" s="121">
        <f>'Asset allocation MW'!D28*'Asset allocation time'!D28*8760</f>
        <v>3504</v>
      </c>
      <c r="E28" s="116">
        <f>'Asset allocation MW'!E28*'Asset allocation time'!E28*8760</f>
        <v>3504</v>
      </c>
      <c r="F28" s="116">
        <f>'Asset allocation MW'!F28*'Asset allocation time'!F28*8760</f>
        <v>3504</v>
      </c>
      <c r="G28" s="116">
        <f>'Asset allocation MW'!G28*'Asset allocation time'!G28*8760</f>
        <v>4380</v>
      </c>
      <c r="H28" s="115">
        <f>'Asset allocation MW'!H28*'Asset allocation time'!H28*8760</f>
        <v>5110</v>
      </c>
      <c r="I28" s="115">
        <f>'Asset allocation MW'!I28*'Asset allocation time'!I28*8760</f>
        <v>5840</v>
      </c>
      <c r="J28" s="115">
        <f>'Asset allocation MW'!J28*'Asset allocation time'!J28*8760</f>
        <v>6570</v>
      </c>
      <c r="K28" s="115">
        <f>'Asset allocation MW'!K28*'Asset allocation time'!K28*8760</f>
        <v>7299.9999999999991</v>
      </c>
      <c r="L28" s="115">
        <f>'Asset allocation MW'!L28*'Asset allocation time'!L28*8760</f>
        <v>8030</v>
      </c>
      <c r="M28" s="115">
        <f>'Asset allocation MW'!M28*'Asset allocation time'!M28*8760</f>
        <v>8759.9999999999982</v>
      </c>
      <c r="N28" s="115">
        <f>'Asset allocation MW'!N28*'Asset allocation time'!N28*8760</f>
        <v>9490</v>
      </c>
      <c r="O28" s="115">
        <f>'Asset allocation MW'!O28*'Asset allocation time'!O28*8760</f>
        <v>10219.999999999998</v>
      </c>
      <c r="P28" s="115">
        <f>'Asset allocation MW'!P28*'Asset allocation time'!P28*8760</f>
        <v>10949.999999999998</v>
      </c>
      <c r="Q28" s="115">
        <f>'Asset allocation MW'!Q28*'Asset allocation time'!Q28*8760</f>
        <v>11680</v>
      </c>
      <c r="R28" s="115">
        <f>'Asset allocation MW'!R28*'Asset allocation time'!R28*8760</f>
        <v>12409.999999999998</v>
      </c>
      <c r="S28" s="115">
        <f>'Asset allocation MW'!S28*'Asset allocation time'!S28*8760</f>
        <v>13140</v>
      </c>
      <c r="FT28" s="39"/>
    </row>
    <row r="29" spans="1:176" ht="18.5" x14ac:dyDescent="0.5">
      <c r="A29" s="78">
        <v>0.2</v>
      </c>
      <c r="B29" s="9" t="s">
        <v>30</v>
      </c>
      <c r="C29" s="9" t="str">
        <f t="shared" si="4"/>
        <v>MW.h</v>
      </c>
      <c r="D29" s="55">
        <f>'Asset allocation MW'!D29*'Asset allocation time'!D29*8760</f>
        <v>1752</v>
      </c>
      <c r="E29" s="95">
        <f>'Asset allocation MW'!E29*'Asset allocation time'!E29*8760</f>
        <v>1752</v>
      </c>
      <c r="F29" s="95">
        <f>'Asset allocation MW'!F29*'Asset allocation time'!F29*8760</f>
        <v>1752</v>
      </c>
      <c r="G29" s="95">
        <f>'Asset allocation MW'!G29*'Asset allocation time'!G29*8760</f>
        <v>1752</v>
      </c>
      <c r="H29" s="56">
        <f>'Asset allocation MW'!H29*'Asset allocation time'!H29*8760</f>
        <v>2701</v>
      </c>
      <c r="I29" s="56">
        <f>'Asset allocation MW'!I29*'Asset allocation time'!I29*8760</f>
        <v>3650.0000000000005</v>
      </c>
      <c r="J29" s="56">
        <f>'Asset allocation MW'!J29*'Asset allocation time'!J29*8760</f>
        <v>4599</v>
      </c>
      <c r="K29" s="56">
        <f>'Asset allocation MW'!K29*'Asset allocation time'!K29*8760</f>
        <v>5548.0000000000009</v>
      </c>
      <c r="L29" s="56">
        <f>'Asset allocation MW'!L29*'Asset allocation time'!L29*8760</f>
        <v>6497</v>
      </c>
      <c r="M29" s="56">
        <f>'Asset allocation MW'!M29*'Asset allocation time'!M29*8760</f>
        <v>7446.0000000000009</v>
      </c>
      <c r="N29" s="56">
        <f>'Asset allocation MW'!N29*'Asset allocation time'!N29*8760</f>
        <v>8395</v>
      </c>
      <c r="O29" s="56">
        <f>'Asset allocation MW'!O29*'Asset allocation time'!O29*8760</f>
        <v>9344</v>
      </c>
      <c r="P29" s="56">
        <f>'Asset allocation MW'!P29*'Asset allocation time'!P29*8760</f>
        <v>10293</v>
      </c>
      <c r="Q29" s="56">
        <f>'Asset allocation MW'!Q29*'Asset allocation time'!Q29*8760</f>
        <v>11242.000000000004</v>
      </c>
      <c r="R29" s="56">
        <f>'Asset allocation MW'!R29*'Asset allocation time'!R29*8760</f>
        <v>12191.000000000002</v>
      </c>
      <c r="S29" s="56">
        <f>'Asset allocation MW'!S29*'Asset allocation time'!S29*8760</f>
        <v>13140</v>
      </c>
      <c r="FT29" s="39"/>
    </row>
    <row r="30" spans="1:176" ht="18.5" x14ac:dyDescent="0.5">
      <c r="A30" s="78">
        <v>0.2</v>
      </c>
      <c r="B30" s="9" t="s">
        <v>31</v>
      </c>
      <c r="C30" s="9" t="str">
        <f t="shared" si="4"/>
        <v>MW.h</v>
      </c>
      <c r="D30" s="55">
        <f>'Asset allocation MW'!D30*'Asset allocation time'!D30*8760</f>
        <v>1752</v>
      </c>
      <c r="E30" s="95">
        <f>'Asset allocation MW'!E30*'Asset allocation time'!E30*8760</f>
        <v>1752</v>
      </c>
      <c r="F30" s="95">
        <f>'Asset allocation MW'!F30*'Asset allocation time'!F30*8760</f>
        <v>1752</v>
      </c>
      <c r="G30" s="95">
        <f>'Asset allocation MW'!G30*'Asset allocation time'!G30*8760</f>
        <v>1752</v>
      </c>
      <c r="H30" s="56">
        <f>'Asset allocation MW'!H30*'Asset allocation time'!H30*8760</f>
        <v>2701</v>
      </c>
      <c r="I30" s="56">
        <f>'Asset allocation MW'!I30*'Asset allocation time'!I30*8760</f>
        <v>3650.0000000000005</v>
      </c>
      <c r="J30" s="56">
        <f>'Asset allocation MW'!J30*'Asset allocation time'!J30*8760</f>
        <v>4599</v>
      </c>
      <c r="K30" s="56">
        <f>'Asset allocation MW'!K30*'Asset allocation time'!K30*8760</f>
        <v>5548.0000000000009</v>
      </c>
      <c r="L30" s="56">
        <f>'Asset allocation MW'!L30*'Asset allocation time'!L30*8760</f>
        <v>6497</v>
      </c>
      <c r="M30" s="56">
        <f>'Asset allocation MW'!M30*'Asset allocation time'!M30*8760</f>
        <v>7446.0000000000009</v>
      </c>
      <c r="N30" s="56">
        <f>'Asset allocation MW'!N30*'Asset allocation time'!N30*8760</f>
        <v>8395</v>
      </c>
      <c r="O30" s="56">
        <f>'Asset allocation MW'!O30*'Asset allocation time'!O30*8760</f>
        <v>9344</v>
      </c>
      <c r="P30" s="56">
        <f>'Asset allocation MW'!P30*'Asset allocation time'!P30*8760</f>
        <v>10293</v>
      </c>
      <c r="Q30" s="56">
        <f>'Asset allocation MW'!Q30*'Asset allocation time'!Q30*8760</f>
        <v>11242.000000000004</v>
      </c>
      <c r="R30" s="56">
        <f>'Asset allocation MW'!R30*'Asset allocation time'!R30*8760</f>
        <v>12191.000000000002</v>
      </c>
      <c r="S30" s="56">
        <f>'Asset allocation MW'!S30*'Asset allocation time'!S30*8760</f>
        <v>13140</v>
      </c>
      <c r="FT30" s="39"/>
    </row>
    <row r="31" spans="1:176" ht="18.5" x14ac:dyDescent="0.5">
      <c r="D31" s="55"/>
      <c r="E31" s="95"/>
      <c r="F31" s="95"/>
      <c r="G31" s="9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 spans="1:176" s="19" customFormat="1" ht="17.149999999999999" customHeight="1" x14ac:dyDescent="0.5">
      <c r="A32" s="35"/>
      <c r="B32" s="9"/>
      <c r="C32" s="9"/>
      <c r="D32" s="55"/>
      <c r="E32" s="95"/>
      <c r="F32" s="95"/>
      <c r="G32" s="9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35"/>
      <c r="U32" s="35"/>
    </row>
    <row r="33" spans="1:21" ht="18.5" x14ac:dyDescent="0.5">
      <c r="B33" s="58" t="s">
        <v>40</v>
      </c>
      <c r="C33" s="58"/>
      <c r="D33" s="73"/>
      <c r="E33" s="117"/>
      <c r="F33" s="117"/>
      <c r="G33" s="11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4" spans="1:21" ht="18.5" x14ac:dyDescent="0.5">
      <c r="B34" s="58" t="s">
        <v>41</v>
      </c>
      <c r="C34" s="58"/>
      <c r="D34" s="121">
        <f>D9+D10+D12+D15+D17+D25+D28/2+D29/2+D30/2</f>
        <v>47888</v>
      </c>
      <c r="E34" s="121">
        <f t="shared" ref="E34:S34" si="5">E9+E10+E12+E15+E17+E25+E28/2+E29/2+E30/2</f>
        <v>52758.560000000005</v>
      </c>
      <c r="F34" s="121">
        <f t="shared" si="5"/>
        <v>64146.559999999998</v>
      </c>
      <c r="G34" s="121">
        <f t="shared" si="5"/>
        <v>62832.56</v>
      </c>
      <c r="H34" s="121">
        <f t="shared" si="5"/>
        <v>61343.360000000001</v>
      </c>
      <c r="I34" s="121">
        <f t="shared" si="5"/>
        <v>59854.159999999996</v>
      </c>
      <c r="J34" s="121">
        <f t="shared" si="5"/>
        <v>58364.959999999999</v>
      </c>
      <c r="K34" s="121">
        <f t="shared" si="5"/>
        <v>60554.960000000006</v>
      </c>
      <c r="L34" s="121">
        <f t="shared" si="5"/>
        <v>60992.960000000006</v>
      </c>
      <c r="M34" s="121">
        <f t="shared" si="5"/>
        <v>62306.960000000006</v>
      </c>
      <c r="N34" s="121">
        <f t="shared" si="5"/>
        <v>63620.960000000006</v>
      </c>
      <c r="O34" s="121">
        <f t="shared" si="5"/>
        <v>64934.960000000006</v>
      </c>
      <c r="P34" s="121">
        <f t="shared" si="5"/>
        <v>66248.960000000006</v>
      </c>
      <c r="Q34" s="121">
        <f t="shared" si="5"/>
        <v>67562.960000000006</v>
      </c>
      <c r="R34" s="121">
        <f t="shared" si="5"/>
        <v>68876.960000000006</v>
      </c>
      <c r="S34" s="121">
        <f t="shared" si="5"/>
        <v>70190.960000000006</v>
      </c>
    </row>
    <row r="35" spans="1:21" s="19" customFormat="1" ht="18.5" x14ac:dyDescent="0.5">
      <c r="A35" s="35"/>
      <c r="B35" s="58" t="s">
        <v>42</v>
      </c>
      <c r="C35" s="58"/>
      <c r="D35" s="73">
        <f>D11+D12+D16+D18+(D19+D28+D29+D30)/2</f>
        <v>48185.840000000004</v>
      </c>
      <c r="E35" s="73">
        <f t="shared" ref="E35:S35" si="6">E11+E12+E16+E18+(E19+E28+E29+E30)/2</f>
        <v>53056.4</v>
      </c>
      <c r="F35" s="73">
        <f t="shared" si="6"/>
        <v>64444.4</v>
      </c>
      <c r="G35" s="73">
        <f t="shared" si="6"/>
        <v>63254.5</v>
      </c>
      <c r="H35" s="73">
        <f t="shared" si="6"/>
        <v>61951.450000000004</v>
      </c>
      <c r="I35" s="73">
        <f t="shared" si="6"/>
        <v>60669.083333333328</v>
      </c>
      <c r="J35" s="73">
        <f t="shared" si="6"/>
        <v>59407.4</v>
      </c>
      <c r="K35" s="73">
        <f t="shared" si="6"/>
        <v>60093.600000000006</v>
      </c>
      <c r="L35" s="73">
        <f t="shared" si="6"/>
        <v>60800.483333333337</v>
      </c>
      <c r="M35" s="73">
        <f t="shared" si="6"/>
        <v>62404.05000000001</v>
      </c>
      <c r="N35" s="73">
        <f t="shared" si="6"/>
        <v>63831.808333333342</v>
      </c>
      <c r="O35" s="73">
        <f t="shared" si="6"/>
        <v>65259.566666666673</v>
      </c>
      <c r="P35" s="73">
        <f t="shared" si="6"/>
        <v>66687.325000000012</v>
      </c>
      <c r="Q35" s="73">
        <f t="shared" si="6"/>
        <v>68115.083333333343</v>
      </c>
      <c r="R35" s="73">
        <f t="shared" si="6"/>
        <v>69542.841666666674</v>
      </c>
      <c r="S35" s="73">
        <f t="shared" si="6"/>
        <v>70970.600000000006</v>
      </c>
      <c r="T35" s="35"/>
      <c r="U35" s="35"/>
    </row>
    <row r="36" spans="1:21" ht="18.5" x14ac:dyDescent="0.5">
      <c r="D36" s="10"/>
      <c r="E36" s="88"/>
      <c r="F36" s="88"/>
    </row>
    <row r="37" spans="1:21" ht="18.5" x14ac:dyDescent="0.5">
      <c r="C37" s="9" t="s">
        <v>44</v>
      </c>
      <c r="D37" s="10">
        <v>10</v>
      </c>
      <c r="E37" s="88">
        <v>10</v>
      </c>
      <c r="F37" s="88">
        <v>10</v>
      </c>
      <c r="G37" s="88">
        <v>10</v>
      </c>
      <c r="H37" s="88">
        <v>10</v>
      </c>
      <c r="I37" s="88">
        <v>10</v>
      </c>
      <c r="J37" s="88">
        <v>10</v>
      </c>
      <c r="K37" s="88">
        <v>10</v>
      </c>
      <c r="L37" s="88">
        <v>10</v>
      </c>
      <c r="M37" s="88">
        <v>10</v>
      </c>
      <c r="N37" s="88">
        <v>10</v>
      </c>
      <c r="O37" s="88">
        <v>10</v>
      </c>
      <c r="P37" s="88">
        <v>10</v>
      </c>
      <c r="Q37" s="88">
        <v>10</v>
      </c>
      <c r="R37" s="88">
        <v>10</v>
      </c>
      <c r="S37" s="88">
        <v>10</v>
      </c>
    </row>
    <row r="38" spans="1:21" ht="18.5" x14ac:dyDescent="0.5">
      <c r="D38" s="10"/>
      <c r="E38" s="88"/>
      <c r="F38" s="88"/>
    </row>
    <row r="39" spans="1:21" ht="18.5" x14ac:dyDescent="0.5">
      <c r="C39" s="9" t="s">
        <v>45</v>
      </c>
      <c r="D39" s="55">
        <f t="shared" ref="D39:F39" si="7">D37*8760</f>
        <v>87600</v>
      </c>
      <c r="E39" s="95">
        <f t="shared" si="7"/>
        <v>87600</v>
      </c>
      <c r="F39" s="95">
        <f t="shared" si="7"/>
        <v>87600</v>
      </c>
      <c r="G39" s="95">
        <f>G37*8760</f>
        <v>87600</v>
      </c>
      <c r="H39" s="56">
        <f>G39</f>
        <v>87600</v>
      </c>
      <c r="I39" s="56">
        <f t="shared" ref="I39:S39" si="8">H39</f>
        <v>87600</v>
      </c>
      <c r="J39" s="56">
        <f t="shared" si="8"/>
        <v>87600</v>
      </c>
      <c r="K39" s="56">
        <f t="shared" si="8"/>
        <v>87600</v>
      </c>
      <c r="L39" s="56">
        <f t="shared" si="8"/>
        <v>87600</v>
      </c>
      <c r="M39" s="56">
        <f t="shared" si="8"/>
        <v>87600</v>
      </c>
      <c r="N39" s="56">
        <f t="shared" si="8"/>
        <v>87600</v>
      </c>
      <c r="O39" s="56">
        <f t="shared" si="8"/>
        <v>87600</v>
      </c>
      <c r="P39" s="56">
        <f t="shared" si="8"/>
        <v>87600</v>
      </c>
      <c r="Q39" s="56">
        <f t="shared" si="8"/>
        <v>87600</v>
      </c>
      <c r="R39" s="56">
        <f t="shared" si="8"/>
        <v>87600</v>
      </c>
      <c r="S39" s="56">
        <f t="shared" si="8"/>
        <v>87600</v>
      </c>
    </row>
    <row r="40" spans="1:21" ht="18.5" x14ac:dyDescent="0.5">
      <c r="D40" s="10"/>
      <c r="E40" s="88"/>
      <c r="F40" s="88"/>
    </row>
    <row r="41" spans="1:21" s="19" customFormat="1" ht="18.5" x14ac:dyDescent="0.5">
      <c r="A41" s="35"/>
      <c r="B41" s="9"/>
      <c r="C41" s="9" t="s">
        <v>46</v>
      </c>
      <c r="D41" s="55">
        <f t="shared" ref="D41:F41" si="9">SUM(D34:D35)/D39</f>
        <v>1.0967333333333333</v>
      </c>
      <c r="E41" s="95">
        <f t="shared" si="9"/>
        <v>1.2079333333333333</v>
      </c>
      <c r="F41" s="95">
        <f t="shared" si="9"/>
        <v>1.4679333333333333</v>
      </c>
      <c r="G41" s="95">
        <f>SUM(G34:G35)/G39</f>
        <v>1.4393499999999999</v>
      </c>
      <c r="H41" s="56">
        <f t="shared" ref="H41:S41" si="10">SUM(H34:H35)/H39</f>
        <v>1.407475</v>
      </c>
      <c r="I41" s="56">
        <f t="shared" si="10"/>
        <v>1.375836111111111</v>
      </c>
      <c r="J41" s="56">
        <f t="shared" si="10"/>
        <v>1.3444333333333334</v>
      </c>
      <c r="K41" s="56">
        <f t="shared" si="10"/>
        <v>1.3772666666666669</v>
      </c>
      <c r="L41" s="56">
        <f t="shared" si="10"/>
        <v>1.3903361111111112</v>
      </c>
      <c r="M41" s="56">
        <f t="shared" si="10"/>
        <v>1.4236416666666667</v>
      </c>
      <c r="N41" s="56">
        <f t="shared" si="10"/>
        <v>1.4549402777777778</v>
      </c>
      <c r="O41" s="56">
        <f t="shared" si="10"/>
        <v>1.4862388888888889</v>
      </c>
      <c r="P41" s="56">
        <f t="shared" si="10"/>
        <v>1.5175375000000004</v>
      </c>
      <c r="Q41" s="56">
        <f t="shared" si="10"/>
        <v>1.5488361111111111</v>
      </c>
      <c r="R41" s="56">
        <f t="shared" si="10"/>
        <v>1.5801347222222226</v>
      </c>
      <c r="S41" s="56">
        <f t="shared" si="10"/>
        <v>1.6114333333333333</v>
      </c>
      <c r="T41" s="35"/>
      <c r="U41" s="35"/>
    </row>
    <row r="42" spans="1:21" ht="18.5" x14ac:dyDescent="0.5"/>
    <row r="43" spans="1:21" ht="18.5" x14ac:dyDescent="0.5">
      <c r="D43" s="10"/>
      <c r="E43" s="88"/>
      <c r="F43" s="88"/>
    </row>
    <row r="44" spans="1:21" s="81" customFormat="1" ht="18.5" x14ac:dyDescent="0.5">
      <c r="C44" s="81" t="s">
        <v>47</v>
      </c>
      <c r="D44" s="46">
        <f>SUMPRODUCT($A$9:$A$30,D9:D30)</f>
        <v>5076.8198560000001</v>
      </c>
      <c r="E44" s="56">
        <f t="shared" ref="E44:R44" si="11">SUMPRODUCT($A$9:$A$30,E9:E30)</f>
        <v>5026.8198560000001</v>
      </c>
      <c r="F44" s="56">
        <f t="shared" si="11"/>
        <v>4996.8198560000001</v>
      </c>
      <c r="G44" s="56">
        <f t="shared" si="11"/>
        <v>5945.8198560000001</v>
      </c>
      <c r="H44" s="56">
        <f t="shared" si="11"/>
        <v>7231.7198559999997</v>
      </c>
      <c r="I44" s="56">
        <f t="shared" si="11"/>
        <v>8734.1865226666669</v>
      </c>
      <c r="J44" s="56">
        <f t="shared" si="11"/>
        <v>10190.419855999999</v>
      </c>
      <c r="K44" s="56">
        <f t="shared" si="11"/>
        <v>11667.939856000001</v>
      </c>
      <c r="L44" s="56">
        <f t="shared" si="11"/>
        <v>13169.306522666666</v>
      </c>
      <c r="M44" s="56">
        <f t="shared" si="11"/>
        <v>14712.039855999999</v>
      </c>
      <c r="N44" s="56">
        <f t="shared" si="11"/>
        <v>15903.156522666668</v>
      </c>
      <c r="O44" s="56">
        <f t="shared" si="11"/>
        <v>17094.273189333333</v>
      </c>
      <c r="P44" s="56">
        <f t="shared" si="11"/>
        <v>18285.389855999998</v>
      </c>
      <c r="Q44" s="56">
        <f t="shared" si="11"/>
        <v>19476.50652266667</v>
      </c>
      <c r="R44" s="56">
        <f t="shared" si="11"/>
        <v>20667.623189333335</v>
      </c>
      <c r="S44" s="56">
        <f>SUMPRODUCT($A$9:$A$30,S9:S30)</f>
        <v>21858.739856</v>
      </c>
    </row>
    <row r="45" spans="1:21" s="81" customFormat="1" ht="18.5" x14ac:dyDescent="0.5">
      <c r="C45" s="81" t="s">
        <v>48</v>
      </c>
      <c r="D45" s="135">
        <f>D44/(17*2)</f>
        <v>149.31823105882353</v>
      </c>
      <c r="E45" s="134">
        <f t="shared" ref="E45:S45" si="12">E44/(17*2)</f>
        <v>147.84764282352941</v>
      </c>
      <c r="F45" s="134">
        <f t="shared" si="12"/>
        <v>146.96528988235295</v>
      </c>
      <c r="G45" s="134">
        <f t="shared" si="12"/>
        <v>174.8770545882353</v>
      </c>
      <c r="H45" s="134">
        <f t="shared" si="12"/>
        <v>212.69764282352941</v>
      </c>
      <c r="I45" s="134">
        <f t="shared" si="12"/>
        <v>256.88783890196078</v>
      </c>
      <c r="J45" s="134">
        <f t="shared" si="12"/>
        <v>299.71823105882351</v>
      </c>
      <c r="K45" s="134">
        <f t="shared" si="12"/>
        <v>343.17470164705884</v>
      </c>
      <c r="L45" s="134">
        <f t="shared" si="12"/>
        <v>387.33254478431371</v>
      </c>
      <c r="M45" s="134">
        <f t="shared" si="12"/>
        <v>432.70705458823528</v>
      </c>
      <c r="N45" s="134">
        <f t="shared" si="12"/>
        <v>467.73989772549021</v>
      </c>
      <c r="O45" s="134">
        <f t="shared" si="12"/>
        <v>502.77274086274508</v>
      </c>
      <c r="P45" s="134">
        <f t="shared" si="12"/>
        <v>537.80558399999995</v>
      </c>
      <c r="Q45" s="134">
        <f t="shared" si="12"/>
        <v>572.83842713725505</v>
      </c>
      <c r="R45" s="134">
        <f t="shared" si="12"/>
        <v>607.87127027450981</v>
      </c>
      <c r="S45" s="134">
        <f t="shared" si="12"/>
        <v>642.90411341176468</v>
      </c>
    </row>
    <row r="46" spans="1:21" ht="18.5" x14ac:dyDescent="0.5">
      <c r="C46" s="81" t="s">
        <v>49</v>
      </c>
      <c r="D46" s="135">
        <f>ROUND(D44/(17*2*2),0)</f>
        <v>75</v>
      </c>
      <c r="E46" s="134">
        <f t="shared" ref="E46:S46" si="13">ROUND(E44/(17*2*2),0)</f>
        <v>74</v>
      </c>
      <c r="F46" s="134">
        <f t="shared" si="13"/>
        <v>73</v>
      </c>
      <c r="G46" s="134">
        <f t="shared" si="13"/>
        <v>87</v>
      </c>
      <c r="H46" s="134">
        <f t="shared" si="13"/>
        <v>106</v>
      </c>
      <c r="I46" s="134">
        <f t="shared" si="13"/>
        <v>128</v>
      </c>
      <c r="J46" s="134">
        <f t="shared" si="13"/>
        <v>150</v>
      </c>
      <c r="K46" s="134">
        <f t="shared" si="13"/>
        <v>172</v>
      </c>
      <c r="L46" s="134">
        <f t="shared" si="13"/>
        <v>194</v>
      </c>
      <c r="M46" s="134">
        <f t="shared" si="13"/>
        <v>216</v>
      </c>
      <c r="N46" s="134">
        <f t="shared" si="13"/>
        <v>234</v>
      </c>
      <c r="O46" s="134">
        <f t="shared" si="13"/>
        <v>251</v>
      </c>
      <c r="P46" s="134">
        <f t="shared" si="13"/>
        <v>269</v>
      </c>
      <c r="Q46" s="134">
        <f t="shared" si="13"/>
        <v>286</v>
      </c>
      <c r="R46" s="134">
        <f t="shared" si="13"/>
        <v>304</v>
      </c>
      <c r="S46" s="134">
        <f t="shared" si="13"/>
        <v>321</v>
      </c>
    </row>
    <row r="47" spans="1:21" ht="18.5" x14ac:dyDescent="0.5">
      <c r="C47" s="81" t="s">
        <v>50</v>
      </c>
      <c r="D47" s="135">
        <f>ROUND(D44/(17*4*2),2)</f>
        <v>37.33</v>
      </c>
      <c r="E47" s="56">
        <f t="shared" ref="E47:S47" si="14">ROUND(E44/(17*4*2),2)</f>
        <v>36.96</v>
      </c>
      <c r="F47" s="56">
        <f t="shared" si="14"/>
        <v>36.74</v>
      </c>
      <c r="G47" s="56">
        <f t="shared" si="14"/>
        <v>43.72</v>
      </c>
      <c r="H47" s="56">
        <f t="shared" si="14"/>
        <v>53.17</v>
      </c>
      <c r="I47" s="56">
        <f t="shared" si="14"/>
        <v>64.22</v>
      </c>
      <c r="J47" s="56">
        <f t="shared" si="14"/>
        <v>74.930000000000007</v>
      </c>
      <c r="K47" s="56">
        <f t="shared" si="14"/>
        <v>85.79</v>
      </c>
      <c r="L47" s="56">
        <f t="shared" si="14"/>
        <v>96.83</v>
      </c>
      <c r="M47" s="56">
        <f t="shared" si="14"/>
        <v>108.18</v>
      </c>
      <c r="N47" s="56">
        <f t="shared" si="14"/>
        <v>116.93</v>
      </c>
      <c r="O47" s="56">
        <f t="shared" si="14"/>
        <v>125.69</v>
      </c>
      <c r="P47" s="56">
        <f t="shared" si="14"/>
        <v>134.44999999999999</v>
      </c>
      <c r="Q47" s="56">
        <f t="shared" si="14"/>
        <v>143.21</v>
      </c>
      <c r="R47" s="56">
        <f t="shared" si="14"/>
        <v>151.97</v>
      </c>
      <c r="S47" s="56">
        <f t="shared" si="14"/>
        <v>160.72999999999999</v>
      </c>
    </row>
    <row r="48" spans="1:21" ht="18.5" x14ac:dyDescent="0.5">
      <c r="C48" s="9" t="s">
        <v>51</v>
      </c>
      <c r="D48" s="55">
        <f t="shared" ref="D48:S48" si="15">D45/365</f>
        <v>0.40909104399677682</v>
      </c>
      <c r="E48" s="56">
        <f t="shared" si="15"/>
        <v>0.4050620351329573</v>
      </c>
      <c r="F48" s="56">
        <f t="shared" si="15"/>
        <v>0.40264462981466559</v>
      </c>
      <c r="G48" s="56">
        <f t="shared" si="15"/>
        <v>0.47911521804995971</v>
      </c>
      <c r="H48" s="56">
        <f t="shared" si="15"/>
        <v>0.58273326800966962</v>
      </c>
      <c r="I48" s="56">
        <f t="shared" si="15"/>
        <v>0.7038022983615364</v>
      </c>
      <c r="J48" s="56">
        <f t="shared" si="15"/>
        <v>0.8211458385173247</v>
      </c>
      <c r="K48" s="56">
        <f t="shared" si="15"/>
        <v>0.94020466204673658</v>
      </c>
      <c r="L48" s="56">
        <f t="shared" si="15"/>
        <v>1.0611850542035992</v>
      </c>
      <c r="M48" s="56">
        <f t="shared" si="15"/>
        <v>1.1854987796937952</v>
      </c>
      <c r="N48" s="56">
        <f t="shared" si="15"/>
        <v>1.2814791718506582</v>
      </c>
      <c r="O48" s="56">
        <f t="shared" si="15"/>
        <v>1.3774595640075207</v>
      </c>
      <c r="P48" s="56">
        <f t="shared" si="15"/>
        <v>1.4734399561643834</v>
      </c>
      <c r="Q48" s="56">
        <f t="shared" si="15"/>
        <v>1.5694203483212468</v>
      </c>
      <c r="R48" s="56">
        <f t="shared" si="15"/>
        <v>1.665400740478109</v>
      </c>
      <c r="S48" s="56">
        <f t="shared" si="15"/>
        <v>1.7613811326349718</v>
      </c>
    </row>
    <row r="49" spans="3:19" ht="18.5" x14ac:dyDescent="0.5">
      <c r="C49" s="81" t="s">
        <v>52</v>
      </c>
      <c r="D49" s="55">
        <f t="shared" ref="D49:S49" si="16">D46/365</f>
        <v>0.20547945205479451</v>
      </c>
      <c r="E49" s="56">
        <f t="shared" si="16"/>
        <v>0.20273972602739726</v>
      </c>
      <c r="F49" s="56">
        <f t="shared" si="16"/>
        <v>0.2</v>
      </c>
      <c r="G49" s="56">
        <f t="shared" si="16"/>
        <v>0.23835616438356164</v>
      </c>
      <c r="H49" s="56">
        <f t="shared" si="16"/>
        <v>0.29041095890410956</v>
      </c>
      <c r="I49" s="56">
        <f t="shared" si="16"/>
        <v>0.35068493150684932</v>
      </c>
      <c r="J49" s="56">
        <f t="shared" si="16"/>
        <v>0.41095890410958902</v>
      </c>
      <c r="K49" s="56">
        <f t="shared" si="16"/>
        <v>0.47123287671232877</v>
      </c>
      <c r="L49" s="56">
        <f t="shared" si="16"/>
        <v>0.53150684931506853</v>
      </c>
      <c r="M49" s="56">
        <f t="shared" si="16"/>
        <v>0.59178082191780823</v>
      </c>
      <c r="N49" s="56">
        <f t="shared" si="16"/>
        <v>0.64109589041095894</v>
      </c>
      <c r="O49" s="56">
        <f t="shared" si="16"/>
        <v>0.68767123287671228</v>
      </c>
      <c r="P49" s="56">
        <f t="shared" si="16"/>
        <v>0.73698630136986298</v>
      </c>
      <c r="Q49" s="56">
        <f t="shared" si="16"/>
        <v>0.78356164383561644</v>
      </c>
      <c r="R49" s="56">
        <f t="shared" si="16"/>
        <v>0.83287671232876714</v>
      </c>
      <c r="S49" s="56">
        <f t="shared" si="16"/>
        <v>0.8794520547945206</v>
      </c>
    </row>
    <row r="50" spans="3:19" ht="16" customHeight="1" x14ac:dyDescent="0.5">
      <c r="C50" s="81" t="s">
        <v>53</v>
      </c>
      <c r="D50" s="55">
        <f t="shared" ref="D50:S50" si="17">D47/365</f>
        <v>0.10227397260273972</v>
      </c>
      <c r="E50" s="56">
        <f t="shared" si="17"/>
        <v>0.10126027397260275</v>
      </c>
      <c r="F50" s="56">
        <f t="shared" si="17"/>
        <v>0.10065753424657535</v>
      </c>
      <c r="G50" s="56">
        <f t="shared" si="17"/>
        <v>0.11978082191780821</v>
      </c>
      <c r="H50" s="56">
        <f t="shared" si="17"/>
        <v>0.14567123287671233</v>
      </c>
      <c r="I50" s="56">
        <f t="shared" si="17"/>
        <v>0.17594520547945205</v>
      </c>
      <c r="J50" s="56">
        <f t="shared" si="17"/>
        <v>0.20528767123287672</v>
      </c>
      <c r="K50" s="56">
        <f t="shared" si="17"/>
        <v>0.23504109589041097</v>
      </c>
      <c r="L50" s="56">
        <f t="shared" si="17"/>
        <v>0.26528767123287672</v>
      </c>
      <c r="M50" s="56">
        <f t="shared" si="17"/>
        <v>0.29638356164383561</v>
      </c>
      <c r="N50" s="56">
        <f t="shared" si="17"/>
        <v>0.32035616438356168</v>
      </c>
      <c r="O50" s="56">
        <f t="shared" si="17"/>
        <v>0.34435616438356165</v>
      </c>
      <c r="P50" s="56">
        <f t="shared" si="17"/>
        <v>0.36835616438356161</v>
      </c>
      <c r="Q50" s="56">
        <f t="shared" si="17"/>
        <v>0.39235616438356169</v>
      </c>
      <c r="R50" s="56">
        <f t="shared" si="17"/>
        <v>0.41635616438356166</v>
      </c>
      <c r="S50" s="56">
        <f t="shared" si="17"/>
        <v>0.44035616438356162</v>
      </c>
    </row>
  </sheetData>
  <pageMargins left="0.70866141732283472" right="0.70866141732283472" top="0.74803149606299213" bottom="7.4409448818897639" header="0.31496062992125984" footer="0.31496062992125984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E864-AE8F-7E4E-BDB8-558D32EB6358}">
  <dimension ref="A3:R29"/>
  <sheetViews>
    <sheetView topLeftCell="A4" workbookViewId="0">
      <selection activeCell="J38" sqref="J38"/>
    </sheetView>
  </sheetViews>
  <sheetFormatPr defaultColWidth="10.83203125" defaultRowHeight="18.5" x14ac:dyDescent="0.5"/>
  <cols>
    <col min="1" max="1" width="10.83203125" style="43"/>
    <col min="2" max="2" width="23.33203125" style="43" bestFit="1" customWidth="1"/>
    <col min="3" max="3" width="6.08203125" style="43" bestFit="1" customWidth="1"/>
    <col min="4" max="4" width="12.83203125" style="43" bestFit="1" customWidth="1"/>
    <col min="5" max="5" width="12.08203125" style="43" bestFit="1" customWidth="1"/>
    <col min="6" max="6" width="27.33203125" style="9" bestFit="1" customWidth="1"/>
    <col min="7" max="7" width="15.83203125" style="10" customWidth="1"/>
    <col min="8" max="8" width="6.33203125" style="43" bestFit="1" customWidth="1"/>
    <col min="9" max="9" width="8.33203125" style="43" bestFit="1" customWidth="1"/>
    <col min="10" max="10" width="7.5" style="43" bestFit="1" customWidth="1"/>
    <col min="11" max="11" width="12.83203125" style="43" bestFit="1" customWidth="1"/>
    <col min="12" max="12" width="12.08203125" style="43" bestFit="1" customWidth="1"/>
    <col min="13" max="15" width="6.33203125" style="43" bestFit="1" customWidth="1"/>
    <col min="16" max="16384" width="10.83203125" style="43"/>
  </cols>
  <sheetData>
    <row r="3" spans="1:18" x14ac:dyDescent="0.5">
      <c r="F3" s="9" t="s">
        <v>43</v>
      </c>
    </row>
    <row r="5" spans="1:18" x14ac:dyDescent="0.5">
      <c r="B5" s="43" t="s">
        <v>54</v>
      </c>
      <c r="C5" s="43">
        <v>8760</v>
      </c>
      <c r="F5" s="62"/>
      <c r="G5" s="63"/>
    </row>
    <row r="6" spans="1:18" x14ac:dyDescent="0.5">
      <c r="A6"/>
      <c r="B6"/>
      <c r="C6"/>
      <c r="D6"/>
      <c r="E6"/>
      <c r="H6"/>
      <c r="I6"/>
      <c r="J6"/>
      <c r="K6"/>
      <c r="L6"/>
      <c r="M6"/>
      <c r="N6"/>
      <c r="O6"/>
      <c r="P6"/>
      <c r="Q6"/>
      <c r="R6"/>
    </row>
    <row r="7" spans="1:18" x14ac:dyDescent="0.5">
      <c r="A7"/>
      <c r="B7"/>
      <c r="C7"/>
      <c r="D7"/>
      <c r="E7"/>
      <c r="H7"/>
      <c r="I7"/>
      <c r="J7"/>
      <c r="K7"/>
      <c r="L7"/>
      <c r="M7"/>
      <c r="N7"/>
      <c r="O7"/>
      <c r="P7"/>
      <c r="Q7"/>
      <c r="R7"/>
    </row>
    <row r="8" spans="1:18" customFormat="1" x14ac:dyDescent="0.5">
      <c r="F8" s="13" t="s">
        <v>14</v>
      </c>
      <c r="G8" s="14"/>
    </row>
    <row r="9" spans="1:18" x14ac:dyDescent="0.5">
      <c r="A9"/>
      <c r="B9"/>
      <c r="C9"/>
      <c r="D9"/>
      <c r="E9"/>
      <c r="F9" s="9" t="s">
        <v>16</v>
      </c>
      <c r="G9" s="75">
        <v>1E-4</v>
      </c>
      <c r="H9"/>
      <c r="I9"/>
      <c r="J9"/>
      <c r="K9"/>
      <c r="L9"/>
      <c r="M9"/>
      <c r="N9"/>
      <c r="O9"/>
      <c r="P9"/>
      <c r="Q9"/>
      <c r="R9"/>
    </row>
    <row r="10" spans="1:18" x14ac:dyDescent="0.5">
      <c r="A10"/>
      <c r="B10"/>
      <c r="C10"/>
      <c r="D10"/>
      <c r="E10"/>
      <c r="F10" s="9" t="s">
        <v>17</v>
      </c>
      <c r="G10" s="75">
        <f>50/8760</f>
        <v>5.7077625570776253E-3</v>
      </c>
      <c r="H10"/>
      <c r="I10"/>
      <c r="J10"/>
      <c r="K10"/>
      <c r="L10"/>
      <c r="M10"/>
      <c r="N10"/>
      <c r="O10"/>
      <c r="P10"/>
      <c r="Q10"/>
      <c r="R10"/>
    </row>
    <row r="11" spans="1:18" x14ac:dyDescent="0.5">
      <c r="A11"/>
      <c r="B11"/>
      <c r="C11"/>
      <c r="D11"/>
      <c r="E11"/>
      <c r="F11" s="9" t="s">
        <v>18</v>
      </c>
      <c r="G11" s="75">
        <f>G10</f>
        <v>5.7077625570776253E-3</v>
      </c>
      <c r="H11"/>
      <c r="I11"/>
      <c r="J11"/>
      <c r="K11"/>
      <c r="L11"/>
      <c r="M11"/>
      <c r="N11"/>
      <c r="O11"/>
      <c r="P11"/>
      <c r="Q11"/>
      <c r="R11"/>
    </row>
    <row r="12" spans="1:18" x14ac:dyDescent="0.5">
      <c r="A12"/>
      <c r="B12"/>
      <c r="C12"/>
      <c r="D12"/>
      <c r="E12"/>
      <c r="F12" s="9" t="s">
        <v>19</v>
      </c>
      <c r="G12" s="75">
        <f>1500/8760</f>
        <v>0.17123287671232876</v>
      </c>
      <c r="H12"/>
      <c r="I12"/>
      <c r="J12"/>
      <c r="K12"/>
      <c r="L12"/>
      <c r="M12"/>
      <c r="N12"/>
      <c r="O12"/>
      <c r="P12"/>
      <c r="Q12"/>
      <c r="R12"/>
    </row>
    <row r="13" spans="1:18" x14ac:dyDescent="0.5">
      <c r="A13"/>
      <c r="B13"/>
      <c r="C13"/>
      <c r="D13"/>
      <c r="E13"/>
      <c r="G13" s="75"/>
      <c r="H13"/>
      <c r="I13"/>
      <c r="J13"/>
      <c r="K13"/>
      <c r="L13"/>
      <c r="M13"/>
      <c r="N13"/>
      <c r="O13"/>
      <c r="P13"/>
      <c r="Q13"/>
      <c r="R13"/>
    </row>
    <row r="14" spans="1:18" x14ac:dyDescent="0.5">
      <c r="A14"/>
      <c r="B14"/>
      <c r="C14"/>
      <c r="D14"/>
      <c r="E14"/>
      <c r="F14" s="19" t="s">
        <v>5</v>
      </c>
      <c r="G14" s="76"/>
      <c r="H14"/>
      <c r="I14"/>
      <c r="J14"/>
      <c r="K14"/>
      <c r="L14"/>
      <c r="M14"/>
      <c r="N14"/>
      <c r="O14"/>
      <c r="P14"/>
      <c r="Q14"/>
      <c r="R14"/>
    </row>
    <row r="15" spans="1:18" x14ac:dyDescent="0.5">
      <c r="A15"/>
      <c r="B15"/>
      <c r="C15"/>
      <c r="D15"/>
      <c r="E15"/>
      <c r="F15" s="9" t="s">
        <v>20</v>
      </c>
      <c r="G15" s="75">
        <v>0</v>
      </c>
      <c r="H15"/>
      <c r="I15"/>
      <c r="J15"/>
      <c r="K15"/>
      <c r="L15"/>
      <c r="M15"/>
      <c r="N15"/>
      <c r="O15"/>
      <c r="P15"/>
      <c r="Q15"/>
      <c r="R15"/>
    </row>
    <row r="16" spans="1:18" x14ac:dyDescent="0.5">
      <c r="A16"/>
      <c r="B16"/>
      <c r="C16"/>
      <c r="D16"/>
      <c r="E16"/>
      <c r="F16" s="9" t="s">
        <v>21</v>
      </c>
      <c r="G16" s="75">
        <v>0</v>
      </c>
      <c r="H16"/>
      <c r="I16"/>
      <c r="J16"/>
      <c r="K16"/>
      <c r="L16"/>
      <c r="M16"/>
      <c r="N16"/>
      <c r="O16"/>
      <c r="P16"/>
      <c r="Q16"/>
      <c r="R16"/>
    </row>
    <row r="17" spans="1:18" x14ac:dyDescent="0.5">
      <c r="A17"/>
      <c r="B17"/>
      <c r="C17"/>
      <c r="D17"/>
      <c r="E17"/>
      <c r="F17" s="9" t="s">
        <v>22</v>
      </c>
      <c r="G17" s="75">
        <v>0</v>
      </c>
      <c r="H17"/>
      <c r="I17"/>
      <c r="J17"/>
      <c r="K17"/>
      <c r="L17"/>
      <c r="M17"/>
      <c r="N17"/>
      <c r="O17"/>
      <c r="P17"/>
      <c r="Q17"/>
      <c r="R17"/>
    </row>
    <row r="18" spans="1:18" x14ac:dyDescent="0.5">
      <c r="A18"/>
      <c r="B18"/>
      <c r="C18"/>
      <c r="D18"/>
      <c r="E18"/>
      <c r="F18" s="9" t="s">
        <v>23</v>
      </c>
      <c r="G18" s="75">
        <v>0</v>
      </c>
      <c r="H18"/>
      <c r="I18"/>
      <c r="J18"/>
      <c r="K18"/>
      <c r="L18"/>
      <c r="M18"/>
      <c r="N18"/>
      <c r="O18"/>
      <c r="P18"/>
      <c r="Q18"/>
      <c r="R18"/>
    </row>
    <row r="19" spans="1:18" x14ac:dyDescent="0.5">
      <c r="A19"/>
      <c r="B19"/>
      <c r="C19"/>
      <c r="D19"/>
      <c r="E19"/>
      <c r="F19" s="9" t="s">
        <v>24</v>
      </c>
      <c r="G19" s="75">
        <v>1</v>
      </c>
      <c r="H19"/>
      <c r="I19"/>
      <c r="J19"/>
      <c r="K19"/>
      <c r="L19"/>
      <c r="M19"/>
      <c r="N19"/>
      <c r="O19"/>
      <c r="P19"/>
      <c r="Q19"/>
      <c r="R19"/>
    </row>
    <row r="20" spans="1:18" x14ac:dyDescent="0.5">
      <c r="A20"/>
      <c r="B20"/>
      <c r="C20"/>
      <c r="D20"/>
      <c r="E20"/>
      <c r="G20" s="75"/>
      <c r="H20"/>
      <c r="I20"/>
      <c r="J20"/>
      <c r="K20"/>
      <c r="L20"/>
      <c r="M20"/>
      <c r="N20"/>
      <c r="O20"/>
      <c r="P20"/>
      <c r="Q20"/>
      <c r="R20"/>
    </row>
    <row r="21" spans="1:18" x14ac:dyDescent="0.5">
      <c r="A21"/>
      <c r="B21"/>
      <c r="C21"/>
      <c r="D21"/>
      <c r="E21"/>
      <c r="F21" s="19" t="s">
        <v>25</v>
      </c>
      <c r="G21" s="76"/>
      <c r="H21"/>
      <c r="I21"/>
      <c r="J21"/>
      <c r="K21"/>
      <c r="L21"/>
      <c r="M21"/>
      <c r="N21"/>
      <c r="O21"/>
      <c r="P21"/>
      <c r="Q21"/>
      <c r="R21"/>
    </row>
    <row r="22" spans="1:18" x14ac:dyDescent="0.5">
      <c r="A22"/>
      <c r="B22"/>
      <c r="C22"/>
      <c r="D22"/>
      <c r="E22"/>
      <c r="F22" s="9" t="s">
        <v>26</v>
      </c>
      <c r="G22" s="75">
        <v>0.01</v>
      </c>
      <c r="H22"/>
      <c r="I22"/>
      <c r="J22"/>
      <c r="K22"/>
      <c r="L22"/>
      <c r="M22"/>
      <c r="N22"/>
      <c r="O22"/>
      <c r="P22"/>
      <c r="Q22"/>
      <c r="R22"/>
    </row>
    <row r="23" spans="1:18" x14ac:dyDescent="0.5">
      <c r="A23"/>
      <c r="B23"/>
      <c r="C23"/>
      <c r="D23"/>
      <c r="E23"/>
      <c r="G23" s="75"/>
      <c r="H23"/>
      <c r="I23"/>
      <c r="J23"/>
      <c r="K23"/>
      <c r="L23"/>
      <c r="M23"/>
      <c r="N23"/>
      <c r="O23"/>
      <c r="P23"/>
      <c r="Q23"/>
      <c r="R23"/>
    </row>
    <row r="24" spans="1:18" x14ac:dyDescent="0.5">
      <c r="A24"/>
      <c r="B24"/>
      <c r="C24"/>
      <c r="D24"/>
      <c r="E24"/>
      <c r="F24" s="19" t="s">
        <v>27</v>
      </c>
      <c r="G24" s="76"/>
      <c r="H24"/>
      <c r="I24"/>
      <c r="J24"/>
      <c r="K24"/>
      <c r="L24"/>
      <c r="M24"/>
      <c r="N24"/>
      <c r="O24"/>
      <c r="P24"/>
      <c r="Q24"/>
      <c r="R24"/>
    </row>
    <row r="25" spans="1:18" x14ac:dyDescent="0.5">
      <c r="A25"/>
      <c r="B25"/>
      <c r="C25"/>
      <c r="D25"/>
      <c r="E25"/>
      <c r="F25" s="9" t="s">
        <v>28</v>
      </c>
      <c r="G25" s="75">
        <v>0.01</v>
      </c>
      <c r="H25"/>
      <c r="I25"/>
      <c r="J25"/>
      <c r="K25"/>
      <c r="L25"/>
      <c r="M25"/>
      <c r="N25"/>
      <c r="O25"/>
      <c r="P25"/>
      <c r="Q25"/>
      <c r="R25"/>
    </row>
    <row r="26" spans="1:18" x14ac:dyDescent="0.5">
      <c r="A26"/>
      <c r="B26"/>
      <c r="C26"/>
      <c r="D26"/>
      <c r="E26"/>
      <c r="G26" s="75"/>
      <c r="H26"/>
      <c r="I26"/>
      <c r="J26"/>
      <c r="K26"/>
      <c r="L26"/>
      <c r="M26"/>
      <c r="N26"/>
      <c r="O26"/>
      <c r="P26"/>
      <c r="Q26"/>
      <c r="R26"/>
    </row>
    <row r="27" spans="1:18" x14ac:dyDescent="0.5">
      <c r="A27"/>
      <c r="B27"/>
      <c r="C27"/>
      <c r="D27"/>
      <c r="E27"/>
      <c r="F27" s="19" t="s">
        <v>9</v>
      </c>
      <c r="G27" s="76"/>
      <c r="H27"/>
      <c r="I27"/>
      <c r="J27"/>
      <c r="K27"/>
      <c r="L27"/>
      <c r="M27"/>
      <c r="N27"/>
      <c r="O27"/>
      <c r="P27"/>
      <c r="Q27"/>
      <c r="R27"/>
    </row>
    <row r="28" spans="1:18" x14ac:dyDescent="0.5">
      <c r="A28"/>
      <c r="B28"/>
      <c r="C28"/>
      <c r="D28"/>
      <c r="E28"/>
      <c r="F28" s="9" t="s">
        <v>29</v>
      </c>
      <c r="G28" s="75">
        <v>1</v>
      </c>
      <c r="H28"/>
      <c r="I28"/>
      <c r="J28"/>
      <c r="K28"/>
      <c r="L28"/>
      <c r="M28"/>
      <c r="N28"/>
      <c r="O28"/>
      <c r="P28"/>
      <c r="Q28"/>
      <c r="R28"/>
    </row>
    <row r="29" spans="1:18" x14ac:dyDescent="0.5">
      <c r="F29" s="9" t="s">
        <v>30</v>
      </c>
      <c r="G29" s="75">
        <v>1</v>
      </c>
      <c r="H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87EDD8C55E54D80759865D9542B69" ma:contentTypeVersion="15" ma:contentTypeDescription="Create a new document." ma:contentTypeScope="" ma:versionID="8ab830bd2b815f3d3cf140884f17572a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5e459ecd623a8922ca9a01a983f56ded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54D9DE-0169-4616-B8E9-D5B2C8EA41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96A85-D06E-49BE-AEF0-0A9CDA97A343}"/>
</file>

<file path=customXml/itemProps3.xml><?xml version="1.0" encoding="utf-8"?>
<ds:datastoreItem xmlns:ds="http://schemas.openxmlformats.org/officeDocument/2006/customXml" ds:itemID="{0F943382-A264-4A8A-93FF-AFB4499362C6}">
  <ds:schemaRefs>
    <ds:schemaRef ds:uri="http://schemas.microsoft.com/office/2006/metadata/properties"/>
    <ds:schemaRef ds:uri="http://schemas.microsoft.com/office/infopath/2007/PartnerControls"/>
    <ds:schemaRef ds:uri="60a11cae-ef66-4927-be8d-635417274eb5"/>
    <ds:schemaRef ds:uri="f014d427-246c-4f58-aa75-4782c2e674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Revenue streams</vt:lpstr>
      <vt:lpstr>Services achieved price</vt:lpstr>
      <vt:lpstr>Services annual average price</vt:lpstr>
      <vt:lpstr>Asset allocation MW- Percentile</vt:lpstr>
      <vt:lpstr>Asset allocation MW</vt:lpstr>
      <vt:lpstr>Asset allocation time</vt:lpstr>
      <vt:lpstr>Asset allocation calc</vt:lpstr>
      <vt:lpstr>Params</vt:lpstr>
      <vt:lpstr>kWh_cost_cal</vt:lpstr>
      <vt:lpstr>NUM_HRS_IN_A_YEAR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Helbrink</dc:creator>
  <cp:keywords/>
  <dc:description/>
  <cp:lastModifiedBy>Abolfazl Khodadadi</cp:lastModifiedBy>
  <cp:revision/>
  <dcterms:created xsi:type="dcterms:W3CDTF">2024-06-19T19:12:01Z</dcterms:created>
  <dcterms:modified xsi:type="dcterms:W3CDTF">2024-10-07T11:40:59Z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  <property fmtid="{D5CDD505-2E9C-101B-9397-08002B2CF9AE}" pid="3" name="MediaServiceImageTags">
    <vt:lpwstr/>
  </property>
</Properties>
</file>