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NewGit\myDocs\"/>
    </mc:Choice>
  </mc:AlternateContent>
  <xr:revisionPtr revIDLastSave="0" documentId="13_ncr:1_{B28BAAF5-C7BA-4A1C-A84A-D455355AF962}" xr6:coauthVersionLast="47" xr6:coauthVersionMax="47" xr10:uidLastSave="{00000000-0000-0000-0000-000000000000}"/>
  <bookViews>
    <workbookView xWindow="-120" yWindow="-120" windowWidth="29040" windowHeight="15720" firstSheet="20" activeTab="29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AOUT24" sheetId="38" r:id="rId21"/>
    <sheet name="SEP24" sheetId="41" r:id="rId22"/>
    <sheet name="OCT24" sheetId="42" r:id="rId23"/>
    <sheet name="NOV24" sheetId="43" r:id="rId24"/>
    <sheet name="DEC24" sheetId="44" r:id="rId25"/>
    <sheet name="JANV25" sheetId="45" r:id="rId26"/>
    <sheet name="FEVR25" sheetId="46" r:id="rId27"/>
    <sheet name="Credit" sheetId="28" r:id="rId28"/>
    <sheet name="Entreprise" sheetId="35" r:id="rId29"/>
    <sheet name="Construction " sheetId="27" r:id="rId30"/>
    <sheet name="Construction2" sheetId="39" r:id="rId31"/>
    <sheet name="Terrain" sheetId="18" r:id="rId32"/>
    <sheet name="Poulailler" sheetId="20" r:id="rId33"/>
    <sheet name="divers " sheetId="22" r:id="rId34"/>
    <sheet name="MB MEACSYTEM" sheetId="40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5" i="27" l="1"/>
  <c r="C74" i="27"/>
  <c r="B83" i="27"/>
  <c r="C15" i="46"/>
  <c r="B75" i="27"/>
  <c r="P124" i="46" l="1"/>
  <c r="E120" i="46"/>
  <c r="B105" i="46"/>
  <c r="D105" i="46" s="1"/>
  <c r="F53" i="46"/>
  <c r="M38" i="46"/>
  <c r="E35" i="46"/>
  <c r="P25" i="46"/>
  <c r="L28" i="46" s="1"/>
  <c r="Q21" i="46"/>
  <c r="N21" i="46"/>
  <c r="I21" i="46"/>
  <c r="F21" i="46"/>
  <c r="T14" i="46"/>
  <c r="C21" i="46"/>
  <c r="D25" i="46" s="1"/>
  <c r="O23" i="27"/>
  <c r="C79" i="27"/>
  <c r="C80" i="27" s="1"/>
  <c r="B85" i="27" s="1"/>
  <c r="B79" i="27"/>
  <c r="B80" i="27" s="1"/>
  <c r="M64" i="27"/>
  <c r="N52" i="27"/>
  <c r="C9" i="45"/>
  <c r="F13" i="44"/>
  <c r="F21" i="44" s="1"/>
  <c r="H58" i="27"/>
  <c r="B63" i="27" s="1"/>
  <c r="C10" i="45"/>
  <c r="P124" i="45"/>
  <c r="E120" i="45"/>
  <c r="B105" i="45"/>
  <c r="D105" i="45" s="1"/>
  <c r="F53" i="45"/>
  <c r="M38" i="45"/>
  <c r="E35" i="45"/>
  <c r="Q21" i="45"/>
  <c r="N21" i="45"/>
  <c r="P25" i="45" s="1"/>
  <c r="L28" i="45" s="1"/>
  <c r="I21" i="45"/>
  <c r="F21" i="45"/>
  <c r="T14" i="45"/>
  <c r="E34" i="35"/>
  <c r="F34" i="35" s="1"/>
  <c r="C34" i="35"/>
  <c r="C36" i="35" s="1"/>
  <c r="D34" i="35"/>
  <c r="G34" i="35" s="1"/>
  <c r="G33" i="35"/>
  <c r="E33" i="35"/>
  <c r="D33" i="35"/>
  <c r="D36" i="35" s="1"/>
  <c r="C13" i="44"/>
  <c r="C21" i="44" s="1"/>
  <c r="P124" i="44"/>
  <c r="E120" i="44"/>
  <c r="D105" i="44"/>
  <c r="B105" i="44"/>
  <c r="F53" i="44"/>
  <c r="M38" i="44"/>
  <c r="E35" i="44"/>
  <c r="P25" i="44"/>
  <c r="L28" i="44" s="1"/>
  <c r="Q21" i="44"/>
  <c r="N21" i="44"/>
  <c r="I21" i="44"/>
  <c r="T14" i="44"/>
  <c r="M22" i="28"/>
  <c r="J16" i="28" s="1"/>
  <c r="E28" i="35"/>
  <c r="F28" i="35" s="1"/>
  <c r="P124" i="43"/>
  <c r="E120" i="43"/>
  <c r="B105" i="43"/>
  <c r="D105" i="43" s="1"/>
  <c r="F53" i="43"/>
  <c r="M38" i="43"/>
  <c r="E35" i="43"/>
  <c r="Q21" i="43"/>
  <c r="N21" i="43"/>
  <c r="P25" i="43" s="1"/>
  <c r="L28" i="43" s="1"/>
  <c r="I21" i="43"/>
  <c r="F21" i="43"/>
  <c r="C21" i="43"/>
  <c r="T14" i="43"/>
  <c r="C30" i="35"/>
  <c r="D28" i="35"/>
  <c r="G28" i="35" s="1"/>
  <c r="G27" i="35"/>
  <c r="E27" i="35"/>
  <c r="D27" i="35"/>
  <c r="P124" i="42"/>
  <c r="E120" i="42"/>
  <c r="B105" i="42"/>
  <c r="D105" i="42" s="1"/>
  <c r="F53" i="42"/>
  <c r="M38" i="42"/>
  <c r="E35" i="42"/>
  <c r="Q21" i="42"/>
  <c r="N21" i="42"/>
  <c r="P25" i="42" s="1"/>
  <c r="L28" i="42" s="1"/>
  <c r="I21" i="42"/>
  <c r="C21" i="42"/>
  <c r="F21" i="42"/>
  <c r="T14" i="42"/>
  <c r="E22" i="35"/>
  <c r="D22" i="35"/>
  <c r="M38" i="41"/>
  <c r="F17" i="41" s="1"/>
  <c r="F21" i="41" s="1"/>
  <c r="C24" i="35"/>
  <c r="F22" i="35"/>
  <c r="E21" i="35"/>
  <c r="E24" i="35" s="1"/>
  <c r="D21" i="35"/>
  <c r="G21" i="35" s="1"/>
  <c r="F53" i="41"/>
  <c r="E35" i="41"/>
  <c r="P124" i="41"/>
  <c r="E120" i="41"/>
  <c r="B105" i="41"/>
  <c r="D105" i="41" s="1"/>
  <c r="Q21" i="41"/>
  <c r="N21" i="41"/>
  <c r="P25" i="41" s="1"/>
  <c r="L28" i="41" s="1"/>
  <c r="I21" i="41"/>
  <c r="T14" i="41"/>
  <c r="C21" i="41"/>
  <c r="C16" i="35"/>
  <c r="C18" i="35" s="1"/>
  <c r="C9" i="38"/>
  <c r="C21" i="38" s="1"/>
  <c r="E22" i="39"/>
  <c r="G22" i="39" s="1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E15" i="35"/>
  <c r="F21" i="38"/>
  <c r="P124" i="38"/>
  <c r="E120" i="38"/>
  <c r="B105" i="38"/>
  <c r="D105" i="38" s="1"/>
  <c r="Q21" i="38"/>
  <c r="N21" i="38"/>
  <c r="P25" i="38" s="1"/>
  <c r="L28" i="38" s="1"/>
  <c r="I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E9" i="35"/>
  <c r="F42" i="27"/>
  <c r="F50" i="27" s="1"/>
  <c r="L40" i="27"/>
  <c r="I44" i="27"/>
  <c r="I43" i="27"/>
  <c r="I47" i="27" s="1"/>
  <c r="E2" i="35"/>
  <c r="F2" i="35" s="1"/>
  <c r="F21" i="36"/>
  <c r="P124" i="36"/>
  <c r="E120" i="36"/>
  <c r="B105" i="36"/>
  <c r="D105" i="36" s="1"/>
  <c r="Q21" i="36"/>
  <c r="N21" i="36"/>
  <c r="I21" i="36"/>
  <c r="C21" i="36"/>
  <c r="T14" i="36"/>
  <c r="E3" i="35"/>
  <c r="F3" i="35" s="1"/>
  <c r="C5" i="35"/>
  <c r="D3" i="35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B104" i="33"/>
  <c r="D104" i="33" s="1"/>
  <c r="P24" i="33"/>
  <c r="L27" i="33" s="1"/>
  <c r="Q20" i="33"/>
  <c r="N20" i="33"/>
  <c r="I20" i="33"/>
  <c r="C20" i="33"/>
  <c r="T14" i="33"/>
  <c r="G4" i="33"/>
  <c r="C41" i="28"/>
  <c r="D41" i="28"/>
  <c r="E41" i="28"/>
  <c r="B41" i="28"/>
  <c r="P123" i="32"/>
  <c r="E119" i="32"/>
  <c r="B104" i="32"/>
  <c r="D104" i="32" s="1"/>
  <c r="Q20" i="32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C28" i="46" l="1"/>
  <c r="J33" i="46" s="1"/>
  <c r="C33" i="46"/>
  <c r="C21" i="45"/>
  <c r="D25" i="45" s="1"/>
  <c r="C33" i="45" s="1"/>
  <c r="E36" i="35"/>
  <c r="G36" i="35"/>
  <c r="F33" i="35"/>
  <c r="F36" i="35" s="1"/>
  <c r="D25" i="44"/>
  <c r="C28" i="44" s="1"/>
  <c r="J33" i="44" s="1"/>
  <c r="D25" i="43"/>
  <c r="C28" i="43" s="1"/>
  <c r="J33" i="43" s="1"/>
  <c r="P24" i="32"/>
  <c r="L27" i="32" s="1"/>
  <c r="D24" i="33"/>
  <c r="C27" i="33" s="1"/>
  <c r="J32" i="33" s="1"/>
  <c r="D30" i="35"/>
  <c r="E30" i="35"/>
  <c r="P25" i="36"/>
  <c r="L28" i="36" s="1"/>
  <c r="D5" i="35"/>
  <c r="G30" i="35"/>
  <c r="F27" i="35"/>
  <c r="F30" i="35" s="1"/>
  <c r="D25" i="42"/>
  <c r="D24" i="35"/>
  <c r="G22" i="35"/>
  <c r="G24" i="35" s="1"/>
  <c r="F21" i="35"/>
  <c r="F24" i="35" s="1"/>
  <c r="I24" i="35" s="1"/>
  <c r="D25" i="41"/>
  <c r="C28" i="41" s="1"/>
  <c r="J33" i="41" s="1"/>
  <c r="B50" i="27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C28" i="45" l="1"/>
  <c r="J33" i="45" s="1"/>
  <c r="C33" i="44"/>
  <c r="C33" i="43"/>
  <c r="I5" i="35"/>
  <c r="J33" i="36"/>
  <c r="C28" i="42"/>
  <c r="J33" i="42" s="1"/>
  <c r="C33" i="42"/>
  <c r="F16" i="35"/>
  <c r="F18" i="35"/>
  <c r="I18" i="35" s="1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P37" i="12" l="1"/>
  <c r="L40" i="12" s="1"/>
  <c r="M24" i="18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<sst xmlns="http://schemas.openxmlformats.org/spreadsheetml/2006/main" count="1620" uniqueCount="428">
  <si>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</si>
  <si>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</si>
  <si>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</si>
  <si>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</si>
  <si>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</si>
  <si>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</si>
  <si>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</si>
  <si>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</si>
  <si>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</si>
  <si>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</si>
  <si>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</si>
  <si>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</si>
  <si>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</si>
  <si>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</si>
  <si>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</si>
  <si>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</si>
  <si>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</si>
  <si>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</si>
  <si>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</si>
  <si>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</si>
  <si>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</si>
  <si>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</si>
  <si>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</si>
  <si>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</si>
  <si>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</si>
  <si>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</si>
  <si>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</si>
  <si>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</si>
  <si>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</si>
  <si>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</si>
  <si>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</si>
  <si>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</si>
  <si>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</si>
  <si>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</si>
  <si>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</si>
  <si>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</si>
  <si>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</si>
  <si>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</si>
  <si>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</si>
  <si>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</si>
  <si>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</si>
  <si>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</si>
  <si>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</si>
  <si>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</si>
  <si>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</si>
  <si>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</si>
  <si>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</si>
  <si>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</si>
  <si>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</si>
  <si>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</si>
  <si>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</si>
  <si>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</si>
  <si>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</si>
  <si>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</si>
  <si>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</si>
  <si>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</si>
  <si>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</si>
  <si>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</si>
  <si>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</si>
  <si>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</si>
  <si>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</si>
  <si>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</si>
  <si>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</si>
  <si>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</si>
  <si>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</si>
  <si>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</si>
  <si>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</si>
  <si>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</si>
  <si>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</si>
  <si>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</si>
  <si>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</si>
  <si>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</si>
  <si>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</si>
  <si>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</si>
  <si>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</si>
  <si>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</si>
  <si>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</si>
  <si>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</si>
  <si>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</si>
  <si>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</si>
  <si>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</si>
  <si>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</si>
  <si>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</si>
  <si>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</si>
  <si>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</si>
  <si>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</si>
  <si>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</si>
  <si>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</si>
  <si>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</si>
  <si>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</si>
  <si>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</si>
  <si>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</si>
  <si>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</si>
  <si>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</si>
  <si>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</si>
  <si>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</si>
  <si>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</si>
  <si>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</si>
  <si>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</si>
  <si>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</si>
  <si>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</si>
  <si>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</si>
  <si>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</si>
  <si>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</si>
  <si>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</si>
  <si>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</si>
  <si>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</si>
  <si>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</si>
  <si>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</si>
  <si>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</si>
  <si>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</si>
  <si>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</si>
  <si>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</si>
  <si>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</si>
  <si>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</si>
  <si>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</si>
  <si>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</si>
  <si>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</si>
  <si>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</si>
  <si>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</si>
  <si>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</si>
  <si>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</si>
  <si>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</si>
  <si>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</si>
  <si>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</si>
  <si>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</si>
  <si>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</si>
  <si>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</si>
  <si>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</si>
  <si>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</si>
  <si>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</si>
  <si>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</si>
  <si>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</si>
  <si>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</si>
  <si>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</si>
  <si>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</si>
  <si>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</si>
  <si>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</si>
  <si>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</si>
  <si>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</si>
  <si>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</si>
  <si>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</si>
  <si>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</si>
  <si>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</si>
  <si>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</si>
  <si>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</si>
  <si>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</si>
  <si>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</si>
  <si>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</si>
  <si>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</si>
  <si>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</si>
  <si>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</si>
  <si>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</si>
  <si>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</si>
  <si>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</si>
  <si>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</si>
  <si>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</si>
  <si>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</si>
  <si>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</si>
  <si>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</si>
  <si>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</si>
  <si>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</si>
  <si>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</si>
  <si>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</si>
  <si>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</si>
  <si>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</si>
  <si>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</si>
  <si>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</si>
  <si>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</si>
  <si>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</si>
  <si>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</si>
  <si>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</si>
  <si>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</si>
  <si>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</si>
  <si>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</si>
  <si>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</si>
  <si>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</si>
  <si>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</si>
  <si>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</si>
  <si>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</si>
  <si>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</si>
  <si>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</si>
  <si>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</si>
  <si>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</si>
  <si>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</si>
  <si>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</si>
  <si>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</si>
  <si>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</si>
  <si>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</si>
  <si>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</si>
  <si>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</si>
  <si>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</si>
  <si>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</si>
  <si>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</si>
  <si>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</si>
  <si>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</si>
  <si>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</si>
  <si>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</si>
  <si>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</si>
  <si>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</si>
  <si>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</si>
  <si>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</si>
  <si>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</si>
  <si>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</si>
  <si>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</si>
  <si>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</si>
  <si>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</si>
  <si>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</si>
  <si>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</si>
  <si>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</si>
  <si>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</si>
  <si>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</si>
  <si>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</si>
  <si>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</si>
  <si>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</si>
  <si>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</si>
  <si>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</si>
  <si>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</si>
  <si>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</si>
  <si>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</si>
  <si>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</si>
  <si>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</si>
  <si>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</si>
  <si>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</si>
  <si>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</si>
  <si>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</si>
  <si>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</si>
  <si>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</si>
  <si>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</si>
  <si>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</si>
  <si>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</si>
  <si>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</si>
  <si>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</si>
  <si>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</si>
  <si>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</si>
  <si>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</si>
  <si>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</si>
  <si>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</si>
  <si>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</si>
  <si>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</si>
  <si>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</si>
  <si>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</si>
  <si>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</si>
  <si>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</si>
  <si>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</si>
  <si>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</si>
  <si>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</si>
  <si>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</si>
  <si>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</si>
  <si>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</si>
  <si>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</si>
  <si>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</si>
  <si>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</si>
  <si>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</si>
  <si>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</si>
  <si>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</si>
  <si>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</si>
  <si>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</si>
  <si>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</si>
  <si>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</si>
  <si>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</si>
  <si>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</si>
  <si>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</si>
  <si>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</si>
  <si>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</si>
  <si>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</si>
  <si>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</si>
  <si>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</si>
  <si>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</si>
  <si>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</si>
  <si>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</si>
  <si>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</si>
  <si>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</si>
  <si>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</si>
  <si>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</si>
  <si>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</si>
  <si>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</si>
  <si>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</si>
  <si>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</si>
  <si>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</si>
  <si>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</si>
  <si>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</si>
  <si>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</si>
  <si>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</si>
  <si>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</si>
  <si>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</si>
  <si>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</si>
  <si>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</si>
  <si>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</si>
  <si>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</si>
  <si>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</si>
  <si>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</si>
  <si>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</si>
  <si>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</si>
  <si>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</si>
  <si>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</si>
  <si>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</si>
  <si>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</si>
  <si>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</si>
  <si>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</si>
  <si>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</si>
  <si>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</si>
  <si>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</si>
  <si>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</si>
  <si>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</si>
  <si>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</si>
  <si>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</si>
  <si>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</si>
  <si>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</si>
  <si>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</si>
  <si>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</si>
  <si>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</si>
  <si>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</si>
  <si>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</si>
  <si>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</si>
  <si>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</si>
  <si>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</si>
  <si>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</si>
  <si>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</si>
  <si>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</si>
  <si>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</si>
  <si>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</si>
  <si>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</si>
  <si>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</si>
  <si>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</si>
  <si>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</si>
  <si>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</si>
  <si>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</si>
  <si>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</si>
  <si>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</si>
  <si>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</si>
  <si>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</si>
  <si>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</si>
  <si>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</si>
  <si>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</si>
  <si>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</si>
  <si>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</si>
  <si>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</si>
  <si>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</si>
  <si>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</si>
  <si>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</si>
  <si>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</si>
  <si>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</si>
  <si>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</si>
  <si>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</si>
  <si>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</si>
  <si>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</si>
  <si>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</si>
  <si>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</si>
  <si>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</si>
  <si>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</si>
  <si>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</si>
  <si>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</si>
  <si>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</si>
  <si>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 xml:space="preserve">Finition elevation </t>
  </si>
  <si>
    <t>Peage</t>
  </si>
  <si>
    <t>tontne</t>
  </si>
  <si>
    <t>Hotel S1</t>
  </si>
  <si>
    <t>Hotel S2</t>
  </si>
  <si>
    <t>Hotel S3</t>
  </si>
  <si>
    <t>HotelS4</t>
  </si>
  <si>
    <t>AOUT</t>
  </si>
  <si>
    <t>Total AOUT</t>
  </si>
  <si>
    <t xml:space="preserve">PV </t>
  </si>
  <si>
    <t>Reparation opel : 500</t>
  </si>
  <si>
    <t>Main d'œuvre oumar : 800</t>
  </si>
  <si>
    <t>Extrat pour moi : 200</t>
  </si>
  <si>
    <t>Mballou : 2000</t>
  </si>
  <si>
    <t>Disney 100</t>
  </si>
  <si>
    <t>Primark 67</t>
  </si>
  <si>
    <t>Mame 50</t>
  </si>
  <si>
    <t>Fete de loge 70</t>
  </si>
  <si>
    <t>Awa racky 300</t>
  </si>
  <si>
    <t>Amazon et course</t>
  </si>
  <si>
    <t>retrait</t>
  </si>
  <si>
    <t>retarit nounou</t>
  </si>
  <si>
    <t>kiabi</t>
  </si>
  <si>
    <t>RETRAIT</t>
  </si>
  <si>
    <t>BURGER</t>
  </si>
  <si>
    <t>IPTV</t>
  </si>
  <si>
    <t>AMAZON</t>
  </si>
  <si>
    <t>HOUSE CANAPE</t>
  </si>
  <si>
    <t>TOTAL</t>
  </si>
  <si>
    <t>TEMU</t>
  </si>
  <si>
    <t>temu</t>
  </si>
  <si>
    <t>Kebab</t>
  </si>
  <si>
    <t>depnase</t>
  </si>
  <si>
    <t>Koné</t>
  </si>
  <si>
    <t>tontine France</t>
  </si>
  <si>
    <t>hotl</t>
  </si>
  <si>
    <t>Ecole</t>
  </si>
  <si>
    <t>FIFI</t>
  </si>
  <si>
    <t>Rep voiture</t>
  </si>
  <si>
    <t>Nov</t>
  </si>
  <si>
    <t>elha</t>
  </si>
  <si>
    <t>voyage</t>
  </si>
  <si>
    <t>Finition maison Kayar</t>
  </si>
  <si>
    <t>Fosse</t>
  </si>
  <si>
    <t>Plombreie</t>
  </si>
  <si>
    <t>Lissage</t>
  </si>
  <si>
    <t xml:space="preserve">Porte </t>
  </si>
  <si>
    <t>Main d'ouvre</t>
  </si>
  <si>
    <t>Materiel</t>
  </si>
  <si>
    <t>vovo</t>
  </si>
  <si>
    <t>Avoir Niang</t>
  </si>
  <si>
    <t>Avance plombier</t>
  </si>
  <si>
    <t>Avant fosse</t>
  </si>
  <si>
    <t>Matos Plomberie</t>
  </si>
  <si>
    <t>Matos Fosse</t>
  </si>
  <si>
    <t>Main d œuvre fosse</t>
  </si>
  <si>
    <t>Main doevre Plom</t>
  </si>
  <si>
    <t>Devis</t>
  </si>
  <si>
    <t>Matos bique</t>
  </si>
  <si>
    <t>Déjà reglé</t>
  </si>
  <si>
    <t>Porte</t>
  </si>
  <si>
    <t>imprevu</t>
  </si>
  <si>
    <t>Planche lissage</t>
  </si>
  <si>
    <t>Budget</t>
  </si>
  <si>
    <t>dec</t>
  </si>
  <si>
    <t>jan</t>
  </si>
  <si>
    <t>Toyal</t>
  </si>
  <si>
    <t>en euro</t>
  </si>
  <si>
    <t>lissage Main d œuvre</t>
  </si>
  <si>
    <t>Matos lissage</t>
  </si>
  <si>
    <t>malet retrait</t>
  </si>
  <si>
    <t>towed</t>
  </si>
  <si>
    <t>voiture</t>
  </si>
  <si>
    <t>avirl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</si>
</sst>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42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  <xf numFmtId="0" fontId="4" fillId="0" borderId="0" xfId="0" applyFont="1"/>
    <xf numFmtId="0" fontId="0" fillId="4" borderId="1" xfId="0" applyFill="1" applyBorder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214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212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206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207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208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209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215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225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228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229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230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231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231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232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238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239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232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238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239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278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231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272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301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302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303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304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286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308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308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315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316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317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318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322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322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323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212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workbookViewId="0">
      <selection activeCell="C14" sqref="C14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70*6</f>
        <v>420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355</v>
      </c>
      <c r="C10" s="11">
        <v>177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357</v>
      </c>
      <c r="C11" s="11">
        <v>200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358</v>
      </c>
      <c r="C12" s="11">
        <v>450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359</v>
      </c>
      <c r="C13" s="11">
        <v>200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360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129</v>
      </c>
      <c r="F17" s="11">
        <v>300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356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1647</v>
      </c>
      <c r="D21" s="11"/>
      <c r="E21" s="11"/>
      <c r="F21" s="11">
        <f>SUM(F7:F19)+150</f>
        <v>4117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5764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5764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6268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D329-0DC1-498B-A790-1EB77A8023CA}">
  <dimension ref="A1:T124"/>
  <sheetViews>
    <sheetView workbookViewId="0">
      <selection activeCell="J5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v>24000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355</v>
      </c>
      <c r="C10" s="11">
        <v>50</v>
      </c>
      <c r="D10" s="11"/>
      <c r="E10" s="9"/>
      <c r="F10" s="11"/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206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375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v>70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>
        <v>800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386</v>
      </c>
      <c r="F17" s="11">
        <f>M38</f>
        <v>22002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356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1376</v>
      </c>
      <c r="D21" s="11"/>
      <c r="E21" s="11"/>
      <c r="F21" s="11">
        <f>SUM(F7:F19)+150</f>
        <v>25546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26922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2922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3426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2F89-A56A-4328-AFC1-09E73433F3F3}">
  <dimension ref="A1:T124"/>
  <sheetViews>
    <sheetView workbookViewId="0">
      <selection activeCell="C1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6715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200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229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375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/>
      <c r="F16" s="11"/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429</v>
      </c>
      <c r="D21" s="11"/>
      <c r="E21" s="11"/>
      <c r="F21" s="11">
        <f>SUM(F7:F19)+150</f>
        <v>3094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3523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3523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3192</v>
      </c>
      <c r="D33" s="11"/>
      <c r="E33" s="11"/>
      <c r="F33" s="11"/>
      <c r="G33" s="11"/>
      <c r="H33" s="11"/>
      <c r="I33" s="11"/>
      <c r="J33" s="11">
        <f>C28+L28</f>
        <v>4027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F4F2-05C7-496E-95E0-029BFF75893E}">
  <dimension ref="A1:T124"/>
  <sheetViews>
    <sheetView topLeftCell="A16" workbookViewId="0">
      <selection activeCell="C33" sqref="C3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7100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200</v>
      </c>
      <c r="D10" s="11"/>
      <c r="E10" s="9" t="s">
        <v>355</v>
      </c>
      <c r="F10" s="11">
        <v>30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392</v>
      </c>
      <c r="C13" s="11">
        <v>150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263</v>
      </c>
      <c r="C14" s="11">
        <v>1500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2548</v>
      </c>
      <c r="D21" s="11"/>
      <c r="E21" s="11"/>
      <c r="F21" s="11">
        <f>SUM(F7:F19)+150</f>
        <v>3174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5722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1378</v>
      </c>
      <c r="D33" s="11"/>
      <c r="E33" s="11"/>
      <c r="F33" s="11"/>
      <c r="G33" s="11"/>
      <c r="H33" s="11"/>
      <c r="I33" s="11"/>
      <c r="J33" s="11">
        <f>C28+L28</f>
        <v>6226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0046-6E8B-4E7A-BFB8-85F96EC96DBD}">
  <dimension ref="A1:T124"/>
  <sheetViews>
    <sheetView topLeftCell="A4" workbookViewId="0">
      <selection activeCell="C33" sqref="C3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6500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800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350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f>(70*2)+100</f>
        <v>240</v>
      </c>
      <c r="D13" s="11"/>
      <c r="E13" s="9" t="s">
        <v>403</v>
      </c>
      <c r="F13" s="11">
        <f>95+52</f>
        <v>147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394</v>
      </c>
      <c r="C14" s="11">
        <v>100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395</v>
      </c>
      <c r="C15" s="11">
        <v>500</v>
      </c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2388</v>
      </c>
      <c r="D21" s="11"/>
      <c r="E21" s="11"/>
      <c r="F21" s="11">
        <f>SUM(F7:F19)+150</f>
        <v>3139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5527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5527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973</v>
      </c>
      <c r="D33" s="11"/>
      <c r="E33" s="11"/>
      <c r="F33" s="11"/>
      <c r="G33" s="11"/>
      <c r="H33" s="11"/>
      <c r="I33" s="11"/>
      <c r="J33" s="11">
        <f>C28+L28</f>
        <v>6031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C8C7-3406-4E54-ADE1-2B167EC852B1}">
  <dimension ref="A1:T124"/>
  <sheetViews>
    <sheetView topLeftCell="A7" workbookViewId="0">
      <selection activeCell="E23" sqref="E2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10100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200+(70*2)</f>
        <v>340</v>
      </c>
      <c r="D9" s="11"/>
      <c r="E9" s="9" t="s">
        <v>403</v>
      </c>
      <c r="F9" s="11">
        <v>96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f>150+175</f>
        <v>325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308</v>
      </c>
      <c r="C13" s="11">
        <v>500</v>
      </c>
      <c r="D13" s="11"/>
      <c r="E13" s="9" t="s">
        <v>403</v>
      </c>
      <c r="F13" s="11">
        <v>52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308</v>
      </c>
      <c r="C14" s="11">
        <v>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2863</v>
      </c>
      <c r="D21" s="11"/>
      <c r="E21" s="11"/>
      <c r="F21" s="11">
        <f>SUM(F7:F19)+150</f>
        <v>3040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5903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5903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4197</v>
      </c>
      <c r="D33" s="11"/>
      <c r="E33" s="11"/>
      <c r="F33" s="11"/>
      <c r="G33" s="11"/>
      <c r="H33" s="11"/>
      <c r="I33" s="11"/>
      <c r="J33" s="11">
        <f>C28+L28</f>
        <v>6407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3483-B416-4405-B16E-41B90F2A2DFA}">
  <dimension ref="A1:T124"/>
  <sheetViews>
    <sheetView topLeftCell="A10" workbookViewId="0">
      <selection activeCell="F9" sqref="F9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10100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400</v>
      </c>
      <c r="D9" s="11"/>
      <c r="E9" s="9" t="s">
        <v>403</v>
      </c>
      <c r="F9" s="11">
        <v>96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424</v>
      </c>
      <c r="C13" s="11">
        <v>250</v>
      </c>
      <c r="D13" s="11"/>
      <c r="E13" s="9" t="s">
        <v>403</v>
      </c>
      <c r="F13" s="11">
        <v>52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425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426</v>
      </c>
      <c r="C15" s="11">
        <f>317+35</f>
        <v>352</v>
      </c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2900</v>
      </c>
      <c r="D21" s="11"/>
      <c r="E21" s="11"/>
      <c r="F21" s="11">
        <f>SUM(F7:F19)+150</f>
        <v>3040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5940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5940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4160</v>
      </c>
      <c r="D33" s="11"/>
      <c r="E33" s="11"/>
      <c r="F33" s="11"/>
      <c r="G33" s="11"/>
      <c r="H33" s="11"/>
      <c r="I33" s="11"/>
      <c r="J33" s="11">
        <f>C28+L28</f>
        <v>6444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workbookViewId="0">
      <selection activeCell="L14" sqref="L14"/>
    </sheetView>
  </sheetViews>
  <sheetFormatPr baseColWidth="10" defaultRowHeight="15.75" x14ac:dyDescent="0.25"/>
  <cols>
    <col min="7" max="7" width="12" bestFit="1" customWidth="1"/>
  </cols>
  <sheetData>
    <row r="1" spans="1:15" x14ac:dyDescent="0.25">
      <c r="A1" t="s">
        <v>204</v>
      </c>
      <c r="B1" t="s">
        <v>14</v>
      </c>
    </row>
    <row r="2" spans="1:15" x14ac:dyDescent="0.25">
      <c r="A2">
        <v>11500</v>
      </c>
      <c r="B2">
        <v>10000</v>
      </c>
      <c r="G2" t="s">
        <v>217</v>
      </c>
    </row>
    <row r="3" spans="1:15" x14ac:dyDescent="0.25">
      <c r="G3" t="s">
        <v>218</v>
      </c>
      <c r="H3">
        <v>3000</v>
      </c>
    </row>
    <row r="4" spans="1:15" x14ac:dyDescent="0.25">
      <c r="G4" t="s">
        <v>219</v>
      </c>
      <c r="H4">
        <v>4000</v>
      </c>
    </row>
    <row r="5" spans="1:15" x14ac:dyDescent="0.25">
      <c r="G5" t="s">
        <v>220</v>
      </c>
      <c r="H5">
        <v>3000</v>
      </c>
      <c r="J5">
        <v>1500</v>
      </c>
    </row>
    <row r="6" spans="1:15" x14ac:dyDescent="0.25">
      <c r="A6" t="s">
        <v>6</v>
      </c>
      <c r="B6">
        <f>SUM(A2:G2)</f>
        <v>21500</v>
      </c>
      <c r="G6" t="s">
        <v>221</v>
      </c>
      <c r="H6">
        <v>5000</v>
      </c>
      <c r="J6">
        <v>153</v>
      </c>
    </row>
    <row r="7" spans="1:15" x14ac:dyDescent="0.25">
      <c r="G7" t="s">
        <v>222</v>
      </c>
      <c r="H7">
        <v>4000</v>
      </c>
      <c r="J7">
        <v>163</v>
      </c>
      <c r="L7" t="s">
        <v>393</v>
      </c>
      <c r="M7">
        <v>500</v>
      </c>
      <c r="O7">
        <v>400</v>
      </c>
    </row>
    <row r="8" spans="1:15" x14ac:dyDescent="0.25">
      <c r="G8" t="s">
        <v>224</v>
      </c>
      <c r="H8">
        <v>4000</v>
      </c>
      <c r="J8">
        <v>400</v>
      </c>
      <c r="L8" t="s">
        <v>234</v>
      </c>
      <c r="M8">
        <v>500</v>
      </c>
      <c r="O8">
        <v>300</v>
      </c>
    </row>
    <row r="9" spans="1:15" x14ac:dyDescent="0.25">
      <c r="G9" t="s">
        <v>233</v>
      </c>
      <c r="H9">
        <v>3000</v>
      </c>
      <c r="J9">
        <v>300</v>
      </c>
      <c r="L9" t="s">
        <v>240</v>
      </c>
      <c r="M9">
        <v>500</v>
      </c>
    </row>
    <row r="10" spans="1:15" x14ac:dyDescent="0.25">
      <c r="G10" t="s">
        <v>234</v>
      </c>
      <c r="H10">
        <v>3000</v>
      </c>
      <c r="I10" t="s">
        <v>223</v>
      </c>
      <c r="J10">
        <v>1300</v>
      </c>
      <c r="L10" t="s">
        <v>241</v>
      </c>
      <c r="M10">
        <v>500</v>
      </c>
    </row>
    <row r="11" spans="1:15" x14ac:dyDescent="0.25">
      <c r="G11" t="s">
        <v>240</v>
      </c>
      <c r="H11">
        <v>3000</v>
      </c>
      <c r="J11">
        <v>1000</v>
      </c>
      <c r="L11" t="s">
        <v>222</v>
      </c>
    </row>
    <row r="12" spans="1:15" x14ac:dyDescent="0.25">
      <c r="J12">
        <v>300</v>
      </c>
      <c r="L12" t="s">
        <v>427</v>
      </c>
    </row>
    <row r="13" spans="1:15" x14ac:dyDescent="0.25">
      <c r="L13" t="s">
        <v>221</v>
      </c>
    </row>
    <row r="14" spans="1:15" x14ac:dyDescent="0.25">
      <c r="J14">
        <f>SUM(J5:J12)</f>
        <v>5116</v>
      </c>
    </row>
    <row r="16" spans="1:15" x14ac:dyDescent="0.25">
      <c r="I16" t="s">
        <v>99</v>
      </c>
      <c r="J16">
        <f>J14-M22</f>
        <v>3116</v>
      </c>
    </row>
    <row r="17" spans="1:15" x14ac:dyDescent="0.25">
      <c r="O17" t="s">
        <v>223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20000</v>
      </c>
    </row>
    <row r="22" spans="1:15" x14ac:dyDescent="0.25">
      <c r="M22">
        <f>SUM(M7:M20)</f>
        <v>2000</v>
      </c>
    </row>
    <row r="24" spans="1:15" x14ac:dyDescent="0.25">
      <c r="A24" s="17" t="s">
        <v>226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235</v>
      </c>
      <c r="C26" s="18" t="s">
        <v>236</v>
      </c>
      <c r="D26" s="18" t="s">
        <v>232</v>
      </c>
      <c r="E26" s="18" t="s">
        <v>237</v>
      </c>
      <c r="F26" s="17"/>
    </row>
    <row r="27" spans="1:15" x14ac:dyDescent="0.25">
      <c r="A27" s="17" t="s">
        <v>234</v>
      </c>
      <c r="B27" s="17">
        <v>500</v>
      </c>
      <c r="C27" s="17"/>
      <c r="D27" s="17"/>
      <c r="E27" s="17"/>
      <c r="F27" s="17"/>
    </row>
    <row r="28" spans="1:15" x14ac:dyDescent="0.25">
      <c r="A28" s="17" t="s">
        <v>240</v>
      </c>
      <c r="B28" s="17"/>
      <c r="C28" s="17">
        <v>1000</v>
      </c>
      <c r="D28" s="17"/>
      <c r="E28" s="17"/>
      <c r="F28" s="17"/>
    </row>
    <row r="29" spans="1:15" x14ac:dyDescent="0.25">
      <c r="A29" s="17" t="s">
        <v>241</v>
      </c>
      <c r="B29" s="17"/>
      <c r="C29" s="17"/>
      <c r="D29" s="17"/>
      <c r="E29" s="17"/>
      <c r="F29" s="17"/>
    </row>
    <row r="30" spans="1:15" x14ac:dyDescent="0.25">
      <c r="A30" s="17" t="s">
        <v>222</v>
      </c>
      <c r="B30" s="17"/>
      <c r="C30" s="17"/>
      <c r="D30" s="17"/>
      <c r="E30" s="17"/>
      <c r="F30" s="17"/>
    </row>
    <row r="31" spans="1:15" x14ac:dyDescent="0.25">
      <c r="A31" s="17" t="s">
        <v>242</v>
      </c>
      <c r="B31" s="17"/>
      <c r="C31" s="17"/>
      <c r="D31" s="17"/>
      <c r="E31" s="17"/>
      <c r="F31" s="17"/>
    </row>
    <row r="32" spans="1:15" x14ac:dyDescent="0.25">
      <c r="A32" s="17" t="s">
        <v>221</v>
      </c>
      <c r="B32" s="17"/>
      <c r="C32" s="17"/>
      <c r="D32" s="17"/>
      <c r="E32" s="17"/>
      <c r="F32" s="17"/>
    </row>
    <row r="33" spans="1:6" x14ac:dyDescent="0.25">
      <c r="A33" s="17" t="s">
        <v>243</v>
      </c>
      <c r="B33" s="17"/>
      <c r="C33" s="17"/>
      <c r="D33" s="17"/>
      <c r="E33" s="17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500</v>
      </c>
      <c r="C41" s="18">
        <f>SUM(C27:C39)</f>
        <v>1000</v>
      </c>
      <c r="D41" s="18">
        <f>SUM(D27:D39)</f>
        <v>0</v>
      </c>
      <c r="E41" s="18">
        <f>SUM(E27:E39)</f>
        <v>0</v>
      </c>
      <c r="F41" s="18">
        <f>SUM(B41:E41)</f>
        <v>1500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36"/>
  <sheetViews>
    <sheetView topLeftCell="A19" workbookViewId="0">
      <selection activeCell="E39" sqref="E39"/>
    </sheetView>
  </sheetViews>
  <sheetFormatPr baseColWidth="10" defaultRowHeight="15.75" x14ac:dyDescent="0.25"/>
  <cols>
    <col min="1" max="1" width="11.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875" bestFit="1" customWidth="1"/>
  </cols>
  <sheetData>
    <row r="1" spans="1:10" x14ac:dyDescent="0.25">
      <c r="C1" t="s">
        <v>281</v>
      </c>
      <c r="D1" t="s">
        <v>282</v>
      </c>
      <c r="E1" t="s">
        <v>279</v>
      </c>
      <c r="F1" t="s">
        <v>280</v>
      </c>
      <c r="G1" t="s">
        <v>283</v>
      </c>
      <c r="I1" t="s">
        <v>314</v>
      </c>
      <c r="J1" t="s">
        <v>313</v>
      </c>
    </row>
    <row r="2" spans="1:10" x14ac:dyDescent="0.25">
      <c r="A2" t="s">
        <v>284</v>
      </c>
      <c r="B2" t="s">
        <v>309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25">
      <c r="A3" t="s">
        <v>285</v>
      </c>
      <c r="B3" t="s">
        <v>309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25">
      <c r="A5" t="s">
        <v>311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25">
      <c r="A9" t="s">
        <v>284</v>
      </c>
      <c r="B9" t="s">
        <v>310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25">
      <c r="A10" t="s">
        <v>285</v>
      </c>
      <c r="B10" t="s">
        <v>310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25">
      <c r="A12" t="s">
        <v>312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25">
      <c r="A15" t="s">
        <v>284</v>
      </c>
      <c r="B15" t="s">
        <v>361</v>
      </c>
      <c r="C15" s="20">
        <v>12000</v>
      </c>
      <c r="D15" s="20">
        <f>C15+(C15*20%)</f>
        <v>14400</v>
      </c>
      <c r="E15" s="20">
        <f>C15*21%</f>
        <v>2520</v>
      </c>
      <c r="F15" s="20">
        <f>C15-E15</f>
        <v>9480</v>
      </c>
      <c r="G15" s="20">
        <f>D15-C15</f>
        <v>2400</v>
      </c>
    </row>
    <row r="16" spans="1:10" x14ac:dyDescent="0.25">
      <c r="A16" t="s">
        <v>285</v>
      </c>
      <c r="B16" t="s">
        <v>361</v>
      </c>
      <c r="C16" s="5">
        <f>3000+3750+3375</f>
        <v>10125</v>
      </c>
      <c r="D16" s="5">
        <f>C16+(C16*20%)</f>
        <v>12150</v>
      </c>
      <c r="E16" s="5">
        <f>C16*21%</f>
        <v>2126.25</v>
      </c>
      <c r="F16" s="5">
        <f>C16-E16</f>
        <v>7998.75</v>
      </c>
      <c r="G16" s="5">
        <f>D16-C16</f>
        <v>2025</v>
      </c>
    </row>
    <row r="18" spans="1:9" x14ac:dyDescent="0.25">
      <c r="A18" t="s">
        <v>362</v>
      </c>
      <c r="C18">
        <f>C15+C16</f>
        <v>22125</v>
      </c>
      <c r="D18">
        <f>D15+D16</f>
        <v>26550</v>
      </c>
      <c r="E18" s="5">
        <f>E15+E16</f>
        <v>4646.25</v>
      </c>
      <c r="F18" s="19">
        <f>F15+F16</f>
        <v>17478.75</v>
      </c>
      <c r="G18" s="5">
        <f>G15+G16</f>
        <v>4425</v>
      </c>
      <c r="I18">
        <f>F18-4100</f>
        <v>13378.75</v>
      </c>
    </row>
    <row r="21" spans="1:9" x14ac:dyDescent="0.25">
      <c r="A21" t="s">
        <v>284</v>
      </c>
      <c r="B21" t="s">
        <v>218</v>
      </c>
      <c r="C21" s="20">
        <v>0</v>
      </c>
      <c r="D21" s="20">
        <f>C21+(C21*20%)</f>
        <v>0</v>
      </c>
      <c r="E21" s="20">
        <f>C21*21%</f>
        <v>0</v>
      </c>
      <c r="F21" s="20">
        <f>C21-E21</f>
        <v>0</v>
      </c>
      <c r="G21" s="20">
        <f>D21-C21</f>
        <v>0</v>
      </c>
    </row>
    <row r="22" spans="1:9" x14ac:dyDescent="0.25">
      <c r="A22" t="s">
        <v>285</v>
      </c>
      <c r="B22" t="s">
        <v>361</v>
      </c>
      <c r="C22" s="5">
        <v>19000</v>
      </c>
      <c r="D22" s="5">
        <f>C22+(C22*20%)</f>
        <v>22800</v>
      </c>
      <c r="E22" s="5">
        <f>C22*23%</f>
        <v>4370</v>
      </c>
      <c r="F22" s="5">
        <f>C22-E22</f>
        <v>14630</v>
      </c>
      <c r="G22" s="5">
        <f>D22-C22</f>
        <v>3800</v>
      </c>
    </row>
    <row r="24" spans="1:9" x14ac:dyDescent="0.25">
      <c r="A24" t="s">
        <v>362</v>
      </c>
      <c r="C24">
        <f>C21+C22</f>
        <v>19000</v>
      </c>
      <c r="D24">
        <f>D21+D22</f>
        <v>22800</v>
      </c>
      <c r="E24" s="5">
        <f>E21+E22</f>
        <v>4370</v>
      </c>
      <c r="F24" s="19">
        <f>F21+F22</f>
        <v>14630</v>
      </c>
      <c r="G24" s="5">
        <f>G21+G22</f>
        <v>3800</v>
      </c>
      <c r="I24">
        <f>F24-4100</f>
        <v>10530</v>
      </c>
    </row>
    <row r="27" spans="1:9" x14ac:dyDescent="0.25">
      <c r="A27" t="s">
        <v>284</v>
      </c>
      <c r="B27" t="s">
        <v>234</v>
      </c>
      <c r="C27" s="20">
        <v>0</v>
      </c>
      <c r="D27" s="20">
        <f>C27+(C27*20%)</f>
        <v>0</v>
      </c>
      <c r="E27" s="20">
        <f>C27*21%</f>
        <v>0</v>
      </c>
      <c r="F27" s="20">
        <f>C27-E27</f>
        <v>0</v>
      </c>
      <c r="G27" s="20">
        <f>D27-C27</f>
        <v>0</v>
      </c>
    </row>
    <row r="28" spans="1:9" x14ac:dyDescent="0.25">
      <c r="A28" t="s">
        <v>285</v>
      </c>
      <c r="B28" t="s">
        <v>361</v>
      </c>
      <c r="C28" s="5">
        <v>8150</v>
      </c>
      <c r="D28" s="5">
        <f>C28+(C28*20%)</f>
        <v>9780</v>
      </c>
      <c r="E28" s="5">
        <f>C28*21%</f>
        <v>1711.5</v>
      </c>
      <c r="F28" s="5">
        <f>C28-E28</f>
        <v>6438.5</v>
      </c>
      <c r="G28" s="5">
        <f>D28-C28</f>
        <v>1630</v>
      </c>
    </row>
    <row r="30" spans="1:9" x14ac:dyDescent="0.25">
      <c r="A30" t="s">
        <v>362</v>
      </c>
      <c r="C30">
        <f>C27+C28</f>
        <v>8150</v>
      </c>
      <c r="D30">
        <f>D27+D28</f>
        <v>9780</v>
      </c>
      <c r="E30" s="5">
        <f>E27+E28</f>
        <v>1711.5</v>
      </c>
      <c r="F30" s="19">
        <f>F27+F28</f>
        <v>6438.5</v>
      </c>
      <c r="G30" s="5">
        <f>G27+G28</f>
        <v>1630</v>
      </c>
    </row>
    <row r="33" spans="1:7" x14ac:dyDescent="0.25">
      <c r="A33" t="s">
        <v>284</v>
      </c>
      <c r="B33" s="24">
        <v>45658</v>
      </c>
      <c r="C33" s="20">
        <v>0</v>
      </c>
      <c r="D33" s="20">
        <f>C33+(C33*20%)</f>
        <v>0</v>
      </c>
      <c r="E33" s="20">
        <f>C33*21%</f>
        <v>0</v>
      </c>
      <c r="F33" s="20">
        <f>C33-E33</f>
        <v>0</v>
      </c>
      <c r="G33" s="20">
        <f>D33-C33</f>
        <v>0</v>
      </c>
    </row>
    <row r="34" spans="1:7" x14ac:dyDescent="0.25">
      <c r="A34" t="s">
        <v>285</v>
      </c>
      <c r="B34" t="s">
        <v>361</v>
      </c>
      <c r="C34" s="5">
        <f>12800+800</f>
        <v>13600</v>
      </c>
      <c r="D34" s="5">
        <f>C34+(C34*20%)</f>
        <v>16320</v>
      </c>
      <c r="E34" s="5">
        <f>C34*26%</f>
        <v>3536</v>
      </c>
      <c r="F34" s="5">
        <f>C34-E34</f>
        <v>10064</v>
      </c>
      <c r="G34" s="5">
        <f>D34-C34</f>
        <v>2720</v>
      </c>
    </row>
    <row r="36" spans="1:7" x14ac:dyDescent="0.25">
      <c r="A36" t="s">
        <v>362</v>
      </c>
      <c r="C36">
        <f>C33+C34</f>
        <v>13600</v>
      </c>
      <c r="D36">
        <f>D33+D34</f>
        <v>16320</v>
      </c>
      <c r="E36" s="5">
        <f>E33+E34</f>
        <v>3536</v>
      </c>
      <c r="F36" s="19">
        <f>F33+F34</f>
        <v>10064</v>
      </c>
      <c r="G36" s="5">
        <f>G33+G34</f>
        <v>2720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O85"/>
  <sheetViews>
    <sheetView tabSelected="1" topLeftCell="A57" zoomScale="106" workbookViewId="0">
      <selection activeCell="B83" sqref="B83"/>
    </sheetView>
  </sheetViews>
  <sheetFormatPr baseColWidth="10" defaultRowHeight="15.75" x14ac:dyDescent="0.25"/>
  <cols>
    <col min="1" max="1" width="17.5" bestFit="1" customWidth="1"/>
    <col min="2" max="2" width="12" bestFit="1" customWidth="1"/>
    <col min="5" max="5" width="15.125" bestFit="1" customWidth="1"/>
    <col min="8" max="8" width="16" bestFit="1" customWidth="1"/>
    <col min="11" max="11" width="14.75" bestFit="1" customWidth="1"/>
    <col min="12" max="12" width="14.875" bestFit="1" customWidth="1"/>
  </cols>
  <sheetData>
    <row r="1" spans="1:15" x14ac:dyDescent="0.25">
      <c r="A1" t="s">
        <v>244</v>
      </c>
      <c r="D1" t="s">
        <v>245</v>
      </c>
      <c r="H1" t="s">
        <v>247</v>
      </c>
      <c r="L1" t="s">
        <v>258</v>
      </c>
    </row>
    <row r="2" spans="1:15" x14ac:dyDescent="0.25">
      <c r="A2">
        <v>4700000</v>
      </c>
      <c r="D2" t="s">
        <v>246</v>
      </c>
      <c r="E2">
        <v>500000</v>
      </c>
      <c r="H2" t="s">
        <v>248</v>
      </c>
      <c r="J2">
        <v>418000</v>
      </c>
      <c r="L2">
        <f>SUM(J2:J55)</f>
        <v>4898500</v>
      </c>
    </row>
    <row r="3" spans="1:15" x14ac:dyDescent="0.25">
      <c r="D3" t="s">
        <v>246</v>
      </c>
      <c r="E3">
        <v>500000</v>
      </c>
      <c r="H3" t="s">
        <v>249</v>
      </c>
      <c r="J3">
        <v>432000</v>
      </c>
    </row>
    <row r="4" spans="1:15" x14ac:dyDescent="0.25">
      <c r="D4" t="s">
        <v>246</v>
      </c>
      <c r="E4">
        <v>300000</v>
      </c>
      <c r="H4" t="s">
        <v>250</v>
      </c>
      <c r="J4">
        <v>100000</v>
      </c>
    </row>
    <row r="5" spans="1:15" x14ac:dyDescent="0.25">
      <c r="D5" t="s">
        <v>246</v>
      </c>
      <c r="E5">
        <v>16000</v>
      </c>
      <c r="H5" t="s">
        <v>251</v>
      </c>
      <c r="J5">
        <v>25000</v>
      </c>
    </row>
    <row r="6" spans="1:15" x14ac:dyDescent="0.25">
      <c r="D6" t="s">
        <v>263</v>
      </c>
      <c r="E6">
        <v>800000</v>
      </c>
      <c r="H6" t="s">
        <v>252</v>
      </c>
      <c r="J6">
        <v>25000</v>
      </c>
      <c r="N6" t="s">
        <v>417</v>
      </c>
    </row>
    <row r="7" spans="1:15" x14ac:dyDescent="0.25">
      <c r="D7" t="s">
        <v>263</v>
      </c>
      <c r="E7">
        <v>1000000</v>
      </c>
      <c r="H7" t="s">
        <v>253</v>
      </c>
      <c r="J7">
        <v>60000</v>
      </c>
      <c r="N7" t="s">
        <v>393</v>
      </c>
      <c r="O7">
        <v>1000</v>
      </c>
    </row>
    <row r="8" spans="1:15" x14ac:dyDescent="0.25">
      <c r="D8" t="s">
        <v>286</v>
      </c>
      <c r="E8">
        <v>600000</v>
      </c>
      <c r="H8" t="s">
        <v>254</v>
      </c>
      <c r="J8">
        <v>35000</v>
      </c>
      <c r="N8" t="s">
        <v>418</v>
      </c>
      <c r="O8">
        <v>1000</v>
      </c>
    </row>
    <row r="9" spans="1:15" x14ac:dyDescent="0.25">
      <c r="D9" t="s">
        <v>246</v>
      </c>
      <c r="E9">
        <v>600000</v>
      </c>
      <c r="H9" t="s">
        <v>255</v>
      </c>
      <c r="J9">
        <v>28000</v>
      </c>
      <c r="N9" t="s">
        <v>419</v>
      </c>
      <c r="O9">
        <v>4000</v>
      </c>
    </row>
    <row r="10" spans="1:15" x14ac:dyDescent="0.25">
      <c r="D10" t="s">
        <v>246</v>
      </c>
      <c r="E10">
        <v>113000</v>
      </c>
      <c r="H10" t="s">
        <v>256</v>
      </c>
      <c r="J10">
        <v>20000</v>
      </c>
    </row>
    <row r="11" spans="1:15" x14ac:dyDescent="0.25">
      <c r="D11" t="s">
        <v>246</v>
      </c>
      <c r="E11">
        <v>500000</v>
      </c>
      <c r="H11" t="s">
        <v>257</v>
      </c>
      <c r="J11">
        <v>32000</v>
      </c>
    </row>
    <row r="12" spans="1:15" x14ac:dyDescent="0.25">
      <c r="D12" t="s">
        <v>286</v>
      </c>
      <c r="E12">
        <v>466000</v>
      </c>
      <c r="H12" t="s">
        <v>259</v>
      </c>
      <c r="J12">
        <v>125000</v>
      </c>
    </row>
    <row r="13" spans="1:15" x14ac:dyDescent="0.25">
      <c r="D13" t="s">
        <v>303</v>
      </c>
      <c r="E13">
        <v>450000</v>
      </c>
      <c r="H13" t="s">
        <v>262</v>
      </c>
      <c r="J13">
        <v>16000</v>
      </c>
    </row>
    <row r="14" spans="1:15" x14ac:dyDescent="0.25">
      <c r="D14" t="s">
        <v>303</v>
      </c>
      <c r="E14">
        <v>1000000</v>
      </c>
      <c r="H14" t="s">
        <v>273</v>
      </c>
      <c r="J14">
        <v>500000</v>
      </c>
    </row>
    <row r="15" spans="1:15" x14ac:dyDescent="0.25">
      <c r="D15" t="s">
        <v>303</v>
      </c>
      <c r="E15">
        <v>1000000</v>
      </c>
      <c r="H15" t="s">
        <v>274</v>
      </c>
      <c r="J15">
        <v>400000</v>
      </c>
    </row>
    <row r="16" spans="1:15" x14ac:dyDescent="0.25">
      <c r="D16" t="s">
        <v>319</v>
      </c>
      <c r="E16">
        <v>500000</v>
      </c>
      <c r="H16" t="s">
        <v>275</v>
      </c>
      <c r="J16">
        <v>460000</v>
      </c>
    </row>
    <row r="17" spans="1:15" x14ac:dyDescent="0.25">
      <c r="D17" t="s">
        <v>263</v>
      </c>
      <c r="E17">
        <v>850000</v>
      </c>
      <c r="H17" t="s">
        <v>276</v>
      </c>
      <c r="J17">
        <v>45000</v>
      </c>
    </row>
    <row r="18" spans="1:15" x14ac:dyDescent="0.25">
      <c r="D18" t="s">
        <v>263</v>
      </c>
      <c r="E18">
        <v>250000</v>
      </c>
    </row>
    <row r="19" spans="1:15" x14ac:dyDescent="0.25">
      <c r="D19" t="s">
        <v>263</v>
      </c>
      <c r="E19">
        <v>125000</v>
      </c>
    </row>
    <row r="23" spans="1:15" x14ac:dyDescent="0.25">
      <c r="H23" t="s">
        <v>277</v>
      </c>
      <c r="J23">
        <v>14000</v>
      </c>
      <c r="N23" t="s">
        <v>420</v>
      </c>
      <c r="O23">
        <f>SUM(O7:O19)</f>
        <v>6000</v>
      </c>
    </row>
    <row r="24" spans="1:15" x14ac:dyDescent="0.25">
      <c r="H24" t="s">
        <v>106</v>
      </c>
      <c r="J24">
        <v>600000</v>
      </c>
    </row>
    <row r="25" spans="1:15" x14ac:dyDescent="0.2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5" x14ac:dyDescent="0.25">
      <c r="H26" t="s">
        <v>287</v>
      </c>
      <c r="J26">
        <v>113000</v>
      </c>
    </row>
    <row r="27" spans="1:15" x14ac:dyDescent="0.25">
      <c r="H27" t="s">
        <v>321</v>
      </c>
      <c r="J27">
        <v>300000</v>
      </c>
    </row>
    <row r="28" spans="1:15" x14ac:dyDescent="0.25">
      <c r="H28" t="s">
        <v>320</v>
      </c>
      <c r="J28">
        <v>550500</v>
      </c>
    </row>
    <row r="31" spans="1:15" x14ac:dyDescent="0.25">
      <c r="A31" t="s">
        <v>260</v>
      </c>
      <c r="B31">
        <f>A2-E25</f>
        <v>-4870000</v>
      </c>
    </row>
    <row r="32" spans="1:15" x14ac:dyDescent="0.25">
      <c r="A32" t="s">
        <v>261</v>
      </c>
      <c r="B32">
        <f>A2-L2</f>
        <v>-198500</v>
      </c>
    </row>
    <row r="37" spans="1:12" x14ac:dyDescent="0.25">
      <c r="A37" t="s">
        <v>264</v>
      </c>
      <c r="E37" t="s">
        <v>288</v>
      </c>
    </row>
    <row r="38" spans="1:12" x14ac:dyDescent="0.25">
      <c r="A38" t="s">
        <v>265</v>
      </c>
      <c r="B38">
        <f>9*19</f>
        <v>171</v>
      </c>
      <c r="E38" t="s">
        <v>289</v>
      </c>
      <c r="F38">
        <v>304000</v>
      </c>
    </row>
    <row r="39" spans="1:12" x14ac:dyDescent="0.25">
      <c r="A39" t="s">
        <v>266</v>
      </c>
      <c r="B39">
        <f>19*6</f>
        <v>114</v>
      </c>
      <c r="E39" t="s">
        <v>290</v>
      </c>
      <c r="F39">
        <v>276000</v>
      </c>
    </row>
    <row r="40" spans="1:12" x14ac:dyDescent="0.25">
      <c r="A40" t="s">
        <v>267</v>
      </c>
      <c r="B40">
        <f>6*4</f>
        <v>24</v>
      </c>
      <c r="E40" t="s">
        <v>291</v>
      </c>
      <c r="F40">
        <v>268000</v>
      </c>
      <c r="H40" t="s">
        <v>289</v>
      </c>
      <c r="I40">
        <v>304000</v>
      </c>
      <c r="K40" t="s">
        <v>305</v>
      </c>
      <c r="L40">
        <f>3800*40</f>
        <v>152000</v>
      </c>
    </row>
    <row r="41" spans="1:12" x14ac:dyDescent="0.25">
      <c r="A41" t="s">
        <v>268</v>
      </c>
      <c r="B41">
        <f>18*5</f>
        <v>90</v>
      </c>
      <c r="E41" t="s">
        <v>292</v>
      </c>
      <c r="F41">
        <v>780000</v>
      </c>
      <c r="H41" t="s">
        <v>290</v>
      </c>
      <c r="I41">
        <v>276000</v>
      </c>
      <c r="K41" t="s">
        <v>306</v>
      </c>
      <c r="L41">
        <v>30000</v>
      </c>
    </row>
    <row r="42" spans="1:12" x14ac:dyDescent="0.25">
      <c r="A42" t="s">
        <v>269</v>
      </c>
      <c r="B42">
        <f>15*8</f>
        <v>120</v>
      </c>
      <c r="E42" t="s">
        <v>293</v>
      </c>
      <c r="F42">
        <f>76000*5</f>
        <v>380000</v>
      </c>
      <c r="H42" t="s">
        <v>296</v>
      </c>
      <c r="I42">
        <v>120000</v>
      </c>
      <c r="K42" t="s">
        <v>106</v>
      </c>
      <c r="L42">
        <v>500000</v>
      </c>
    </row>
    <row r="43" spans="1:12" x14ac:dyDescent="0.25">
      <c r="A43" t="s">
        <v>270</v>
      </c>
      <c r="B43">
        <f>19*4</f>
        <v>76</v>
      </c>
      <c r="E43" t="s">
        <v>294</v>
      </c>
      <c r="F43">
        <v>7000</v>
      </c>
      <c r="H43" t="s">
        <v>298</v>
      </c>
      <c r="I43">
        <f>30*3800</f>
        <v>114000</v>
      </c>
      <c r="K43" t="s">
        <v>307</v>
      </c>
      <c r="L43">
        <v>500000</v>
      </c>
    </row>
    <row r="44" spans="1:12" x14ac:dyDescent="0.25">
      <c r="A44" t="s">
        <v>271</v>
      </c>
      <c r="B44">
        <v>20</v>
      </c>
      <c r="E44" t="s">
        <v>295</v>
      </c>
      <c r="F44">
        <v>30000</v>
      </c>
      <c r="H44" t="s">
        <v>299</v>
      </c>
      <c r="I44">
        <f>40*3800</f>
        <v>152000</v>
      </c>
    </row>
    <row r="45" spans="1:12" x14ac:dyDescent="0.25">
      <c r="E45" t="s">
        <v>296</v>
      </c>
      <c r="F45">
        <v>120000</v>
      </c>
    </row>
    <row r="46" spans="1:12" x14ac:dyDescent="0.25">
      <c r="E46" t="s">
        <v>297</v>
      </c>
      <c r="F46">
        <v>1300000</v>
      </c>
    </row>
    <row r="47" spans="1:12" x14ac:dyDescent="0.25">
      <c r="H47" t="s">
        <v>300</v>
      </c>
      <c r="I47">
        <f>SUM(I40:I44)</f>
        <v>966000</v>
      </c>
    </row>
    <row r="50" spans="1:14" x14ac:dyDescent="0.25">
      <c r="A50" t="s">
        <v>6</v>
      </c>
      <c r="B50">
        <f>SUM(B38:B48)</f>
        <v>615</v>
      </c>
      <c r="E50" t="s">
        <v>6</v>
      </c>
      <c r="F50">
        <f>SUM(F38:F48)</f>
        <v>3465000</v>
      </c>
    </row>
    <row r="52" spans="1:14" x14ac:dyDescent="0.25">
      <c r="M52" t="s">
        <v>404</v>
      </c>
      <c r="N52">
        <f>2000*655</f>
        <v>1310000</v>
      </c>
    </row>
    <row r="53" spans="1:14" x14ac:dyDescent="0.25">
      <c r="A53" s="23"/>
      <c r="B53" s="23"/>
      <c r="C53" s="23"/>
      <c r="D53" s="23"/>
      <c r="E53" s="23"/>
      <c r="F53" s="23"/>
      <c r="G53" s="23"/>
      <c r="H53" s="23"/>
      <c r="L53" t="s">
        <v>405</v>
      </c>
      <c r="M53">
        <v>200000</v>
      </c>
    </row>
    <row r="54" spans="1:14" x14ac:dyDescent="0.25">
      <c r="A54" s="5"/>
      <c r="B54" s="5"/>
      <c r="C54" s="5" t="s">
        <v>396</v>
      </c>
      <c r="D54" s="5"/>
      <c r="E54" s="5"/>
      <c r="F54" s="5"/>
      <c r="G54" s="5"/>
      <c r="H54" s="5"/>
      <c r="L54" t="s">
        <v>406</v>
      </c>
      <c r="M54">
        <v>200000</v>
      </c>
    </row>
    <row r="55" spans="1:14" x14ac:dyDescent="0.25">
      <c r="B55" t="s">
        <v>401</v>
      </c>
      <c r="C55" t="s">
        <v>402</v>
      </c>
      <c r="M55">
        <v>400000</v>
      </c>
    </row>
    <row r="56" spans="1:14" x14ac:dyDescent="0.25">
      <c r="A56" t="s">
        <v>397</v>
      </c>
      <c r="B56">
        <v>300000</v>
      </c>
      <c r="C56">
        <v>404000</v>
      </c>
      <c r="M56">
        <v>200000</v>
      </c>
    </row>
    <row r="57" spans="1:14" x14ac:dyDescent="0.25">
      <c r="A57" t="s">
        <v>398</v>
      </c>
      <c r="B57">
        <v>400000</v>
      </c>
      <c r="C57">
        <v>370000</v>
      </c>
      <c r="M57">
        <v>310000</v>
      </c>
    </row>
    <row r="58" spans="1:14" x14ac:dyDescent="0.25">
      <c r="A58" t="s">
        <v>399</v>
      </c>
      <c r="B58">
        <v>2200000</v>
      </c>
      <c r="C58">
        <v>675000</v>
      </c>
      <c r="D58">
        <v>120000</v>
      </c>
      <c r="H58">
        <f>400000+350000+500000</f>
        <v>1250000</v>
      </c>
    </row>
    <row r="59" spans="1:14" x14ac:dyDescent="0.25">
      <c r="A59" t="s">
        <v>400</v>
      </c>
      <c r="B59">
        <v>450000</v>
      </c>
    </row>
    <row r="63" spans="1:14" x14ac:dyDescent="0.25">
      <c r="B63">
        <f>SUM(B56:L59)</f>
        <v>6169000</v>
      </c>
    </row>
    <row r="64" spans="1:14" x14ac:dyDescent="0.25">
      <c r="L64" t="s">
        <v>6</v>
      </c>
      <c r="M64">
        <f>SUM(M53:M62)</f>
        <v>1310000</v>
      </c>
    </row>
    <row r="66" spans="1:4" x14ac:dyDescent="0.25">
      <c r="B66" t="s">
        <v>411</v>
      </c>
      <c r="C66" t="s">
        <v>413</v>
      </c>
      <c r="D66" t="s">
        <v>415</v>
      </c>
    </row>
    <row r="67" spans="1:4" x14ac:dyDescent="0.25">
      <c r="A67" t="s">
        <v>407</v>
      </c>
      <c r="B67" s="5">
        <v>364000</v>
      </c>
      <c r="C67" s="5">
        <v>364000</v>
      </c>
    </row>
    <row r="68" spans="1:4" x14ac:dyDescent="0.25">
      <c r="A68" t="s">
        <v>408</v>
      </c>
      <c r="B68" s="5">
        <v>396250</v>
      </c>
      <c r="C68" s="5">
        <v>396250</v>
      </c>
    </row>
    <row r="69" spans="1:4" x14ac:dyDescent="0.25">
      <c r="A69" t="s">
        <v>409</v>
      </c>
      <c r="B69" s="5">
        <v>350000</v>
      </c>
      <c r="C69" s="5">
        <v>350000</v>
      </c>
    </row>
    <row r="70" spans="1:4" x14ac:dyDescent="0.25">
      <c r="A70" t="s">
        <v>410</v>
      </c>
      <c r="B70">
        <v>400000</v>
      </c>
      <c r="C70">
        <v>300000</v>
      </c>
    </row>
    <row r="71" spans="1:4" x14ac:dyDescent="0.25">
      <c r="A71" t="s">
        <v>412</v>
      </c>
      <c r="B71">
        <v>260000</v>
      </c>
      <c r="C71">
        <v>260000</v>
      </c>
    </row>
    <row r="72" spans="1:4" x14ac:dyDescent="0.25">
      <c r="A72" t="s">
        <v>416</v>
      </c>
      <c r="B72" s="5">
        <v>200000</v>
      </c>
      <c r="C72" s="5">
        <v>200000</v>
      </c>
    </row>
    <row r="73" spans="1:4" x14ac:dyDescent="0.25">
      <c r="A73" t="s">
        <v>414</v>
      </c>
      <c r="B73">
        <v>450000</v>
      </c>
      <c r="C73">
        <v>250000</v>
      </c>
    </row>
    <row r="74" spans="1:4" x14ac:dyDescent="0.25">
      <c r="A74" t="s">
        <v>422</v>
      </c>
      <c r="B74">
        <v>2100000</v>
      </c>
      <c r="C74">
        <f>500000+200000</f>
        <v>700000</v>
      </c>
    </row>
    <row r="75" spans="1:4" x14ac:dyDescent="0.25">
      <c r="A75" t="s">
        <v>423</v>
      </c>
      <c r="B75">
        <f>675000+120000</f>
        <v>795000</v>
      </c>
      <c r="C75">
        <f>73000+73000+73000</f>
        <v>219000</v>
      </c>
    </row>
    <row r="79" spans="1:4" x14ac:dyDescent="0.25">
      <c r="A79" t="s">
        <v>6</v>
      </c>
      <c r="B79">
        <f>SUM(B67:B77)</f>
        <v>5315250</v>
      </c>
      <c r="C79">
        <f>SUM(C67:C77)</f>
        <v>3039250</v>
      </c>
    </row>
    <row r="80" spans="1:4" x14ac:dyDescent="0.25">
      <c r="A80" t="s">
        <v>421</v>
      </c>
      <c r="B80">
        <f>B79/655</f>
        <v>8114.8854961832058</v>
      </c>
      <c r="C80">
        <f>C79/655</f>
        <v>4640.0763358778622</v>
      </c>
    </row>
    <row r="83" spans="1:2" x14ac:dyDescent="0.25">
      <c r="A83" t="s">
        <v>417</v>
      </c>
      <c r="B83">
        <f>2000+4000</f>
        <v>6000</v>
      </c>
    </row>
    <row r="85" spans="1:2" x14ac:dyDescent="0.25">
      <c r="A85" t="s">
        <v>99</v>
      </c>
      <c r="B85">
        <f>B83-C80</f>
        <v>1359.9236641221378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topLeftCell="A26" workbookViewId="0">
      <selection activeCell="D20" sqref="D20"/>
    </sheetView>
  </sheetViews>
  <sheetFormatPr baseColWidth="10" defaultRowHeight="15.75" x14ac:dyDescent="0.25"/>
  <cols>
    <col min="1" max="1" width="30.125" bestFit="1" customWidth="1"/>
    <col min="2" max="2" width="18.875" bestFit="1" customWidth="1"/>
  </cols>
  <sheetData>
    <row r="3" spans="1:7" x14ac:dyDescent="0.25">
      <c r="A3" s="5" t="s">
        <v>328</v>
      </c>
      <c r="B3" s="5"/>
      <c r="C3" s="5"/>
      <c r="D3" s="5"/>
      <c r="E3" s="5"/>
    </row>
    <row r="4" spans="1:7" x14ac:dyDescent="0.25">
      <c r="A4" s="5"/>
      <c r="B4" s="5"/>
      <c r="C4" s="5" t="s">
        <v>329</v>
      </c>
      <c r="D4" s="5"/>
      <c r="E4" s="5" t="s">
        <v>330</v>
      </c>
    </row>
    <row r="5" spans="1:7" x14ac:dyDescent="0.25">
      <c r="A5" s="5"/>
      <c r="B5" s="5" t="s">
        <v>324</v>
      </c>
      <c r="C5" s="5">
        <f>75000*6</f>
        <v>450000</v>
      </c>
      <c r="D5" s="5"/>
      <c r="E5" s="5">
        <v>450000</v>
      </c>
    </row>
    <row r="6" spans="1:7" x14ac:dyDescent="0.25">
      <c r="A6" s="5"/>
      <c r="B6" s="5" t="s">
        <v>325</v>
      </c>
      <c r="C6" s="5">
        <v>432000</v>
      </c>
      <c r="D6" s="5"/>
      <c r="E6" s="5">
        <v>450000</v>
      </c>
    </row>
    <row r="7" spans="1:7" x14ac:dyDescent="0.25">
      <c r="A7" s="5"/>
      <c r="B7" s="5" t="s">
        <v>337</v>
      </c>
      <c r="C7" s="5"/>
      <c r="D7" s="5"/>
      <c r="E7" s="5">
        <v>60000</v>
      </c>
    </row>
    <row r="8" spans="1:7" x14ac:dyDescent="0.25">
      <c r="A8" s="5"/>
      <c r="B8" s="5" t="s">
        <v>326</v>
      </c>
      <c r="C8" s="5">
        <v>60000</v>
      </c>
      <c r="D8" s="5"/>
      <c r="E8" s="5">
        <v>60000</v>
      </c>
    </row>
    <row r="9" spans="1:7" x14ac:dyDescent="0.25">
      <c r="A9" s="5"/>
      <c r="B9" s="5" t="s">
        <v>327</v>
      </c>
      <c r="C9" s="5">
        <v>180000</v>
      </c>
      <c r="D9" s="5"/>
      <c r="E9" s="5">
        <v>180000</v>
      </c>
    </row>
    <row r="10" spans="1:7" x14ac:dyDescent="0.25">
      <c r="A10" s="5"/>
      <c r="B10" s="5"/>
      <c r="C10" s="5"/>
      <c r="D10" s="5"/>
      <c r="E10" s="5"/>
    </row>
    <row r="11" spans="1:7" x14ac:dyDescent="0.25">
      <c r="A11" s="5"/>
      <c r="B11" s="5" t="s">
        <v>300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25">
      <c r="A14" t="s">
        <v>331</v>
      </c>
      <c r="B14" t="s">
        <v>332</v>
      </c>
      <c r="C14">
        <v>2000000</v>
      </c>
      <c r="E14" s="5">
        <v>500000</v>
      </c>
    </row>
    <row r="15" spans="1:7" x14ac:dyDescent="0.25">
      <c r="B15" t="s">
        <v>336</v>
      </c>
      <c r="C15">
        <v>600000</v>
      </c>
      <c r="E15" s="5">
        <v>600000</v>
      </c>
    </row>
    <row r="16" spans="1:7" x14ac:dyDescent="0.25">
      <c r="B16" t="s">
        <v>333</v>
      </c>
      <c r="C16">
        <v>45000</v>
      </c>
      <c r="E16" s="5">
        <v>45000</v>
      </c>
    </row>
    <row r="17" spans="2:7" x14ac:dyDescent="0.25">
      <c r="B17" t="s">
        <v>334</v>
      </c>
      <c r="C17">
        <v>150000</v>
      </c>
      <c r="E17" s="5">
        <v>150000</v>
      </c>
    </row>
    <row r="18" spans="2:7" x14ac:dyDescent="0.25">
      <c r="B18" t="s">
        <v>338</v>
      </c>
      <c r="E18" s="5">
        <v>32000</v>
      </c>
    </row>
    <row r="19" spans="2:7" x14ac:dyDescent="0.25">
      <c r="B19" t="s">
        <v>354</v>
      </c>
      <c r="D19" t="s">
        <v>263</v>
      </c>
      <c r="E19" s="5">
        <v>1390000</v>
      </c>
    </row>
    <row r="20" spans="2:7" x14ac:dyDescent="0.25">
      <c r="B20" t="s">
        <v>335</v>
      </c>
      <c r="C20">
        <v>14000</v>
      </c>
      <c r="E20" s="5">
        <v>14000</v>
      </c>
    </row>
    <row r="21" spans="2:7" x14ac:dyDescent="0.25">
      <c r="B21" t="s">
        <v>332</v>
      </c>
      <c r="D21" t="s">
        <v>263</v>
      </c>
      <c r="E21" s="5">
        <v>500000</v>
      </c>
    </row>
    <row r="22" spans="2:7" x14ac:dyDescent="0.25">
      <c r="C22">
        <f>SUM(C14:C20)</f>
        <v>2809000</v>
      </c>
      <c r="D22">
        <f>SUM(D14:D20)</f>
        <v>0</v>
      </c>
      <c r="E22" s="5">
        <f>SUM(E14:E21)</f>
        <v>3231000</v>
      </c>
      <c r="G22">
        <f>E22/655</f>
        <v>4932.8244274809158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75" x14ac:dyDescent="0.25"/>
  <cols>
    <col min="1" max="1" width="16.375" customWidth="1"/>
    <col min="2" max="2" width="16.625" customWidth="1"/>
    <col min="4" max="4" width="36.875" bestFit="1" customWidth="1"/>
  </cols>
  <sheetData>
    <row r="1" spans="1:9" x14ac:dyDescent="0.25">
      <c r="A1" s="3" t="s">
        <v>342</v>
      </c>
      <c r="B1" s="3" t="s">
        <v>343</v>
      </c>
      <c r="C1" s="3" t="s">
        <v>344</v>
      </c>
      <c r="D1" s="3" t="s">
        <v>349</v>
      </c>
    </row>
    <row r="2" spans="1:9" x14ac:dyDescent="0.25">
      <c r="A2" t="s">
        <v>339</v>
      </c>
      <c r="B2" s="21">
        <v>45408</v>
      </c>
      <c r="C2">
        <v>30</v>
      </c>
      <c r="D2" t="s">
        <v>347</v>
      </c>
      <c r="H2" t="s">
        <v>350</v>
      </c>
      <c r="I2" t="s">
        <v>352</v>
      </c>
    </row>
    <row r="3" spans="1:9" x14ac:dyDescent="0.25">
      <c r="A3" t="s">
        <v>345</v>
      </c>
      <c r="B3" s="21">
        <v>45411</v>
      </c>
      <c r="C3">
        <v>60</v>
      </c>
      <c r="D3" t="s">
        <v>346</v>
      </c>
      <c r="H3" t="s">
        <v>351</v>
      </c>
      <c r="I3" t="s">
        <v>353</v>
      </c>
    </row>
    <row r="4" spans="1:9" x14ac:dyDescent="0.25">
      <c r="A4" t="s">
        <v>340</v>
      </c>
      <c r="B4" s="21">
        <v>45412</v>
      </c>
      <c r="C4">
        <v>30</v>
      </c>
      <c r="D4" t="s">
        <v>347</v>
      </c>
    </row>
    <row r="5" spans="1:9" x14ac:dyDescent="0.25">
      <c r="A5" t="s">
        <v>341</v>
      </c>
      <c r="B5" s="21">
        <v>45414</v>
      </c>
      <c r="C5">
        <v>30</v>
      </c>
      <c r="D5" t="s">
        <v>347</v>
      </c>
    </row>
    <row r="6" spans="1:9" x14ac:dyDescent="0.25">
      <c r="A6" t="s">
        <v>339</v>
      </c>
      <c r="B6" s="21">
        <v>46145</v>
      </c>
      <c r="C6">
        <v>60</v>
      </c>
      <c r="D6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AOUT24</vt:lpstr>
      <vt:lpstr>SEP24</vt:lpstr>
      <vt:lpstr>OCT24</vt:lpstr>
      <vt:lpstr>NOV24</vt:lpstr>
      <vt:lpstr>DEC24</vt:lpstr>
      <vt:lpstr>JANV25</vt:lpstr>
      <vt:lpstr>FEVR25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2025-02-10T21:16:40Z</dcterms:modified>
</cp:coreProperties>
</file>