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7bfc23ddea736f9/Área de Trabalho/Coca Cola/Model/"/>
    </mc:Choice>
  </mc:AlternateContent>
  <xr:revisionPtr revIDLastSave="0" documentId="8_{A339DCF0-7324-46D8-9C18-3BE7809B7C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tructions" sheetId="3" r:id="rId1"/>
    <sheet name="MACS Matrix" sheetId="6" r:id="rId2"/>
    <sheet name="Business Case" sheetId="7" r:id="rId3"/>
    <sheet name="Raw data&gt;&gt;" sheetId="5" r:id="rId4"/>
    <sheet name="DADOS" sheetId="4" r:id="rId5"/>
  </sheets>
  <definedNames>
    <definedName name="_Table1_In1" hidden="1">#REF!</definedName>
    <definedName name="_Table1_Out" hidden="1">#REF!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IZED_INTEREST" hidden="1">"c2076"</definedName>
    <definedName name="IQ_CASH" hidden="1">"c1458"</definedName>
    <definedName name="IQ_CASH_ACQUIRE_CF" hidden="1">"c1630"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FPS_ACT_OR_EST" hidden="1">"c2217"</definedName>
    <definedName name="IQ_CFPS_EST" hidden="1">"c1667"</definedName>
    <definedName name="IQ_CFPS_HIGH_EST" hidden="1">"c1669"</definedName>
    <definedName name="IQ_CFPS_LOW_EST" hidden="1">"c1670"</definedName>
    <definedName name="IQ_CFPS_MEDIAN_EST" hidden="1">"c1668"</definedName>
    <definedName name="IQ_CFPS_NUM_EST" hidden="1">"c1671"</definedName>
    <definedName name="IQ_CFPS_STDDEV_EST" hidden="1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UTSTANDING_BS_DATE" hidden="1">"c1971"</definedName>
    <definedName name="IQ_CLASSA_OUTSTANDING_FILING_DATE" hidden="1">"c1973"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OTHER_COST" hidden="1">"c284"</definedName>
    <definedName name="IQ_DEF_BENEFIT_ROA" hidden="1">"c285"</definedName>
    <definedName name="IQ_DEF_BENEFIT_SERVICE_COST" hidden="1">"c286"</definedName>
    <definedName name="IQ_DEF_BENEFIT_TOTAL_COST" hidden="1">"c287"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 hidden="1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DPS_ACT_OR_EST" hidden="1">"c2218"</definedName>
    <definedName name="IQ_DPS_EST" hidden="1">"c1674"</definedName>
    <definedName name="IQ_DPS_HIGH_EST" hidden="1">"c1676"</definedName>
    <definedName name="IQ_DPS_LOW_EST" hidden="1">"c1677"</definedName>
    <definedName name="IQ_DPS_MEDIAN_EST" hidden="1">"c1675"</definedName>
    <definedName name="IQ_DPS_NUM_EST" hidden="1">"c1678"</definedName>
    <definedName name="IQ_DPS_STDDEV_EST" hidden="1">"c1679"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ACT_OR_EST" hidden="1">"c2219"</definedName>
    <definedName name="IQ_EBIT_EST" hidden="1">"c1681"</definedName>
    <definedName name="IQ_EBIT_HIGH_EST" hidden="1">"c1683"</definedName>
    <definedName name="IQ_EBIT_INT" hidden="1">"c360"</definedName>
    <definedName name="IQ_EBIT_LOW_EST" hidden="1">"c1684"</definedName>
    <definedName name="IQ_EBIT_MARGIN" hidden="1">"c359"</definedName>
    <definedName name="IQ_EBIT_MEDIAN_EST" hidden="1">"c1682"</definedName>
    <definedName name="IQ_EBIT_NUM_EST" hidden="1">"c1685"</definedName>
    <definedName name="IQ_EBIT_OVER_IE" hidden="1">"c1369"</definedName>
    <definedName name="IQ_EBIT_STDDEV_EST" hidden="1">"c1686"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ACT_OR_EST" hidden="1">"c2213"</definedName>
    <definedName name="IQ_EPS_EST" hidden="1">"c399"</definedName>
    <definedName name="IQ_EPS_GW_ACT_OR_EST" hidden="1">"c2223"</definedName>
    <definedName name="IQ_EPS_GW_EST" hidden="1">"c1737"</definedName>
    <definedName name="IQ_EPS_GW_HIGH_EST" hidden="1">"c1739"</definedName>
    <definedName name="IQ_EPS_GW_LOW_EST" hidden="1">"c1740"</definedName>
    <definedName name="IQ_EPS_GW_MEDIAN_EST" hidden="1">"c1738"</definedName>
    <definedName name="IQ_EPS_GW_NUM_EST" hidden="1">"c1741"</definedName>
    <definedName name="IQ_EPS_GW_STDDEV_EST" hidden="1">"c1742"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ORM_EST" hidden="1">"c2226"</definedName>
    <definedName name="IQ_EPS_NORM_HIGH_EST" hidden="1">"c2228"</definedName>
    <definedName name="IQ_EPS_NORM_LOW_EST" hidden="1">"c2229"</definedName>
    <definedName name="IQ_EPS_NORM_MEDIAN_EST" hidden="1">"c2227"</definedName>
    <definedName name="IQ_EPS_NORM_NUM_EST" hidden="1">"c2230"</definedName>
    <definedName name="IQ_EPS_NORM_STDDEV_EST" hidden="1">"c2231"</definedName>
    <definedName name="IQ_EPS_NUM_EST" hidden="1">"c402"</definedName>
    <definedName name="IQ_EPS_REPORT_ACT_OR_EST" hidden="1">"c2224"</definedName>
    <definedName name="IQ_EPS_REPORTED_EST" hidden="1">"c1744"</definedName>
    <definedName name="IQ_EPS_REPORTED_HIGH_EST" hidden="1">"c1746"</definedName>
    <definedName name="IQ_EPS_REPORTED_LOW_EST" hidden="1">"c1747"</definedName>
    <definedName name="IQ_EPS_REPORTED_MEDIAN_EST" hidden="1">"c1745"</definedName>
    <definedName name="IQ_EPS_REPORTED_NUM_EST" hidden="1">"c1748"</definedName>
    <definedName name="IQ_EPS_REPORTED_STDDEV_EST" hidden="1">"c1749"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 hidden="1">"c1673"</definedName>
    <definedName name="IQ_EST_ACT_DPS" hidden="1">"c1680"</definedName>
    <definedName name="IQ_EST_ACT_EBIT" hidden="1">"c1687"</definedName>
    <definedName name="IQ_EST_ACT_EBITDA" hidden="1">"c1664"</definedName>
    <definedName name="IQ_EST_ACT_EPS" hidden="1">"c1648"</definedName>
    <definedName name="IQ_EST_ACT_EPS_GW" hidden="1">"c1743"</definedName>
    <definedName name="IQ_EST_ACT_EPS_NORM" hidden="1">"c2232"</definedName>
    <definedName name="IQ_EST_ACT_EPS_REPORTED" hidden="1">"c1750"</definedName>
    <definedName name="IQ_EST_ACT_FFO" hidden="1">"c1666"</definedName>
    <definedName name="IQ_EST_ACT_NAV" hidden="1">"c1757"</definedName>
    <definedName name="IQ_EST_ACT_NI" hidden="1">"c1722"</definedName>
    <definedName name="IQ_EST_ACT_NI_GW" hidden="1">"c1729"</definedName>
    <definedName name="IQ_EST_ACT_NI_REPORTED" hidden="1">"c1736"</definedName>
    <definedName name="IQ_EST_ACT_OPER_INC" hidden="1">"c1694"</definedName>
    <definedName name="IQ_EST_ACT_PRETAX_GW_INC" hidden="1">"c1708"</definedName>
    <definedName name="IQ_EST_ACT_PRETAX_INC" hidden="1">"c1701"</definedName>
    <definedName name="IQ_EST_ACT_PRETAX_REPORT_INC" hidden="1">"c1715"</definedName>
    <definedName name="IQ_EST_ACT_REV" hidden="1">"c2113"</definedName>
    <definedName name="IQ_EST_CFPS_DIFF" hidden="1">"c1871"</definedName>
    <definedName name="IQ_EST_CFPS_GROWTH_1YR" hidden="1">"c1774"</definedName>
    <definedName name="IQ_EST_CFPS_GROWTH_2YR" hidden="1">"c1775"</definedName>
    <definedName name="IQ_EST_CFPS_GROWTH_Q_1YR" hidden="1">"c1776"</definedName>
    <definedName name="IQ_EST_CFPS_SEQ_GROWTH_Q" hidden="1">"c1777"</definedName>
    <definedName name="IQ_EST_CFPS_SURPRISE_PERCENT" hidden="1">"c1872"</definedName>
    <definedName name="IQ_EST_CURRENCY" hidden="1">"c2140"</definedName>
    <definedName name="IQ_EST_DATE" hidden="1">"c1634"</definedName>
    <definedName name="IQ_EST_DPS_DIFF" hidden="1">"c1873"</definedName>
    <definedName name="IQ_EST_DPS_GROWTH_1YR" hidden="1">"c1778"</definedName>
    <definedName name="IQ_EST_DPS_GROWTH_2YR" hidden="1">"c1779"</definedName>
    <definedName name="IQ_EST_DPS_GROWTH_Q_1YR" hidden="1">"c1780"</definedName>
    <definedName name="IQ_EST_DPS_SEQ_GROWTH_Q" hidden="1">"c1781"</definedName>
    <definedName name="IQ_EST_DPS_SURPRISE_PERCENT" hidden="1">"c1874"</definedName>
    <definedName name="IQ_EST_EBIT_DIFF" hidden="1">"c1875"</definedName>
    <definedName name="IQ_EST_EBIT_SURPRISE_PERCENT" hidden="1">"c1876"</definedName>
    <definedName name="IQ_EST_EBITDA_DIFF" hidden="1">"c1867"</definedName>
    <definedName name="IQ_EST_EBITDA_GROWTH_1YR" hidden="1">"c1766"</definedName>
    <definedName name="IQ_EST_EBITDA_GROWTH_2YR" hidden="1">"c1767"</definedName>
    <definedName name="IQ_EST_EBITDA_GROWTH_Q_1YR" hidden="1">"c1768"</definedName>
    <definedName name="IQ_EST_EBITDA_SEQ_GROWTH_Q" hidden="1">"c1769"</definedName>
    <definedName name="IQ_EST_EBITDA_SURPRISE_PERCENT" hidden="1">"c1868"</definedName>
    <definedName name="IQ_EST_EPS_DIFF" hidden="1">"c1864"</definedName>
    <definedName name="IQ_EST_EPS_GROWTH_1YR" hidden="1">"c1636"</definedName>
    <definedName name="IQ_EST_EPS_GROWTH_2YR" hidden="1">"c1637"</definedName>
    <definedName name="IQ_EST_EPS_GROWTH_5YR" hidden="1">"c1655"</definedName>
    <definedName name="IQ_EST_EPS_GROWTH_5YR_HIGH" hidden="1">"c1657"</definedName>
    <definedName name="IQ_EST_EPS_GROWTH_5YR_LOW" hidden="1">"c1658"</definedName>
    <definedName name="IQ_EST_EPS_GROWTH_5YR_MEDIAN" hidden="1">"c1656"</definedName>
    <definedName name="IQ_EST_EPS_GROWTH_5YR_NUM" hidden="1">"c1659"</definedName>
    <definedName name="IQ_EST_EPS_GROWTH_5YR_STDDEV" hidden="1">"c1660"</definedName>
    <definedName name="IQ_EST_EPS_GROWTH_Q_1YR" hidden="1">"c1641"</definedName>
    <definedName name="IQ_EST_EPS_GW_DIFF" hidden="1">"c1891"</definedName>
    <definedName name="IQ_EST_EPS_GW_SURPRISE_PERCENT" hidden="1">"c1892"</definedName>
    <definedName name="IQ_EST_EPS_NORM_DIFF" hidden="1">"c2247"</definedName>
    <definedName name="IQ_EST_EPS_NORM_SURPRISE_PERCENT" hidden="1">"c2248"</definedName>
    <definedName name="IQ_EST_EPS_REPORT_DIFF" hidden="1">"c1893"</definedName>
    <definedName name="IQ_EST_EPS_REPORT_SURPRISE_PERCENT" hidden="1">"c1894"</definedName>
    <definedName name="IQ_EST_EPS_SEQ_GROWTH_Q" hidden="1">"c1764"</definedName>
    <definedName name="IQ_EST_EPS_SURPRISE_PERCENT" hidden="1">"c1635"</definedName>
    <definedName name="IQ_EST_FFO_DIFF" hidden="1">"c1869"</definedName>
    <definedName name="IQ_EST_FFO_GROWTH_1YR" hidden="1">"c1770"</definedName>
    <definedName name="IQ_EST_FFO_GROWTH_2YR" hidden="1">"c1771"</definedName>
    <definedName name="IQ_EST_FFO_GROWTH_Q_1YR" hidden="1">"c1772"</definedName>
    <definedName name="IQ_EST_FFO_SEQ_GROWTH_Q" hidden="1">"c1773"</definedName>
    <definedName name="IQ_EST_FFO_SURPRISE_PERCENT" hidden="1">"c1870"</definedName>
    <definedName name="IQ_EST_NAV_DIFF" hidden="1">"c1895"</definedName>
    <definedName name="IQ_EST_NAV_SURPRISE_PERCENT" hidden="1">"c1896"</definedName>
    <definedName name="IQ_EST_NI_DIFF" hidden="1">"c1885"</definedName>
    <definedName name="IQ_EST_NI_GW_DIFF" hidden="1">"c1887"</definedName>
    <definedName name="IQ_EST_NI_GW_SURPRISE_PERCENT" hidden="1">"c1888"</definedName>
    <definedName name="IQ_EST_NI_REPORT_DIFF" hidden="1">"c1889"</definedName>
    <definedName name="IQ_EST_NI_REPORT_SURPRISE_PERCENT" hidden="1">"c1890"</definedName>
    <definedName name="IQ_EST_NI_SURPRISE_PERCENT" hidden="1">"c1886"</definedName>
    <definedName name="IQ_EST_NUM_BUY" hidden="1">"c1759"</definedName>
    <definedName name="IQ_EST_NUM_HOLD" hidden="1">"c1761"</definedName>
    <definedName name="IQ_EST_NUM_NO_OPINION" hidden="1">"c1758"</definedName>
    <definedName name="IQ_EST_NUM_OUTPERFORM" hidden="1">"c1760"</definedName>
    <definedName name="IQ_EST_NUM_SELL" hidden="1">"c1763"</definedName>
    <definedName name="IQ_EST_NUM_UNDERPERFORM" hidden="1">"c1762"</definedName>
    <definedName name="IQ_EST_OPER_INC_DIFF" hidden="1">"c1877"</definedName>
    <definedName name="IQ_EST_OPER_INC_SURPRISE_PERCENT" hidden="1">"c1878"</definedName>
    <definedName name="IQ_EST_PRE_TAX_DIFF" hidden="1">"c1879"</definedName>
    <definedName name="IQ_EST_PRE_TAX_GW_DIFF" hidden="1">"c1881"</definedName>
    <definedName name="IQ_EST_PRE_TAX_GW_SURPRISE_PERCENT" hidden="1">"c1882"</definedName>
    <definedName name="IQ_EST_PRE_TAX_REPORT_DIFF" hidden="1">"c1883"</definedName>
    <definedName name="IQ_EST_PRE_TAX_REPORT_SURPRISE_PERCENT" hidden="1">"c1884"</definedName>
    <definedName name="IQ_EST_PRE_TAX_SURPRISE_PERCENT" hidden="1">"c1880"</definedName>
    <definedName name="IQ_EST_REV_DIFF" hidden="1">"c1865"</definedName>
    <definedName name="IQ_EST_REV_GROWTH_1YR" hidden="1">"c1638"</definedName>
    <definedName name="IQ_EST_REV_GROWTH_2YR" hidden="1">"c1639"</definedName>
    <definedName name="IQ_EST_REV_GROWTH_Q_1YR" hidden="1">"c1640"</definedName>
    <definedName name="IQ_EST_REV_SEQ_GROWTH_Q" hidden="1">"c1765"</definedName>
    <definedName name="IQ_EST_REV_SURPRISE_PERCENT" hidden="1">"c1866"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 hidden="1">"c2216"</definedName>
    <definedName name="IQ_FFO_EST" hidden="1">"c418"</definedName>
    <definedName name="IQ_FFO_HIGH_EST" hidden="1">"c419"</definedName>
    <definedName name="IQ_FFO_LOW_EST" hidden="1">"c420"</definedName>
    <definedName name="IQ_FFO_MEDIAN_EST" hidden="1">"c1665"</definedName>
    <definedName name="IQ_FFO_NUM_EST" hidden="1">"c421"</definedName>
    <definedName name="IQ_FFO_STDDEV_EST" hidden="1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DIVID" hidden="1">"c1446"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ROFIT" hidden="1">"c1378"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LAND" hidden="1">"c645"</definedName>
    <definedName name="IQ_LAST_SPLIT_DATE" hidden="1">"c2095"</definedName>
    <definedName name="IQ_LAST_SPLIT_FACTOR" hidden="1">"c2093"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ICENSED_POPS" hidden="1">"c2123"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 hidden="1">"c2225"</definedName>
    <definedName name="IQ_NAV_EST" hidden="1">"c1751"</definedName>
    <definedName name="IQ_NAV_HIGH_EST" hidden="1">"c1753"</definedName>
    <definedName name="IQ_NAV_LOW_EST" hidden="1">"c1754"</definedName>
    <definedName name="IQ_NAV_MEDIAN_EST" hidden="1">"c1752"</definedName>
    <definedName name="IQ_NAV_NUM_EST" hidden="1">"c1755"</definedName>
    <definedName name="IQ_NAV_STDDEV_EST" hidden="1">"c1756"</definedName>
    <definedName name="IQ_NET_CHANGE" hidden="1">"c749"</definedName>
    <definedName name="IQ_NET_DEBT" hidden="1">"c1584"</definedName>
    <definedName name="IQ_NET_DEBT_EBITDA" hidden="1">"c750"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CT_OR_EST" hidden="1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 hidden="1">"c1716"</definedName>
    <definedName name="IQ_NI_GW_EST" hidden="1">"c1723"</definedName>
    <definedName name="IQ_NI_GW_HIGH_EST" hidden="1">"c1725"</definedName>
    <definedName name="IQ_NI_GW_LOW_EST" hidden="1">"c1726"</definedName>
    <definedName name="IQ_NI_GW_MEDIAN_EST" hidden="1">"c1724"</definedName>
    <definedName name="IQ_NI_GW_NUM_EST" hidden="1">"c1727"</definedName>
    <definedName name="IQ_NI_GW_STDDEV_EST" hidden="1">"c1728"</definedName>
    <definedName name="IQ_NI_HIGH_EST" hidden="1">"c1718"</definedName>
    <definedName name="IQ_NI_LOW_EST" hidden="1">"c1719"</definedName>
    <definedName name="IQ_NI_MARGIN" hidden="1">"c794"</definedName>
    <definedName name="IQ_NI_MEDIAN_EST" hidden="1">"c1717"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NUM_EST" hidden="1">"c1720"</definedName>
    <definedName name="IQ_NI_REPORTED_EST" hidden="1">"c1730"</definedName>
    <definedName name="IQ_NI_REPORTED_HIGH_EST" hidden="1">"c1732"</definedName>
    <definedName name="IQ_NI_REPORTED_LOW_EST" hidden="1">"c1733"</definedName>
    <definedName name="IQ_NI_REPORTED_MEDIAN_EST" hidden="1">"c1731"</definedName>
    <definedName name="IQ_NI_REPORTED_NUM_EST" hidden="1">"c1734"</definedName>
    <definedName name="IQ_NI_REPORTED_STDDEV_EST" hidden="1">"c1735"</definedName>
    <definedName name="IQ_NI_SFAS" hidden="1">"c795"</definedName>
    <definedName name="IQ_NI_STDDEV_EST" hidden="1">"c1721"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UTIL_REV" hidden="1">"c2089"</definedName>
    <definedName name="IQ_NORM_EPS_ACT_OR_EST" hidden="1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CLOSE_BALANCE_GAS" hidden="1">"c2049"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OIL" hidden="1">"c2035"</definedName>
    <definedName name="IQ_OG_PURCHASES_GAS" hidden="1">"c2045"</definedName>
    <definedName name="IQ_OG_PURCHASES_OIL" hidden="1">"c2033"</definedName>
    <definedName name="IQ_OG_REVISIONS_GAS" hidden="1">"c2042"</definedName>
    <definedName name="IQ_OG_REVISIONS_OIL" hidden="1">"c2030"</definedName>
    <definedName name="IQ_OG_SALES_IN_PLACE_GAS" hidden="1">"c2046"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ACT_OR_EST" hidden="1">"c2220"</definedName>
    <definedName name="IQ_OPER_INC_BR" hidden="1">"c850"</definedName>
    <definedName name="IQ_OPER_INC_EST" hidden="1">"c1688"</definedName>
    <definedName name="IQ_OPER_INC_FIN" hidden="1">"c851"</definedName>
    <definedName name="IQ_OPER_INC_HIGH_EST" hidden="1">"c1690"</definedName>
    <definedName name="IQ_OPER_INC_INS" hidden="1">"c852"</definedName>
    <definedName name="IQ_OPER_INC_LOW_EST" hidden="1">"c1691"</definedName>
    <definedName name="IQ_OPER_INC_MARGIN" hidden="1">"c1448"</definedName>
    <definedName name="IQ_OPER_INC_MEDIAN_EST" hidden="1">"c1689"</definedName>
    <definedName name="IQ_OPER_INC_NUM_EST" hidden="1">"c1692"</definedName>
    <definedName name="IQ_OPER_INC_REIT" hidden="1">"c853"</definedName>
    <definedName name="IQ_OPER_INC_STDDEV_EST" hidden="1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ISSUED" hidden="1">"c857"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UTSTANDING_BS_DATE" hidden="1">"c2128"</definedName>
    <definedName name="IQ_OUTSTANDING_FILING_DATE" hidden="1">"c2127"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G_FWD" hidden="1">"c1863"</definedName>
    <definedName name="IQ_PENSION" hidden="1">"c1031"</definedName>
    <definedName name="IQ_PERCENT_CHANGE_EST_5YR_GROWTH_RATE_12MONTHS" hidden="1">"c1852"</definedName>
    <definedName name="IQ_PERCENT_CHANGE_EST_5YR_GROWTH_RATE_18MONTHS" hidden="1">"c1853"</definedName>
    <definedName name="IQ_PERCENT_CHANGE_EST_5YR_GROWTH_RATE_3MONTHS" hidden="1">"c1849"</definedName>
    <definedName name="IQ_PERCENT_CHANGE_EST_5YR_GROWTH_RATE_6MONTHS" hidden="1">"c1850"</definedName>
    <definedName name="IQ_PERCENT_CHANGE_EST_5YR_GROWTH_RATE_9MONTHS" hidden="1">"c1851"</definedName>
    <definedName name="IQ_PERCENT_CHANGE_EST_5YR_GROWTH_RATE_DAY" hidden="1">"c1846"</definedName>
    <definedName name="IQ_PERCENT_CHANGE_EST_5YR_GROWTH_RATE_MONTH" hidden="1">"c1848"</definedName>
    <definedName name="IQ_PERCENT_CHANGE_EST_5YR_GROWTH_RATE_WEEK" hidden="1">"c1847"</definedName>
    <definedName name="IQ_PERCENT_CHANGE_EST_CFPS_12MONTHS" hidden="1">"c1812"</definedName>
    <definedName name="IQ_PERCENT_CHANGE_EST_CFPS_18MONTHS" hidden="1">"c1813"</definedName>
    <definedName name="IQ_PERCENT_CHANGE_EST_CFPS_3MONTHS" hidden="1">"c1809"</definedName>
    <definedName name="IQ_PERCENT_CHANGE_EST_CFPS_6MONTHS" hidden="1">"c1810"</definedName>
    <definedName name="IQ_PERCENT_CHANGE_EST_CFPS_9MONTHS" hidden="1">"c1811"</definedName>
    <definedName name="IQ_PERCENT_CHANGE_EST_CFPS_DAY" hidden="1">"c1806"</definedName>
    <definedName name="IQ_PERCENT_CHANGE_EST_CFPS_MONTH" hidden="1">"c1808"</definedName>
    <definedName name="IQ_PERCENT_CHANGE_EST_CFPS_WEEK" hidden="1">"c1807"</definedName>
    <definedName name="IQ_PERCENT_CHANGE_EST_DPS_12MONTHS" hidden="1">"c1820"</definedName>
    <definedName name="IQ_PERCENT_CHANGE_EST_DPS_18MONTHS" hidden="1">"c1821"</definedName>
    <definedName name="IQ_PERCENT_CHANGE_EST_DPS_3MONTHS" hidden="1">"c1817"</definedName>
    <definedName name="IQ_PERCENT_CHANGE_EST_DPS_6MONTHS" hidden="1">"c1818"</definedName>
    <definedName name="IQ_PERCENT_CHANGE_EST_DPS_9MONTHS" hidden="1">"c1819"</definedName>
    <definedName name="IQ_PERCENT_CHANGE_EST_DPS_DAY" hidden="1">"c1814"</definedName>
    <definedName name="IQ_PERCENT_CHANGE_EST_DPS_MONTH" hidden="1">"c1816"</definedName>
    <definedName name="IQ_PERCENT_CHANGE_EST_DPS_WEEK" hidden="1">"c1815"</definedName>
    <definedName name="IQ_PERCENT_CHANGE_EST_EBITDA_12MONTHS" hidden="1">"c1804"</definedName>
    <definedName name="IQ_PERCENT_CHANGE_EST_EBITDA_18MONTHS" hidden="1">"c1805"</definedName>
    <definedName name="IQ_PERCENT_CHANGE_EST_EBITDA_3MONTHS" hidden="1">"c1801"</definedName>
    <definedName name="IQ_PERCENT_CHANGE_EST_EBITDA_6MONTHS" hidden="1">"c1802"</definedName>
    <definedName name="IQ_PERCENT_CHANGE_EST_EBITDA_9MONTHS" hidden="1">"c1803"</definedName>
    <definedName name="IQ_PERCENT_CHANGE_EST_EBITDA_DAY" hidden="1">"c1798"</definedName>
    <definedName name="IQ_PERCENT_CHANGE_EST_EBITDA_MONTH" hidden="1">"c1800"</definedName>
    <definedName name="IQ_PERCENT_CHANGE_EST_EBITDA_WEEK" hidden="1">"c1799"</definedName>
    <definedName name="IQ_PERCENT_CHANGE_EST_EPS_12MONTHS" hidden="1">"c1788"</definedName>
    <definedName name="IQ_PERCENT_CHANGE_EST_EPS_18MONTHS" hidden="1">"c1789"</definedName>
    <definedName name="IQ_PERCENT_CHANGE_EST_EPS_3MONTHS" hidden="1">"c1785"</definedName>
    <definedName name="IQ_PERCENT_CHANGE_EST_EPS_6MONTHS" hidden="1">"c1786"</definedName>
    <definedName name="IQ_PERCENT_CHANGE_EST_EPS_9MONTHS" hidden="1">"c1787"</definedName>
    <definedName name="IQ_PERCENT_CHANGE_EST_EPS_DAY" hidden="1">"c1782"</definedName>
    <definedName name="IQ_PERCENT_CHANGE_EST_EPS_MONTH" hidden="1">"c1784"</definedName>
    <definedName name="IQ_PERCENT_CHANGE_EST_EPS_WEEK" hidden="1">"c1783"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8MONTHS" hidden="1">"c1845"</definedName>
    <definedName name="IQ_PERCENT_CHANGE_EST_PRICE_TARGET_3MONTHS" hidden="1">"c1841"</definedName>
    <definedName name="IQ_PERCENT_CHANGE_EST_PRICE_TARGET_6MONTHS" hidden="1">"c1842"</definedName>
    <definedName name="IQ_PERCENT_CHANGE_EST_PRICE_TARGET_9MONTHS" hidden="1">"c1843"</definedName>
    <definedName name="IQ_PERCENT_CHANGE_EST_PRICE_TARGET_DAY" hidden="1">"c1838"</definedName>
    <definedName name="IQ_PERCENT_CHANGE_EST_PRICE_TARGET_MONTH" hidden="1">"c1840"</definedName>
    <definedName name="IQ_PERCENT_CHANGE_EST_PRICE_TARGET_WEEK" hidden="1">"c1839"</definedName>
    <definedName name="IQ_PERCENT_CHANGE_EST_RECO_12MONTHS" hidden="1">"c1836"</definedName>
    <definedName name="IQ_PERCENT_CHANGE_EST_RECO_18MONTHS" hidden="1">"c1837"</definedName>
    <definedName name="IQ_PERCENT_CHANGE_EST_RECO_3MONTHS" hidden="1">"c1833"</definedName>
    <definedName name="IQ_PERCENT_CHANGE_EST_RECO_6MONTHS" hidden="1">"c1834"</definedName>
    <definedName name="IQ_PERCENT_CHANGE_EST_RECO_9MONTHS" hidden="1">"c1835"</definedName>
    <definedName name="IQ_PERCENT_CHANGE_EST_RECO_DAY" hidden="1">"c1830"</definedName>
    <definedName name="IQ_PERCENT_CHANGE_EST_RECO_MONTH" hidden="1">"c1832"</definedName>
    <definedName name="IQ_PERCENT_CHANGE_EST_RECO_WEEK" hidden="1">"c1831"</definedName>
    <definedName name="IQ_PERCENT_CHANGE_EST_REV_12MONTHS" hidden="1">"c1796"</definedName>
    <definedName name="IQ_PERCENT_CHANGE_EST_REV_18MONTHS" hidden="1">"c1797"</definedName>
    <definedName name="IQ_PERCENT_CHANGE_EST_REV_3MONTHS" hidden="1">"c1793"</definedName>
    <definedName name="IQ_PERCENT_CHANGE_EST_REV_6MONTHS" hidden="1">"c1794"</definedName>
    <definedName name="IQ_PERCENT_CHANGE_EST_REV_9MONTHS" hidden="1">"c1795"</definedName>
    <definedName name="IQ_PERCENT_CHANGE_EST_REV_DAY" hidden="1">"c1790"</definedName>
    <definedName name="IQ_PERCENT_CHANGE_EST_REV_MONTH" hidden="1">"c1792"</definedName>
    <definedName name="IQ_PERCENT_CHANGE_EST_REV_WEEK" hidden="1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 hidden="1">"c1855"</definedName>
    <definedName name="IQ_PRE_OPEN_COST" hidden="1">"c1040"</definedName>
    <definedName name="IQ_PRE_TAX_ACT_OR_EST" hidden="1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 hidden="1">"c1702"</definedName>
    <definedName name="IQ_PRETAX_GW_INC_HIGH_EST" hidden="1">"c1704"</definedName>
    <definedName name="IQ_PRETAX_GW_INC_LOW_EST" hidden="1">"c1705"</definedName>
    <definedName name="IQ_PRETAX_GW_INC_MEDIAN_EST" hidden="1">"c1703"</definedName>
    <definedName name="IQ_PRETAX_GW_INC_NUM_EST" hidden="1">"c1706"</definedName>
    <definedName name="IQ_PRETAX_GW_INC_STDDEV_EST" hidden="1">"c1707"</definedName>
    <definedName name="IQ_PRETAX_INC_EST" hidden="1">"c1695"</definedName>
    <definedName name="IQ_PRETAX_INC_HIGH_EST" hidden="1">"c1697"</definedName>
    <definedName name="IQ_PRETAX_INC_LOW_EST" hidden="1">"c1698"</definedName>
    <definedName name="IQ_PRETAX_INC_MEDIAN_EST" hidden="1">"c1696"</definedName>
    <definedName name="IQ_PRETAX_INC_NUM_EST" hidden="1">"c1699"</definedName>
    <definedName name="IQ_PRETAX_INC_STDDEV_EST" hidden="1">"c1700"</definedName>
    <definedName name="IQ_PRETAX_REPORT_INC_EST" hidden="1">"c1709"</definedName>
    <definedName name="IQ_PRETAX_REPORT_INC_HIGH_EST" hidden="1">"c1711"</definedName>
    <definedName name="IQ_PRETAX_REPORT_INC_LOW_EST" hidden="1">"c1712"</definedName>
    <definedName name="IQ_PRETAX_REPORT_INC_MEDIAN_EST" hidden="1">"c1710"</definedName>
    <definedName name="IQ_PRETAX_REPORT_INC_NUM_EST" hidden="1">"c1713"</definedName>
    <definedName name="IQ_PRETAX_REPORT_INC_STDDEV_EST" hidden="1">"c1714"</definedName>
    <definedName name="IQ_PRICE_CFPS_FWD" hidden="1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VG_STORE_SIZE_GROSS" hidden="1">"c2066"</definedName>
    <definedName name="IQ_RETAIL_AVG_STORE_SIZE_NET" hidden="1">"c2067"</definedName>
    <definedName name="IQ_RETAIL_CLOSED_STORES" hidden="1">"c2063"</definedName>
    <definedName name="IQ_RETAIL_OPENED_STORES" hidden="1">"c2062"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Q_FOOTAGE" hidden="1">"c2064"</definedName>
    <definedName name="IQ_RETAIL_STORE_SELLING_AREA" hidden="1">"c2065"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39085.4608101852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VING_DEP" hidden="1">"c1150"</definedName>
    <definedName name="IQ_SECUR_RECEIV" hidden="1">"c1151"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CF" hidden="1">"c1203"</definedName>
    <definedName name="IQ_STRIKE_PRICE_ISSUED" hidden="1">"c1645"</definedName>
    <definedName name="IQ_STRIKE_PRICE_OS" hidden="1">"c1646"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V" hidden="1">"c1219"</definedName>
    <definedName name="IQ_TEV_EBIT" hidden="1">"c1220"</definedName>
    <definedName name="IQ_TEV_EBIT_AVG" hidden="1">"c1221"</definedName>
    <definedName name="IQ_TEV_EBIT_FWD" hidden="1">"c2238"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RATIO" hidden="1">"c1229"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QUITY" hidden="1">"c1250"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EXP" hidden="1">"c1291"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S" hidden="1">"c2119"</definedName>
    <definedName name="IQ_TOTAL_UNUSUAL" hidden="1">"c1508"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USUAL_EXP" hidden="1">"c1456"</definedName>
    <definedName name="IQ_US_GAAP" hidden="1">"c1331"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Z_SCORE" hidden="1">"c1339"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4" i="7" l="1"/>
  <c r="C62" i="7"/>
  <c r="K47" i="7"/>
  <c r="K59" i="7"/>
  <c r="N59" i="7" s="1"/>
  <c r="M59" i="7"/>
  <c r="J59" i="7"/>
  <c r="G59" i="7"/>
  <c r="O55" i="7"/>
  <c r="O56" i="7"/>
  <c r="O57" i="7"/>
  <c r="O58" i="7"/>
  <c r="N54" i="7"/>
  <c r="N55" i="7"/>
  <c r="N56" i="7"/>
  <c r="N57" i="7"/>
  <c r="N58" i="7"/>
  <c r="M54" i="7"/>
  <c r="M55" i="7"/>
  <c r="M56" i="7"/>
  <c r="M57" i="7"/>
  <c r="M58" i="7"/>
  <c r="L54" i="7"/>
  <c r="L55" i="7"/>
  <c r="L56" i="7"/>
  <c r="L57" i="7"/>
  <c r="L58" i="7"/>
  <c r="K54" i="7"/>
  <c r="K55" i="7"/>
  <c r="K56" i="7"/>
  <c r="K57" i="7"/>
  <c r="K58" i="7"/>
  <c r="J58" i="7"/>
  <c r="J57" i="7"/>
  <c r="J56" i="7"/>
  <c r="J55" i="7"/>
  <c r="J54" i="7"/>
  <c r="O54" i="7" s="1"/>
  <c r="J52" i="7"/>
  <c r="O50" i="7"/>
  <c r="O51" i="7"/>
  <c r="O52" i="7"/>
  <c r="O53" i="7"/>
  <c r="N53" i="7"/>
  <c r="M53" i="7"/>
  <c r="N52" i="7"/>
  <c r="N51" i="7"/>
  <c r="N50" i="7"/>
  <c r="M52" i="7"/>
  <c r="M51" i="7"/>
  <c r="M50" i="7"/>
  <c r="L53" i="7"/>
  <c r="L52" i="7"/>
  <c r="L51" i="7"/>
  <c r="L50" i="7"/>
  <c r="K53" i="7"/>
  <c r="K52" i="7"/>
  <c r="K51" i="7"/>
  <c r="K50" i="7"/>
  <c r="J53" i="7"/>
  <c r="J51" i="7"/>
  <c r="J50" i="7"/>
  <c r="N49" i="7"/>
  <c r="M49" i="7"/>
  <c r="L49" i="7"/>
  <c r="K49" i="7"/>
  <c r="J49" i="7"/>
  <c r="O49" i="7" s="1"/>
  <c r="F58" i="7"/>
  <c r="F57" i="7"/>
  <c r="F56" i="7"/>
  <c r="F55" i="7"/>
  <c r="F54" i="7"/>
  <c r="F53" i="7"/>
  <c r="F52" i="7"/>
  <c r="F51" i="7"/>
  <c r="F50" i="7"/>
  <c r="F49" i="7"/>
  <c r="F48" i="7"/>
  <c r="F47" i="7"/>
  <c r="N48" i="7"/>
  <c r="M48" i="7"/>
  <c r="L48" i="7"/>
  <c r="K48" i="7"/>
  <c r="J48" i="7"/>
  <c r="O48" i="7" s="1"/>
  <c r="N47" i="7"/>
  <c r="M47" i="7"/>
  <c r="L47" i="7"/>
  <c r="J47" i="7"/>
  <c r="O47" i="7" s="1"/>
  <c r="H47" i="7" a="1"/>
  <c r="H47" i="7" s="1"/>
  <c r="H58" i="7" a="1"/>
  <c r="H58" i="7" s="1"/>
  <c r="H57" i="7" a="1"/>
  <c r="H57" i="7" s="1"/>
  <c r="H56" i="7" a="1"/>
  <c r="H56" i="7" s="1"/>
  <c r="H55" i="7" a="1"/>
  <c r="H55" i="7" s="1"/>
  <c r="H54" i="7" a="1"/>
  <c r="H54" i="7" s="1"/>
  <c r="H53" i="7" a="1"/>
  <c r="H53" i="7" s="1"/>
  <c r="H52" i="7" a="1"/>
  <c r="H52" i="7" s="1"/>
  <c r="H51" i="7" a="1"/>
  <c r="H51" i="7" s="1"/>
  <c r="H50" i="7" a="1"/>
  <c r="H50" i="7" s="1"/>
  <c r="H49" i="7" a="1"/>
  <c r="H49" i="7" s="1"/>
  <c r="H48" i="7" a="1"/>
  <c r="H48" i="7" s="1"/>
  <c r="G58" i="7" a="1"/>
  <c r="G58" i="7" s="1"/>
  <c r="G57" i="7" a="1"/>
  <c r="G57" i="7" s="1"/>
  <c r="G56" i="7" a="1"/>
  <c r="G56" i="7" s="1"/>
  <c r="G55" i="7" a="1"/>
  <c r="G55" i="7" s="1"/>
  <c r="G54" i="7" a="1"/>
  <c r="G54" i="7" s="1"/>
  <c r="G53" i="7" a="1"/>
  <c r="G53" i="7" s="1"/>
  <c r="G52" i="7" a="1"/>
  <c r="G52" i="7" s="1"/>
  <c r="G51" i="7"/>
  <c r="G51" i="7" a="1"/>
  <c r="G50" i="7" a="1"/>
  <c r="G50" i="7" s="1"/>
  <c r="G49" i="7" a="1"/>
  <c r="G49" i="7" s="1"/>
  <c r="E49" i="7"/>
  <c r="E50" i="7" s="1"/>
  <c r="E51" i="7" s="1"/>
  <c r="E52" i="7" s="1"/>
  <c r="E53" i="7" s="1"/>
  <c r="E54" i="7" s="1"/>
  <c r="E55" i="7" s="1"/>
  <c r="E56" i="7" s="1"/>
  <c r="E57" i="7" s="1"/>
  <c r="E58" i="7" s="1"/>
  <c r="G48" i="7" a="1"/>
  <c r="G48" i="7" s="1"/>
  <c r="E48" i="7"/>
  <c r="G47" i="7" a="1"/>
  <c r="G47" i="7" s="1"/>
  <c r="G37" i="7" a="1"/>
  <c r="G37" i="7" s="1"/>
  <c r="G36" i="7" a="1"/>
  <c r="G36" i="7" s="1"/>
  <c r="G35" i="7" a="1"/>
  <c r="G35" i="7" s="1"/>
  <c r="G34" i="7" a="1"/>
  <c r="G34" i="7" s="1"/>
  <c r="G33" i="7" a="1"/>
  <c r="G33" i="7" s="1"/>
  <c r="G32" i="7" a="1"/>
  <c r="G32" i="7" s="1"/>
  <c r="G31" i="7" a="1"/>
  <c r="G31" i="7" s="1"/>
  <c r="G30" i="7" a="1"/>
  <c r="G30" i="7" s="1"/>
  <c r="G29" i="7" a="1"/>
  <c r="G29" i="7" s="1"/>
  <c r="G28" i="7" a="1"/>
  <c r="G28" i="7" s="1"/>
  <c r="G27" i="7" a="1"/>
  <c r="G27" i="7" s="1"/>
  <c r="G26" i="7" a="1"/>
  <c r="G26" i="7" s="1"/>
  <c r="F37" i="7" a="1"/>
  <c r="F37" i="7" s="1"/>
  <c r="H37" i="7" s="1"/>
  <c r="F36" i="7" a="1"/>
  <c r="F36" i="7" s="1"/>
  <c r="F35" i="7" a="1"/>
  <c r="F35" i="7" s="1"/>
  <c r="H35" i="7" s="1"/>
  <c r="F34" i="7" a="1"/>
  <c r="F34" i="7" s="1"/>
  <c r="F33" i="7" a="1"/>
  <c r="F33" i="7" s="1"/>
  <c r="F32" i="7" a="1"/>
  <c r="F32" i="7" s="1"/>
  <c r="F31" i="7" a="1"/>
  <c r="F31" i="7" s="1"/>
  <c r="H31" i="7" s="1"/>
  <c r="F30" i="7" a="1"/>
  <c r="F30" i="7" s="1"/>
  <c r="H30" i="7" s="1"/>
  <c r="M30" i="7" s="1"/>
  <c r="F29" i="7" a="1"/>
  <c r="F29" i="7" s="1"/>
  <c r="H29" i="7" s="1"/>
  <c r="F28" i="7" a="1"/>
  <c r="F28" i="7" s="1"/>
  <c r="H28" i="7" s="1"/>
  <c r="F27" i="7" a="1"/>
  <c r="F27" i="7" s="1"/>
  <c r="H27" i="7" s="1"/>
  <c r="F26" i="7" a="1"/>
  <c r="F26" i="7" s="1"/>
  <c r="J37" i="7" a="1"/>
  <c r="J37" i="7" s="1"/>
  <c r="J36" i="7" a="1"/>
  <c r="J36" i="7" s="1"/>
  <c r="J35" i="7" a="1"/>
  <c r="J35" i="7" s="1"/>
  <c r="J34" i="7" a="1"/>
  <c r="J34" i="7" s="1"/>
  <c r="J33" i="7" a="1"/>
  <c r="J33" i="7" s="1"/>
  <c r="J32" i="7" a="1"/>
  <c r="J32" i="7" s="1"/>
  <c r="J31" i="7" a="1"/>
  <c r="J31" i="7" s="1"/>
  <c r="J30" i="7" a="1"/>
  <c r="J30" i="7" s="1"/>
  <c r="J29" i="7" a="1"/>
  <c r="J29" i="7" s="1"/>
  <c r="J28" i="7" a="1"/>
  <c r="J28" i="7" s="1"/>
  <c r="J27" i="7" a="1"/>
  <c r="J27" i="7" s="1"/>
  <c r="J26" i="7" a="1"/>
  <c r="J26" i="7" s="1"/>
  <c r="I27" i="7" a="1"/>
  <c r="I27" i="7" s="1"/>
  <c r="I28" i="7" a="1"/>
  <c r="I28" i="7" s="1"/>
  <c r="I29" i="7" a="1"/>
  <c r="I29" i="7" s="1"/>
  <c r="K29" i="7" s="1"/>
  <c r="I30" i="7" a="1"/>
  <c r="I30" i="7" s="1"/>
  <c r="K30" i="7" s="1"/>
  <c r="I31" i="7" a="1"/>
  <c r="I31" i="7" s="1"/>
  <c r="K31" i="7" s="1"/>
  <c r="I32" i="7" a="1"/>
  <c r="I32" i="7" s="1"/>
  <c r="K32" i="7" s="1"/>
  <c r="I33" i="7" a="1"/>
  <c r="I33" i="7" s="1"/>
  <c r="I34" i="7" a="1"/>
  <c r="I34" i="7" s="1"/>
  <c r="K34" i="7" s="1"/>
  <c r="I35" i="7" a="1"/>
  <c r="I35" i="7" s="1"/>
  <c r="I36" i="7" a="1"/>
  <c r="I36" i="7" s="1"/>
  <c r="K36" i="7" s="1"/>
  <c r="I37" i="7" a="1"/>
  <c r="I37" i="7" s="1"/>
  <c r="K37" i="7" s="1"/>
  <c r="I26" i="7" a="1"/>
  <c r="I26" i="7" s="1"/>
  <c r="E27" i="7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10" i="7"/>
  <c r="E11" i="7"/>
  <c r="E12" i="7"/>
  <c r="E13" i="7"/>
  <c r="E14" i="7"/>
  <c r="E15" i="7"/>
  <c r="E16" i="7"/>
  <c r="E17" i="7"/>
  <c r="E9" i="7"/>
  <c r="C109" i="6"/>
  <c r="C110" i="6"/>
  <c r="B107" i="6"/>
  <c r="B108" i="6" s="1"/>
  <c r="B109" i="6" s="1"/>
  <c r="B110" i="6" s="1"/>
  <c r="B111" i="6" s="1"/>
  <c r="B112" i="6" s="1"/>
  <c r="B113" i="6" s="1"/>
  <c r="B114" i="6" s="1"/>
  <c r="K31" i="6" a="1"/>
  <c r="K31" i="6" s="1"/>
  <c r="I77" i="6" s="1"/>
  <c r="C107" i="6" s="1"/>
  <c r="K30" i="6" a="1"/>
  <c r="K30" i="6" s="1"/>
  <c r="I76" i="6" s="1"/>
  <c r="K29" i="6" a="1"/>
  <c r="K29" i="6" s="1"/>
  <c r="I75" i="6" s="1"/>
  <c r="C112" i="6" s="1"/>
  <c r="K28" i="6" a="1"/>
  <c r="K28" i="6" s="1"/>
  <c r="I74" i="6" s="1"/>
  <c r="E67" i="6"/>
  <c r="E68" i="6" s="1"/>
  <c r="E69" i="6" s="1"/>
  <c r="E70" i="6" s="1"/>
  <c r="E71" i="6" s="1"/>
  <c r="E72" i="6" s="1"/>
  <c r="E73" i="6" s="1"/>
  <c r="E74" i="6" s="1"/>
  <c r="E75" i="6" s="1"/>
  <c r="E76" i="6" s="1"/>
  <c r="E77" i="6" s="1"/>
  <c r="E50" i="6"/>
  <c r="E51" i="6" s="1"/>
  <c r="E52" i="6" s="1"/>
  <c r="E53" i="6" s="1"/>
  <c r="E54" i="6" s="1"/>
  <c r="E55" i="6" s="1"/>
  <c r="E56" i="6" s="1"/>
  <c r="E57" i="6" s="1"/>
  <c r="E58" i="6" s="1"/>
  <c r="E59" i="6" s="1"/>
  <c r="E49" i="6"/>
  <c r="D41" i="6"/>
  <c r="C41" i="6"/>
  <c r="H54" i="6" s="1"/>
  <c r="F31" i="6" a="1"/>
  <c r="F31" i="6" s="1"/>
  <c r="F29" i="6" a="1"/>
  <c r="F29" i="6" s="1"/>
  <c r="F28" i="6" a="1"/>
  <c r="F28" i="6" s="1"/>
  <c r="F27" i="6" a="1"/>
  <c r="F27" i="6" s="1"/>
  <c r="F26" i="6" a="1"/>
  <c r="F26" i="6" s="1"/>
  <c r="F25" i="6" a="1"/>
  <c r="F25" i="6" s="1"/>
  <c r="F24" i="6" a="1"/>
  <c r="F24" i="6" s="1"/>
  <c r="F23" i="6" a="1"/>
  <c r="F23" i="6" s="1"/>
  <c r="F22" i="6" a="1"/>
  <c r="F22" i="6" s="1"/>
  <c r="F21" i="6" a="1"/>
  <c r="F21" i="6" s="1"/>
  <c r="E21" i="6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F20" i="6" a="1"/>
  <c r="F20" i="6" s="1"/>
  <c r="U18" i="4"/>
  <c r="G31" i="6" s="1" a="1"/>
  <c r="G31" i="6" s="1"/>
  <c r="K18" i="4"/>
  <c r="J18" i="4"/>
  <c r="I31" i="6" s="1" a="1"/>
  <c r="I31" i="6" s="1"/>
  <c r="H18" i="4"/>
  <c r="L18" i="4" s="1"/>
  <c r="H17" i="4"/>
  <c r="L17" i="4" s="1"/>
  <c r="U16" i="4"/>
  <c r="G29" i="6" s="1" a="1"/>
  <c r="G29" i="6" s="1"/>
  <c r="K16" i="4"/>
  <c r="J16" i="4"/>
  <c r="I29" i="6" s="1" a="1"/>
  <c r="I29" i="6" s="1"/>
  <c r="H16" i="4"/>
  <c r="L16" i="4" s="1"/>
  <c r="H15" i="4"/>
  <c r="K15" i="4" s="1"/>
  <c r="S14" i="4"/>
  <c r="R14" i="4"/>
  <c r="H14" i="4"/>
  <c r="G14" i="4"/>
  <c r="F14" i="4"/>
  <c r="E14" i="4"/>
  <c r="R13" i="4"/>
  <c r="U13" i="4" s="1"/>
  <c r="L13" i="4"/>
  <c r="K13" i="4"/>
  <c r="J13" i="4"/>
  <c r="U12" i="4"/>
  <c r="L12" i="4"/>
  <c r="K12" i="4"/>
  <c r="J12" i="4"/>
  <c r="U11" i="4"/>
  <c r="L11" i="4"/>
  <c r="K11" i="4"/>
  <c r="J11" i="4"/>
  <c r="U10" i="4"/>
  <c r="L10" i="4"/>
  <c r="K10" i="4"/>
  <c r="J10" i="4"/>
  <c r="U9" i="4"/>
  <c r="L9" i="4"/>
  <c r="K9" i="4"/>
  <c r="J9" i="4"/>
  <c r="U8" i="4"/>
  <c r="L8" i="4"/>
  <c r="K8" i="4"/>
  <c r="J8" i="4"/>
  <c r="U7" i="4"/>
  <c r="L7" i="4"/>
  <c r="K7" i="4"/>
  <c r="J7" i="4"/>
  <c r="T6" i="4"/>
  <c r="S6" i="4"/>
  <c r="S4" i="4" s="1"/>
  <c r="R6" i="4"/>
  <c r="R4" i="4" s="1"/>
  <c r="L6" i="4"/>
  <c r="K6" i="4"/>
  <c r="J6" i="4"/>
  <c r="U5" i="4"/>
  <c r="L5" i="4"/>
  <c r="K5" i="4"/>
  <c r="J5" i="4"/>
  <c r="L4" i="4"/>
  <c r="H4" i="4"/>
  <c r="G4" i="4"/>
  <c r="F4" i="4"/>
  <c r="K4" i="4" s="1"/>
  <c r="E4" i="4"/>
  <c r="E19" i="4" s="1"/>
  <c r="O59" i="7" l="1"/>
  <c r="C63" i="7" s="1"/>
  <c r="K33" i="7"/>
  <c r="M33" i="7" s="1"/>
  <c r="L32" i="7"/>
  <c r="H33" i="7"/>
  <c r="K26" i="7"/>
  <c r="H26" i="7"/>
  <c r="H34" i="7"/>
  <c r="M34" i="7" s="1"/>
  <c r="K28" i="7"/>
  <c r="K35" i="7"/>
  <c r="K27" i="7"/>
  <c r="M27" i="7" s="1"/>
  <c r="M28" i="7"/>
  <c r="M29" i="7"/>
  <c r="M37" i="7"/>
  <c r="M35" i="7"/>
  <c r="H36" i="7"/>
  <c r="M36" i="7" s="1"/>
  <c r="L36" i="7"/>
  <c r="M31" i="7"/>
  <c r="M26" i="7"/>
  <c r="H32" i="7"/>
  <c r="M32" i="7" s="1"/>
  <c r="L26" i="7"/>
  <c r="L31" i="7"/>
  <c r="L30" i="7"/>
  <c r="L37" i="7"/>
  <c r="L29" i="7"/>
  <c r="L28" i="7"/>
  <c r="L35" i="7"/>
  <c r="L27" i="7"/>
  <c r="L34" i="7"/>
  <c r="F38" i="7"/>
  <c r="L33" i="7"/>
  <c r="K38" i="7"/>
  <c r="I38" i="7"/>
  <c r="E18" i="7"/>
  <c r="F15" i="7" s="1"/>
  <c r="F17" i="7"/>
  <c r="F30" i="6" a="1"/>
  <c r="F30" i="6" s="1"/>
  <c r="K23" i="6" a="1"/>
  <c r="K23" i="6" s="1"/>
  <c r="I69" i="6" s="1"/>
  <c r="K17" i="4"/>
  <c r="K24" i="6" a="1"/>
  <c r="K24" i="6" s="1"/>
  <c r="I70" i="6" s="1"/>
  <c r="K14" i="4"/>
  <c r="G19" i="4"/>
  <c r="U17" i="4"/>
  <c r="G30" i="6" s="1" a="1"/>
  <c r="G30" i="6" s="1"/>
  <c r="K25" i="6" a="1"/>
  <c r="K25" i="6" s="1"/>
  <c r="I71" i="6" s="1"/>
  <c r="U6" i="4"/>
  <c r="J4" i="4"/>
  <c r="J14" i="4"/>
  <c r="K26" i="6" a="1"/>
  <c r="K26" i="6" s="1"/>
  <c r="I72" i="6" s="1"/>
  <c r="K27" i="6" a="1"/>
  <c r="K27" i="6" s="1"/>
  <c r="I73" i="6" s="1"/>
  <c r="K20" i="6" a="1"/>
  <c r="K20" i="6" s="1"/>
  <c r="I66" i="6" s="1"/>
  <c r="C106" i="6" s="1"/>
  <c r="K21" i="6" a="1"/>
  <c r="K21" i="6" s="1"/>
  <c r="I67" i="6" s="1"/>
  <c r="C108" i="6" s="1"/>
  <c r="K22" i="6" a="1"/>
  <c r="K22" i="6" s="1"/>
  <c r="I68" i="6" s="1"/>
  <c r="C114" i="6" s="1"/>
  <c r="S19" i="4"/>
  <c r="J17" i="4"/>
  <c r="I30" i="6" s="1" a="1"/>
  <c r="I30" i="6" s="1"/>
  <c r="H48" i="6"/>
  <c r="H56" i="6"/>
  <c r="H49" i="6"/>
  <c r="H57" i="6"/>
  <c r="H55" i="6"/>
  <c r="H50" i="6"/>
  <c r="H58" i="6"/>
  <c r="H51" i="6"/>
  <c r="H59" i="6"/>
  <c r="H52" i="6"/>
  <c r="H53" i="6"/>
  <c r="C39" i="6"/>
  <c r="F48" i="6" s="1"/>
  <c r="D39" i="6"/>
  <c r="L14" i="4"/>
  <c r="T4" i="4"/>
  <c r="U4" i="4" s="1"/>
  <c r="G20" i="6" s="1" a="1"/>
  <c r="G20" i="6" s="1"/>
  <c r="J15" i="4"/>
  <c r="I28" i="6" s="1" a="1"/>
  <c r="I28" i="6" s="1"/>
  <c r="L15" i="4"/>
  <c r="F19" i="4"/>
  <c r="H19" i="4" s="1"/>
  <c r="R19" i="4"/>
  <c r="F9" i="7" l="1"/>
  <c r="F10" i="7"/>
  <c r="F12" i="7"/>
  <c r="H38" i="7"/>
  <c r="F13" i="7"/>
  <c r="F14" i="7"/>
  <c r="F11" i="7"/>
  <c r="F16" i="7"/>
  <c r="F18" i="7" s="1"/>
  <c r="F52" i="6"/>
  <c r="I21" i="6" a="1"/>
  <c r="I21" i="6" s="1"/>
  <c r="I25" i="6" a="1"/>
  <c r="I25" i="6" s="1"/>
  <c r="I23" i="6" a="1"/>
  <c r="I23" i="6" s="1"/>
  <c r="I27" i="6" a="1"/>
  <c r="I27" i="6" s="1"/>
  <c r="F59" i="6"/>
  <c r="G27" i="6" a="1"/>
  <c r="G27" i="6" s="1"/>
  <c r="G25" i="6" a="1"/>
  <c r="G25" i="6" s="1"/>
  <c r="G23" i="6" a="1"/>
  <c r="G23" i="6" s="1"/>
  <c r="G21" i="6" a="1"/>
  <c r="G21" i="6" s="1"/>
  <c r="I24" i="6" a="1"/>
  <c r="I24" i="6" s="1"/>
  <c r="F49" i="6"/>
  <c r="C113" i="6"/>
  <c r="G26" i="6" a="1"/>
  <c r="G26" i="6" s="1"/>
  <c r="G24" i="6" a="1"/>
  <c r="G24" i="6" s="1"/>
  <c r="F57" i="6"/>
  <c r="C115" i="6"/>
  <c r="D106" i="6" s="1"/>
  <c r="I22" i="6" a="1"/>
  <c r="I22" i="6" s="1"/>
  <c r="G22" i="6" a="1"/>
  <c r="G22" i="6" s="1"/>
  <c r="F56" i="6"/>
  <c r="I20" i="6" a="1"/>
  <c r="I20" i="6" s="1"/>
  <c r="F54" i="6"/>
  <c r="C111" i="6"/>
  <c r="I26" i="6" a="1"/>
  <c r="I26" i="6" s="1"/>
  <c r="F50" i="6"/>
  <c r="F53" i="6"/>
  <c r="F55" i="6"/>
  <c r="F58" i="6"/>
  <c r="F51" i="6"/>
  <c r="O4" i="4"/>
  <c r="L19" i="4"/>
  <c r="N14" i="4"/>
  <c r="X11" i="4"/>
  <c r="X6" i="4"/>
  <c r="X12" i="4"/>
  <c r="X10" i="4"/>
  <c r="J19" i="4"/>
  <c r="X7" i="4"/>
  <c r="K19" i="4"/>
  <c r="X5" i="4"/>
  <c r="P14" i="4"/>
  <c r="X9" i="4"/>
  <c r="O18" i="4"/>
  <c r="O17" i="4"/>
  <c r="O16" i="4"/>
  <c r="W12" i="4"/>
  <c r="P6" i="4"/>
  <c r="P5" i="4"/>
  <c r="P4" i="4"/>
  <c r="P19" i="4" s="1"/>
  <c r="N18" i="4"/>
  <c r="J31" i="6" s="1" a="1"/>
  <c r="J31" i="6" s="1"/>
  <c r="N17" i="4"/>
  <c r="J30" i="6" s="1" a="1"/>
  <c r="J30" i="6" s="1"/>
  <c r="N16" i="4"/>
  <c r="J29" i="6" s="1" a="1"/>
  <c r="J29" i="6" s="1"/>
  <c r="P13" i="4"/>
  <c r="W11" i="4"/>
  <c r="O6" i="4"/>
  <c r="O5" i="4"/>
  <c r="N12" i="4"/>
  <c r="P10" i="4"/>
  <c r="P15" i="4"/>
  <c r="O13" i="4"/>
  <c r="P12" i="4"/>
  <c r="W10" i="4"/>
  <c r="N6" i="4"/>
  <c r="N5" i="4"/>
  <c r="O11" i="4"/>
  <c r="P8" i="4"/>
  <c r="N4" i="4"/>
  <c r="N19" i="4" s="1"/>
  <c r="O15" i="4"/>
  <c r="T15" i="4" s="1"/>
  <c r="N13" i="4"/>
  <c r="O12" i="4"/>
  <c r="P11" i="4"/>
  <c r="W9" i="4"/>
  <c r="W7" i="4"/>
  <c r="N15" i="4"/>
  <c r="J28" i="6" s="1" a="1"/>
  <c r="J28" i="6" s="1"/>
  <c r="N11" i="4"/>
  <c r="J25" i="6" s="1" a="1"/>
  <c r="J25" i="6" s="1"/>
  <c r="O10" i="4"/>
  <c r="P9" i="4"/>
  <c r="O8" i="4"/>
  <c r="P7" i="4"/>
  <c r="O14" i="4"/>
  <c r="O19" i="4" s="1"/>
  <c r="N10" i="4"/>
  <c r="O9" i="4"/>
  <c r="N8" i="4"/>
  <c r="J22" i="6" s="1" a="1"/>
  <c r="J22" i="6" s="1"/>
  <c r="O7" i="4"/>
  <c r="P18" i="4"/>
  <c r="P17" i="4"/>
  <c r="P16" i="4"/>
  <c r="W15" i="4"/>
  <c r="N9" i="4"/>
  <c r="N7" i="4"/>
  <c r="X15" i="4"/>
  <c r="I53" i="6" l="1"/>
  <c r="D111" i="6"/>
  <c r="J21" i="6" a="1"/>
  <c r="J21" i="6" s="1"/>
  <c r="D112" i="6"/>
  <c r="D110" i="6"/>
  <c r="D109" i="6"/>
  <c r="D107" i="6"/>
  <c r="D115" i="6" s="1"/>
  <c r="J24" i="6" a="1"/>
  <c r="J24" i="6" s="1"/>
  <c r="D42" i="6"/>
  <c r="I57" i="6" s="1"/>
  <c r="D108" i="6"/>
  <c r="J23" i="6" a="1"/>
  <c r="J23" i="6" s="1"/>
  <c r="J20" i="6" a="1"/>
  <c r="J20" i="6" s="1"/>
  <c r="D113" i="6"/>
  <c r="J26" i="6" a="1"/>
  <c r="J26" i="6" s="1"/>
  <c r="J27" i="6" a="1"/>
  <c r="J27" i="6" s="1"/>
  <c r="C42" i="6"/>
  <c r="I51" i="6" s="1"/>
  <c r="I50" i="6"/>
  <c r="D114" i="6"/>
  <c r="T14" i="4"/>
  <c r="U15" i="4"/>
  <c r="G28" i="6" s="1" a="1"/>
  <c r="G28" i="6" s="1"/>
  <c r="C40" i="6" s="1"/>
  <c r="D40" i="6" l="1"/>
  <c r="G54" i="6" s="1"/>
  <c r="F72" i="6" s="1"/>
  <c r="I49" i="6"/>
  <c r="D43" i="6"/>
  <c r="C43" i="6"/>
  <c r="J48" i="6" s="1"/>
  <c r="J52" i="6"/>
  <c r="G70" i="6" s="1"/>
  <c r="I54" i="6"/>
  <c r="J51" i="6"/>
  <c r="G69" i="6" s="1"/>
  <c r="I56" i="6"/>
  <c r="I58" i="6"/>
  <c r="I59" i="6"/>
  <c r="I55" i="6"/>
  <c r="I48" i="6"/>
  <c r="I52" i="6"/>
  <c r="T19" i="4"/>
  <c r="U14" i="4"/>
  <c r="U19" i="4" s="1"/>
  <c r="G56" i="6" l="1"/>
  <c r="F74" i="6" s="1"/>
  <c r="J49" i="6"/>
  <c r="G67" i="6" s="1"/>
  <c r="G49" i="6"/>
  <c r="F67" i="6" s="1"/>
  <c r="G59" i="6"/>
  <c r="F77" i="6" s="1"/>
  <c r="G57" i="6"/>
  <c r="F75" i="6" s="1"/>
  <c r="J54" i="6"/>
  <c r="G72" i="6" s="1"/>
  <c r="G48" i="6"/>
  <c r="F66" i="6" s="1"/>
  <c r="G74" i="6"/>
  <c r="G66" i="6"/>
  <c r="G50" i="6"/>
  <c r="F68" i="6" s="1"/>
  <c r="G52" i="6"/>
  <c r="F70" i="6" s="1"/>
  <c r="G58" i="6"/>
  <c r="F76" i="6" s="1"/>
  <c r="J55" i="6"/>
  <c r="G73" i="6" s="1"/>
  <c r="J59" i="6"/>
  <c r="G77" i="6" s="1"/>
  <c r="J56" i="6"/>
  <c r="J50" i="6"/>
  <c r="G68" i="6" s="1"/>
  <c r="J53" i="6"/>
  <c r="G71" i="6" s="1"/>
  <c r="J57" i="6"/>
  <c r="G75" i="6" s="1"/>
  <c r="J58" i="6"/>
  <c r="G76" i="6" s="1"/>
  <c r="G51" i="6"/>
  <c r="F69" i="6" s="1"/>
  <c r="G55" i="6"/>
  <c r="F73" i="6" s="1"/>
  <c r="G53" i="6"/>
  <c r="F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<sst xmlns="http://schemas.openxmlformats.org/spreadsheetml/2006/main" count="508" uniqueCount="158">
  <si>
    <t>Worksheet specific notes</t>
  </si>
  <si>
    <t>Cell formatting guide</t>
  </si>
  <si>
    <t>Throughout the model the following formatting conventions are used:</t>
  </si>
  <si>
    <t>Cells</t>
  </si>
  <si>
    <t>Numerical values in black font are other calculated values which you should not change</t>
  </si>
  <si>
    <t>Numerical values in blue font are 'hard-coded' assumptions which you should not change</t>
  </si>
  <si>
    <t>Numerical values in blue font and blue fill contain variables for you to input</t>
  </si>
  <si>
    <t>Numerical values in white font and cyan fill are final results used in external documents (e.g. PowerPoint, Word)</t>
  </si>
  <si>
    <t>Sheets</t>
  </si>
  <si>
    <t>Grey tabs indicate input sheets</t>
  </si>
  <si>
    <t>Cyan tabs indicate output sheets</t>
  </si>
  <si>
    <t>Contact details</t>
  </si>
  <si>
    <t>If you have any questions about this workbook please contact:</t>
  </si>
  <si>
    <t>Propósito</t>
  </si>
  <si>
    <t>Estrutura</t>
  </si>
  <si>
    <t>ABERTURA</t>
  </si>
  <si>
    <t>RECEITA SELL-OUT</t>
  </si>
  <si>
    <t>MARKET SHARE WITH-IN DE RECEITA
(dentro do Sabor / Subcategoria / Categoria)</t>
  </si>
  <si>
    <t>MARKET SHARE DE RECEITA DENTRO DE BEBIDAS NÃO ALCOÓLICAS</t>
  </si>
  <si>
    <t xml:space="preserve">5Y CAGR DE VOLUME
 (TAXA DE CRESCIMENTO MÉDIA DOS ÚLTIMOS 5 ANOS) </t>
  </si>
  <si>
    <t>KPI DE AMOR DE MARCA
(Nota de 0 a 10 dada pelos consumidores)</t>
  </si>
  <si>
    <t>NOME DAS MARCAS</t>
  </si>
  <si>
    <t>HIERARQUIA DADO</t>
  </si>
  <si>
    <t>ITEM</t>
  </si>
  <si>
    <t>Coca-Cola</t>
  </si>
  <si>
    <t>Ambev</t>
  </si>
  <si>
    <t>BBrands</t>
  </si>
  <si>
    <t>Total Indústria</t>
  </si>
  <si>
    <t>CATEGORIA</t>
  </si>
  <si>
    <t>REFRIGERANTES</t>
  </si>
  <si>
    <t>NA</t>
  </si>
  <si>
    <t>Várias (Itubaina, Dolly, Mineirinho, Fruki etc)</t>
  </si>
  <si>
    <t>SUBCATEGORIA</t>
  </si>
  <si>
    <t>REFRIGERANTES COLA</t>
  </si>
  <si>
    <t>Pepsi</t>
  </si>
  <si>
    <t>Várias</t>
  </si>
  <si>
    <t>REFRIGERANTES SABORES</t>
  </si>
  <si>
    <t>SABOR DA SUBACATEGORIA</t>
  </si>
  <si>
    <t>SABOR CITRUS</t>
  </si>
  <si>
    <t>Schweppes</t>
  </si>
  <si>
    <t>H20H</t>
  </si>
  <si>
    <t>SABOR</t>
  </si>
  <si>
    <t>SABOR GUARANA</t>
  </si>
  <si>
    <t>Fanta, Kuat e outros</t>
  </si>
  <si>
    <t>SABOR LARANJA</t>
  </si>
  <si>
    <t>Fanta</t>
  </si>
  <si>
    <t>Sukita</t>
  </si>
  <si>
    <t>SABOR LIMAO</t>
  </si>
  <si>
    <t>Sprite e Sprite Lemon Fresh</t>
  </si>
  <si>
    <t>H20H e Soda</t>
  </si>
  <si>
    <t>SABOR TONICA</t>
  </si>
  <si>
    <t>Agua Tônica Antarctica</t>
  </si>
  <si>
    <t>SABOR UVA</t>
  </si>
  <si>
    <t>SABOR OUTROS</t>
  </si>
  <si>
    <t>H20H Limoneto</t>
  </si>
  <si>
    <t>CONSOLIDADOR</t>
  </si>
  <si>
    <t>Não Refrigerantes</t>
  </si>
  <si>
    <t>Sucos</t>
  </si>
  <si>
    <t>Del Valle</t>
  </si>
  <si>
    <t>Do Bem</t>
  </si>
  <si>
    <t>Isotônicos</t>
  </si>
  <si>
    <t>Powerade</t>
  </si>
  <si>
    <t>Gatorade</t>
  </si>
  <si>
    <t>Águas</t>
  </si>
  <si>
    <t>Crystal</t>
  </si>
  <si>
    <t>Chás</t>
  </si>
  <si>
    <t>Leão</t>
  </si>
  <si>
    <t>Lipton</t>
  </si>
  <si>
    <t>Total Bebidas Não Alcoólicas</t>
  </si>
  <si>
    <t>MACS Matrix</t>
  </si>
  <si>
    <t>Framework que calcula atratividade da indústria e abilidade de um determinado serviço/produto/negócio possui em vencer seus competidores</t>
  </si>
  <si>
    <t xml:space="preserve">1 - Definindo parâmetros dos eixos da matriz </t>
  </si>
  <si>
    <t>Eixo</t>
  </si>
  <si>
    <t>Parâmetro</t>
  </si>
  <si>
    <t>Fonte</t>
  </si>
  <si>
    <t>Link</t>
  </si>
  <si>
    <t>Y - Atratividade do mercado</t>
  </si>
  <si>
    <t>Unidade</t>
  </si>
  <si>
    <t>Tamanho do mercado</t>
  </si>
  <si>
    <t>Arquivo Case</t>
  </si>
  <si>
    <t>Aba Dados</t>
  </si>
  <si>
    <t>Observação</t>
  </si>
  <si>
    <t>%</t>
  </si>
  <si>
    <t>Crescimento futuro estimado</t>
  </si>
  <si>
    <t>Relatórios/Pesquisa de Mercado</t>
  </si>
  <si>
    <t>Adotou-se taxas de crescimento esperado dos segmentos para América Latina (The Coca Cola Company, Q1 Investor Overview)</t>
  </si>
  <si>
    <t>-</t>
  </si>
  <si>
    <t>X- Abilidade para vencer</t>
  </si>
  <si>
    <t>Market share em relação aos competidores</t>
  </si>
  <si>
    <t>Matriz MACS</t>
  </si>
  <si>
    <t>Market share dentro do segmento de bebidas não-alc</t>
  </si>
  <si>
    <t>Para manter os produtos (categorias, subcategorias, sabores...) em uma mesma base comparativa de clusters, iremos utilizar a informação mais granular disponível</t>
  </si>
  <si>
    <t>Peso no Eixo</t>
  </si>
  <si>
    <t>#ID</t>
  </si>
  <si>
    <t>Crescimento histórico da indústria nos últimos 5 anos (CAGR)</t>
  </si>
  <si>
    <t>Cresc. Historico da Industria</t>
  </si>
  <si>
    <t>Cresc. Futuro estimado</t>
  </si>
  <si>
    <t>Market share vs competid.</t>
  </si>
  <si>
    <t>Market share vs Industria</t>
  </si>
  <si>
    <t>2-  Empilhamento das métricas do score para cada cluster</t>
  </si>
  <si>
    <t>3- Normalização das métricas</t>
  </si>
  <si>
    <t>Para que o score tenha uma escala adequada</t>
  </si>
  <si>
    <t>Min</t>
  </si>
  <si>
    <t>Max</t>
  </si>
  <si>
    <t>Métrica</t>
  </si>
  <si>
    <r>
      <t xml:space="preserve">Métricas Normalizadas </t>
    </r>
    <r>
      <rPr>
        <i/>
        <sz val="8"/>
        <color theme="0" tint="-0.34998626667073579"/>
        <rFont val="Calibri"/>
        <family val="2"/>
        <scheme val="minor"/>
      </rPr>
      <t>(Valores relativos numa escala de valor mínimo = 10%)</t>
    </r>
  </si>
  <si>
    <t>3- Calculo do score</t>
  </si>
  <si>
    <t>Y- Atratividade do Mercado</t>
  </si>
  <si>
    <t>Quadrante</t>
  </si>
  <si>
    <t>Sell-out</t>
  </si>
  <si>
    <t>Sell-Out KO</t>
  </si>
  <si>
    <t>4- Resumo quadrantes</t>
  </si>
  <si>
    <t>Quadrantes</t>
  </si>
  <si>
    <t>Sell Out</t>
  </si>
  <si>
    <t>Sum</t>
  </si>
  <si>
    <t>Soma</t>
  </si>
  <si>
    <t>BRL Mil</t>
  </si>
  <si>
    <t>Business Case</t>
  </si>
  <si>
    <t>1 - Premissas</t>
  </si>
  <si>
    <t>Alta</t>
  </si>
  <si>
    <t>Média</t>
  </si>
  <si>
    <t>Baixa</t>
  </si>
  <si>
    <t>Y- Atratividade</t>
  </si>
  <si>
    <t>Eixo x - Hab. Para Vencer</t>
  </si>
  <si>
    <t>Sell out (Atual)</t>
  </si>
  <si>
    <t>#</t>
  </si>
  <si>
    <t>Tamanho do mercado (Atual)</t>
  </si>
  <si>
    <t>Tamanho do mercado (Futuro)</t>
  </si>
  <si>
    <t>Taxa de Crescimento (Hist.)</t>
  </si>
  <si>
    <t>Calculo do tamanho do mercado e das receitas dos players no cenário Business As Usual</t>
  </si>
  <si>
    <t>Sell-out Coca Cola</t>
  </si>
  <si>
    <t>Sell Out Coca Cola (Fut.)</t>
  </si>
  <si>
    <t>Market Share KO Atual</t>
  </si>
  <si>
    <t>2- Business As Usual - Mercado e receitas seguem tendências históricas</t>
  </si>
  <si>
    <t>Calculo do tamanho do mercado e das receitas dos players considerando movimentos mapeados para quadrantes</t>
  </si>
  <si>
    <t>Inovação de produto, marketing intensivo, parcerias estratégicas com eventos esportivos e culturais e inovação em embalagem irão alavancar crescimento</t>
  </si>
  <si>
    <t>Sell-out Coca Cola (Histórico)</t>
  </si>
  <si>
    <t>Prêmio de crescimento (Iniciativas)</t>
  </si>
  <si>
    <t>Market Share KO Fut.</t>
  </si>
  <si>
    <t>Impacto Iniciativas</t>
  </si>
  <si>
    <t>Ganho em Sell Out</t>
  </si>
  <si>
    <t>Ganho em Market Share</t>
  </si>
  <si>
    <t>p.p</t>
  </si>
  <si>
    <t>Inovação de produto, fortalecimento de linhas funcionais e estratégia de marketing direcionada para saúde e bem estar irão alavancar crescimento</t>
  </si>
  <si>
    <t>Reformulação/Design to Value; Variações sem açucar ou com menos açucar, marketing regionalizado</t>
  </si>
  <si>
    <t>Reformulação/Design to Value; potencializar linhas zero-açucar, marketing regionalizado, escalar portfolio priorizando linhas lucrativas</t>
  </si>
  <si>
    <t>Esforços de Marketing e P&amp;D voltados a diferenciação, premiuminização dos produtos, parcerias com marcas e apps de saúde, patrocínio de eventos esportivos</t>
  </si>
  <si>
    <t>Movimentos estratégicos - Resumo</t>
  </si>
  <si>
    <t xml:space="preserve">Escalar linhas atrativas e otimizar portfólio, investimentos e operação </t>
  </si>
  <si>
    <t>Otimizar portfólio eliminando linhas não lucrativas, reduzindo custos fixos e otimizando investimentos futuros</t>
  </si>
  <si>
    <t>Esta planilha calcula em alto nível o impacto dos movimentos estratégicos levando em consideração os quadrantes da Matriz MACS e priorizações assumidas</t>
  </si>
  <si>
    <t>% do Sell Out</t>
  </si>
  <si>
    <t>Abraão Luiz</t>
  </si>
  <si>
    <t>abraaoufpr@live.com</t>
  </si>
  <si>
    <t>Cres. Sell Out Coca Cola (Hist)</t>
  </si>
  <si>
    <t>Crescimento</t>
  </si>
  <si>
    <r>
      <t>O propósito deste modelo é servir como ferramenta de suporte para definir</t>
    </r>
    <r>
      <rPr>
        <b/>
        <sz val="11"/>
        <rFont val="Calibri"/>
        <family val="2"/>
        <scheme val="minor"/>
      </rPr>
      <t xml:space="preserve"> movimentos estratégicos</t>
    </r>
    <r>
      <rPr>
        <sz val="11"/>
        <rFont val="Calibri"/>
        <family val="2"/>
        <scheme val="minor"/>
      </rPr>
      <t xml:space="preserve"> para categorias de produtos e realizar um</t>
    </r>
    <r>
      <rPr>
        <b/>
        <sz val="11"/>
        <rFont val="Calibri"/>
        <family val="2"/>
        <scheme val="minor"/>
      </rPr>
      <t xml:space="preserve"> calculo prévio de impacto potencial</t>
    </r>
  </si>
  <si>
    <t>Modelo - Business Plan - Estratégia de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</si>
</sst>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#,##0.0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51FF"/>
      <name val="Calibri"/>
      <family val="2"/>
      <scheme val="minor"/>
    </font>
    <font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i/>
      <sz val="11"/>
      <color rgb="FFBEBFBE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i/>
      <sz val="8"/>
      <color theme="0" tint="-0.34998626667073579"/>
      <name val="Calibri"/>
      <family val="2"/>
      <scheme val="minor"/>
    </font>
    <font>
      <i/>
      <sz val="8"/>
      <color theme="0" tint="-0.499984740745262"/>
      <name val="Calibri"/>
      <family val="2"/>
      <scheme val="minor"/>
    </font>
    <font>
      <sz val="8"/>
      <color rgb="FF2251FF"/>
      <name val="Calibri"/>
      <family val="2"/>
      <scheme val="minor"/>
    </font>
    <font>
      <sz val="8"/>
      <name val="Calibri"/>
      <family val="2"/>
      <scheme val="minor"/>
    </font>
    <font>
      <b/>
      <i/>
      <sz val="8"/>
      <color rgb="FFBEBFBE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b/>
      <sz val="18"/>
      <color theme="0"/>
      <name val="Calibri"/>
      <family val="2"/>
      <scheme val="minor"/>
    </font>
    <font>
      <i/>
      <sz val="11"/>
      <color theme="0" tint="-0.34998626667073579"/>
      <name val="Calibri"/>
      <family val="2"/>
      <scheme val="minor"/>
    </font>
    <font>
      <b/>
      <sz val="11"/>
      <color rgb="FF2251FF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51C2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6ECFF"/>
        <bgColor indexed="64"/>
      </patternFill>
    </fill>
    <fill>
      <patternFill patternType="solid">
        <fgColor rgb="FF00A9F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/>
        <bgColor theme="4" tint="0.79998168889431442"/>
      </patternFill>
    </fill>
    <fill>
      <patternFill patternType="solid">
        <fgColor theme="1" tint="0.499984740745262"/>
        <bgColor theme="4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225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/>
      <right/>
      <top style="thin">
        <color rgb="FFDBDBDB"/>
      </top>
      <bottom style="thin">
        <color rgb="FFDBDBDB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/>
      <top/>
      <bottom style="thin">
        <color theme="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6" fillId="0" borderId="0"/>
    <xf numFmtId="0" fontId="7" fillId="0" borderId="0" applyNumberFormat="0" applyFill="0" applyBorder="0" applyAlignment="0" applyProtection="0"/>
  </cellStyleXfs>
  <cellXfs count="139">
    <xf numFmtId="0" fontId="0" fillId="0" borderId="0" xfId="0"/>
    <xf numFmtId="0" fontId="1" fillId="0" borderId="0" xfId="2" applyFont="1"/>
    <xf numFmtId="0" fontId="8" fillId="0" borderId="1" xfId="2" applyFont="1" applyBorder="1"/>
    <xf numFmtId="0" fontId="2" fillId="2" borderId="0" xfId="2" applyFont="1" applyFill="1" applyAlignment="1">
      <alignment horizontal="left"/>
    </xf>
    <xf numFmtId="0" fontId="9" fillId="0" borderId="0" xfId="2" applyFont="1"/>
    <xf numFmtId="0" fontId="10" fillId="0" borderId="0" xfId="2" applyFont="1"/>
    <xf numFmtId="0" fontId="11" fillId="0" borderId="0" xfId="2" applyFont="1"/>
    <xf numFmtId="0" fontId="11" fillId="0" borderId="0" xfId="2" quotePrefix="1" applyFont="1" applyAlignment="1">
      <alignment horizontal="left" indent="1"/>
    </xf>
    <xf numFmtId="0" fontId="11" fillId="0" borderId="0" xfId="2" applyFont="1" applyAlignment="1">
      <alignment wrapText="1"/>
    </xf>
    <xf numFmtId="0" fontId="12" fillId="0" borderId="0" xfId="2" applyFont="1" applyAlignment="1">
      <alignment horizontal="left"/>
    </xf>
    <xf numFmtId="0" fontId="12" fillId="0" borderId="0" xfId="2" applyFont="1"/>
    <xf numFmtId="0" fontId="13" fillId="3" borderId="0" xfId="2" applyFont="1" applyFill="1"/>
    <xf numFmtId="0" fontId="11" fillId="0" borderId="0" xfId="2" quotePrefix="1" applyFont="1"/>
    <xf numFmtId="0" fontId="4" fillId="3" borderId="2" xfId="0" applyFont="1" applyFill="1" applyBorder="1" applyAlignment="1">
      <alignment horizontal="left" vertical="center" wrapText="1" indent="1"/>
    </xf>
    <xf numFmtId="0" fontId="14" fillId="0" borderId="3" xfId="2" applyFont="1" applyBorder="1" applyAlignment="1">
      <alignment horizontal="left"/>
    </xf>
    <xf numFmtId="0" fontId="4" fillId="3" borderId="4" xfId="0" applyFont="1" applyFill="1" applyBorder="1" applyAlignment="1">
      <alignment horizontal="left" vertical="center" wrapText="1" indent="1"/>
    </xf>
    <xf numFmtId="0" fontId="15" fillId="0" borderId="3" xfId="2" applyFont="1" applyBorder="1" applyAlignment="1">
      <alignment horizontal="left"/>
    </xf>
    <xf numFmtId="0" fontId="15" fillId="4" borderId="3" xfId="2" applyFont="1" applyFill="1" applyBorder="1"/>
    <xf numFmtId="0" fontId="15" fillId="4" borderId="3" xfId="2" applyFont="1" applyFill="1" applyBorder="1" applyAlignment="1">
      <alignment vertical="center"/>
    </xf>
    <xf numFmtId="0" fontId="4" fillId="3" borderId="5" xfId="0" applyFont="1" applyFill="1" applyBorder="1" applyAlignment="1">
      <alignment horizontal="left" vertical="center" wrapText="1" indent="1"/>
    </xf>
    <xf numFmtId="0" fontId="16" fillId="5" borderId="3" xfId="2" applyFont="1" applyFill="1" applyBorder="1" applyAlignment="1">
      <alignment horizontal="left"/>
    </xf>
    <xf numFmtId="0" fontId="11" fillId="6" borderId="3" xfId="2" applyFont="1" applyFill="1" applyBorder="1" applyAlignment="1">
      <alignment horizontal="left"/>
    </xf>
    <xf numFmtId="0" fontId="1" fillId="5" borderId="3" xfId="2" applyFont="1" applyFill="1" applyBorder="1" applyAlignment="1">
      <alignment horizontal="left"/>
    </xf>
    <xf numFmtId="0" fontId="3" fillId="7" borderId="0" xfId="2" applyFont="1" applyFill="1" applyAlignment="1">
      <alignment horizontal="left"/>
    </xf>
    <xf numFmtId="0" fontId="11" fillId="7" borderId="0" xfId="2" applyFont="1" applyFill="1" applyAlignment="1">
      <alignment horizontal="left"/>
    </xf>
    <xf numFmtId="0" fontId="5" fillId="0" borderId="0" xfId="0" applyFont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0" borderId="0" xfId="0" applyFont="1"/>
    <xf numFmtId="3" fontId="4" fillId="0" borderId="0" xfId="0" applyNumberFormat="1" applyFont="1"/>
    <xf numFmtId="9" fontId="4" fillId="0" borderId="0" xfId="1" applyFont="1" applyAlignment="1">
      <alignment horizontal="center"/>
    </xf>
    <xf numFmtId="164" fontId="4" fillId="0" borderId="0" xfId="1" applyNumberFormat="1" applyFont="1" applyAlignment="1">
      <alignment horizontal="center"/>
    </xf>
    <xf numFmtId="165" fontId="4" fillId="0" borderId="0" xfId="1" applyNumberFormat="1" applyFont="1" applyAlignment="1">
      <alignment horizontal="center"/>
    </xf>
    <xf numFmtId="165" fontId="1" fillId="0" borderId="0" xfId="1" applyNumberFormat="1" applyFont="1" applyAlignment="1">
      <alignment horizontal="center"/>
    </xf>
    <xf numFmtId="3" fontId="0" fillId="0" borderId="0" xfId="0" applyNumberForma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4" fontId="1" fillId="0" borderId="0" xfId="1" applyNumberFormat="1" applyFont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left" indent="1"/>
    </xf>
    <xf numFmtId="3" fontId="17" fillId="0" borderId="0" xfId="0" applyNumberFormat="1" applyFont="1"/>
    <xf numFmtId="0" fontId="4" fillId="10" borderId="0" xfId="0" applyFont="1" applyFill="1"/>
    <xf numFmtId="3" fontId="4" fillId="10" borderId="0" xfId="0" applyNumberFormat="1" applyFont="1" applyFill="1"/>
    <xf numFmtId="9" fontId="4" fillId="10" borderId="0" xfId="1" applyFont="1" applyFill="1" applyAlignment="1">
      <alignment horizontal="center"/>
    </xf>
    <xf numFmtId="164" fontId="4" fillId="10" borderId="0" xfId="1" applyNumberFormat="1" applyFont="1" applyFill="1" applyAlignment="1">
      <alignment horizontal="center"/>
    </xf>
    <xf numFmtId="0" fontId="2" fillId="2" borderId="0" xfId="0" applyFont="1" applyFill="1"/>
    <xf numFmtId="0" fontId="2" fillId="11" borderId="0" xfId="0" applyFont="1" applyFill="1"/>
    <xf numFmtId="0" fontId="0" fillId="10" borderId="0" xfId="0" applyFill="1"/>
    <xf numFmtId="0" fontId="4" fillId="0" borderId="7" xfId="0" applyFont="1" applyBorder="1"/>
    <xf numFmtId="0" fontId="7" fillId="0" borderId="0" xfId="3"/>
    <xf numFmtId="0" fontId="0" fillId="0" borderId="0" xfId="0" applyAlignment="1">
      <alignment vertical="center"/>
    </xf>
    <xf numFmtId="0" fontId="18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4" fillId="11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0" fillId="10" borderId="0" xfId="0" applyFill="1" applyAlignment="1">
      <alignment vertical="center"/>
    </xf>
    <xf numFmtId="0" fontId="21" fillId="0" borderId="7" xfId="0" applyFont="1" applyBorder="1" applyAlignment="1">
      <alignment vertical="center"/>
    </xf>
    <xf numFmtId="0" fontId="22" fillId="0" borderId="7" xfId="0" applyFont="1" applyBorder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Alignment="1">
      <alignment vertical="center" wrapText="1"/>
    </xf>
    <xf numFmtId="0" fontId="23" fillId="0" borderId="0" xfId="3" applyFont="1" applyAlignment="1">
      <alignment vertical="center" wrapText="1"/>
    </xf>
    <xf numFmtId="0" fontId="26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9" fontId="22" fillId="0" borderId="0" xfId="0" applyNumberFormat="1" applyFont="1" applyAlignment="1">
      <alignment vertical="center"/>
    </xf>
    <xf numFmtId="9" fontId="27" fillId="4" borderId="0" xfId="0" applyNumberFormat="1" applyFont="1" applyFill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21" fillId="0" borderId="7" xfId="0" applyFont="1" applyBorder="1" applyAlignment="1">
      <alignment horizontal="right" vertical="center"/>
    </xf>
    <xf numFmtId="3" fontId="22" fillId="0" borderId="0" xfId="0" applyNumberFormat="1" applyFont="1" applyAlignment="1">
      <alignment vertical="center"/>
    </xf>
    <xf numFmtId="9" fontId="22" fillId="0" borderId="0" xfId="1" applyFont="1" applyAlignment="1">
      <alignment vertical="center"/>
    </xf>
    <xf numFmtId="164" fontId="22" fillId="0" borderId="0" xfId="1" applyNumberFormat="1" applyFont="1" applyAlignment="1">
      <alignment vertical="center"/>
    </xf>
    <xf numFmtId="164" fontId="27" fillId="4" borderId="0" xfId="1" applyNumberFormat="1" applyFont="1" applyFill="1" applyAlignment="1">
      <alignment vertical="center"/>
    </xf>
    <xf numFmtId="3" fontId="27" fillId="12" borderId="0" xfId="0" applyNumberFormat="1" applyFont="1" applyFill="1" applyAlignment="1">
      <alignment vertical="center"/>
    </xf>
    <xf numFmtId="164" fontId="27" fillId="12" borderId="0" xfId="1" applyNumberFormat="1" applyFont="1" applyFill="1" applyAlignment="1">
      <alignment vertical="center"/>
    </xf>
    <xf numFmtId="9" fontId="27" fillId="12" borderId="0" xfId="1" applyFont="1" applyFill="1" applyAlignment="1">
      <alignment vertical="center"/>
    </xf>
    <xf numFmtId="9" fontId="28" fillId="12" borderId="0" xfId="1" applyFont="1" applyFill="1" applyAlignment="1">
      <alignment vertical="center"/>
    </xf>
    <xf numFmtId="0" fontId="29" fillId="0" borderId="7" xfId="0" applyFont="1" applyBorder="1" applyAlignment="1">
      <alignment horizontal="right" vertical="center"/>
    </xf>
    <xf numFmtId="3" fontId="30" fillId="0" borderId="0" xfId="0" applyNumberFormat="1" applyFont="1" applyAlignment="1">
      <alignment vertical="center"/>
    </xf>
    <xf numFmtId="0" fontId="21" fillId="0" borderId="8" xfId="0" applyFont="1" applyBorder="1" applyAlignment="1">
      <alignment vertical="center"/>
    </xf>
    <xf numFmtId="0" fontId="21" fillId="0" borderId="8" xfId="0" applyFont="1" applyBorder="1" applyAlignment="1">
      <alignment horizontal="right" vertical="center"/>
    </xf>
    <xf numFmtId="0" fontId="22" fillId="0" borderId="7" xfId="0" applyFont="1" applyBorder="1" applyAlignment="1">
      <alignment horizontal="left" vertical="center"/>
    </xf>
    <xf numFmtId="3" fontId="22" fillId="0" borderId="7" xfId="0" applyNumberFormat="1" applyFont="1" applyBorder="1" applyAlignment="1">
      <alignment vertical="center"/>
    </xf>
    <xf numFmtId="9" fontId="22" fillId="0" borderId="0" xfId="1" applyFont="1" applyBorder="1" applyAlignment="1">
      <alignment vertical="center"/>
    </xf>
    <xf numFmtId="9" fontId="22" fillId="0" borderId="7" xfId="1" applyFont="1" applyBorder="1" applyAlignment="1">
      <alignment vertical="center"/>
    </xf>
    <xf numFmtId="0" fontId="31" fillId="2" borderId="0" xfId="0" applyFont="1" applyFill="1"/>
    <xf numFmtId="0" fontId="2" fillId="8" borderId="0" xfId="0" applyFont="1" applyFill="1" applyAlignment="1">
      <alignment horizontal="center" vertical="center" wrapText="1"/>
    </xf>
    <xf numFmtId="0" fontId="15" fillId="4" borderId="9" xfId="0" applyFont="1" applyFill="1" applyBorder="1"/>
    <xf numFmtId="0" fontId="15" fillId="4" borderId="10" xfId="0" applyFont="1" applyFill="1" applyBorder="1"/>
    <xf numFmtId="0" fontId="4" fillId="0" borderId="7" xfId="0" applyFont="1" applyBorder="1" applyAlignment="1">
      <alignment wrapText="1"/>
    </xf>
    <xf numFmtId="0" fontId="15" fillId="4" borderId="12" xfId="0" applyFont="1" applyFill="1" applyBorder="1"/>
    <xf numFmtId="0" fontId="4" fillId="0" borderId="11" xfId="0" applyFont="1" applyBorder="1"/>
    <xf numFmtId="9" fontId="0" fillId="0" borderId="0" xfId="1" applyFont="1"/>
    <xf numFmtId="9" fontId="0" fillId="0" borderId="7" xfId="1" applyFont="1" applyBorder="1"/>
    <xf numFmtId="0" fontId="0" fillId="0" borderId="0" xfId="0" applyAlignment="1">
      <alignment horizontal="left"/>
    </xf>
    <xf numFmtId="0" fontId="4" fillId="10" borderId="0" xfId="0" applyFont="1" applyFill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3" fontId="15" fillId="12" borderId="0" xfId="0" applyNumberFormat="1" applyFont="1" applyFill="1" applyAlignment="1">
      <alignment horizontal="left" vertical="center"/>
    </xf>
    <xf numFmtId="9" fontId="15" fillId="12" borderId="0" xfId="1" applyFont="1" applyFill="1" applyAlignment="1">
      <alignment horizontal="left" vertical="center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3" fontId="15" fillId="12" borderId="7" xfId="0" applyNumberFormat="1" applyFont="1" applyFill="1" applyBorder="1" applyAlignment="1">
      <alignment horizontal="left" vertical="center"/>
    </xf>
    <xf numFmtId="9" fontId="15" fillId="12" borderId="7" xfId="1" applyFont="1" applyFill="1" applyBorder="1" applyAlignment="1">
      <alignment horizontal="left" vertical="center"/>
    </xf>
    <xf numFmtId="9" fontId="15" fillId="12" borderId="0" xfId="1" applyFont="1" applyFill="1" applyBorder="1" applyAlignment="1">
      <alignment horizontal="left" vertical="center"/>
    </xf>
    <xf numFmtId="0" fontId="32" fillId="0" borderId="0" xfId="0" applyFont="1"/>
    <xf numFmtId="0" fontId="0" fillId="0" borderId="7" xfId="0" applyBorder="1"/>
    <xf numFmtId="3" fontId="11" fillId="0" borderId="0" xfId="0" applyNumberFormat="1" applyFont="1"/>
    <xf numFmtId="3" fontId="15" fillId="12" borderId="11" xfId="0" applyNumberFormat="1" applyFont="1" applyFill="1" applyBorder="1" applyAlignment="1">
      <alignment horizontal="left" vertical="center"/>
    </xf>
    <xf numFmtId="9" fontId="15" fillId="12" borderId="11" xfId="1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3" fontId="0" fillId="0" borderId="0" xfId="0" applyNumberFormat="1" applyAlignment="1">
      <alignment horizontal="left"/>
    </xf>
    <xf numFmtId="3" fontId="0" fillId="0" borderId="7" xfId="0" applyNumberFormat="1" applyBorder="1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/>
    </xf>
    <xf numFmtId="3" fontId="15" fillId="12" borderId="0" xfId="0" applyNumberFormat="1" applyFont="1" applyFill="1" applyAlignment="1">
      <alignment horizontal="left"/>
    </xf>
    <xf numFmtId="9" fontId="15" fillId="12" borderId="0" xfId="0" applyNumberFormat="1" applyFont="1" applyFill="1" applyAlignment="1">
      <alignment horizontal="left"/>
    </xf>
    <xf numFmtId="0" fontId="4" fillId="0" borderId="7" xfId="0" applyFont="1" applyBorder="1" applyAlignment="1">
      <alignment horizontal="left"/>
    </xf>
    <xf numFmtId="9" fontId="0" fillId="0" borderId="0" xfId="1" applyFont="1" applyAlignment="1">
      <alignment horizontal="left"/>
    </xf>
    <xf numFmtId="0" fontId="33" fillId="4" borderId="0" xfId="0" applyFont="1" applyFill="1" applyAlignment="1">
      <alignment horizontal="left" vertical="center"/>
    </xf>
    <xf numFmtId="0" fontId="33" fillId="4" borderId="7" xfId="0" applyFont="1" applyFill="1" applyBorder="1" applyAlignment="1">
      <alignment horizontal="left" vertical="center"/>
    </xf>
    <xf numFmtId="3" fontId="0" fillId="0" borderId="7" xfId="0" applyNumberFormat="1" applyBorder="1" applyAlignment="1">
      <alignment horizontal="left" vertical="center"/>
    </xf>
    <xf numFmtId="3" fontId="15" fillId="12" borderId="7" xfId="0" applyNumberFormat="1" applyFont="1" applyFill="1" applyBorder="1" applyAlignment="1">
      <alignment horizontal="left"/>
    </xf>
    <xf numFmtId="9" fontId="15" fillId="12" borderId="7" xfId="0" applyNumberFormat="1" applyFont="1" applyFill="1" applyBorder="1" applyAlignment="1">
      <alignment horizontal="left"/>
    </xf>
    <xf numFmtId="9" fontId="0" fillId="0" borderId="7" xfId="1" applyFont="1" applyBorder="1" applyAlignment="1">
      <alignment horizontal="left"/>
    </xf>
    <xf numFmtId="0" fontId="33" fillId="4" borderId="9" xfId="0" applyFont="1" applyFill="1" applyBorder="1" applyAlignment="1">
      <alignment horizontal="left" vertical="center"/>
    </xf>
    <xf numFmtId="164" fontId="33" fillId="4" borderId="0" xfId="0" applyNumberFormat="1" applyFont="1" applyFill="1" applyAlignment="1">
      <alignment horizontal="left"/>
    </xf>
    <xf numFmtId="164" fontId="33" fillId="4" borderId="9" xfId="0" applyNumberFormat="1" applyFont="1" applyFill="1" applyBorder="1" applyAlignment="1">
      <alignment horizontal="left"/>
    </xf>
    <xf numFmtId="164" fontId="33" fillId="4" borderId="7" xfId="0" applyNumberFormat="1" applyFont="1" applyFill="1" applyBorder="1" applyAlignment="1">
      <alignment horizontal="left"/>
    </xf>
    <xf numFmtId="9" fontId="0" fillId="0" borderId="0" xfId="1" applyFont="1" applyFill="1" applyBorder="1" applyAlignment="1">
      <alignment horizontal="left" vertical="center"/>
    </xf>
    <xf numFmtId="9" fontId="0" fillId="0" borderId="0" xfId="1" applyFont="1" applyFill="1" applyBorder="1" applyAlignment="1">
      <alignment horizontal="left"/>
    </xf>
    <xf numFmtId="0" fontId="19" fillId="0" borderId="0" xfId="0" applyFont="1" applyAlignment="1">
      <alignment horizontal="left" vertical="center"/>
    </xf>
    <xf numFmtId="9" fontId="2" fillId="13" borderId="0" xfId="1" applyFont="1" applyFill="1" applyAlignment="1">
      <alignment horizontal="left"/>
    </xf>
    <xf numFmtId="3" fontId="2" fillId="13" borderId="13" xfId="0" applyNumberFormat="1" applyFont="1" applyFill="1" applyBorder="1" applyAlignment="1">
      <alignment horizontal="left"/>
    </xf>
    <xf numFmtId="0" fontId="5" fillId="11" borderId="0" xfId="0" applyFont="1" applyFill="1"/>
    <xf numFmtId="0" fontId="4" fillId="0" borderId="7" xfId="0" applyFont="1" applyBorder="1" applyAlignment="1">
      <alignment horizontal="left" wrapText="1"/>
    </xf>
    <xf numFmtId="3" fontId="4" fillId="0" borderId="11" xfId="0" applyNumberFormat="1" applyFont="1" applyBorder="1" applyAlignment="1">
      <alignment horizontal="left"/>
    </xf>
    <xf numFmtId="164" fontId="2" fillId="13" borderId="0" xfId="1" applyNumberFormat="1" applyFont="1" applyFill="1" applyAlignment="1">
      <alignment horizontal="left"/>
    </xf>
  </cellXfs>
  <cellStyles count="4">
    <cellStyle name="Hyperlink" xfId="3" builtinId="8"/>
    <cellStyle name="Normal" xfId="0" builtinId="0"/>
    <cellStyle name="Normal 2" xfId="2" xr:uid="{CFB4917D-84C2-4A9F-8108-2C0C8DDCD7C0}"/>
    <cellStyle name="Percent" xfId="1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Matriz</a:t>
            </a:r>
            <a:r>
              <a:rPr lang="pt-BR" baseline="0"/>
              <a:t> MACS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'MACS Matrix'!$G$66:$G$77</c:f>
              <c:numCache>
                <c:formatCode>0%</c:formatCode>
                <c:ptCount val="12"/>
                <c:pt idx="0">
                  <c:v>1.1000000000000001</c:v>
                </c:pt>
                <c:pt idx="1">
                  <c:v>0.89235772617366405</c:v>
                </c:pt>
                <c:pt idx="2">
                  <c:v>0.20936298663102934</c:v>
                </c:pt>
                <c:pt idx="3">
                  <c:v>0.68104266929228052</c:v>
                </c:pt>
                <c:pt idx="4">
                  <c:v>0.54812939542916539</c:v>
                </c:pt>
                <c:pt idx="5">
                  <c:v>0.30155392370179573</c:v>
                </c:pt>
                <c:pt idx="6">
                  <c:v>0.64680489481014536</c:v>
                </c:pt>
                <c:pt idx="7">
                  <c:v>0.10000000000000002</c:v>
                </c:pt>
                <c:pt idx="8">
                  <c:v>0.31034127639418996</c:v>
                </c:pt>
                <c:pt idx="9">
                  <c:v>0.28476738113198402</c:v>
                </c:pt>
                <c:pt idx="10">
                  <c:v>0.33624428166778608</c:v>
                </c:pt>
                <c:pt idx="11">
                  <c:v>0.81969463436180101</c:v>
                </c:pt>
              </c:numCache>
            </c:numRef>
          </c:xVal>
          <c:yVal>
            <c:numRef>
              <c:f>'MACS Matrix'!$F$66:$F$77</c:f>
              <c:numCache>
                <c:formatCode>0%</c:formatCode>
                <c:ptCount val="12"/>
                <c:pt idx="0">
                  <c:v>0.62433807433562627</c:v>
                </c:pt>
                <c:pt idx="1">
                  <c:v>0.1971396089270836</c:v>
                </c:pt>
                <c:pt idx="2">
                  <c:v>0.20724501009306839</c:v>
                </c:pt>
                <c:pt idx="3">
                  <c:v>0.22163581774751878</c:v>
                </c:pt>
                <c:pt idx="4">
                  <c:v>0.26356298203504436</c:v>
                </c:pt>
                <c:pt idx="5">
                  <c:v>0.40462295021325045</c:v>
                </c:pt>
                <c:pt idx="6">
                  <c:v>0.18032952947719216</c:v>
                </c:pt>
                <c:pt idx="7">
                  <c:v>0.36326196410329842</c:v>
                </c:pt>
                <c:pt idx="8">
                  <c:v>0.17187940264863344</c:v>
                </c:pt>
                <c:pt idx="9">
                  <c:v>0.72131040868518581</c:v>
                </c:pt>
                <c:pt idx="10">
                  <c:v>0.87469709777402094</c:v>
                </c:pt>
                <c:pt idx="11">
                  <c:v>0.45428338383063083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A9-4025-BBD9-713870B58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252832"/>
        <c:axId val="470250432"/>
      </c:scatterChart>
      <c:valAx>
        <c:axId val="470252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0250432"/>
        <c:crosses val="autoZero"/>
        <c:crossBetween val="midCat"/>
      </c:valAx>
      <c:valAx>
        <c:axId val="4702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0252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212912</xdr:colOff>
      <xdr:row>50</xdr:row>
      <xdr:rowOff>0</xdr:rowOff>
    </xdr:from>
    <xdr:to>
      <xdr:col>2</xdr:col>
      <xdr:colOff>212912</xdr:colOff>
      <xdr:row>82</xdr:row>
      <xdr:rowOff>157629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A4AD641-AD6F-40F5-8C76-12366E124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692" y="8923020"/>
          <a:ext cx="0" cy="5765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212912</xdr:colOff>
      <xdr:row>51</xdr:row>
      <xdr:rowOff>0</xdr:rowOff>
    </xdr:from>
    <xdr:to>
      <xdr:col>2</xdr:col>
      <xdr:colOff>212912</xdr:colOff>
      <xdr:row>83</xdr:row>
      <xdr:rowOff>157634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C6718A4-25B9-414B-AC1C-1E1FFCADB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9692" y="9098280"/>
          <a:ext cx="0" cy="57659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2196353</xdr:colOff>
      <xdr:row>9</xdr:row>
      <xdr:rowOff>107576</xdr:rowOff>
    </xdr:from>
    <xdr:to>
      <xdr:col>3</xdr:col>
      <xdr:colOff>4767320</xdr:colOff>
      <xdr:row>30</xdr:row>
      <xdr:rowOff>23558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BDAD728-6BAD-43C4-8AE9-05CD2D85D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0988" y="1846729"/>
          <a:ext cx="2570967" cy="3681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219808</xdr:colOff>
      <xdr:row>78</xdr:row>
      <xdr:rowOff>35170</xdr:rowOff>
    </xdr:from>
    <xdr:to>
      <xdr:col>4</xdr:col>
      <xdr:colOff>929054</xdr:colOff>
      <xdr:row>99</xdr:row>
      <xdr:rowOff>70339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7B53F4-E59D-21AA-D066-2C9A00D21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aaoufpr@liv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1io3yog0oux5.cloudfront.net/_ef757e5dffaec17ea32917f7ddbefb0c/cocacolacompany/db/706/8098/pdf/IROverview+-1Q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BB33-8578-4692-AA01-545D815E1666}">
  <sheetPr codeName="Sheet4"/>
  <dimension ref="A1:XFC56"/>
  <sheetViews>
    <sheetView showGridLines="0" tabSelected="1" zoomScale="85" zoomScaleNormal="85" workbookViewId="0">
      <selection activeCell="D6" sqref="D6"/>
    </sheetView>
  </sheetViews>
  <sheetFormatPr defaultColWidth="0" defaultRowHeight="14.4" x14ac:dyDescent="0.3"/>
  <cols>
    <col min="1" max="1" width="1.88671875" style="1" customWidth="1"/>
    <col min="2" max="2" width="11.33203125" style="1" customWidth="1"/>
    <col min="3" max="3" width="17.77734375" style="1" customWidth="1"/>
    <col min="4" max="4" width="144.77734375" style="1" customWidth="1"/>
    <col min="5" max="5" width="1.88671875" style="1" customWidth="1"/>
    <col min="6" max="6" width="35.6640625" style="1" hidden="1"/>
    <col min="7" max="7" width="1.88671875" style="1" hidden="1"/>
    <col min="8" max="12" width="35.6640625" style="1" hidden="1"/>
    <col min="13" max="16383" width="9.21875" style="1" hidden="1"/>
    <col min="16384" max="16384" width="6.109375" style="1" hidden="1"/>
  </cols>
  <sheetData>
    <row r="1" spans="2:4" s="2" customFormat="1" ht="24" customHeight="1" thickBot="1" x14ac:dyDescent="0.5">
      <c r="B1" s="2" t="s">
        <v>157</v>
      </c>
    </row>
    <row r="3" spans="2:4" x14ac:dyDescent="0.3">
      <c r="B3" s="3" t="s">
        <v>13</v>
      </c>
      <c r="C3" s="3"/>
      <c r="D3" s="3"/>
    </row>
    <row r="4" spans="2:4" x14ac:dyDescent="0.3">
      <c r="B4" s="4"/>
      <c r="C4" s="4"/>
      <c r="D4" s="5"/>
    </row>
    <row r="5" spans="2:4" x14ac:dyDescent="0.3">
      <c r="B5" s="6" t="s">
        <v>156</v>
      </c>
      <c r="C5" s="6"/>
      <c r="D5" s="6"/>
    </row>
    <row r="6" spans="2:4" x14ac:dyDescent="0.3">
      <c r="B6" s="7"/>
      <c r="C6" s="8"/>
      <c r="D6" s="8"/>
    </row>
    <row r="7" spans="2:4" x14ac:dyDescent="0.3">
      <c r="B7" s="6"/>
      <c r="C7" s="6"/>
      <c r="D7" s="6"/>
    </row>
    <row r="8" spans="2:4" x14ac:dyDescent="0.3">
      <c r="B8" s="6"/>
      <c r="C8" s="6"/>
      <c r="D8" s="6"/>
    </row>
    <row r="9" spans="2:4" x14ac:dyDescent="0.3">
      <c r="B9" s="3" t="s">
        <v>14</v>
      </c>
      <c r="C9" s="3"/>
      <c r="D9" s="3"/>
    </row>
    <row r="10" spans="2:4" s="6" customFormat="1" x14ac:dyDescent="0.3">
      <c r="B10" s="9"/>
      <c r="C10" s="9"/>
      <c r="D10" s="9"/>
    </row>
    <row r="11" spans="2:4" s="6" customFormat="1" x14ac:dyDescent="0.3">
      <c r="B11" s="9"/>
      <c r="C11" s="9"/>
      <c r="D11" s="9"/>
    </row>
    <row r="12" spans="2:4" s="6" customFormat="1" x14ac:dyDescent="0.3">
      <c r="B12" s="9"/>
      <c r="C12" s="9"/>
      <c r="D12" s="9"/>
    </row>
    <row r="13" spans="2:4" s="6" customFormat="1" x14ac:dyDescent="0.3">
      <c r="B13" s="9"/>
      <c r="C13" s="9"/>
      <c r="D13" s="9"/>
    </row>
    <row r="14" spans="2:4" s="6" customFormat="1" x14ac:dyDescent="0.3">
      <c r="B14" s="9"/>
      <c r="C14" s="9"/>
      <c r="D14" s="9"/>
    </row>
    <row r="15" spans="2:4" s="6" customFormat="1" x14ac:dyDescent="0.3">
      <c r="B15" s="9"/>
      <c r="C15" s="9"/>
      <c r="D15" s="9"/>
    </row>
    <row r="16" spans="2:4" s="6" customFormat="1" x14ac:dyDescent="0.3">
      <c r="B16" s="9"/>
      <c r="C16" s="9"/>
      <c r="D16" s="9"/>
    </row>
    <row r="17" spans="1:4" s="6" customFormat="1" x14ac:dyDescent="0.3">
      <c r="B17" s="9"/>
      <c r="C17" s="9"/>
      <c r="D17" s="9"/>
    </row>
    <row r="18" spans="1:4" s="6" customFormat="1" x14ac:dyDescent="0.3">
      <c r="B18" s="9"/>
      <c r="C18" s="9"/>
      <c r="D18" s="9"/>
    </row>
    <row r="19" spans="1:4" s="6" customFormat="1" x14ac:dyDescent="0.3">
      <c r="B19" s="9"/>
      <c r="C19" s="9"/>
      <c r="D19" s="9"/>
    </row>
    <row r="20" spans="1:4" s="6" customFormat="1" x14ac:dyDescent="0.3">
      <c r="B20" s="9"/>
      <c r="C20" s="9"/>
      <c r="D20" s="9"/>
    </row>
    <row r="21" spans="1:4" s="6" customFormat="1" x14ac:dyDescent="0.3">
      <c r="B21" s="9"/>
      <c r="C21" s="9"/>
      <c r="D21" s="9"/>
    </row>
    <row r="22" spans="1:4" s="6" customFormat="1" x14ac:dyDescent="0.3">
      <c r="B22" s="9"/>
      <c r="C22" s="9"/>
      <c r="D22" s="9"/>
    </row>
    <row r="23" spans="1:4" s="6" customFormat="1" x14ac:dyDescent="0.3">
      <c r="B23" s="9"/>
      <c r="C23" s="9"/>
      <c r="D23" s="9"/>
    </row>
    <row r="24" spans="1:4" s="6" customFormat="1" x14ac:dyDescent="0.3">
      <c r="B24" s="9"/>
      <c r="C24" s="9"/>
      <c r="D24" s="9"/>
    </row>
    <row r="25" spans="1:4" s="6" customFormat="1" x14ac:dyDescent="0.3">
      <c r="B25" s="9"/>
      <c r="C25" s="9"/>
      <c r="D25" s="9"/>
    </row>
    <row r="26" spans="1:4" s="6" customFormat="1" x14ac:dyDescent="0.3">
      <c r="B26" s="9"/>
      <c r="C26" s="9"/>
      <c r="D26" s="9"/>
    </row>
    <row r="27" spans="1:4" s="6" customFormat="1" x14ac:dyDescent="0.3">
      <c r="B27" s="9"/>
      <c r="C27" s="9"/>
      <c r="D27" s="9"/>
    </row>
    <row r="28" spans="1:4" s="6" customFormat="1" x14ac:dyDescent="0.3">
      <c r="B28" s="9"/>
      <c r="C28" s="9"/>
      <c r="D28" s="9"/>
    </row>
    <row r="29" spans="1:4" s="6" customFormat="1" x14ac:dyDescent="0.3">
      <c r="B29" s="9"/>
      <c r="C29" s="9"/>
      <c r="D29" s="9"/>
    </row>
    <row r="30" spans="1:4" s="6" customFormat="1" x14ac:dyDescent="0.3">
      <c r="B30" s="9"/>
      <c r="C30" s="9"/>
      <c r="D30" s="9"/>
    </row>
    <row r="31" spans="1:4" s="6" customFormat="1" x14ac:dyDescent="0.3">
      <c r="B31" s="9"/>
      <c r="C31" s="9"/>
      <c r="D31" s="9"/>
    </row>
    <row r="32" spans="1:4" x14ac:dyDescent="0.3">
      <c r="A32" s="6"/>
      <c r="B32" s="3" t="s">
        <v>0</v>
      </c>
      <c r="C32" s="3"/>
      <c r="D32" s="3"/>
    </row>
    <row r="33" spans="2:4" x14ac:dyDescent="0.3">
      <c r="B33" s="6"/>
      <c r="C33" s="10"/>
      <c r="D33" s="6"/>
    </row>
    <row r="34" spans="2:4" x14ac:dyDescent="0.3">
      <c r="B34" s="11" t="s">
        <v>69</v>
      </c>
      <c r="C34" s="11"/>
      <c r="D34" s="11"/>
    </row>
    <row r="35" spans="2:4" x14ac:dyDescent="0.3">
      <c r="B35" s="6" t="s">
        <v>70</v>
      </c>
      <c r="C35" s="6"/>
      <c r="D35" s="12"/>
    </row>
    <row r="36" spans="2:4" x14ac:dyDescent="0.3">
      <c r="B36" s="6"/>
      <c r="C36" s="6"/>
      <c r="D36" s="12"/>
    </row>
    <row r="37" spans="2:4" x14ac:dyDescent="0.3">
      <c r="B37" s="11" t="s">
        <v>117</v>
      </c>
      <c r="C37" s="11"/>
      <c r="D37" s="11"/>
    </row>
    <row r="38" spans="2:4" x14ac:dyDescent="0.3">
      <c r="B38" s="6" t="s">
        <v>150</v>
      </c>
      <c r="C38" s="10"/>
      <c r="D38" s="6"/>
    </row>
    <row r="39" spans="2:4" x14ac:dyDescent="0.3">
      <c r="B39" s="6"/>
      <c r="C39" s="10"/>
      <c r="D39" s="6"/>
    </row>
    <row r="40" spans="2:4" x14ac:dyDescent="0.3">
      <c r="B40" s="6"/>
      <c r="C40" s="6"/>
      <c r="D40" s="6"/>
    </row>
    <row r="41" spans="2:4" x14ac:dyDescent="0.3">
      <c r="B41" s="3" t="s">
        <v>1</v>
      </c>
      <c r="C41" s="3"/>
      <c r="D41" s="3"/>
    </row>
    <row r="42" spans="2:4" x14ac:dyDescent="0.3">
      <c r="B42" s="4"/>
      <c r="C42" s="5"/>
      <c r="D42" s="5"/>
    </row>
    <row r="43" spans="2:4" x14ac:dyDescent="0.3">
      <c r="B43" s="6" t="s">
        <v>2</v>
      </c>
      <c r="C43" s="6"/>
      <c r="D43" s="6"/>
    </row>
    <row r="44" spans="2:4" ht="15" thickBot="1" x14ac:dyDescent="0.35">
      <c r="B44" s="6"/>
      <c r="C44" s="6"/>
      <c r="D44" s="6"/>
    </row>
    <row r="45" spans="2:4" ht="15" thickTop="1" x14ac:dyDescent="0.3">
      <c r="B45" s="13" t="s">
        <v>3</v>
      </c>
      <c r="C45" s="14" t="s">
        <v>4</v>
      </c>
      <c r="D45" s="14"/>
    </row>
    <row r="46" spans="2:4" x14ac:dyDescent="0.3">
      <c r="B46" s="15"/>
      <c r="C46" s="16" t="s">
        <v>5</v>
      </c>
      <c r="D46" s="16"/>
    </row>
    <row r="47" spans="2:4" x14ac:dyDescent="0.3">
      <c r="B47" s="15"/>
      <c r="C47" s="17" t="s">
        <v>6</v>
      </c>
      <c r="D47" s="18"/>
    </row>
    <row r="48" spans="2:4" ht="15" thickBot="1" x14ac:dyDescent="0.35">
      <c r="B48" s="19"/>
      <c r="C48" s="20" t="s">
        <v>7</v>
      </c>
      <c r="D48" s="20"/>
    </row>
    <row r="49" spans="2:4" ht="15" thickTop="1" x14ac:dyDescent="0.3">
      <c r="B49" s="13" t="s">
        <v>8</v>
      </c>
      <c r="C49" s="21" t="s">
        <v>9</v>
      </c>
      <c r="D49" s="21"/>
    </row>
    <row r="50" spans="2:4" x14ac:dyDescent="0.3">
      <c r="B50" s="15"/>
      <c r="C50" s="22" t="s">
        <v>10</v>
      </c>
      <c r="D50" s="22"/>
    </row>
    <row r="51" spans="2:4" x14ac:dyDescent="0.3">
      <c r="B51" s="23"/>
      <c r="C51" s="24"/>
      <c r="D51" s="24"/>
    </row>
    <row r="52" spans="2:4" s="6" customFormat="1" x14ac:dyDescent="0.3">
      <c r="B52" s="9"/>
      <c r="C52" s="9"/>
      <c r="D52" s="9"/>
    </row>
    <row r="53" spans="2:4" x14ac:dyDescent="0.3">
      <c r="B53" s="3" t="s">
        <v>11</v>
      </c>
      <c r="C53" s="3"/>
      <c r="D53" s="3"/>
    </row>
    <row r="55" spans="2:4" x14ac:dyDescent="0.3">
      <c r="B55" s="6" t="s">
        <v>12</v>
      </c>
      <c r="C55" s="6"/>
      <c r="D55" s="6"/>
    </row>
    <row r="56" spans="2:4" x14ac:dyDescent="0.3">
      <c r="B56" s="10" t="s">
        <v>152</v>
      </c>
      <c r="D56" s="49" t="s">
        <v>153</v>
      </c>
    </row>
  </sheetData>
  <hyperlinks>
    <hyperlink ref="D56" r:id="rId1" xr:uid="{4B103B92-C205-448A-8EB7-C797F28C6BA3}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5DD6C-F5F0-4765-A50D-425A32974151}">
  <sheetPr>
    <tabColor rgb="FF00A9F4"/>
  </sheetPr>
  <dimension ref="B1:R115"/>
  <sheetViews>
    <sheetView showGridLines="0" zoomScaleNormal="100" workbookViewId="0">
      <selection activeCell="B3" sqref="B3"/>
    </sheetView>
  </sheetViews>
  <sheetFormatPr defaultRowHeight="10.199999999999999" x14ac:dyDescent="0.3"/>
  <cols>
    <col min="1" max="1" width="3.21875" style="59" customWidth="1"/>
    <col min="2" max="5" width="17.6640625" style="59" customWidth="1"/>
    <col min="6" max="6" width="18" style="59" customWidth="1"/>
    <col min="7" max="18" width="17.6640625" style="59" customWidth="1"/>
    <col min="19" max="16384" width="8.88671875" style="59"/>
  </cols>
  <sheetData>
    <row r="1" spans="2:18" s="50" customFormat="1" ht="14.4" x14ac:dyDescent="0.3"/>
    <row r="2" spans="2:18" s="50" customFormat="1" ht="25.2" customHeight="1" x14ac:dyDescent="0.3">
      <c r="B2" s="51" t="s">
        <v>89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2:18" s="50" customFormat="1" ht="14.4" x14ac:dyDescent="0.3">
      <c r="B3" s="53" t="s">
        <v>70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</row>
    <row r="4" spans="2:18" s="50" customFormat="1" ht="14.4" x14ac:dyDescent="0.3"/>
    <row r="5" spans="2:18" s="50" customFormat="1" ht="14.4" x14ac:dyDescent="0.3"/>
    <row r="6" spans="2:18" s="50" customFormat="1" ht="10.8" customHeight="1" x14ac:dyDescent="0.3">
      <c r="B6" s="55" t="s">
        <v>71</v>
      </c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</row>
    <row r="7" spans="2:18" s="50" customFormat="1" ht="14.4" x14ac:dyDescent="0.3"/>
    <row r="8" spans="2:18" x14ac:dyDescent="0.3">
      <c r="B8" s="57" t="s">
        <v>72</v>
      </c>
      <c r="C8" s="57" t="s">
        <v>73</v>
      </c>
      <c r="D8" s="57" t="s">
        <v>77</v>
      </c>
      <c r="E8" s="57" t="s">
        <v>74</v>
      </c>
      <c r="F8" s="57" t="s">
        <v>75</v>
      </c>
      <c r="G8" s="57" t="s">
        <v>92</v>
      </c>
      <c r="H8" s="57" t="s">
        <v>81</v>
      </c>
      <c r="I8" s="58"/>
      <c r="J8" s="58"/>
      <c r="K8" s="58"/>
      <c r="L8" s="58"/>
      <c r="M8" s="58"/>
      <c r="N8" s="58"/>
    </row>
    <row r="9" spans="2:18" ht="20.399999999999999" x14ac:dyDescent="0.3">
      <c r="B9" s="60" t="s">
        <v>76</v>
      </c>
      <c r="C9" s="60" t="s">
        <v>78</v>
      </c>
      <c r="D9" s="60" t="s">
        <v>116</v>
      </c>
      <c r="E9" s="60" t="s">
        <v>79</v>
      </c>
      <c r="F9" s="60" t="s">
        <v>80</v>
      </c>
      <c r="G9" s="65">
        <v>0.3</v>
      </c>
      <c r="H9" s="60" t="s">
        <v>86</v>
      </c>
      <c r="I9" s="60"/>
    </row>
    <row r="10" spans="2:18" ht="30.6" x14ac:dyDescent="0.3">
      <c r="B10" s="60" t="s">
        <v>76</v>
      </c>
      <c r="C10" s="60" t="s">
        <v>94</v>
      </c>
      <c r="D10" s="60" t="s">
        <v>82</v>
      </c>
      <c r="E10" s="60" t="s">
        <v>79</v>
      </c>
      <c r="F10" s="60" t="s">
        <v>80</v>
      </c>
      <c r="G10" s="65">
        <v>0.5</v>
      </c>
      <c r="H10" s="60" t="s">
        <v>86</v>
      </c>
      <c r="I10" s="60"/>
    </row>
    <row r="11" spans="2:18" ht="61.2" x14ac:dyDescent="0.3">
      <c r="B11" s="60" t="s">
        <v>76</v>
      </c>
      <c r="C11" s="60" t="s">
        <v>83</v>
      </c>
      <c r="D11" s="60" t="s">
        <v>82</v>
      </c>
      <c r="E11" s="60" t="s">
        <v>84</v>
      </c>
      <c r="F11" s="61" t="s">
        <v>75</v>
      </c>
      <c r="G11" s="65">
        <v>0.2</v>
      </c>
      <c r="H11" s="60" t="s">
        <v>85</v>
      </c>
      <c r="I11" s="60"/>
    </row>
    <row r="12" spans="2:18" ht="20.399999999999999" x14ac:dyDescent="0.3">
      <c r="B12" s="60" t="s">
        <v>87</v>
      </c>
      <c r="C12" s="60" t="s">
        <v>88</v>
      </c>
      <c r="D12" s="60" t="s">
        <v>82</v>
      </c>
      <c r="E12" s="60" t="s">
        <v>79</v>
      </c>
      <c r="F12" s="60" t="s">
        <v>80</v>
      </c>
      <c r="G12" s="65">
        <v>0.8</v>
      </c>
      <c r="H12" s="60" t="s">
        <v>86</v>
      </c>
      <c r="I12" s="60"/>
    </row>
    <row r="13" spans="2:18" ht="30.6" x14ac:dyDescent="0.3">
      <c r="B13" s="60" t="s">
        <v>87</v>
      </c>
      <c r="C13" s="60" t="s">
        <v>90</v>
      </c>
      <c r="D13" s="60" t="s">
        <v>82</v>
      </c>
      <c r="E13" s="60" t="s">
        <v>79</v>
      </c>
      <c r="F13" s="60" t="s">
        <v>80</v>
      </c>
      <c r="G13" s="65">
        <v>0.2</v>
      </c>
      <c r="H13" s="60" t="s">
        <v>86</v>
      </c>
      <c r="I13" s="60"/>
    </row>
    <row r="15" spans="2:18" ht="13.8" x14ac:dyDescent="0.3">
      <c r="B15" s="55" t="s">
        <v>99</v>
      </c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</row>
    <row r="17" spans="2:11" x14ac:dyDescent="0.3">
      <c r="B17" s="62" t="s">
        <v>91</v>
      </c>
    </row>
    <row r="19" spans="2:11" x14ac:dyDescent="0.3">
      <c r="B19" s="57" t="s">
        <v>28</v>
      </c>
      <c r="C19" s="57" t="s">
        <v>32</v>
      </c>
      <c r="D19" s="57" t="s">
        <v>41</v>
      </c>
      <c r="E19" s="57" t="s">
        <v>93</v>
      </c>
      <c r="F19" s="67" t="s">
        <v>78</v>
      </c>
      <c r="G19" s="67" t="s">
        <v>95</v>
      </c>
      <c r="H19" s="67" t="s">
        <v>96</v>
      </c>
      <c r="I19" s="67" t="s">
        <v>97</v>
      </c>
      <c r="J19" s="67" t="s">
        <v>98</v>
      </c>
      <c r="K19" s="76" t="s">
        <v>110</v>
      </c>
    </row>
    <row r="20" spans="2:11" x14ac:dyDescent="0.3">
      <c r="B20" s="59" t="s">
        <v>29</v>
      </c>
      <c r="C20" s="59" t="s">
        <v>33</v>
      </c>
      <c r="D20" s="59" t="s">
        <v>86</v>
      </c>
      <c r="E20" s="66">
        <v>1</v>
      </c>
      <c r="F20" s="72" cm="1">
        <f t="array" ref="F20">_xlfn.IFS(D20&lt;&gt;"-",SUMIFS(DADOS!$H$4:$H$19,DADOS!$C$4:$C$19,D20),C20&lt;&gt;"-",SUMIFS(DADOS!$H$4:$H$19,DADOS!$C$4:$C$19,C20),B20&lt;&gt;"-",SUMIFS(DADOS!$H$4:$H$19,DADOS!$C$4:$C$19,B20))</f>
        <v>5400000</v>
      </c>
      <c r="G20" s="73" cm="1">
        <f t="array" ref="G20">_xlfn.IFS(D20&lt;&gt;"-",SUMIFS(DADOS!$U$4:$U$19,DADOS!$C$4:$C$19,D20),C20&lt;&gt;"-",SUMIFS(DADOS!$U$4:$U$19,DADOS!$C$4:$C$19,C20),B20&lt;&gt;"-",SUMIFS(DADOS!$U$4:$U$19,DADOS!$C$4:$C$19,B20))</f>
        <v>5.8425925925925923E-2</v>
      </c>
      <c r="H20" s="71">
        <v>6.5000000000000002E-2</v>
      </c>
      <c r="I20" s="74" cm="1">
        <f t="array" ref="I20">_xlfn.IFS(D20&lt;&gt;"-",SUMIFS(DADOS!$J$4:$J$19,DADOS!$C$4:$C$19,D20),C20&lt;&gt;"-",SUMIFS(DADOS!$J$4:$J$19,DADOS!$C$4:$C$19,C20),B20&lt;&gt;"-",SUMIFS(DADOS!$J$4:$J$19,DADOS!$C$4:$C$19,B20))</f>
        <v>0.92592592592592593</v>
      </c>
      <c r="J20" s="74" cm="1">
        <f t="array" ref="J20">_xlfn.IFS(D20&lt;&gt;"-",SUMIFS(DADOS!$N$4:$N$19,DADOS!$C$4:$C$19,D20),C20&lt;&gt;"-",SUMIFS(DADOS!$N$4:$N$19,DADOS!$C$4:$C$19,C20),B20&lt;&gt;"-",SUMIFS(DADOS!$N$4:$N$19,DADOS!$C$4:$C$19,B20))</f>
        <v>0.4285512801227947</v>
      </c>
      <c r="K20" s="77" cm="1">
        <f t="array" ref="K20">_xlfn.IFS(D20&lt;&gt;"-",SUMIFS(DADOS!$E$4:$E$19,DADOS!$C$4:$C$19,D20),C20&lt;&gt;"-",SUMIFS(DADOS!$E$4:$E$19,DADOS!$C$4:$C$19,C20),B20&lt;&gt;"-",SUMIFS(DADOS!$E$4:$E$19,DADOS!$C$4:$C$19,B20))</f>
        <v>5000000</v>
      </c>
    </row>
    <row r="21" spans="2:11" x14ac:dyDescent="0.3">
      <c r="B21" s="59" t="s">
        <v>29</v>
      </c>
      <c r="C21" s="59" t="s">
        <v>36</v>
      </c>
      <c r="D21" s="59" t="s">
        <v>38</v>
      </c>
      <c r="E21" s="66">
        <f>E20+1</f>
        <v>2</v>
      </c>
      <c r="F21" s="72" cm="1">
        <f t="array" ref="F21">_xlfn.IFS(D21&lt;&gt;"-",SUMIFS(DADOS!$H$4:$H$19,DADOS!$C$4:$C$19,D21),C21&lt;&gt;"-",SUMIFS(DADOS!$H$4:$H$19,DADOS!$C$4:$C$19,C21),B21&lt;&gt;"-",SUMIFS(DADOS!$H$4:$H$19,DADOS!$C$4:$C$19,B21))</f>
        <v>76500</v>
      </c>
      <c r="G21" s="73" cm="1">
        <f t="array" ref="G21">_xlfn.IFS(D21&lt;&gt;"-",SUMIFS(DADOS!$U$4:$U$19,DADOS!$C$4:$C$19,D21),C21&lt;&gt;"-",SUMIFS(DADOS!$U$4:$U$19,DADOS!$C$4:$C$19,C21),B21&lt;&gt;"-",SUMIFS(DADOS!$U$4:$U$19,DADOS!$C$4:$C$19,B21))</f>
        <v>3.2679738562091505E-2</v>
      </c>
      <c r="H21" s="71">
        <v>6.5000000000000002E-2</v>
      </c>
      <c r="I21" s="74" cm="1">
        <f t="array" ref="I21">_xlfn.IFS(D21&lt;&gt;"-",SUMIFS(DADOS!$J$4:$J$19,DADOS!$C$4:$C$19,D21),C21&lt;&gt;"-",SUMIFS(DADOS!$J$4:$J$19,DADOS!$C$4:$C$19,C21),B21&lt;&gt;"-",SUMIFS(DADOS!$J$4:$J$19,DADOS!$C$4:$C$19,B21))</f>
        <v>0.91503267973856206</v>
      </c>
      <c r="J21" s="74" cm="1">
        <f t="array" ref="J21">_xlfn.IFS(D21&lt;&gt;"-",SUMIFS(DADOS!$N$4:$N$19,DADOS!$C$4:$C$19,D21),C21&lt;&gt;"-",SUMIFS(DADOS!$N$4:$N$19,DADOS!$C$4:$C$19,C21),B21&lt;&gt;"-",SUMIFS(DADOS!$N$4:$N$19,DADOS!$C$4:$C$19,B21))</f>
        <v>5.9997179217191263E-3</v>
      </c>
      <c r="K21" s="77" cm="1">
        <f t="array" ref="K21">_xlfn.IFS(D21&lt;&gt;"-",SUMIFS(DADOS!$E$4:$E$19,DADOS!$C$4:$C$19,D21),C21&lt;&gt;"-",SUMIFS(DADOS!$E$4:$E$19,DADOS!$C$4:$C$19,C21),B21&lt;&gt;"-",SUMIFS(DADOS!$E$4:$E$19,DADOS!$C$4:$C$19,B21))</f>
        <v>70000</v>
      </c>
    </row>
    <row r="22" spans="2:11" x14ac:dyDescent="0.3">
      <c r="B22" s="59" t="s">
        <v>29</v>
      </c>
      <c r="C22" s="59" t="s">
        <v>36</v>
      </c>
      <c r="D22" s="59" t="s">
        <v>42</v>
      </c>
      <c r="E22" s="66">
        <f t="shared" ref="E22:E31" si="0">E21+1</f>
        <v>3</v>
      </c>
      <c r="F22" s="72" cm="1">
        <f t="array" ref="F22">_xlfn.IFS(D22&lt;&gt;"-",SUMIFS(DADOS!$H$4:$H$19,DADOS!$C$4:$C$19,D22),C22&lt;&gt;"-",SUMIFS(DADOS!$H$4:$H$19,DADOS!$C$4:$C$19,C22),B22&lt;&gt;"-",SUMIFS(DADOS!$H$4:$H$19,DADOS!$C$4:$C$19,B22))</f>
        <v>1300000</v>
      </c>
      <c r="G22" s="73" cm="1">
        <f t="array" ref="G22">_xlfn.IFS(D22&lt;&gt;"-",SUMIFS(DADOS!$U$4:$U$19,DADOS!$C$4:$C$19,D22),C22&lt;&gt;"-",SUMIFS(DADOS!$U$4:$U$19,DADOS!$C$4:$C$19,C22),B22&lt;&gt;"-",SUMIFS(DADOS!$U$4:$U$19,DADOS!$C$4:$C$19,B22))</f>
        <v>2.0769230769230769E-2</v>
      </c>
      <c r="H22" s="71">
        <v>6.5000000000000002E-2</v>
      </c>
      <c r="I22" s="74" cm="1">
        <f t="array" ref="I22">_xlfn.IFS(D22&lt;&gt;"-",SUMIFS(DADOS!$J$4:$J$19,DADOS!$C$4:$C$19,D22),C22&lt;&gt;"-",SUMIFS(DADOS!$J$4:$J$19,DADOS!$C$4:$C$19,C22),B22&lt;&gt;"-",SUMIFS(DADOS!$J$4:$J$19,DADOS!$C$4:$C$19,B22))</f>
        <v>0.15384615384615385</v>
      </c>
      <c r="J22" s="74" cm="1">
        <f t="array" ref="J22">_xlfn.IFS(D22&lt;&gt;"-",SUMIFS(DADOS!$N$4:$N$19,DADOS!$C$4:$C$19,D22),C22&lt;&gt;"-",SUMIFS(DADOS!$N$4:$N$19,DADOS!$C$4:$C$19,C22),B22&lt;&gt;"-",SUMIFS(DADOS!$N$4:$N$19,DADOS!$C$4:$C$19,B22))</f>
        <v>1.7142051204911787E-2</v>
      </c>
      <c r="K22" s="77" cm="1">
        <f t="array" ref="K22">_xlfn.IFS(D22&lt;&gt;"-",SUMIFS(DADOS!$E$4:$E$19,DADOS!$C$4:$C$19,D22),C22&lt;&gt;"-",SUMIFS(DADOS!$E$4:$E$19,DADOS!$C$4:$C$19,C22),B22&lt;&gt;"-",SUMIFS(DADOS!$E$4:$E$19,DADOS!$C$4:$C$19,B22))</f>
        <v>200000</v>
      </c>
    </row>
    <row r="23" spans="2:11" x14ac:dyDescent="0.3">
      <c r="B23" s="59" t="s">
        <v>29</v>
      </c>
      <c r="C23" s="59" t="s">
        <v>36</v>
      </c>
      <c r="D23" s="59" t="s">
        <v>44</v>
      </c>
      <c r="E23" s="66">
        <f t="shared" si="0"/>
        <v>4</v>
      </c>
      <c r="F23" s="72" cm="1">
        <f t="array" ref="F23">_xlfn.IFS(D23&lt;&gt;"-",SUMIFS(DADOS!$H$4:$H$19,DADOS!$C$4:$C$19,D23),C23&lt;&gt;"-",SUMIFS(DADOS!$H$4:$H$19,DADOS!$C$4:$C$19,C23),B23&lt;&gt;"-",SUMIFS(DADOS!$H$4:$H$19,DADOS!$C$4:$C$19,B23))</f>
        <v>600000</v>
      </c>
      <c r="G23" s="73" cm="1">
        <f t="array" ref="G23">_xlfn.IFS(D23&lt;&gt;"-",SUMIFS(DADOS!$U$4:$U$19,DADOS!$C$4:$C$19,D23),C23&lt;&gt;"-",SUMIFS(DADOS!$U$4:$U$19,DADOS!$C$4:$C$19,C23),B23&lt;&gt;"-",SUMIFS(DADOS!$U$4:$U$19,DADOS!$C$4:$C$19,B23))</f>
        <v>3.1666666666666669E-2</v>
      </c>
      <c r="H23" s="71">
        <v>6.5000000000000002E-2</v>
      </c>
      <c r="I23" s="74" cm="1">
        <f t="array" ref="I23">_xlfn.IFS(D23&lt;&gt;"-",SUMIFS(DADOS!$J$4:$J$19,DADOS!$C$4:$C$19,D23),C23&lt;&gt;"-",SUMIFS(DADOS!$J$4:$J$19,DADOS!$C$4:$C$19,C23),B23&lt;&gt;"-",SUMIFS(DADOS!$J$4:$J$19,DADOS!$C$4:$C$19,B23))</f>
        <v>0.66666666666666663</v>
      </c>
      <c r="J23" s="74" cm="1">
        <f t="array" ref="J23">_xlfn.IFS(D23&lt;&gt;"-",SUMIFS(DADOS!$N$4:$N$19,DADOS!$C$4:$C$19,D23),C23&lt;&gt;"-",SUMIFS(DADOS!$N$4:$N$19,DADOS!$C$4:$C$19,C23),B23&lt;&gt;"-",SUMIFS(DADOS!$N$4:$N$19,DADOS!$C$4:$C$19,B23))</f>
        <v>3.4284102409823575E-2</v>
      </c>
      <c r="K23" s="77" cm="1">
        <f t="array" ref="K23">_xlfn.IFS(D23&lt;&gt;"-",SUMIFS(DADOS!$E$4:$E$19,DADOS!$C$4:$C$19,D23),C23&lt;&gt;"-",SUMIFS(DADOS!$E$4:$E$19,DADOS!$C$4:$C$19,C23),B23&lt;&gt;"-",SUMIFS(DADOS!$E$4:$E$19,DADOS!$C$4:$C$19,B23))</f>
        <v>400000</v>
      </c>
    </row>
    <row r="24" spans="2:11" x14ac:dyDescent="0.3">
      <c r="B24" s="59" t="s">
        <v>29</v>
      </c>
      <c r="C24" s="59" t="s">
        <v>36</v>
      </c>
      <c r="D24" s="59" t="s">
        <v>47</v>
      </c>
      <c r="E24" s="66">
        <f t="shared" si="0"/>
        <v>5</v>
      </c>
      <c r="F24" s="72" cm="1">
        <f t="array" ref="F24">_xlfn.IFS(D24&lt;&gt;"-",SUMIFS(DADOS!$H$4:$H$19,DADOS!$C$4:$C$19,D24),C24&lt;&gt;"-",SUMIFS(DADOS!$H$4:$H$19,DADOS!$C$4:$C$19,C24),B24&lt;&gt;"-",SUMIFS(DADOS!$H$4:$H$19,DADOS!$C$4:$C$19,B24))</f>
        <v>475000</v>
      </c>
      <c r="G24" s="73" cm="1">
        <f t="array" ref="G24">_xlfn.IFS(D24&lt;&gt;"-",SUMIFS(DADOS!$U$4:$U$19,DADOS!$C$4:$C$19,D24),C24&lt;&gt;"-",SUMIFS(DADOS!$U$4:$U$19,DADOS!$C$4:$C$19,C24),B24&lt;&gt;"-",SUMIFS(DADOS!$U$4:$U$19,DADOS!$C$4:$C$19,B24))</f>
        <v>4.1578947368421056E-2</v>
      </c>
      <c r="H24" s="71">
        <v>6.5000000000000002E-2</v>
      </c>
      <c r="I24" s="74" cm="1">
        <f t="array" ref="I24">_xlfn.IFS(D24&lt;&gt;"-",SUMIFS(DADOS!$J$4:$J$19,DADOS!$C$4:$C$19,D24),C24&lt;&gt;"-",SUMIFS(DADOS!$J$4:$J$19,DADOS!$C$4:$C$19,C24),B24&lt;&gt;"-",SUMIFS(DADOS!$J$4:$J$19,DADOS!$C$4:$C$19,B24))</f>
        <v>0.52631578947368418</v>
      </c>
      <c r="J24" s="74" cm="1">
        <f t="array" ref="J24">_xlfn.IFS(D24&lt;&gt;"-",SUMIFS(DADOS!$N$4:$N$19,DADOS!$C$4:$C$19,D24),C24&lt;&gt;"-",SUMIFS(DADOS!$N$4:$N$19,DADOS!$C$4:$C$19,C24),B24&lt;&gt;"-",SUMIFS(DADOS!$N$4:$N$19,DADOS!$C$4:$C$19,B24))</f>
        <v>2.1427564006139738E-2</v>
      </c>
      <c r="K24" s="77" cm="1">
        <f t="array" ref="K24">_xlfn.IFS(D24&lt;&gt;"-",SUMIFS(DADOS!$E$4:$E$19,DADOS!$C$4:$C$19,D24),C24&lt;&gt;"-",SUMIFS(DADOS!$E$4:$E$19,DADOS!$C$4:$C$19,C24),B24&lt;&gt;"-",SUMIFS(DADOS!$E$4:$E$19,DADOS!$C$4:$C$19,B24))</f>
        <v>250000</v>
      </c>
    </row>
    <row r="25" spans="2:11" x14ac:dyDescent="0.3">
      <c r="B25" s="59" t="s">
        <v>29</v>
      </c>
      <c r="C25" s="59" t="s">
        <v>36</v>
      </c>
      <c r="D25" s="59" t="s">
        <v>50</v>
      </c>
      <c r="E25" s="66">
        <f t="shared" si="0"/>
        <v>6</v>
      </c>
      <c r="F25" s="72" cm="1">
        <f t="array" ref="F25">_xlfn.IFS(D25&lt;&gt;"-",SUMIFS(DADOS!$H$4:$H$19,DADOS!$C$4:$C$19,D25),C25&lt;&gt;"-",SUMIFS(DADOS!$H$4:$H$19,DADOS!$C$4:$C$19,C25),B25&lt;&gt;"-",SUMIFS(DADOS!$H$4:$H$19,DADOS!$C$4:$C$19,B25))</f>
        <v>135704.24100000001</v>
      </c>
      <c r="G25" s="73" cm="1">
        <f t="array" ref="G25">_xlfn.IFS(D25&lt;&gt;"-",SUMIFS(DADOS!$U$4:$U$19,DADOS!$C$4:$C$19,D25),C25&lt;&gt;"-",SUMIFS(DADOS!$U$4:$U$19,DADOS!$C$4:$C$19,C25),B25&lt;&gt;"-",SUMIFS(DADOS!$U$4:$U$19,DADOS!$C$4:$C$19,B25))</f>
        <v>7.4001036268276976E-2</v>
      </c>
      <c r="H25" s="71">
        <v>6.5000000000000002E-2</v>
      </c>
      <c r="I25" s="74" cm="1">
        <f t="array" ref="I25">_xlfn.IFS(D25&lt;&gt;"-",SUMIFS(DADOS!$J$4:$J$19,DADOS!$C$4:$C$19,D25),C25&lt;&gt;"-",SUMIFS(DADOS!$J$4:$J$19,DADOS!$C$4:$C$19,C25),B25&lt;&gt;"-",SUMIFS(DADOS!$J$4:$J$19,DADOS!$C$4:$C$19,B25))</f>
        <v>0.26310335430121157</v>
      </c>
      <c r="J25" s="74" cm="1">
        <f t="array" ref="J25">_xlfn.IFS(D25&lt;&gt;"-",SUMIFS(DADOS!$N$4:$N$19,DADOS!$C$4:$C$19,D25),C25&lt;&gt;"-",SUMIFS(DADOS!$N$4:$N$19,DADOS!$C$4:$C$19,C25),B25&lt;&gt;"-",SUMIFS(DADOS!$N$4:$N$19,DADOS!$C$4:$C$19,B25))</f>
        <v>3.0602196372725545E-3</v>
      </c>
      <c r="K25" s="77" cm="1">
        <f t="array" ref="K25">_xlfn.IFS(D25&lt;&gt;"-",SUMIFS(DADOS!$E$4:$E$19,DADOS!$C$4:$C$19,D25),C25&lt;&gt;"-",SUMIFS(DADOS!$E$4:$E$19,DADOS!$C$4:$C$19,C25),B25&lt;&gt;"-",SUMIFS(DADOS!$E$4:$E$19,DADOS!$C$4:$C$19,B25))</f>
        <v>35704.241000000002</v>
      </c>
    </row>
    <row r="26" spans="2:11" x14ac:dyDescent="0.3">
      <c r="B26" s="59" t="s">
        <v>29</v>
      </c>
      <c r="C26" s="59" t="s">
        <v>36</v>
      </c>
      <c r="D26" s="59" t="s">
        <v>52</v>
      </c>
      <c r="E26" s="66">
        <f t="shared" si="0"/>
        <v>7</v>
      </c>
      <c r="F26" s="72" cm="1">
        <f t="array" ref="F26">_xlfn.IFS(D26&lt;&gt;"-",SUMIFS(DADOS!$H$4:$H$19,DADOS!$C$4:$C$19,D26),C26&lt;&gt;"-",SUMIFS(DADOS!$H$4:$H$19,DADOS!$C$4:$C$19,C26),B26&lt;&gt;"-",SUMIFS(DADOS!$H$4:$H$19,DADOS!$C$4:$C$19,B26))</f>
        <v>236010.93700000001</v>
      </c>
      <c r="G26" s="73" cm="1">
        <f t="array" ref="G26">_xlfn.IFS(D26&lt;&gt;"-",SUMIFS(DADOS!$U$4:$U$19,DADOS!$C$4:$C$19,D26),C26&lt;&gt;"-",SUMIFS(DADOS!$U$4:$U$19,DADOS!$C$4:$C$19,C26),B26&lt;&gt;"-",SUMIFS(DADOS!$U$4:$U$19,DADOS!$C$4:$C$19,B26))</f>
        <v>2.7457744934930708E-2</v>
      </c>
      <c r="H26" s="71">
        <v>6.5000000000000002E-2</v>
      </c>
      <c r="I26" s="74" cm="1">
        <f t="array" ref="I26">_xlfn.IFS(D26&lt;&gt;"-",SUMIFS(DADOS!$J$4:$J$19,DADOS!$C$4:$C$19,D26),C26&lt;&gt;"-",SUMIFS(DADOS!$J$4:$J$19,DADOS!$C$4:$C$19,C26),B26&lt;&gt;"-",SUMIFS(DADOS!$J$4:$J$19,DADOS!$C$4:$C$19,B26))</f>
        <v>0.6398471991151834</v>
      </c>
      <c r="J26" s="74" cm="1">
        <f t="array" ref="J26">_xlfn.IFS(D26&lt;&gt;"-",SUMIFS(DADOS!$N$4:$N$19,DADOS!$C$4:$C$19,D26),C26&lt;&gt;"-",SUMIFS(DADOS!$N$4:$N$19,DADOS!$C$4:$C$19,C26),B26&lt;&gt;"-",SUMIFS(DADOS!$N$4:$N$19,DADOS!$C$4:$C$19,B26))</f>
        <v>1.2943186072778541E-2</v>
      </c>
      <c r="K26" s="77" cm="1">
        <f t="array" ref="K26">_xlfn.IFS(D26&lt;&gt;"-",SUMIFS(DADOS!$E$4:$E$19,DADOS!$C$4:$C$19,D26),C26&lt;&gt;"-",SUMIFS(DADOS!$E$4:$E$19,DADOS!$C$4:$C$19,C26),B26&lt;&gt;"-",SUMIFS(DADOS!$E$4:$E$19,DADOS!$C$4:$C$19,B26))</f>
        <v>151010.93700000001</v>
      </c>
    </row>
    <row r="27" spans="2:11" x14ac:dyDescent="0.3">
      <c r="B27" s="59" t="s">
        <v>29</v>
      </c>
      <c r="C27" s="59" t="s">
        <v>36</v>
      </c>
      <c r="D27" s="59" t="s">
        <v>53</v>
      </c>
      <c r="E27" s="66">
        <f t="shared" si="0"/>
        <v>8</v>
      </c>
      <c r="F27" s="72" cm="1">
        <f t="array" ref="F27">_xlfn.IFS(D27&lt;&gt;"-",SUMIFS(DADOS!$H$4:$H$19,DADOS!$C$4:$C$19,D27),C27&lt;&gt;"-",SUMIFS(DADOS!$H$4:$H$19,DADOS!$C$4:$C$19,C27),B27&lt;&gt;"-",SUMIFS(DADOS!$H$4:$H$19,DADOS!$C$4:$C$19,B27))</f>
        <v>365000</v>
      </c>
      <c r="G27" s="73" cm="1">
        <f t="array" ref="G27">_xlfn.IFS(D27&lt;&gt;"-",SUMIFS(DADOS!$U$4:$U$19,DADOS!$C$4:$C$19,D27),C27&lt;&gt;"-",SUMIFS(DADOS!$U$4:$U$19,DADOS!$C$4:$C$19,C27),B27&lt;&gt;"-",SUMIFS(DADOS!$U$4:$U$19,DADOS!$C$4:$C$19,B27))</f>
        <v>6.3013698630136991E-2</v>
      </c>
      <c r="H27" s="71">
        <v>6.5000000000000002E-2</v>
      </c>
      <c r="I27" s="74" cm="1">
        <f t="array" ref="I27">_xlfn.IFS(D27&lt;&gt;"-",SUMIFS(DADOS!$J$4:$J$19,DADOS!$C$4:$C$19,D27),C27&lt;&gt;"-",SUMIFS(DADOS!$J$4:$J$19,DADOS!$C$4:$C$19,C27),B27&lt;&gt;"-",SUMIFS(DADOS!$J$4:$J$19,DADOS!$C$4:$C$19,B27))</f>
        <v>4.1095890410958902E-2</v>
      </c>
      <c r="J27" s="74" cm="1">
        <f t="array" ref="J27">_xlfn.IFS(D27&lt;&gt;"-",SUMIFS(DADOS!$N$4:$N$19,DADOS!$C$4:$C$19,D27),C27&lt;&gt;"-",SUMIFS(DADOS!$N$4:$N$19,DADOS!$C$4:$C$19,C27),B27&lt;&gt;"-",SUMIFS(DADOS!$N$4:$N$19,DADOS!$C$4:$C$19,B27))</f>
        <v>1.2856538403683841E-3</v>
      </c>
      <c r="K27" s="77" cm="1">
        <f t="array" ref="K27">_xlfn.IFS(D27&lt;&gt;"-",SUMIFS(DADOS!$E$4:$E$19,DADOS!$C$4:$C$19,D27),C27&lt;&gt;"-",SUMIFS(DADOS!$E$4:$E$19,DADOS!$C$4:$C$19,C27),B27&lt;&gt;"-",SUMIFS(DADOS!$E$4:$E$19,DADOS!$C$4:$C$19,B27))</f>
        <v>15000</v>
      </c>
    </row>
    <row r="28" spans="2:11" x14ac:dyDescent="0.3">
      <c r="B28" s="59" t="s">
        <v>57</v>
      </c>
      <c r="C28" s="59" t="s">
        <v>86</v>
      </c>
      <c r="D28" s="59" t="s">
        <v>86</v>
      </c>
      <c r="E28" s="66">
        <f t="shared" si="0"/>
        <v>9</v>
      </c>
      <c r="F28" s="72" cm="1">
        <f t="array" ref="F28">_xlfn.IFS(D28&lt;&gt;"-",SUMIFS(DADOS!$H$4:$H$19,DADOS!$C$4:$C$19,D28),C28&lt;&gt;"-",SUMIFS(DADOS!$H$4:$H$19,DADOS!$C$4:$C$19,C28),B28&lt;&gt;"-",SUMIFS(DADOS!$H$4:$H$19,DADOS!$C$4:$C$19,B28))</f>
        <v>1352000</v>
      </c>
      <c r="G28" s="73" cm="1">
        <f t="array" ref="G28">_xlfn.IFS(D28&lt;&gt;"-",SUMIFS(DADOS!$U$4:$U$19,DADOS!$C$4:$C$19,D28),C28&lt;&gt;"-",SUMIFS(DADOS!$U$4:$U$19,DADOS!$C$4:$C$19,C28),B28&lt;&gt;"-",SUMIFS(DADOS!$U$4:$U$19,DADOS!$C$4:$C$19,B28))</f>
        <v>1.3017751573069765E-2</v>
      </c>
      <c r="H28" s="71">
        <v>6.5000000000000002E-2</v>
      </c>
      <c r="I28" s="74" cm="1">
        <f t="array" ref="I28">_xlfn.IFS(D28&lt;&gt;"-",SUMIFS(DADOS!$J$4:$J$19,DADOS!$C$4:$C$19,D28),C28&lt;&gt;"-",SUMIFS(DADOS!$J$4:$J$19,DADOS!$C$4:$C$19,C28),B28&lt;&gt;"-",SUMIFS(DADOS!$J$4:$J$19,DADOS!$C$4:$C$19,B28))</f>
        <v>0.2588757396449704</v>
      </c>
      <c r="J28" s="74" cm="1">
        <f t="array" ref="J28">_xlfn.IFS(D28&lt;&gt;"-",SUMIFS(DADOS!$N$4:$N$19,DADOS!$C$4:$C$19,D28),C28&lt;&gt;"-",SUMIFS(DADOS!$N$4:$N$19,DADOS!$C$4:$C$19,C28),B28&lt;&gt;"-",SUMIFS(DADOS!$N$4:$N$19,DADOS!$C$4:$C$19,B28))</f>
        <v>2.9998589608595631E-2</v>
      </c>
      <c r="K28" s="77" cm="1">
        <f t="array" ref="K28">_xlfn.IFS(D28&lt;&gt;"-",SUMIFS(DADOS!$E$4:$E$19,DADOS!$C$4:$C$19,D28),C28&lt;&gt;"-",SUMIFS(DADOS!$E$4:$E$19,DADOS!$C$4:$C$19,C28),B28&lt;&gt;"-",SUMIFS(DADOS!$E$4:$E$19,DADOS!$C$4:$C$19,B28))</f>
        <v>350000</v>
      </c>
    </row>
    <row r="29" spans="2:11" x14ac:dyDescent="0.3">
      <c r="B29" s="59" t="s">
        <v>60</v>
      </c>
      <c r="C29" s="59" t="s">
        <v>86</v>
      </c>
      <c r="D29" s="59" t="s">
        <v>86</v>
      </c>
      <c r="E29" s="66">
        <f t="shared" si="0"/>
        <v>10</v>
      </c>
      <c r="F29" s="72" cm="1">
        <f t="array" ref="F29">_xlfn.IFS(D29&lt;&gt;"-",SUMIFS(DADOS!$H$4:$H$19,DADOS!$C$4:$C$19,D29),C29&lt;&gt;"-",SUMIFS(DADOS!$H$4:$H$19,DADOS!$C$4:$C$19,C29),B29&lt;&gt;"-",SUMIFS(DADOS!$H$4:$H$19,DADOS!$C$4:$C$19,B29))</f>
        <v>205000</v>
      </c>
      <c r="G29" s="73" cm="1">
        <f t="array" ref="G29">_xlfn.IFS(D29&lt;&gt;"-",SUMIFS(DADOS!$U$4:$U$19,DADOS!$C$4:$C$19,D29),C29&lt;&gt;"-",SUMIFS(DADOS!$U$4:$U$19,DADOS!$C$4:$C$19,C29),B29&lt;&gt;"-",SUMIFS(DADOS!$U$4:$U$19,DADOS!$C$4:$C$19,B29))</f>
        <v>9.682926829268293E-2</v>
      </c>
      <c r="H29" s="71">
        <v>7.4999999999999997E-2</v>
      </c>
      <c r="I29" s="74" cm="1">
        <f t="array" ref="I29">_xlfn.IFS(D29&lt;&gt;"-",SUMIFS(DADOS!$J$4:$J$19,DADOS!$C$4:$C$19,D29),C29&lt;&gt;"-",SUMIFS(DADOS!$J$4:$J$19,DADOS!$C$4:$C$19,C29),B29&lt;&gt;"-",SUMIFS(DADOS!$J$4:$J$19,DADOS!$C$4:$C$19,B29))</f>
        <v>0.24390243902439024</v>
      </c>
      <c r="J29" s="74" cm="1">
        <f t="array" ref="J29">_xlfn.IFS(D29&lt;&gt;"-",SUMIFS(DADOS!$N$4:$N$19,DADOS!$C$4:$C$19,D29),C29&lt;&gt;"-",SUMIFS(DADOS!$N$4:$N$19,DADOS!$C$4:$C$19,C29),B29&lt;&gt;"-",SUMIFS(DADOS!$N$4:$N$19,DADOS!$C$4:$C$19,B29))</f>
        <v>4.2855128012279468E-3</v>
      </c>
      <c r="K29" s="77" cm="1">
        <f t="array" ref="K29">_xlfn.IFS(D29&lt;&gt;"-",SUMIFS(DADOS!$E$4:$E$19,DADOS!$C$4:$C$19,D29),C29&lt;&gt;"-",SUMIFS(DADOS!$E$4:$E$19,DADOS!$C$4:$C$19,C29),B29&lt;&gt;"-",SUMIFS(DADOS!$E$4:$E$19,DADOS!$C$4:$C$19,B29))</f>
        <v>50000</v>
      </c>
    </row>
    <row r="30" spans="2:11" x14ac:dyDescent="0.3">
      <c r="B30" s="59" t="s">
        <v>63</v>
      </c>
      <c r="C30" s="59" t="s">
        <v>86</v>
      </c>
      <c r="D30" s="59" t="s">
        <v>86</v>
      </c>
      <c r="E30" s="66">
        <f t="shared" si="0"/>
        <v>11</v>
      </c>
      <c r="F30" s="72" cm="1">
        <f t="array" ref="F30">_xlfn.IFS(D30&lt;&gt;"-",SUMIFS(DADOS!$H$4:$H$19,DADOS!$C$4:$C$19,D30),C30&lt;&gt;"-",SUMIFS(DADOS!$H$4:$H$19,DADOS!$C$4:$C$19,C30),B30&lt;&gt;"-",SUMIFS(DADOS!$H$4:$H$19,DADOS!$C$4:$C$19,B30))</f>
        <v>1402000</v>
      </c>
      <c r="G30" s="73" cm="1">
        <f t="array" ref="G30">_xlfn.IFS(D30&lt;&gt;"-",SUMIFS(DADOS!$U$4:$U$19,DADOS!$C$4:$C$19,D30),C30&lt;&gt;"-",SUMIFS(DADOS!$U$4:$U$19,DADOS!$C$4:$C$19,C30),B30&lt;&gt;"-",SUMIFS(DADOS!$U$4:$U$19,DADOS!$C$4:$C$19,B30))</f>
        <v>0.11422253922967189</v>
      </c>
      <c r="H30" s="71">
        <v>7.4999999999999997E-2</v>
      </c>
      <c r="I30" s="74" cm="1">
        <f t="array" ref="I30">_xlfn.IFS(D30&lt;&gt;"-",SUMIFS(DADOS!$J$4:$J$19,DADOS!$C$4:$C$19,D30),C30&lt;&gt;"-",SUMIFS(DADOS!$J$4:$J$19,DADOS!$C$4:$C$19,C30),B30&lt;&gt;"-",SUMIFS(DADOS!$J$4:$J$19,DADOS!$C$4:$C$19,B30))</f>
        <v>0.28530670470756064</v>
      </c>
      <c r="J30" s="74" cm="1">
        <f t="array" ref="J30">_xlfn.IFS(D30&lt;&gt;"-",SUMIFS(DADOS!$N$4:$N$19,DADOS!$C$4:$C$19,D30),C30&lt;&gt;"-",SUMIFS(DADOS!$N$4:$N$19,DADOS!$C$4:$C$19,C30),B30&lt;&gt;"-",SUMIFS(DADOS!$N$4:$N$19,DADOS!$C$4:$C$19,B30))</f>
        <v>3.4284102409823575E-2</v>
      </c>
      <c r="K30" s="77" cm="1">
        <f t="array" ref="K30">_xlfn.IFS(D30&lt;&gt;"-",SUMIFS(DADOS!$E$4:$E$19,DADOS!$C$4:$C$19,D30),C30&lt;&gt;"-",SUMIFS(DADOS!$E$4:$E$19,DADOS!$C$4:$C$19,C30),B30&lt;&gt;"-",SUMIFS(DADOS!$E$4:$E$19,DADOS!$C$4:$C$19,B30))</f>
        <v>400000</v>
      </c>
    </row>
    <row r="31" spans="2:11" x14ac:dyDescent="0.3">
      <c r="B31" s="59" t="s">
        <v>65</v>
      </c>
      <c r="C31" s="59" t="s">
        <v>86</v>
      </c>
      <c r="D31" s="59" t="s">
        <v>86</v>
      </c>
      <c r="E31" s="66">
        <f t="shared" si="0"/>
        <v>12</v>
      </c>
      <c r="F31" s="72" cm="1">
        <f t="array" ref="F31">_xlfn.IFS(D31&lt;&gt;"-",SUMIFS(DADOS!$H$4:$H$19,DADOS!$C$4:$C$19,D31),C31&lt;&gt;"-",SUMIFS(DADOS!$H$4:$H$19,DADOS!$C$4:$C$19,C31),B31&lt;&gt;"-",SUMIFS(DADOS!$H$4:$H$19,DADOS!$C$4:$C$19,B31))</f>
        <v>120000</v>
      </c>
      <c r="G31" s="73" cm="1">
        <f t="array" ref="G31">_xlfn.IFS(D31&lt;&gt;"-",SUMIFS(DADOS!$U$4:$U$19,DADOS!$C$4:$C$19,D31),C31&lt;&gt;"-",SUMIFS(DADOS!$U$4:$U$19,DADOS!$C$4:$C$19,C31),B31&lt;&gt;"-",SUMIFS(DADOS!$U$4:$U$19,DADOS!$C$4:$C$19,B31))</f>
        <v>4.3749999999999997E-2</v>
      </c>
      <c r="H31" s="71">
        <v>7.4999999999999997E-2</v>
      </c>
      <c r="I31" s="74" cm="1">
        <f t="array" ref="I31">_xlfn.IFS(D31&lt;&gt;"-",SUMIFS(DADOS!$J$4:$J$19,DADOS!$C$4:$C$19,D31),C31&lt;&gt;"-",SUMIFS(DADOS!$J$4:$J$19,DADOS!$C$4:$C$19,C31),B31&lt;&gt;"-",SUMIFS(DADOS!$J$4:$J$19,DADOS!$C$4:$C$19,B31))</f>
        <v>0.83333333333333337</v>
      </c>
      <c r="J31" s="74" cm="1">
        <f t="array" ref="J31">_xlfn.IFS(D31&lt;&gt;"-",SUMIFS(DADOS!$N$4:$N$19,DADOS!$C$4:$C$19,D31),C31&lt;&gt;"-",SUMIFS(DADOS!$N$4:$N$19,DADOS!$C$4:$C$19,C31),B31&lt;&gt;"-",SUMIFS(DADOS!$N$4:$N$19,DADOS!$C$4:$C$19,B31))</f>
        <v>8.5710256024558937E-3</v>
      </c>
      <c r="K31" s="77" cm="1">
        <f t="array" ref="K31">_xlfn.IFS(D31&lt;&gt;"-",SUMIFS(DADOS!$E$4:$E$19,DADOS!$C$4:$C$19,D31),C31&lt;&gt;"-",SUMIFS(DADOS!$E$4:$E$19,DADOS!$C$4:$C$19,C31),B31&lt;&gt;"-",SUMIFS(DADOS!$E$4:$E$19,DADOS!$C$4:$C$19,B31))</f>
        <v>100000</v>
      </c>
    </row>
    <row r="34" spans="2:18" ht="13.8" x14ac:dyDescent="0.3">
      <c r="B34" s="55" t="s">
        <v>100</v>
      </c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</row>
    <row r="36" spans="2:18" x14ac:dyDescent="0.3">
      <c r="B36" s="62" t="s">
        <v>101</v>
      </c>
    </row>
    <row r="38" spans="2:18" x14ac:dyDescent="0.3">
      <c r="B38" s="57" t="s">
        <v>104</v>
      </c>
      <c r="C38" s="67" t="s">
        <v>102</v>
      </c>
      <c r="D38" s="67" t="s">
        <v>103</v>
      </c>
    </row>
    <row r="39" spans="2:18" x14ac:dyDescent="0.3">
      <c r="B39" s="66" t="s">
        <v>78</v>
      </c>
      <c r="C39" s="68">
        <f>MIN(F$20:F$31)</f>
        <v>76500</v>
      </c>
      <c r="D39" s="68">
        <f>MAX(F$20:F$31)</f>
        <v>5400000</v>
      </c>
    </row>
    <row r="40" spans="2:18" x14ac:dyDescent="0.3">
      <c r="B40" s="66" t="s">
        <v>95</v>
      </c>
      <c r="C40" s="70">
        <f>MIN(G$20:G$31)</f>
        <v>1.3017751573069765E-2</v>
      </c>
      <c r="D40" s="70">
        <f>MAX(G$20:G$31)</f>
        <v>0.11422253922967189</v>
      </c>
    </row>
    <row r="41" spans="2:18" x14ac:dyDescent="0.3">
      <c r="B41" s="66" t="s">
        <v>96</v>
      </c>
      <c r="C41" s="70">
        <f>MIN(H$20:H$31)</f>
        <v>6.5000000000000002E-2</v>
      </c>
      <c r="D41" s="70">
        <f>MAX(H$20:H$31)</f>
        <v>7.4999999999999997E-2</v>
      </c>
    </row>
    <row r="42" spans="2:18" x14ac:dyDescent="0.3">
      <c r="B42" s="66" t="s">
        <v>97</v>
      </c>
      <c r="C42" s="70">
        <f>MIN(I$20:I$31)</f>
        <v>4.1095890410958902E-2</v>
      </c>
      <c r="D42" s="70">
        <f>MAX(I$20:I$31)</f>
        <v>0.92592592592592593</v>
      </c>
    </row>
    <row r="43" spans="2:18" x14ac:dyDescent="0.3">
      <c r="B43" s="66" t="s">
        <v>98</v>
      </c>
      <c r="C43" s="70">
        <f>MIN(J$20:J$31)</f>
        <v>1.2856538403683841E-3</v>
      </c>
      <c r="D43" s="70">
        <f>MAX(J$20:J$31)</f>
        <v>0.4285512801227947</v>
      </c>
    </row>
    <row r="45" spans="2:18" x14ac:dyDescent="0.3">
      <c r="B45" s="63" t="s">
        <v>105</v>
      </c>
    </row>
    <row r="47" spans="2:18" x14ac:dyDescent="0.3">
      <c r="B47" s="57" t="s">
        <v>28</v>
      </c>
      <c r="C47" s="57" t="s">
        <v>32</v>
      </c>
      <c r="D47" s="57" t="s">
        <v>41</v>
      </c>
      <c r="E47" s="57" t="s">
        <v>93</v>
      </c>
      <c r="F47" s="67" t="s">
        <v>78</v>
      </c>
      <c r="G47" s="67" t="s">
        <v>95</v>
      </c>
      <c r="H47" s="67" t="s">
        <v>96</v>
      </c>
      <c r="I47" s="67" t="s">
        <v>97</v>
      </c>
      <c r="J47" s="67" t="s">
        <v>98</v>
      </c>
    </row>
    <row r="48" spans="2:18" x14ac:dyDescent="0.3">
      <c r="B48" s="59" t="s">
        <v>29</v>
      </c>
      <c r="C48" s="59" t="s">
        <v>33</v>
      </c>
      <c r="D48" s="59" t="s">
        <v>86</v>
      </c>
      <c r="E48" s="66">
        <v>1</v>
      </c>
      <c r="F48" s="75">
        <f>(F20-$C$39)/($D$39-$C$39)+0.1</f>
        <v>1.1000000000000001</v>
      </c>
      <c r="G48" s="75">
        <f>(G20-$C$40)/($D$40-$C$40)+0.1</f>
        <v>0.54867614867125247</v>
      </c>
      <c r="H48" s="75">
        <f t="shared" ref="H48:H59" si="1">(H20-$C$41)/($D$41-$C$41)+0.1</f>
        <v>0.1</v>
      </c>
      <c r="I48" s="75">
        <f>(I20-$C$42)/($D$42-$C$42)+0.1</f>
        <v>1.1000000000000001</v>
      </c>
      <c r="J48" s="75">
        <f t="shared" ref="J48:J59" si="2">(J20-$C$43)/($D$43-$C$43)+0.1</f>
        <v>1.1000000000000001</v>
      </c>
    </row>
    <row r="49" spans="2:18" x14ac:dyDescent="0.3">
      <c r="B49" s="59" t="s">
        <v>29</v>
      </c>
      <c r="C49" s="59" t="s">
        <v>36</v>
      </c>
      <c r="D49" s="59" t="s">
        <v>38</v>
      </c>
      <c r="E49" s="66">
        <f>E48+1</f>
        <v>2</v>
      </c>
      <c r="F49" s="75">
        <f t="shared" ref="F49:F59" si="3">(F21-$C$39)/($D$39-$C$39)+0.1</f>
        <v>0.1</v>
      </c>
      <c r="G49" s="75">
        <f t="shared" ref="G49:G59" si="4">(G21-$C$40)/($D$40-$C$40)+0.1</f>
        <v>0.29427921785416722</v>
      </c>
      <c r="H49" s="75">
        <f t="shared" si="1"/>
        <v>0.1</v>
      </c>
      <c r="I49" s="75">
        <f t="shared" ref="I49:I59" si="5">(I21-$C$42)/($D$42-$C$42)+0.1</f>
        <v>1.0876888828926066</v>
      </c>
      <c r="J49" s="75">
        <f t="shared" si="2"/>
        <v>0.11103309929789369</v>
      </c>
    </row>
    <row r="50" spans="2:18" x14ac:dyDescent="0.3">
      <c r="B50" s="59" t="s">
        <v>29</v>
      </c>
      <c r="C50" s="59" t="s">
        <v>36</v>
      </c>
      <c r="D50" s="59" t="s">
        <v>42</v>
      </c>
      <c r="E50" s="66">
        <f t="shared" ref="E50:E59" si="6">E49+1</f>
        <v>3</v>
      </c>
      <c r="F50" s="75">
        <f t="shared" si="3"/>
        <v>0.32982999906076826</v>
      </c>
      <c r="G50" s="75">
        <f t="shared" si="4"/>
        <v>0.17659202074967584</v>
      </c>
      <c r="H50" s="75">
        <f t="shared" si="1"/>
        <v>0.1</v>
      </c>
      <c r="I50" s="75">
        <f t="shared" si="5"/>
        <v>0.22742589978828515</v>
      </c>
      <c r="J50" s="75">
        <f t="shared" si="2"/>
        <v>0.13711133400200604</v>
      </c>
    </row>
    <row r="51" spans="2:18" x14ac:dyDescent="0.3">
      <c r="B51" s="59" t="s">
        <v>29</v>
      </c>
      <c r="C51" s="59" t="s">
        <v>36</v>
      </c>
      <c r="D51" s="59" t="s">
        <v>44</v>
      </c>
      <c r="E51" s="66">
        <f t="shared" si="6"/>
        <v>4</v>
      </c>
      <c r="F51" s="75">
        <f t="shared" si="3"/>
        <v>0.19833755987602142</v>
      </c>
      <c r="G51" s="75">
        <f t="shared" si="4"/>
        <v>0.2842690995694247</v>
      </c>
      <c r="H51" s="75">
        <f t="shared" si="1"/>
        <v>0.1</v>
      </c>
      <c r="I51" s="75">
        <f t="shared" si="5"/>
        <v>0.80699541284403664</v>
      </c>
      <c r="J51" s="75">
        <f t="shared" si="2"/>
        <v>0.17723169508525577</v>
      </c>
    </row>
    <row r="52" spans="2:18" x14ac:dyDescent="0.3">
      <c r="B52" s="59" t="s">
        <v>29</v>
      </c>
      <c r="C52" s="59" t="s">
        <v>36</v>
      </c>
      <c r="D52" s="59" t="s">
        <v>47</v>
      </c>
      <c r="E52" s="66">
        <f t="shared" si="6"/>
        <v>5</v>
      </c>
      <c r="F52" s="75">
        <f t="shared" si="3"/>
        <v>0.17485676716445947</v>
      </c>
      <c r="G52" s="75">
        <f t="shared" si="4"/>
        <v>0.38221190377141301</v>
      </c>
      <c r="H52" s="75">
        <f t="shared" si="1"/>
        <v>0.1</v>
      </c>
      <c r="I52" s="75">
        <f t="shared" si="5"/>
        <v>0.64837638821825205</v>
      </c>
      <c r="J52" s="75">
        <f t="shared" si="2"/>
        <v>0.14714142427281846</v>
      </c>
    </row>
    <row r="53" spans="2:18" x14ac:dyDescent="0.3">
      <c r="B53" s="59" t="s">
        <v>29</v>
      </c>
      <c r="C53" s="59" t="s">
        <v>36</v>
      </c>
      <c r="D53" s="59" t="s">
        <v>50</v>
      </c>
      <c r="E53" s="66">
        <f t="shared" si="6"/>
        <v>6</v>
      </c>
      <c r="F53" s="75">
        <f t="shared" si="3"/>
        <v>0.11112130008453086</v>
      </c>
      <c r="G53" s="75">
        <f t="shared" si="4"/>
        <v>0.70257312037578235</v>
      </c>
      <c r="H53" s="75">
        <f t="shared" si="1"/>
        <v>0.1</v>
      </c>
      <c r="I53" s="75">
        <f t="shared" si="5"/>
        <v>0.35090407759615139</v>
      </c>
      <c r="J53" s="75">
        <f t="shared" si="2"/>
        <v>0.10415330812437312</v>
      </c>
    </row>
    <row r="54" spans="2:18" x14ac:dyDescent="0.3">
      <c r="B54" s="59" t="s">
        <v>29</v>
      </c>
      <c r="C54" s="59" t="s">
        <v>36</v>
      </c>
      <c r="D54" s="59" t="s">
        <v>52</v>
      </c>
      <c r="E54" s="66">
        <f t="shared" si="6"/>
        <v>7</v>
      </c>
      <c r="F54" s="75">
        <f t="shared" si="3"/>
        <v>0.12996354597539214</v>
      </c>
      <c r="G54" s="75">
        <f t="shared" si="4"/>
        <v>0.24268093136914898</v>
      </c>
      <c r="H54" s="75">
        <f t="shared" si="1"/>
        <v>0.1</v>
      </c>
      <c r="I54" s="75">
        <f t="shared" si="5"/>
        <v>0.77668510863304263</v>
      </c>
      <c r="J54" s="75">
        <f t="shared" si="2"/>
        <v>0.12728403951855569</v>
      </c>
    </row>
    <row r="55" spans="2:18" x14ac:dyDescent="0.3">
      <c r="B55" s="59" t="s">
        <v>29</v>
      </c>
      <c r="C55" s="59" t="s">
        <v>36</v>
      </c>
      <c r="D55" s="59" t="s">
        <v>53</v>
      </c>
      <c r="E55" s="66">
        <f t="shared" si="6"/>
        <v>8</v>
      </c>
      <c r="F55" s="75">
        <f t="shared" si="3"/>
        <v>0.15419366957828495</v>
      </c>
      <c r="G55" s="75">
        <f t="shared" si="4"/>
        <v>0.59400772645962585</v>
      </c>
      <c r="H55" s="75">
        <f t="shared" si="1"/>
        <v>0.1</v>
      </c>
      <c r="I55" s="75">
        <f t="shared" si="5"/>
        <v>0.1</v>
      </c>
      <c r="J55" s="75">
        <f t="shared" si="2"/>
        <v>0.1</v>
      </c>
    </row>
    <row r="56" spans="2:18" x14ac:dyDescent="0.3">
      <c r="B56" s="59" t="s">
        <v>57</v>
      </c>
      <c r="C56" s="59" t="s">
        <v>86</v>
      </c>
      <c r="D56" s="59" t="s">
        <v>86</v>
      </c>
      <c r="E56" s="66">
        <f t="shared" si="6"/>
        <v>9</v>
      </c>
      <c r="F56" s="75">
        <f t="shared" si="3"/>
        <v>0.33959800882877805</v>
      </c>
      <c r="G56" s="75">
        <f t="shared" si="4"/>
        <v>0.1</v>
      </c>
      <c r="H56" s="75">
        <f t="shared" si="1"/>
        <v>0.1</v>
      </c>
      <c r="I56" s="75">
        <f t="shared" si="5"/>
        <v>0.34612619428912655</v>
      </c>
      <c r="J56" s="75">
        <f t="shared" si="2"/>
        <v>0.16720160481444335</v>
      </c>
    </row>
    <row r="57" spans="2:18" x14ac:dyDescent="0.3">
      <c r="B57" s="59" t="s">
        <v>60</v>
      </c>
      <c r="C57" s="59" t="s">
        <v>86</v>
      </c>
      <c r="D57" s="59" t="s">
        <v>86</v>
      </c>
      <c r="E57" s="66">
        <f t="shared" si="6"/>
        <v>10</v>
      </c>
      <c r="F57" s="75">
        <f t="shared" si="3"/>
        <v>0.12413825490748569</v>
      </c>
      <c r="G57" s="75">
        <f t="shared" si="4"/>
        <v>0.9281378644258802</v>
      </c>
      <c r="H57" s="75">
        <f t="shared" si="1"/>
        <v>1.1000000000000001</v>
      </c>
      <c r="I57" s="75">
        <f t="shared" si="5"/>
        <v>0.32920396061758783</v>
      </c>
      <c r="J57" s="75">
        <f t="shared" si="2"/>
        <v>0.10702106318956871</v>
      </c>
    </row>
    <row r="58" spans="2:18" x14ac:dyDescent="0.3">
      <c r="B58" s="59" t="s">
        <v>63</v>
      </c>
      <c r="C58" s="59" t="s">
        <v>86</v>
      </c>
      <c r="D58" s="59" t="s">
        <v>86</v>
      </c>
      <c r="E58" s="66">
        <f t="shared" si="6"/>
        <v>11</v>
      </c>
      <c r="F58" s="75">
        <f t="shared" si="3"/>
        <v>0.34899032591340284</v>
      </c>
      <c r="G58" s="75">
        <f t="shared" si="4"/>
        <v>1.1000000000000001</v>
      </c>
      <c r="H58" s="75">
        <f t="shared" si="1"/>
        <v>1.1000000000000001</v>
      </c>
      <c r="I58" s="75">
        <f t="shared" si="5"/>
        <v>0.37599742831341865</v>
      </c>
      <c r="J58" s="75">
        <f t="shared" si="2"/>
        <v>0.17723169508525577</v>
      </c>
    </row>
    <row r="59" spans="2:18" x14ac:dyDescent="0.3">
      <c r="B59" s="59" t="s">
        <v>65</v>
      </c>
      <c r="C59" s="59" t="s">
        <v>86</v>
      </c>
      <c r="D59" s="59" t="s">
        <v>86</v>
      </c>
      <c r="E59" s="66">
        <f t="shared" si="6"/>
        <v>12</v>
      </c>
      <c r="F59" s="75">
        <f t="shared" si="3"/>
        <v>0.10817131586362357</v>
      </c>
      <c r="G59" s="75">
        <f t="shared" si="4"/>
        <v>0.40366397814308741</v>
      </c>
      <c r="H59" s="75">
        <f t="shared" si="1"/>
        <v>1.1000000000000001</v>
      </c>
      <c r="I59" s="75">
        <f t="shared" si="5"/>
        <v>0.99535550458715594</v>
      </c>
      <c r="J59" s="75">
        <f t="shared" si="2"/>
        <v>0.11705115346038114</v>
      </c>
    </row>
    <row r="62" spans="2:18" ht="13.8" x14ac:dyDescent="0.3">
      <c r="B62" s="55" t="s">
        <v>106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5"/>
    </row>
    <row r="65" spans="2:9" x14ac:dyDescent="0.3">
      <c r="B65" s="57" t="s">
        <v>28</v>
      </c>
      <c r="C65" s="57" t="s">
        <v>32</v>
      </c>
      <c r="D65" s="57" t="s">
        <v>41</v>
      </c>
      <c r="E65" s="57" t="s">
        <v>93</v>
      </c>
      <c r="F65" s="67" t="s">
        <v>107</v>
      </c>
      <c r="G65" s="67" t="s">
        <v>87</v>
      </c>
      <c r="H65" s="67" t="s">
        <v>108</v>
      </c>
      <c r="I65" s="67" t="s">
        <v>109</v>
      </c>
    </row>
    <row r="66" spans="2:9" x14ac:dyDescent="0.3">
      <c r="B66" s="59" t="s">
        <v>29</v>
      </c>
      <c r="C66" s="59" t="s">
        <v>33</v>
      </c>
      <c r="D66" s="59" t="s">
        <v>86</v>
      </c>
      <c r="E66" s="66">
        <v>1</v>
      </c>
      <c r="F66" s="64">
        <f t="shared" ref="F66:F77" si="7">F48*$G$9+G48*$G$10+H48*$G$11</f>
        <v>0.62433807433562627</v>
      </c>
      <c r="G66" s="64">
        <f t="shared" ref="G66:G77" si="8">I48*$G$12+J48*$G$13</f>
        <v>1.1000000000000001</v>
      </c>
      <c r="H66" s="59">
        <v>1</v>
      </c>
      <c r="I66" s="68">
        <f>_xlfn.XLOOKUP(E66,$E$20:$E$31,$K$20:$K$31)</f>
        <v>5000000</v>
      </c>
    </row>
    <row r="67" spans="2:9" x14ac:dyDescent="0.3">
      <c r="B67" s="59" t="s">
        <v>29</v>
      </c>
      <c r="C67" s="59" t="s">
        <v>36</v>
      </c>
      <c r="D67" s="59" t="s">
        <v>38</v>
      </c>
      <c r="E67" s="66">
        <f>E66+1</f>
        <v>2</v>
      </c>
      <c r="F67" s="64">
        <f t="shared" si="7"/>
        <v>0.1971396089270836</v>
      </c>
      <c r="G67" s="64">
        <f t="shared" si="8"/>
        <v>0.89235772617366405</v>
      </c>
      <c r="H67" s="59">
        <v>3</v>
      </c>
      <c r="I67" s="68">
        <f t="shared" ref="I67:I77" si="9">_xlfn.XLOOKUP(E67,$E$20:$E$31,$K$20:$K$31)</f>
        <v>70000</v>
      </c>
    </row>
    <row r="68" spans="2:9" x14ac:dyDescent="0.3">
      <c r="B68" s="59" t="s">
        <v>29</v>
      </c>
      <c r="C68" s="59" t="s">
        <v>36</v>
      </c>
      <c r="D68" s="59" t="s">
        <v>42</v>
      </c>
      <c r="E68" s="66">
        <f t="shared" ref="E68:E77" si="10">E67+1</f>
        <v>3</v>
      </c>
      <c r="F68" s="64">
        <f t="shared" si="7"/>
        <v>0.20724501009306839</v>
      </c>
      <c r="G68" s="64">
        <f t="shared" si="8"/>
        <v>0.20936298663102934</v>
      </c>
      <c r="H68" s="59">
        <v>9</v>
      </c>
      <c r="I68" s="68">
        <f t="shared" si="9"/>
        <v>200000</v>
      </c>
    </row>
    <row r="69" spans="2:9" x14ac:dyDescent="0.3">
      <c r="B69" s="59" t="s">
        <v>29</v>
      </c>
      <c r="C69" s="59" t="s">
        <v>36</v>
      </c>
      <c r="D69" s="59" t="s">
        <v>44</v>
      </c>
      <c r="E69" s="66">
        <f t="shared" si="10"/>
        <v>4</v>
      </c>
      <c r="F69" s="64">
        <f t="shared" si="7"/>
        <v>0.22163581774751878</v>
      </c>
      <c r="G69" s="64">
        <f t="shared" si="8"/>
        <v>0.68104266929228052</v>
      </c>
      <c r="H69" s="59">
        <v>6</v>
      </c>
      <c r="I69" s="68">
        <f t="shared" si="9"/>
        <v>400000</v>
      </c>
    </row>
    <row r="70" spans="2:9" x14ac:dyDescent="0.3">
      <c r="B70" s="59" t="s">
        <v>29</v>
      </c>
      <c r="C70" s="59" t="s">
        <v>36</v>
      </c>
      <c r="D70" s="59" t="s">
        <v>47</v>
      </c>
      <c r="E70" s="66">
        <f t="shared" si="10"/>
        <v>5</v>
      </c>
      <c r="F70" s="64">
        <f t="shared" si="7"/>
        <v>0.26356298203504436</v>
      </c>
      <c r="G70" s="64">
        <f t="shared" si="8"/>
        <v>0.54812939542916539</v>
      </c>
      <c r="H70" s="59">
        <v>6</v>
      </c>
      <c r="I70" s="68">
        <f t="shared" si="9"/>
        <v>250000</v>
      </c>
    </row>
    <row r="71" spans="2:9" x14ac:dyDescent="0.3">
      <c r="B71" s="59" t="s">
        <v>29</v>
      </c>
      <c r="C71" s="59" t="s">
        <v>36</v>
      </c>
      <c r="D71" s="59" t="s">
        <v>50</v>
      </c>
      <c r="E71" s="66">
        <f t="shared" si="10"/>
        <v>6</v>
      </c>
      <c r="F71" s="64">
        <f t="shared" si="7"/>
        <v>0.40462295021325045</v>
      </c>
      <c r="G71" s="64">
        <f t="shared" si="8"/>
        <v>0.30155392370179573</v>
      </c>
      <c r="H71" s="59">
        <v>8</v>
      </c>
      <c r="I71" s="68">
        <f t="shared" si="9"/>
        <v>35704.241000000002</v>
      </c>
    </row>
    <row r="72" spans="2:9" x14ac:dyDescent="0.3">
      <c r="B72" s="59" t="s">
        <v>29</v>
      </c>
      <c r="C72" s="59" t="s">
        <v>36</v>
      </c>
      <c r="D72" s="59" t="s">
        <v>52</v>
      </c>
      <c r="E72" s="66">
        <f t="shared" si="10"/>
        <v>7</v>
      </c>
      <c r="F72" s="64">
        <f t="shared" si="7"/>
        <v>0.18032952947719216</v>
      </c>
      <c r="G72" s="64">
        <f t="shared" si="8"/>
        <v>0.64680489481014536</v>
      </c>
      <c r="H72" s="59">
        <v>6</v>
      </c>
      <c r="I72" s="68">
        <f t="shared" si="9"/>
        <v>151010.93700000001</v>
      </c>
    </row>
    <row r="73" spans="2:9" x14ac:dyDescent="0.3">
      <c r="B73" s="59" t="s">
        <v>29</v>
      </c>
      <c r="C73" s="59" t="s">
        <v>36</v>
      </c>
      <c r="D73" s="59" t="s">
        <v>53</v>
      </c>
      <c r="E73" s="66">
        <f t="shared" si="10"/>
        <v>8</v>
      </c>
      <c r="F73" s="64">
        <f t="shared" si="7"/>
        <v>0.36326196410329842</v>
      </c>
      <c r="G73" s="64">
        <f t="shared" si="8"/>
        <v>0.10000000000000002</v>
      </c>
      <c r="H73" s="59">
        <v>8</v>
      </c>
      <c r="I73" s="68">
        <f t="shared" si="9"/>
        <v>15000</v>
      </c>
    </row>
    <row r="74" spans="2:9" x14ac:dyDescent="0.3">
      <c r="B74" s="59" t="s">
        <v>57</v>
      </c>
      <c r="C74" s="59" t="s">
        <v>86</v>
      </c>
      <c r="D74" s="59" t="s">
        <v>86</v>
      </c>
      <c r="E74" s="66">
        <f t="shared" si="10"/>
        <v>9</v>
      </c>
      <c r="F74" s="64">
        <f t="shared" si="7"/>
        <v>0.17187940264863344</v>
      </c>
      <c r="G74" s="64">
        <f t="shared" si="8"/>
        <v>0.31034127639418996</v>
      </c>
      <c r="H74" s="59">
        <v>9</v>
      </c>
      <c r="I74" s="68">
        <f t="shared" si="9"/>
        <v>350000</v>
      </c>
    </row>
    <row r="75" spans="2:9" x14ac:dyDescent="0.3">
      <c r="B75" s="59" t="s">
        <v>60</v>
      </c>
      <c r="C75" s="59" t="s">
        <v>86</v>
      </c>
      <c r="D75" s="59" t="s">
        <v>86</v>
      </c>
      <c r="E75" s="66">
        <f t="shared" si="10"/>
        <v>10</v>
      </c>
      <c r="F75" s="64">
        <f t="shared" si="7"/>
        <v>0.72131040868518581</v>
      </c>
      <c r="G75" s="64">
        <f t="shared" si="8"/>
        <v>0.28476738113198402</v>
      </c>
      <c r="H75" s="59">
        <v>7</v>
      </c>
      <c r="I75" s="68">
        <f t="shared" si="9"/>
        <v>50000</v>
      </c>
    </row>
    <row r="76" spans="2:9" x14ac:dyDescent="0.3">
      <c r="B76" s="59" t="s">
        <v>63</v>
      </c>
      <c r="C76" s="59" t="s">
        <v>86</v>
      </c>
      <c r="D76" s="59" t="s">
        <v>86</v>
      </c>
      <c r="E76" s="66">
        <f t="shared" si="10"/>
        <v>11</v>
      </c>
      <c r="F76" s="64">
        <f t="shared" si="7"/>
        <v>0.87469709777402094</v>
      </c>
      <c r="G76" s="64">
        <f t="shared" si="8"/>
        <v>0.33624428166778608</v>
      </c>
      <c r="H76" s="59">
        <v>7</v>
      </c>
      <c r="I76" s="68">
        <f t="shared" si="9"/>
        <v>400000</v>
      </c>
    </row>
    <row r="77" spans="2:9" x14ac:dyDescent="0.3">
      <c r="B77" s="59" t="s">
        <v>65</v>
      </c>
      <c r="C77" s="59" t="s">
        <v>86</v>
      </c>
      <c r="D77" s="59" t="s">
        <v>86</v>
      </c>
      <c r="E77" s="66">
        <f t="shared" si="10"/>
        <v>12</v>
      </c>
      <c r="F77" s="64">
        <f t="shared" si="7"/>
        <v>0.45428338383063083</v>
      </c>
      <c r="G77" s="64">
        <f t="shared" si="8"/>
        <v>0.81969463436180101</v>
      </c>
      <c r="H77" s="59">
        <v>2</v>
      </c>
      <c r="I77" s="68">
        <f t="shared" si="9"/>
        <v>100000</v>
      </c>
    </row>
    <row r="103" spans="2:18" ht="13.8" x14ac:dyDescent="0.3">
      <c r="B103" s="55" t="s">
        <v>111</v>
      </c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</row>
    <row r="105" spans="2:18" x14ac:dyDescent="0.3">
      <c r="B105" s="78" t="s">
        <v>108</v>
      </c>
      <c r="C105" s="79" t="s">
        <v>113</v>
      </c>
      <c r="D105" s="79" t="s">
        <v>82</v>
      </c>
    </row>
    <row r="106" spans="2:18" x14ac:dyDescent="0.3">
      <c r="B106" s="66">
        <v>1</v>
      </c>
      <c r="C106" s="68">
        <f>SUMIFS($I$66:$I$77,$H$66:$H$77,B106)</f>
        <v>5000000</v>
      </c>
      <c r="D106" s="82">
        <f>C106/$C$115</f>
        <v>0.71207673242937675</v>
      </c>
    </row>
    <row r="107" spans="2:18" x14ac:dyDescent="0.3">
      <c r="B107" s="66">
        <f>B106+1</f>
        <v>2</v>
      </c>
      <c r="C107" s="68">
        <f t="shared" ref="C107:C114" si="11">SUMIFS($I$66:$I$77,$H$66:$H$77,B107)</f>
        <v>100000</v>
      </c>
      <c r="D107" s="82">
        <f t="shared" ref="D107:D114" si="12">C107/$C$115</f>
        <v>1.4241534648587536E-2</v>
      </c>
    </row>
    <row r="108" spans="2:18" x14ac:dyDescent="0.3">
      <c r="B108" s="66">
        <f t="shared" ref="B108:B114" si="13">B107+1</f>
        <v>3</v>
      </c>
      <c r="C108" s="68">
        <f t="shared" si="11"/>
        <v>70000</v>
      </c>
      <c r="D108" s="82">
        <f t="shared" si="12"/>
        <v>9.9690742540112752E-3</v>
      </c>
    </row>
    <row r="109" spans="2:18" x14ac:dyDescent="0.3">
      <c r="B109" s="66">
        <f t="shared" si="13"/>
        <v>4</v>
      </c>
      <c r="C109" s="68">
        <f t="shared" si="11"/>
        <v>0</v>
      </c>
      <c r="D109" s="82">
        <f t="shared" si="12"/>
        <v>0</v>
      </c>
    </row>
    <row r="110" spans="2:18" x14ac:dyDescent="0.3">
      <c r="B110" s="66">
        <f t="shared" si="13"/>
        <v>5</v>
      </c>
      <c r="C110" s="68">
        <f t="shared" si="11"/>
        <v>0</v>
      </c>
      <c r="D110" s="82">
        <f t="shared" si="12"/>
        <v>0</v>
      </c>
    </row>
    <row r="111" spans="2:18" x14ac:dyDescent="0.3">
      <c r="B111" s="66">
        <f t="shared" si="13"/>
        <v>6</v>
      </c>
      <c r="C111" s="68">
        <f t="shared" si="11"/>
        <v>801010.93700000003</v>
      </c>
      <c r="D111" s="82">
        <f t="shared" si="12"/>
        <v>0.11407625013183068</v>
      </c>
    </row>
    <row r="112" spans="2:18" x14ac:dyDescent="0.3">
      <c r="B112" s="66">
        <f t="shared" si="13"/>
        <v>7</v>
      </c>
      <c r="C112" s="68">
        <f t="shared" si="11"/>
        <v>450000</v>
      </c>
      <c r="D112" s="82">
        <f t="shared" si="12"/>
        <v>6.4086905918643911E-2</v>
      </c>
    </row>
    <row r="113" spans="2:4" x14ac:dyDescent="0.3">
      <c r="B113" s="66">
        <f t="shared" si="13"/>
        <v>8</v>
      </c>
      <c r="C113" s="68">
        <f t="shared" si="11"/>
        <v>50704.241000000002</v>
      </c>
      <c r="D113" s="82">
        <f t="shared" si="12"/>
        <v>7.2210620503183271E-3</v>
      </c>
    </row>
    <row r="114" spans="2:4" x14ac:dyDescent="0.3">
      <c r="B114" s="80">
        <f t="shared" si="13"/>
        <v>9</v>
      </c>
      <c r="C114" s="81">
        <f t="shared" si="11"/>
        <v>550000</v>
      </c>
      <c r="D114" s="83">
        <f t="shared" si="12"/>
        <v>7.8328440567231442E-2</v>
      </c>
    </row>
    <row r="115" spans="2:4" x14ac:dyDescent="0.3">
      <c r="B115" s="63" t="s">
        <v>115</v>
      </c>
      <c r="C115" s="68">
        <f>SUM(C106:C114)</f>
        <v>7021715.1780000003</v>
      </c>
      <c r="D115" s="69">
        <f>SUM(D106:D114)</f>
        <v>0.99999999999999989</v>
      </c>
    </row>
  </sheetData>
  <hyperlinks>
    <hyperlink ref="F11" r:id="rId1" xr:uid="{37BF5715-2EF5-4E9E-8152-489FFA57E8B5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C4F9F-D207-460E-AE89-0862D2854080}">
  <sheetPr>
    <tabColor rgb="FF00A9F4"/>
  </sheetPr>
  <dimension ref="B2:O64"/>
  <sheetViews>
    <sheetView showGridLines="0" topLeftCell="A47" workbookViewId="0">
      <selection activeCell="C9" sqref="C9"/>
    </sheetView>
  </sheetViews>
  <sheetFormatPr defaultRowHeight="14.4" x14ac:dyDescent="0.3"/>
  <cols>
    <col min="1" max="1" width="3.21875" customWidth="1"/>
    <col min="2" max="2" width="25.21875" customWidth="1"/>
    <col min="3" max="3" width="22.5546875" bestFit="1" customWidth="1"/>
    <col min="4" max="4" width="22.109375" bestFit="1" customWidth="1"/>
    <col min="5" max="5" width="15.21875" customWidth="1"/>
    <col min="6" max="6" width="26.21875" bestFit="1" customWidth="1"/>
    <col min="7" max="7" width="26.5546875" customWidth="1"/>
    <col min="8" max="9" width="29.88671875" bestFit="1" customWidth="1"/>
    <col min="10" max="10" width="26.21875" bestFit="1" customWidth="1"/>
    <col min="11" max="13" width="27.33203125" bestFit="1" customWidth="1"/>
    <col min="14" max="14" width="20.33203125" bestFit="1" customWidth="1"/>
    <col min="15" max="15" width="19.109375" bestFit="1" customWidth="1"/>
  </cols>
  <sheetData>
    <row r="2" spans="2:14" ht="33.6" customHeight="1" x14ac:dyDescent="0.45">
      <c r="B2" s="84" t="s">
        <v>117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</row>
    <row r="3" spans="2:14" x14ac:dyDescent="0.3">
      <c r="B3" s="135" t="s">
        <v>150</v>
      </c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</row>
    <row r="5" spans="2:14" x14ac:dyDescent="0.3">
      <c r="B5" s="55" t="s">
        <v>118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</row>
    <row r="7" spans="2:14" x14ac:dyDescent="0.3">
      <c r="B7" s="28" t="s">
        <v>112</v>
      </c>
    </row>
    <row r="8" spans="2:14" ht="22.2" customHeight="1" x14ac:dyDescent="0.3">
      <c r="B8" s="88" t="s">
        <v>112</v>
      </c>
      <c r="C8" s="88" t="s">
        <v>122</v>
      </c>
      <c r="D8" s="88" t="s">
        <v>123</v>
      </c>
      <c r="E8" s="118" t="s">
        <v>124</v>
      </c>
      <c r="F8" s="136" t="s">
        <v>151</v>
      </c>
      <c r="G8" s="48" t="s">
        <v>147</v>
      </c>
      <c r="H8" s="106"/>
      <c r="I8" s="106"/>
      <c r="J8" s="106"/>
      <c r="K8" s="106"/>
      <c r="L8" s="106"/>
      <c r="M8" s="106"/>
      <c r="N8" s="106"/>
    </row>
    <row r="9" spans="2:14" x14ac:dyDescent="0.3">
      <c r="B9" s="93">
        <v>1</v>
      </c>
      <c r="C9" s="87" t="s">
        <v>119</v>
      </c>
      <c r="D9" s="87" t="s">
        <v>119</v>
      </c>
      <c r="E9" s="111">
        <f>_xlfn.XLOOKUP($B9,'MACS Matrix'!$B$106:$B$114,'MACS Matrix'!$C$106:$C$114)</f>
        <v>5000000</v>
      </c>
      <c r="F9" s="119">
        <f>E9/$E$18</f>
        <v>0.71207673242937675</v>
      </c>
      <c r="G9" t="s">
        <v>135</v>
      </c>
    </row>
    <row r="10" spans="2:14" x14ac:dyDescent="0.3">
      <c r="B10" s="93">
        <v>2</v>
      </c>
      <c r="C10" s="86" t="s">
        <v>120</v>
      </c>
      <c r="D10" s="86" t="s">
        <v>119</v>
      </c>
      <c r="E10" s="111">
        <f>_xlfn.XLOOKUP($B10,'MACS Matrix'!$B$106:$B$114,'MACS Matrix'!$C$106:$C$114)</f>
        <v>100000</v>
      </c>
      <c r="F10" s="119">
        <f>E10/$E$18</f>
        <v>1.4241534648587536E-2</v>
      </c>
      <c r="G10" t="s">
        <v>143</v>
      </c>
    </row>
    <row r="11" spans="2:14" x14ac:dyDescent="0.3">
      <c r="B11" s="93">
        <v>3</v>
      </c>
      <c r="C11" s="86" t="s">
        <v>121</v>
      </c>
      <c r="D11" s="86" t="s">
        <v>119</v>
      </c>
      <c r="E11" s="111">
        <f>_xlfn.XLOOKUP($B11,'MACS Matrix'!$B$106:$B$114,'MACS Matrix'!$C$106:$C$114)</f>
        <v>70000</v>
      </c>
      <c r="F11" s="119">
        <f t="shared" ref="F11:F17" si="0">E11/$E$18</f>
        <v>9.9690742540112752E-3</v>
      </c>
      <c r="G11" t="s">
        <v>144</v>
      </c>
    </row>
    <row r="12" spans="2:14" x14ac:dyDescent="0.3">
      <c r="B12" s="93">
        <v>4</v>
      </c>
      <c r="C12" s="86" t="s">
        <v>119</v>
      </c>
      <c r="D12" s="86" t="s">
        <v>120</v>
      </c>
      <c r="E12" s="111">
        <f>_xlfn.XLOOKUP($B12,'MACS Matrix'!$B$106:$B$114,'MACS Matrix'!$C$106:$C$114)</f>
        <v>0</v>
      </c>
      <c r="F12" s="119">
        <f t="shared" si="0"/>
        <v>0</v>
      </c>
      <c r="G12" t="s">
        <v>86</v>
      </c>
    </row>
    <row r="13" spans="2:14" x14ac:dyDescent="0.3">
      <c r="B13" s="93">
        <v>5</v>
      </c>
      <c r="C13" s="86" t="s">
        <v>120</v>
      </c>
      <c r="D13" s="86" t="s">
        <v>120</v>
      </c>
      <c r="E13" s="111">
        <f>_xlfn.XLOOKUP($B13,'MACS Matrix'!$B$106:$B$114,'MACS Matrix'!$C$106:$C$114)</f>
        <v>0</v>
      </c>
      <c r="F13" s="119">
        <f t="shared" si="0"/>
        <v>0</v>
      </c>
      <c r="G13" t="s">
        <v>86</v>
      </c>
    </row>
    <row r="14" spans="2:14" x14ac:dyDescent="0.3">
      <c r="B14" s="93">
        <v>6</v>
      </c>
      <c r="C14" s="86" t="s">
        <v>121</v>
      </c>
      <c r="D14" s="86" t="s">
        <v>120</v>
      </c>
      <c r="E14" s="111">
        <f>_xlfn.XLOOKUP($B14,'MACS Matrix'!$B$106:$B$114,'MACS Matrix'!$C$106:$C$114)</f>
        <v>801010.93700000003</v>
      </c>
      <c r="F14" s="119">
        <f t="shared" si="0"/>
        <v>0.11407625013183068</v>
      </c>
      <c r="G14" t="s">
        <v>145</v>
      </c>
    </row>
    <row r="15" spans="2:14" x14ac:dyDescent="0.3">
      <c r="B15" s="93">
        <v>7</v>
      </c>
      <c r="C15" s="86" t="s">
        <v>119</v>
      </c>
      <c r="D15" s="86" t="s">
        <v>121</v>
      </c>
      <c r="E15" s="111">
        <f>_xlfn.XLOOKUP($B15,'MACS Matrix'!$B$106:$B$114,'MACS Matrix'!$C$106:$C$114)</f>
        <v>450000</v>
      </c>
      <c r="F15" s="119">
        <f t="shared" si="0"/>
        <v>6.4086905918643911E-2</v>
      </c>
      <c r="G15" t="s">
        <v>146</v>
      </c>
    </row>
    <row r="16" spans="2:14" x14ac:dyDescent="0.3">
      <c r="B16" s="93">
        <v>8</v>
      </c>
      <c r="C16" s="86" t="s">
        <v>120</v>
      </c>
      <c r="D16" s="86" t="s">
        <v>121</v>
      </c>
      <c r="E16" s="111">
        <f>_xlfn.XLOOKUP($B16,'MACS Matrix'!$B$106:$B$114,'MACS Matrix'!$C$106:$C$114)</f>
        <v>50704.241000000002</v>
      </c>
      <c r="F16" s="119">
        <f t="shared" si="0"/>
        <v>7.2210620503183271E-3</v>
      </c>
      <c r="G16" t="s">
        <v>148</v>
      </c>
    </row>
    <row r="17" spans="2:14" x14ac:dyDescent="0.3">
      <c r="B17" s="93">
        <v>9</v>
      </c>
      <c r="C17" s="89" t="s">
        <v>121</v>
      </c>
      <c r="D17" s="89" t="s">
        <v>121</v>
      </c>
      <c r="E17" s="111">
        <f>_xlfn.XLOOKUP($B17,'MACS Matrix'!$B$106:$B$114,'MACS Matrix'!$C$106:$C$114)</f>
        <v>550000</v>
      </c>
      <c r="F17" s="125">
        <f t="shared" si="0"/>
        <v>7.8328440567231442E-2</v>
      </c>
      <c r="G17" s="92" t="s">
        <v>149</v>
      </c>
      <c r="H17" s="92"/>
      <c r="I17" s="92"/>
      <c r="J17" s="92"/>
      <c r="K17" s="92"/>
      <c r="L17" s="92"/>
      <c r="M17" s="92"/>
      <c r="N17" s="92"/>
    </row>
    <row r="18" spans="2:14" x14ac:dyDescent="0.3">
      <c r="B18" s="90" t="s">
        <v>125</v>
      </c>
      <c r="C18" s="90" t="s">
        <v>86</v>
      </c>
      <c r="D18" s="90" t="s">
        <v>86</v>
      </c>
      <c r="E18" s="137">
        <f>SUM(E9:E17)</f>
        <v>7021715.1780000003</v>
      </c>
      <c r="F18" s="115">
        <f>SUM(F9:F17)</f>
        <v>0.99999999999999989</v>
      </c>
      <c r="G18" s="28" t="s">
        <v>86</v>
      </c>
    </row>
    <row r="21" spans="2:14" x14ac:dyDescent="0.3">
      <c r="B21" s="94" t="s">
        <v>133</v>
      </c>
      <c r="C21" s="94"/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</row>
    <row r="23" spans="2:14" x14ac:dyDescent="0.3">
      <c r="B23" s="105" t="s">
        <v>129</v>
      </c>
    </row>
    <row r="25" spans="2:14" x14ac:dyDescent="0.3">
      <c r="B25" s="95" t="s">
        <v>28</v>
      </c>
      <c r="C25" s="95" t="s">
        <v>32</v>
      </c>
      <c r="D25" s="95" t="s">
        <v>41</v>
      </c>
      <c r="E25" s="95" t="s">
        <v>93</v>
      </c>
      <c r="F25" s="95" t="s">
        <v>130</v>
      </c>
      <c r="G25" s="48" t="s">
        <v>154</v>
      </c>
      <c r="H25" s="110" t="s">
        <v>131</v>
      </c>
      <c r="I25" s="95" t="s">
        <v>126</v>
      </c>
      <c r="J25" s="95" t="s">
        <v>128</v>
      </c>
      <c r="K25" s="110" t="s">
        <v>127</v>
      </c>
      <c r="L25" s="48" t="s">
        <v>132</v>
      </c>
      <c r="M25" s="48" t="s">
        <v>132</v>
      </c>
    </row>
    <row r="26" spans="2:14" x14ac:dyDescent="0.3">
      <c r="B26" s="50" t="s">
        <v>29</v>
      </c>
      <c r="C26" s="50" t="s">
        <v>33</v>
      </c>
      <c r="D26" s="50" t="s">
        <v>86</v>
      </c>
      <c r="E26" s="97">
        <v>1</v>
      </c>
      <c r="F26" s="108" cm="1">
        <f t="array" ref="F26">_xlfn.IFS(D26&lt;&gt;"-",SUMIFS(DADOS!$E$4:$E$19,DADOS!$C$4:$C$19,D26),C26&lt;&gt;"-",SUMIFS(DADOS!$E$4:$E$19,DADOS!$C$4:$C$19,C26),B26&lt;&gt;"-",SUMIFS(DADOS!$E$4:$E$19,DADOS!$C$4:$C$19,B26))</f>
        <v>5000000</v>
      </c>
      <c r="G26" s="109" cm="1">
        <f t="array" ref="G26">_xlfn.IFS(D26&lt;&gt;"-",SUMIFS(DADOS!$R$4:$R$19,DADOS!$C$4:$C$19,D26),C26&lt;&gt;"-",SUMIFS(DADOS!$R$4:$R$19,DADOS!$C$4:$C$19,C26),B26&lt;&gt;"-",SUMIFS(DADOS!$R$4:$R$19,DADOS!$C$4:$C$19,B26))</f>
        <v>0.06</v>
      </c>
      <c r="H26" s="111">
        <f>F26*(1+G26)</f>
        <v>5300000</v>
      </c>
      <c r="I26" s="98" cm="1">
        <f t="array" ref="I26">_xlfn.IFS(D26&lt;&gt;"-",SUMIFS(DADOS!$H$4:$H$19,DADOS!$C$4:$C$19,D26),C26&lt;&gt;"-",SUMIFS(DADOS!$H$4:$H$19,DADOS!$C$4:$C$19,C26),B26&lt;&gt;"-",SUMIFS(DADOS!$H$4:$H$19,DADOS!$C$4:$C$19,B26))</f>
        <v>5400000</v>
      </c>
      <c r="J26" s="99" cm="1">
        <f t="array" ref="J26">_xlfn.IFS(D26&lt;&gt;"-",SUMIFS(DADOS!$U$4:$U$19,DADOS!$C$4:$C$19,D26),C26&lt;&gt;"-",SUMIFS(DADOS!$U$4:$U$19,DADOS!$C$4:$C$19,C26),B26&lt;&gt;"-",SUMIFS(DADOS!$U$4:$U$19,DADOS!$C$4:$C$19,B26))</f>
        <v>5.8425925925925923E-2</v>
      </c>
      <c r="K26" s="111">
        <f>I26*(1+J26)</f>
        <v>5715500</v>
      </c>
      <c r="L26" s="91">
        <f>F26/I26</f>
        <v>0.92592592592592593</v>
      </c>
      <c r="M26" s="91">
        <f>H26/K26</f>
        <v>0.92730294812352376</v>
      </c>
    </row>
    <row r="27" spans="2:14" x14ac:dyDescent="0.3">
      <c r="B27" s="50" t="s">
        <v>29</v>
      </c>
      <c r="C27" s="50" t="s">
        <v>36</v>
      </c>
      <c r="D27" s="50" t="s">
        <v>38</v>
      </c>
      <c r="E27" s="97">
        <f t="shared" ref="E27:E37" si="1">E26+1</f>
        <v>2</v>
      </c>
      <c r="F27" s="98" cm="1">
        <f t="array" ref="F27">_xlfn.IFS(D27&lt;&gt;"-",SUMIFS(DADOS!$E$4:$E$19,DADOS!$C$4:$C$19,D27),C27&lt;&gt;"-",SUMIFS(DADOS!$E$4:$E$19,DADOS!$C$4:$C$19,C27),B27&lt;&gt;"-",SUMIFS(DADOS!$E$4:$E$19,DADOS!$C$4:$C$19,B27))</f>
        <v>70000</v>
      </c>
      <c r="G27" s="104" cm="1">
        <f t="array" ref="G27">_xlfn.IFS(D27&lt;&gt;"-",SUMIFS(DADOS!$R$4:$R$19,DADOS!$C$4:$C$19,D27),C27&lt;&gt;"-",SUMIFS(DADOS!$R$4:$R$19,DADOS!$C$4:$C$19,C27),B27&lt;&gt;"-",SUMIFS(DADOS!$R$4:$R$19,DADOS!$C$4:$C$19,B27))</f>
        <v>0.03</v>
      </c>
      <c r="H27" s="111">
        <f t="shared" ref="H27:H37" si="2">F27*(1+G27)</f>
        <v>72100</v>
      </c>
      <c r="I27" s="98" cm="1">
        <f t="array" ref="I27">_xlfn.IFS(D27&lt;&gt;"-",SUMIFS(DADOS!$H$4:$H$19,DADOS!$C$4:$C$19,D27),C27&lt;&gt;"-",SUMIFS(DADOS!$H$4:$H$19,DADOS!$C$4:$C$19,C27),B27&lt;&gt;"-",SUMIFS(DADOS!$H$4:$H$19,DADOS!$C$4:$C$19,B27))</f>
        <v>76500</v>
      </c>
      <c r="J27" s="99" cm="1">
        <f t="array" ref="J27">_xlfn.IFS(D27&lt;&gt;"-",SUMIFS(DADOS!$U$4:$U$19,DADOS!$C$4:$C$19,D27),C27&lt;&gt;"-",SUMIFS(DADOS!$U$4:$U$19,DADOS!$C$4:$C$19,C27),B27&lt;&gt;"-",SUMIFS(DADOS!$U$4:$U$19,DADOS!$C$4:$C$19,B27))</f>
        <v>3.2679738562091505E-2</v>
      </c>
      <c r="K27" s="111">
        <f t="shared" ref="K27:K37" si="3">I27*(1+J27)</f>
        <v>79000.000000000015</v>
      </c>
      <c r="L27" s="91">
        <f t="shared" ref="L27:L37" si="4">F27/I27</f>
        <v>0.91503267973856206</v>
      </c>
      <c r="M27" s="91">
        <f t="shared" ref="M27:M37" si="5">H27/K27</f>
        <v>0.91265822784810113</v>
      </c>
    </row>
    <row r="28" spans="2:14" x14ac:dyDescent="0.3">
      <c r="B28" s="50" t="s">
        <v>29</v>
      </c>
      <c r="C28" s="50" t="s">
        <v>36</v>
      </c>
      <c r="D28" s="50" t="s">
        <v>42</v>
      </c>
      <c r="E28" s="97">
        <f t="shared" si="1"/>
        <v>3</v>
      </c>
      <c r="F28" s="98" cm="1">
        <f t="array" ref="F28">_xlfn.IFS(D28&lt;&gt;"-",SUMIFS(DADOS!$E$4:$E$19,DADOS!$C$4:$C$19,D28),C28&lt;&gt;"-",SUMIFS(DADOS!$E$4:$E$19,DADOS!$C$4:$C$19,C28),B28&lt;&gt;"-",SUMIFS(DADOS!$E$4:$E$19,DADOS!$C$4:$C$19,B28))</f>
        <v>200000</v>
      </c>
      <c r="G28" s="104" cm="1">
        <f t="array" ref="G28">_xlfn.IFS(D28&lt;&gt;"-",SUMIFS(DADOS!$R$4:$R$19,DADOS!$C$4:$C$19,D28),C28&lt;&gt;"-",SUMIFS(DADOS!$R$4:$R$19,DADOS!$C$4:$C$19,C28),B28&lt;&gt;"-",SUMIFS(DADOS!$R$4:$R$19,DADOS!$C$4:$C$19,B28))</f>
        <v>0.01</v>
      </c>
      <c r="H28" s="111">
        <f t="shared" si="2"/>
        <v>202000</v>
      </c>
      <c r="I28" s="98" cm="1">
        <f t="array" ref="I28">_xlfn.IFS(D28&lt;&gt;"-",SUMIFS(DADOS!$H$4:$H$19,DADOS!$C$4:$C$19,D28),C28&lt;&gt;"-",SUMIFS(DADOS!$H$4:$H$19,DADOS!$C$4:$C$19,C28),B28&lt;&gt;"-",SUMIFS(DADOS!$H$4:$H$19,DADOS!$C$4:$C$19,B28))</f>
        <v>1300000</v>
      </c>
      <c r="J28" s="99" cm="1">
        <f t="array" ref="J28">_xlfn.IFS(D28&lt;&gt;"-",SUMIFS(DADOS!$U$4:$U$19,DADOS!$C$4:$C$19,D28),C28&lt;&gt;"-",SUMIFS(DADOS!$U$4:$U$19,DADOS!$C$4:$C$19,C28),B28&lt;&gt;"-",SUMIFS(DADOS!$U$4:$U$19,DADOS!$C$4:$C$19,B28))</f>
        <v>2.0769230769230769E-2</v>
      </c>
      <c r="K28" s="111">
        <f t="shared" si="3"/>
        <v>1327000.0000000002</v>
      </c>
      <c r="L28" s="91">
        <f t="shared" si="4"/>
        <v>0.15384615384615385</v>
      </c>
      <c r="M28" s="91">
        <f t="shared" si="5"/>
        <v>0.15222305953278067</v>
      </c>
    </row>
    <row r="29" spans="2:14" x14ac:dyDescent="0.3">
      <c r="B29" s="50" t="s">
        <v>29</v>
      </c>
      <c r="C29" s="50" t="s">
        <v>36</v>
      </c>
      <c r="D29" s="50" t="s">
        <v>44</v>
      </c>
      <c r="E29" s="97">
        <f t="shared" si="1"/>
        <v>4</v>
      </c>
      <c r="F29" s="98" cm="1">
        <f t="array" ref="F29">_xlfn.IFS(D29&lt;&gt;"-",SUMIFS(DADOS!$E$4:$E$19,DADOS!$C$4:$C$19,D29),C29&lt;&gt;"-",SUMIFS(DADOS!$E$4:$E$19,DADOS!$C$4:$C$19,C29),B29&lt;&gt;"-",SUMIFS(DADOS!$E$4:$E$19,DADOS!$C$4:$C$19,B29))</f>
        <v>400000</v>
      </c>
      <c r="G29" s="104" cm="1">
        <f t="array" ref="G29">_xlfn.IFS(D29&lt;&gt;"-",SUMIFS(DADOS!$R$4:$R$19,DADOS!$C$4:$C$19,D29),C29&lt;&gt;"-",SUMIFS(DADOS!$R$4:$R$19,DADOS!$C$4:$C$19,C29),B29&lt;&gt;"-",SUMIFS(DADOS!$R$4:$R$19,DADOS!$C$4:$C$19,B29))</f>
        <v>3.5000000000000003E-2</v>
      </c>
      <c r="H29" s="111">
        <f t="shared" si="2"/>
        <v>413999.99999999994</v>
      </c>
      <c r="I29" s="98" cm="1">
        <f t="array" ref="I29">_xlfn.IFS(D29&lt;&gt;"-",SUMIFS(DADOS!$H$4:$H$19,DADOS!$C$4:$C$19,D29),C29&lt;&gt;"-",SUMIFS(DADOS!$H$4:$H$19,DADOS!$C$4:$C$19,C29),B29&lt;&gt;"-",SUMIFS(DADOS!$H$4:$H$19,DADOS!$C$4:$C$19,B29))</f>
        <v>600000</v>
      </c>
      <c r="J29" s="99" cm="1">
        <f t="array" ref="J29">_xlfn.IFS(D29&lt;&gt;"-",SUMIFS(DADOS!$U$4:$U$19,DADOS!$C$4:$C$19,D29),C29&lt;&gt;"-",SUMIFS(DADOS!$U$4:$U$19,DADOS!$C$4:$C$19,C29),B29&lt;&gt;"-",SUMIFS(DADOS!$U$4:$U$19,DADOS!$C$4:$C$19,B29))</f>
        <v>3.1666666666666669E-2</v>
      </c>
      <c r="K29" s="111">
        <f t="shared" si="3"/>
        <v>619000</v>
      </c>
      <c r="L29" s="91">
        <f t="shared" si="4"/>
        <v>0.66666666666666663</v>
      </c>
      <c r="M29" s="91">
        <f t="shared" si="5"/>
        <v>0.66882067851373173</v>
      </c>
    </row>
    <row r="30" spans="2:14" x14ac:dyDescent="0.3">
      <c r="B30" s="50" t="s">
        <v>29</v>
      </c>
      <c r="C30" s="50" t="s">
        <v>36</v>
      </c>
      <c r="D30" s="50" t="s">
        <v>47</v>
      </c>
      <c r="E30" s="97">
        <f t="shared" si="1"/>
        <v>5</v>
      </c>
      <c r="F30" s="98" cm="1">
        <f t="array" ref="F30">_xlfn.IFS(D30&lt;&gt;"-",SUMIFS(DADOS!$E$4:$E$19,DADOS!$C$4:$C$19,D30),C30&lt;&gt;"-",SUMIFS(DADOS!$E$4:$E$19,DADOS!$C$4:$C$19,C30),B30&lt;&gt;"-",SUMIFS(DADOS!$E$4:$E$19,DADOS!$C$4:$C$19,B30))</f>
        <v>250000</v>
      </c>
      <c r="G30" s="104" cm="1">
        <f t="array" ref="G30">_xlfn.IFS(D30&lt;&gt;"-",SUMIFS(DADOS!$R$4:$R$19,DADOS!$C$4:$C$19,D30),C30&lt;&gt;"-",SUMIFS(DADOS!$R$4:$R$19,DADOS!$C$4:$C$19,C30),B30&lt;&gt;"-",SUMIFS(DADOS!$R$4:$R$19,DADOS!$C$4:$C$19,B30))</f>
        <v>0.04</v>
      </c>
      <c r="H30" s="111">
        <f t="shared" si="2"/>
        <v>260000</v>
      </c>
      <c r="I30" s="98" cm="1">
        <f t="array" ref="I30">_xlfn.IFS(D30&lt;&gt;"-",SUMIFS(DADOS!$H$4:$H$19,DADOS!$C$4:$C$19,D30),C30&lt;&gt;"-",SUMIFS(DADOS!$H$4:$H$19,DADOS!$C$4:$C$19,C30),B30&lt;&gt;"-",SUMIFS(DADOS!$H$4:$H$19,DADOS!$C$4:$C$19,B30))</f>
        <v>475000</v>
      </c>
      <c r="J30" s="99" cm="1">
        <f t="array" ref="J30">_xlfn.IFS(D30&lt;&gt;"-",SUMIFS(DADOS!$U$4:$U$19,DADOS!$C$4:$C$19,D30),C30&lt;&gt;"-",SUMIFS(DADOS!$U$4:$U$19,DADOS!$C$4:$C$19,C30),B30&lt;&gt;"-",SUMIFS(DADOS!$U$4:$U$19,DADOS!$C$4:$C$19,B30))</f>
        <v>4.1578947368421056E-2</v>
      </c>
      <c r="K30" s="111">
        <f t="shared" si="3"/>
        <v>494750.00000000006</v>
      </c>
      <c r="L30" s="91">
        <f t="shared" si="4"/>
        <v>0.52631578947368418</v>
      </c>
      <c r="M30" s="91">
        <f t="shared" si="5"/>
        <v>0.52551793835270333</v>
      </c>
    </row>
    <row r="31" spans="2:14" x14ac:dyDescent="0.3">
      <c r="B31" s="50" t="s">
        <v>29</v>
      </c>
      <c r="C31" s="50" t="s">
        <v>36</v>
      </c>
      <c r="D31" s="50" t="s">
        <v>50</v>
      </c>
      <c r="E31" s="97">
        <f t="shared" si="1"/>
        <v>6</v>
      </c>
      <c r="F31" s="98" cm="1">
        <f t="array" ref="F31">_xlfn.IFS(D31&lt;&gt;"-",SUMIFS(DADOS!$E$4:$E$19,DADOS!$C$4:$C$19,D31),C31&lt;&gt;"-",SUMIFS(DADOS!$E$4:$E$19,DADOS!$C$4:$C$19,C31),B31&lt;&gt;"-",SUMIFS(DADOS!$E$4:$E$19,DADOS!$C$4:$C$19,B31))</f>
        <v>35704.241000000002</v>
      </c>
      <c r="G31" s="104" cm="1">
        <f t="array" ref="G31">_xlfn.IFS(D31&lt;&gt;"-",SUMIFS(DADOS!$R$4:$R$19,DADOS!$C$4:$C$19,D31),C31&lt;&gt;"-",SUMIFS(DADOS!$R$4:$R$19,DADOS!$C$4:$C$19,C31),B31&lt;&gt;"-",SUMIFS(DADOS!$R$4:$R$19,DADOS!$C$4:$C$19,B31))</f>
        <v>0.06</v>
      </c>
      <c r="H31" s="111">
        <f t="shared" si="2"/>
        <v>37846.495460000006</v>
      </c>
      <c r="I31" s="98" cm="1">
        <f t="array" ref="I31">_xlfn.IFS(D31&lt;&gt;"-",SUMIFS(DADOS!$H$4:$H$19,DADOS!$C$4:$C$19,D31),C31&lt;&gt;"-",SUMIFS(DADOS!$H$4:$H$19,DADOS!$C$4:$C$19,C31),B31&lt;&gt;"-",SUMIFS(DADOS!$H$4:$H$19,DADOS!$C$4:$C$19,B31))</f>
        <v>135704.24100000001</v>
      </c>
      <c r="J31" s="99" cm="1">
        <f t="array" ref="J31">_xlfn.IFS(D31&lt;&gt;"-",SUMIFS(DADOS!$U$4:$U$19,DADOS!$C$4:$C$19,D31),C31&lt;&gt;"-",SUMIFS(DADOS!$U$4:$U$19,DADOS!$C$4:$C$19,C31),B31&lt;&gt;"-",SUMIFS(DADOS!$U$4:$U$19,DADOS!$C$4:$C$19,B31))</f>
        <v>7.4001036268276976E-2</v>
      </c>
      <c r="K31" s="111">
        <f t="shared" si="3"/>
        <v>145746.49546000001</v>
      </c>
      <c r="L31" s="91">
        <f t="shared" si="4"/>
        <v>0.26310335430121157</v>
      </c>
      <c r="M31" s="91">
        <f t="shared" si="5"/>
        <v>0.25967345108745304</v>
      </c>
    </row>
    <row r="32" spans="2:14" x14ac:dyDescent="0.3">
      <c r="B32" s="50" t="s">
        <v>29</v>
      </c>
      <c r="C32" s="50" t="s">
        <v>36</v>
      </c>
      <c r="D32" s="50" t="s">
        <v>52</v>
      </c>
      <c r="E32" s="97">
        <f t="shared" si="1"/>
        <v>7</v>
      </c>
      <c r="F32" s="98" cm="1">
        <f t="array" ref="F32">_xlfn.IFS(D32&lt;&gt;"-",SUMIFS(DADOS!$E$4:$E$19,DADOS!$C$4:$C$19,D32),C32&lt;&gt;"-",SUMIFS(DADOS!$E$4:$E$19,DADOS!$C$4:$C$19,C32),B32&lt;&gt;"-",SUMIFS(DADOS!$E$4:$E$19,DADOS!$C$4:$C$19,B32))</f>
        <v>151010.93700000001</v>
      </c>
      <c r="G32" s="104" cm="1">
        <f t="array" ref="G32">_xlfn.IFS(D32&lt;&gt;"-",SUMIFS(DADOS!$R$4:$R$19,DADOS!$C$4:$C$19,D32),C32&lt;&gt;"-",SUMIFS(DADOS!$R$4:$R$19,DADOS!$C$4:$C$19,C32),B32&lt;&gt;"-",SUMIFS(DADOS!$R$4:$R$19,DADOS!$C$4:$C$19,B32))</f>
        <v>0.03</v>
      </c>
      <c r="H32" s="111">
        <f t="shared" si="2"/>
        <v>155541.26511000001</v>
      </c>
      <c r="I32" s="98" cm="1">
        <f t="array" ref="I32">_xlfn.IFS(D32&lt;&gt;"-",SUMIFS(DADOS!$H$4:$H$19,DADOS!$C$4:$C$19,D32),C32&lt;&gt;"-",SUMIFS(DADOS!$H$4:$H$19,DADOS!$C$4:$C$19,C32),B32&lt;&gt;"-",SUMIFS(DADOS!$H$4:$H$19,DADOS!$C$4:$C$19,B32))</f>
        <v>236010.93700000001</v>
      </c>
      <c r="J32" s="99" cm="1">
        <f t="array" ref="J32">_xlfn.IFS(D32&lt;&gt;"-",SUMIFS(DADOS!$U$4:$U$19,DADOS!$C$4:$C$19,D32),C32&lt;&gt;"-",SUMIFS(DADOS!$U$4:$U$19,DADOS!$C$4:$C$19,C32),B32&lt;&gt;"-",SUMIFS(DADOS!$U$4:$U$19,DADOS!$C$4:$C$19,B32))</f>
        <v>2.7457744934930708E-2</v>
      </c>
      <c r="K32" s="111">
        <f t="shared" si="3"/>
        <v>242491.26511000001</v>
      </c>
      <c r="L32" s="91">
        <f t="shared" si="4"/>
        <v>0.6398471991151834</v>
      </c>
      <c r="M32" s="91">
        <f t="shared" si="5"/>
        <v>0.6414303832323307</v>
      </c>
    </row>
    <row r="33" spans="2:15" x14ac:dyDescent="0.3">
      <c r="B33" s="50" t="s">
        <v>29</v>
      </c>
      <c r="C33" s="50" t="s">
        <v>36</v>
      </c>
      <c r="D33" s="50" t="s">
        <v>53</v>
      </c>
      <c r="E33" s="97">
        <f t="shared" si="1"/>
        <v>8</v>
      </c>
      <c r="F33" s="98" cm="1">
        <f t="array" ref="F33">_xlfn.IFS(D33&lt;&gt;"-",SUMIFS(DADOS!$E$4:$E$19,DADOS!$C$4:$C$19,D33),C33&lt;&gt;"-",SUMIFS(DADOS!$E$4:$E$19,DADOS!$C$4:$C$19,C33),B33&lt;&gt;"-",SUMIFS(DADOS!$E$4:$E$19,DADOS!$C$4:$C$19,B33))</f>
        <v>15000</v>
      </c>
      <c r="G33" s="104" cm="1">
        <f t="array" ref="G33">_xlfn.IFS(D33&lt;&gt;"-",SUMIFS(DADOS!$R$4:$R$19,DADOS!$C$4:$C$19,D33),C33&lt;&gt;"-",SUMIFS(DADOS!$R$4:$R$19,DADOS!$C$4:$C$19,C33),B33&lt;&gt;"-",SUMIFS(DADOS!$R$4:$R$19,DADOS!$C$4:$C$19,B33))</f>
        <v>0</v>
      </c>
      <c r="H33" s="111">
        <f t="shared" si="2"/>
        <v>15000</v>
      </c>
      <c r="I33" s="98" cm="1">
        <f t="array" ref="I33">_xlfn.IFS(D33&lt;&gt;"-",SUMIFS(DADOS!$H$4:$H$19,DADOS!$C$4:$C$19,D33),C33&lt;&gt;"-",SUMIFS(DADOS!$H$4:$H$19,DADOS!$C$4:$C$19,C33),B33&lt;&gt;"-",SUMIFS(DADOS!$H$4:$H$19,DADOS!$C$4:$C$19,B33))</f>
        <v>365000</v>
      </c>
      <c r="J33" s="99" cm="1">
        <f t="array" ref="J33">_xlfn.IFS(D33&lt;&gt;"-",SUMIFS(DADOS!$U$4:$U$19,DADOS!$C$4:$C$19,D33),C33&lt;&gt;"-",SUMIFS(DADOS!$U$4:$U$19,DADOS!$C$4:$C$19,C33),B33&lt;&gt;"-",SUMIFS(DADOS!$U$4:$U$19,DADOS!$C$4:$C$19,B33))</f>
        <v>6.3013698630136991E-2</v>
      </c>
      <c r="K33" s="111">
        <f t="shared" si="3"/>
        <v>388000</v>
      </c>
      <c r="L33" s="91">
        <f t="shared" si="4"/>
        <v>4.1095890410958902E-2</v>
      </c>
      <c r="M33" s="91">
        <f t="shared" si="5"/>
        <v>3.8659793814432991E-2</v>
      </c>
    </row>
    <row r="34" spans="2:15" x14ac:dyDescent="0.3">
      <c r="B34" s="50" t="s">
        <v>57</v>
      </c>
      <c r="C34" s="50" t="s">
        <v>86</v>
      </c>
      <c r="D34" s="50" t="s">
        <v>86</v>
      </c>
      <c r="E34" s="97">
        <f t="shared" si="1"/>
        <v>9</v>
      </c>
      <c r="F34" s="98" cm="1">
        <f t="array" ref="F34">_xlfn.IFS(D34&lt;&gt;"-",SUMIFS(DADOS!$E$4:$E$19,DADOS!$C$4:$C$19,D34),C34&lt;&gt;"-",SUMIFS(DADOS!$E$4:$E$19,DADOS!$C$4:$C$19,C34),B34&lt;&gt;"-",SUMIFS(DADOS!$E$4:$E$19,DADOS!$C$4:$C$19,B34))</f>
        <v>350000</v>
      </c>
      <c r="G34" s="104" cm="1">
        <f t="array" ref="G34">_xlfn.IFS(D34&lt;&gt;"-",SUMIFS(DADOS!$R$4:$R$19,DADOS!$C$4:$C$19,D34),C34&lt;&gt;"-",SUMIFS(DADOS!$R$4:$R$19,DADOS!$C$4:$C$19,C34),B34&lt;&gt;"-",SUMIFS(DADOS!$R$4:$R$19,DADOS!$C$4:$C$19,B34))</f>
        <v>0.05</v>
      </c>
      <c r="H34" s="111">
        <f t="shared" si="2"/>
        <v>367500</v>
      </c>
      <c r="I34" s="98" cm="1">
        <f t="array" ref="I34">_xlfn.IFS(D34&lt;&gt;"-",SUMIFS(DADOS!$H$4:$H$19,DADOS!$C$4:$C$19,D34),C34&lt;&gt;"-",SUMIFS(DADOS!$H$4:$H$19,DADOS!$C$4:$C$19,C34),B34&lt;&gt;"-",SUMIFS(DADOS!$H$4:$H$19,DADOS!$C$4:$C$19,B34))</f>
        <v>1352000</v>
      </c>
      <c r="J34" s="99" cm="1">
        <f t="array" ref="J34">_xlfn.IFS(D34&lt;&gt;"-",SUMIFS(DADOS!$U$4:$U$19,DADOS!$C$4:$C$19,D34),C34&lt;&gt;"-",SUMIFS(DADOS!$U$4:$U$19,DADOS!$C$4:$C$19,C34),B34&lt;&gt;"-",SUMIFS(DADOS!$U$4:$U$19,DADOS!$C$4:$C$19,B34))</f>
        <v>1.3017751573069765E-2</v>
      </c>
      <c r="K34" s="111">
        <f t="shared" si="3"/>
        <v>1369600.0001267905</v>
      </c>
      <c r="L34" s="91">
        <f t="shared" si="4"/>
        <v>0.2588757396449704</v>
      </c>
      <c r="M34" s="91">
        <f t="shared" si="5"/>
        <v>0.2683265186667485</v>
      </c>
    </row>
    <row r="35" spans="2:15" x14ac:dyDescent="0.3">
      <c r="B35" s="50" t="s">
        <v>60</v>
      </c>
      <c r="C35" s="50" t="s">
        <v>86</v>
      </c>
      <c r="D35" s="50" t="s">
        <v>86</v>
      </c>
      <c r="E35" s="97">
        <f t="shared" si="1"/>
        <v>10</v>
      </c>
      <c r="F35" s="98" cm="1">
        <f t="array" ref="F35">_xlfn.IFS(D35&lt;&gt;"-",SUMIFS(DADOS!$E$4:$E$19,DADOS!$C$4:$C$19,D35),C35&lt;&gt;"-",SUMIFS(DADOS!$E$4:$E$19,DADOS!$C$4:$C$19,C35),B35&lt;&gt;"-",SUMIFS(DADOS!$E$4:$E$19,DADOS!$C$4:$C$19,B35))</f>
        <v>50000</v>
      </c>
      <c r="G35" s="104" cm="1">
        <f t="array" ref="G35">_xlfn.IFS(D35&lt;&gt;"-",SUMIFS(DADOS!$R$4:$R$19,DADOS!$C$4:$C$19,D35),C35&lt;&gt;"-",SUMIFS(DADOS!$R$4:$R$19,DADOS!$C$4:$C$19,C35),B35&lt;&gt;"-",SUMIFS(DADOS!$R$4:$R$19,DADOS!$C$4:$C$19,B35))</f>
        <v>0.12</v>
      </c>
      <c r="H35" s="111">
        <f t="shared" si="2"/>
        <v>56000.000000000007</v>
      </c>
      <c r="I35" s="98" cm="1">
        <f t="array" ref="I35">_xlfn.IFS(D35&lt;&gt;"-",SUMIFS(DADOS!$H$4:$H$19,DADOS!$C$4:$C$19,D35),C35&lt;&gt;"-",SUMIFS(DADOS!$H$4:$H$19,DADOS!$C$4:$C$19,C35),B35&lt;&gt;"-",SUMIFS(DADOS!$H$4:$H$19,DADOS!$C$4:$C$19,B35))</f>
        <v>205000</v>
      </c>
      <c r="J35" s="99" cm="1">
        <f t="array" ref="J35">_xlfn.IFS(D35&lt;&gt;"-",SUMIFS(DADOS!$U$4:$U$19,DADOS!$C$4:$C$19,D35),C35&lt;&gt;"-",SUMIFS(DADOS!$U$4:$U$19,DADOS!$C$4:$C$19,C35),B35&lt;&gt;"-",SUMIFS(DADOS!$U$4:$U$19,DADOS!$C$4:$C$19,B35))</f>
        <v>9.682926829268293E-2</v>
      </c>
      <c r="K35" s="111">
        <f t="shared" si="3"/>
        <v>224850.00000000003</v>
      </c>
      <c r="L35" s="91">
        <f t="shared" si="4"/>
        <v>0.24390243902439024</v>
      </c>
      <c r="M35" s="91">
        <f t="shared" si="5"/>
        <v>0.24905492550589281</v>
      </c>
    </row>
    <row r="36" spans="2:15" x14ac:dyDescent="0.3">
      <c r="B36" s="50" t="s">
        <v>63</v>
      </c>
      <c r="C36" s="50" t="s">
        <v>86</v>
      </c>
      <c r="D36" s="50" t="s">
        <v>86</v>
      </c>
      <c r="E36" s="97">
        <f t="shared" si="1"/>
        <v>11</v>
      </c>
      <c r="F36" s="98" cm="1">
        <f t="array" ref="F36">_xlfn.IFS(D36&lt;&gt;"-",SUMIFS(DADOS!$E$4:$E$19,DADOS!$C$4:$C$19,D36),C36&lt;&gt;"-",SUMIFS(DADOS!$E$4:$E$19,DADOS!$C$4:$C$19,C36),B36&lt;&gt;"-",SUMIFS(DADOS!$E$4:$E$19,DADOS!$C$4:$C$19,B36))</f>
        <v>400000</v>
      </c>
      <c r="G36" s="104" cm="1">
        <f t="array" ref="G36">_xlfn.IFS(D36&lt;&gt;"-",SUMIFS(DADOS!$R$4:$R$19,DADOS!$C$4:$C$19,D36),C36&lt;&gt;"-",SUMIFS(DADOS!$R$4:$R$19,DADOS!$C$4:$C$19,C36),B36&lt;&gt;"-",SUMIFS(DADOS!$R$4:$R$19,DADOS!$C$4:$C$19,B36))</f>
        <v>0.1</v>
      </c>
      <c r="H36" s="111">
        <f t="shared" si="2"/>
        <v>440000.00000000006</v>
      </c>
      <c r="I36" s="98" cm="1">
        <f t="array" ref="I36">_xlfn.IFS(D36&lt;&gt;"-",SUMIFS(DADOS!$H$4:$H$19,DADOS!$C$4:$C$19,D36),C36&lt;&gt;"-",SUMIFS(DADOS!$H$4:$H$19,DADOS!$C$4:$C$19,C36),B36&lt;&gt;"-",SUMIFS(DADOS!$H$4:$H$19,DADOS!$C$4:$C$19,B36))</f>
        <v>1402000</v>
      </c>
      <c r="J36" s="99" cm="1">
        <f t="array" ref="J36">_xlfn.IFS(D36&lt;&gt;"-",SUMIFS(DADOS!$U$4:$U$19,DADOS!$C$4:$C$19,D36),C36&lt;&gt;"-",SUMIFS(DADOS!$U$4:$U$19,DADOS!$C$4:$C$19,C36),B36&lt;&gt;"-",SUMIFS(DADOS!$U$4:$U$19,DADOS!$C$4:$C$19,B36))</f>
        <v>0.11422253922967189</v>
      </c>
      <c r="K36" s="111">
        <f t="shared" si="3"/>
        <v>1562140</v>
      </c>
      <c r="L36" s="91">
        <f t="shared" si="4"/>
        <v>0.28530670470756064</v>
      </c>
      <c r="M36" s="91">
        <f t="shared" si="5"/>
        <v>0.28166489559194441</v>
      </c>
    </row>
    <row r="37" spans="2:15" x14ac:dyDescent="0.3">
      <c r="B37" s="100" t="s">
        <v>65</v>
      </c>
      <c r="C37" s="100" t="s">
        <v>86</v>
      </c>
      <c r="D37" s="100" t="s">
        <v>86</v>
      </c>
      <c r="E37" s="101">
        <f t="shared" si="1"/>
        <v>12</v>
      </c>
      <c r="F37" s="102" cm="1">
        <f t="array" ref="F37">_xlfn.IFS(D37&lt;&gt;"-",SUMIFS(DADOS!$E$4:$E$19,DADOS!$C$4:$C$19,D37),C37&lt;&gt;"-",SUMIFS(DADOS!$E$4:$E$19,DADOS!$C$4:$C$19,C37),B37&lt;&gt;"-",SUMIFS(DADOS!$E$4:$E$19,DADOS!$C$4:$C$19,B37))</f>
        <v>100000</v>
      </c>
      <c r="G37" s="103" cm="1">
        <f t="array" ref="G37">_xlfn.IFS(D37&lt;&gt;"-",SUMIFS(DADOS!$R$4:$R$19,DADOS!$C$4:$C$19,D37),C37&lt;&gt;"-",SUMIFS(DADOS!$R$4:$R$19,DADOS!$C$4:$C$19,C37),B37&lt;&gt;"-",SUMIFS(DADOS!$R$4:$R$19,DADOS!$C$4:$C$19,B37))</f>
        <v>0.05</v>
      </c>
      <c r="H37" s="112">
        <f t="shared" si="2"/>
        <v>105000</v>
      </c>
      <c r="I37" s="102" cm="1">
        <f t="array" ref="I37">_xlfn.IFS(D37&lt;&gt;"-",SUMIFS(DADOS!$H$4:$H$19,DADOS!$C$4:$C$19,D37),C37&lt;&gt;"-",SUMIFS(DADOS!$H$4:$H$19,DADOS!$C$4:$C$19,C37),B37&lt;&gt;"-",SUMIFS(DADOS!$H$4:$H$19,DADOS!$C$4:$C$19,B37))</f>
        <v>120000</v>
      </c>
      <c r="J37" s="103" cm="1">
        <f t="array" ref="J37">_xlfn.IFS(D37&lt;&gt;"-",SUMIFS(DADOS!$U$4:$U$19,DADOS!$C$4:$C$19,D37),C37&lt;&gt;"-",SUMIFS(DADOS!$U$4:$U$19,DADOS!$C$4:$C$19,C37),B37&lt;&gt;"-",SUMIFS(DADOS!$U$4:$U$19,DADOS!$C$4:$C$19,B37))</f>
        <v>4.3749999999999997E-2</v>
      </c>
      <c r="K37" s="112">
        <f t="shared" si="3"/>
        <v>125250</v>
      </c>
      <c r="L37" s="92">
        <f t="shared" si="4"/>
        <v>0.83333333333333337</v>
      </c>
      <c r="M37" s="92">
        <f t="shared" si="5"/>
        <v>0.83832335329341312</v>
      </c>
    </row>
    <row r="38" spans="2:15" x14ac:dyDescent="0.3">
      <c r="F38" s="98">
        <f>SUM(F26:F37)</f>
        <v>7021715.1780000003</v>
      </c>
      <c r="G38" t="s">
        <v>86</v>
      </c>
      <c r="H38" s="111">
        <f>SUM(H26:H37)</f>
        <v>7424987.7605699999</v>
      </c>
      <c r="I38" s="98">
        <f>SUM(I26:I37)</f>
        <v>11667215.177999999</v>
      </c>
      <c r="J38" s="107" t="s">
        <v>86</v>
      </c>
      <c r="K38" s="111">
        <f>SUM(K26:K37)</f>
        <v>12293327.760696789</v>
      </c>
      <c r="L38" s="113" t="s">
        <v>86</v>
      </c>
      <c r="M38" s="113" t="s">
        <v>86</v>
      </c>
    </row>
    <row r="41" spans="2:15" x14ac:dyDescent="0.3">
      <c r="B41" s="94" t="s">
        <v>133</v>
      </c>
      <c r="C41" s="94"/>
      <c r="D41" s="94"/>
      <c r="E41" s="94"/>
      <c r="F41" s="94"/>
      <c r="G41" s="94"/>
      <c r="H41" s="94"/>
      <c r="I41" s="94"/>
      <c r="J41" s="94"/>
      <c r="K41" s="94"/>
      <c r="L41" s="94"/>
      <c r="M41" s="94"/>
      <c r="N41" s="94"/>
      <c r="O41" s="94"/>
    </row>
    <row r="44" spans="2:15" x14ac:dyDescent="0.3">
      <c r="B44" s="105" t="s">
        <v>134</v>
      </c>
    </row>
    <row r="46" spans="2:15" x14ac:dyDescent="0.3">
      <c r="B46" s="95" t="s">
        <v>28</v>
      </c>
      <c r="C46" s="95" t="s">
        <v>32</v>
      </c>
      <c r="D46" s="95" t="s">
        <v>41</v>
      </c>
      <c r="E46" s="95" t="s">
        <v>93</v>
      </c>
      <c r="F46" s="48" t="s">
        <v>108</v>
      </c>
      <c r="G46" s="95" t="s">
        <v>136</v>
      </c>
      <c r="H46" s="48" t="s">
        <v>154</v>
      </c>
      <c r="I46" s="48" t="s">
        <v>137</v>
      </c>
      <c r="J46" s="110" t="s">
        <v>131</v>
      </c>
      <c r="K46" s="110" t="s">
        <v>126</v>
      </c>
      <c r="L46" s="110" t="s">
        <v>128</v>
      </c>
      <c r="M46" s="110" t="s">
        <v>127</v>
      </c>
      <c r="N46" s="118" t="s">
        <v>132</v>
      </c>
      <c r="O46" s="118" t="s">
        <v>138</v>
      </c>
    </row>
    <row r="47" spans="2:15" x14ac:dyDescent="0.3">
      <c r="B47" s="50" t="s">
        <v>29</v>
      </c>
      <c r="C47" s="50" t="s">
        <v>33</v>
      </c>
      <c r="D47" s="50" t="s">
        <v>86</v>
      </c>
      <c r="E47" s="97">
        <v>1</v>
      </c>
      <c r="F47" s="120">
        <f>_xlfn.XLOOKUP(E47,'MACS Matrix'!$E$66:$E$77,'MACS Matrix'!$H$66:$H$77)</f>
        <v>1</v>
      </c>
      <c r="G47" s="108" cm="1">
        <f t="array" ref="G47">_xlfn.IFS(D47&lt;&gt;"-",SUMIFS(DADOS!$E$4:$E$19,DADOS!$C$4:$C$19,D47),C47&lt;&gt;"-",SUMIFS(DADOS!$E$4:$E$19,DADOS!$C$4:$C$19,C47),B47&lt;&gt;"-",SUMIFS(DADOS!$E$4:$E$19,DADOS!$C$4:$C$19,B47))</f>
        <v>5000000</v>
      </c>
      <c r="H47" s="109" cm="1">
        <f t="array" ref="H47">_xlfn.IFS(D47&lt;&gt;"-",SUMIFS(DADOS!$R$4:$R$19,DADOS!$C$4:$C$19,D47),C47&lt;&gt;"-",SUMIFS(DADOS!$R$4:$R$19,DADOS!$C$4:$C$19,C47),B47&lt;&gt;"-",SUMIFS(DADOS!$R$4:$R$19,DADOS!$C$4:$C$19,B47))</f>
        <v>0.06</v>
      </c>
      <c r="I47" s="127">
        <v>0.03</v>
      </c>
      <c r="J47" s="114">
        <f>G47*(1+I47+H47)</f>
        <v>5450000</v>
      </c>
      <c r="K47" s="116">
        <f t="shared" ref="K47:N49" si="6">I26</f>
        <v>5400000</v>
      </c>
      <c r="L47" s="117">
        <f t="shared" si="6"/>
        <v>5.8425925925925923E-2</v>
      </c>
      <c r="M47" s="116">
        <f t="shared" si="6"/>
        <v>5715500</v>
      </c>
      <c r="N47" s="117">
        <f t="shared" si="6"/>
        <v>0.92592592592592593</v>
      </c>
      <c r="O47" s="119">
        <f>J47/M47</f>
        <v>0.95354737118362343</v>
      </c>
    </row>
    <row r="48" spans="2:15" x14ac:dyDescent="0.3">
      <c r="B48" s="50" t="s">
        <v>29</v>
      </c>
      <c r="C48" s="50" t="s">
        <v>36</v>
      </c>
      <c r="D48" s="50" t="s">
        <v>38</v>
      </c>
      <c r="E48" s="97">
        <f t="shared" ref="E48:E58" si="7">E47+1</f>
        <v>2</v>
      </c>
      <c r="F48" s="126">
        <f>_xlfn.XLOOKUP(E48,'MACS Matrix'!$E$66:$E$77,'MACS Matrix'!$H$66:$H$77)</f>
        <v>3</v>
      </c>
      <c r="G48" s="98" cm="1">
        <f t="array" ref="G48">_xlfn.IFS(D48&lt;&gt;"-",SUMIFS(DADOS!$E$4:$E$19,DADOS!$C$4:$C$19,D48),C48&lt;&gt;"-",SUMIFS(DADOS!$E$4:$E$19,DADOS!$C$4:$C$19,C48),B48&lt;&gt;"-",SUMIFS(DADOS!$E$4:$E$19,DADOS!$C$4:$C$19,B48))</f>
        <v>70000</v>
      </c>
      <c r="H48" s="104" cm="1">
        <f t="array" ref="H48">_xlfn.IFS(D48&lt;&gt;"-",SUMIFS(DADOS!$R$4:$R$19,DADOS!$C$4:$C$19,D48),C48&lt;&gt;"-",SUMIFS(DADOS!$R$4:$R$19,DADOS!$C$4:$C$19,C48),B48&lt;&gt;"-",SUMIFS(DADOS!$R$4:$R$19,DADOS!$C$4:$C$19,B48))</f>
        <v>0.03</v>
      </c>
      <c r="I48" s="128">
        <v>0.01</v>
      </c>
      <c r="J48" s="114">
        <f>G48*(1+I48+H48)</f>
        <v>72800</v>
      </c>
      <c r="K48" s="116">
        <f t="shared" si="6"/>
        <v>76500</v>
      </c>
      <c r="L48" s="117">
        <f t="shared" si="6"/>
        <v>3.2679738562091505E-2</v>
      </c>
      <c r="M48" s="116">
        <f t="shared" si="6"/>
        <v>79000.000000000015</v>
      </c>
      <c r="N48" s="117">
        <f t="shared" si="6"/>
        <v>0.91503267973856206</v>
      </c>
      <c r="O48" s="119">
        <f>J48/M48</f>
        <v>0.92151898734177196</v>
      </c>
    </row>
    <row r="49" spans="2:15" x14ac:dyDescent="0.3">
      <c r="B49" s="50" t="s">
        <v>29</v>
      </c>
      <c r="C49" s="50" t="s">
        <v>36</v>
      </c>
      <c r="D49" s="50" t="s">
        <v>42</v>
      </c>
      <c r="E49" s="97">
        <f t="shared" si="7"/>
        <v>3</v>
      </c>
      <c r="F49" s="126">
        <f>_xlfn.XLOOKUP(E49,'MACS Matrix'!$E$66:$E$77,'MACS Matrix'!$H$66:$H$77)</f>
        <v>9</v>
      </c>
      <c r="G49" s="98" cm="1">
        <f t="array" ref="G49">_xlfn.IFS(D49&lt;&gt;"-",SUMIFS(DADOS!$E$4:$E$19,DADOS!$C$4:$C$19,D49),C49&lt;&gt;"-",SUMIFS(DADOS!$E$4:$E$19,DADOS!$C$4:$C$19,C49),B49&lt;&gt;"-",SUMIFS(DADOS!$E$4:$E$19,DADOS!$C$4:$C$19,B49))</f>
        <v>200000</v>
      </c>
      <c r="H49" s="104" cm="1">
        <f t="array" ref="H49">_xlfn.IFS(D49&lt;&gt;"-",SUMIFS(DADOS!$R$4:$R$19,DADOS!$C$4:$C$19,D49),C49&lt;&gt;"-",SUMIFS(DADOS!$R$4:$R$19,DADOS!$C$4:$C$19,C49),B49&lt;&gt;"-",SUMIFS(DADOS!$R$4:$R$19,DADOS!$C$4:$C$19,B49))</f>
        <v>0.01</v>
      </c>
      <c r="I49" s="128">
        <v>-0.02</v>
      </c>
      <c r="J49" s="114">
        <f>G49*(1+I49+H49)</f>
        <v>198000</v>
      </c>
      <c r="K49" s="116">
        <f t="shared" si="6"/>
        <v>1300000</v>
      </c>
      <c r="L49" s="117">
        <f t="shared" si="6"/>
        <v>2.0769230769230769E-2</v>
      </c>
      <c r="M49" s="116">
        <f t="shared" si="6"/>
        <v>1327000.0000000002</v>
      </c>
      <c r="N49" s="117">
        <f t="shared" si="6"/>
        <v>0.15384615384615385</v>
      </c>
      <c r="O49" s="119">
        <f>J49/M49</f>
        <v>0.14920874152223057</v>
      </c>
    </row>
    <row r="50" spans="2:15" x14ac:dyDescent="0.3">
      <c r="B50" s="50" t="s">
        <v>29</v>
      </c>
      <c r="C50" s="50" t="s">
        <v>36</v>
      </c>
      <c r="D50" s="50" t="s">
        <v>44</v>
      </c>
      <c r="E50" s="97">
        <f t="shared" si="7"/>
        <v>4</v>
      </c>
      <c r="F50" s="126">
        <f>_xlfn.XLOOKUP(E50,'MACS Matrix'!$E$66:$E$77,'MACS Matrix'!$H$66:$H$77)</f>
        <v>6</v>
      </c>
      <c r="G50" s="98" cm="1">
        <f t="array" ref="G50">_xlfn.IFS(D50&lt;&gt;"-",SUMIFS(DADOS!$E$4:$E$19,DADOS!$C$4:$C$19,D50),C50&lt;&gt;"-",SUMIFS(DADOS!$E$4:$E$19,DADOS!$C$4:$C$19,C50),B50&lt;&gt;"-",SUMIFS(DADOS!$E$4:$E$19,DADOS!$C$4:$C$19,B50))</f>
        <v>400000</v>
      </c>
      <c r="H50" s="104" cm="1">
        <f t="array" ref="H50">_xlfn.IFS(D50&lt;&gt;"-",SUMIFS(DADOS!$R$4:$R$19,DADOS!$C$4:$C$19,D50),C50&lt;&gt;"-",SUMIFS(DADOS!$R$4:$R$19,DADOS!$C$4:$C$19,C50),B50&lt;&gt;"-",SUMIFS(DADOS!$R$4:$R$19,DADOS!$C$4:$C$19,B50))</f>
        <v>3.5000000000000003E-2</v>
      </c>
      <c r="I50" s="128">
        <v>0.01</v>
      </c>
      <c r="J50" s="114">
        <f t="shared" ref="J50:J58" si="8">G50*(1+I50+H50)</f>
        <v>418000</v>
      </c>
      <c r="K50" s="116">
        <f t="shared" ref="K50:K58" si="9">I29</f>
        <v>600000</v>
      </c>
      <c r="L50" s="117">
        <f t="shared" ref="L50:L58" si="10">J29</f>
        <v>3.1666666666666669E-2</v>
      </c>
      <c r="M50" s="116">
        <f t="shared" ref="M50:M58" si="11">K29</f>
        <v>619000</v>
      </c>
      <c r="N50" s="117">
        <f t="shared" ref="N50:N58" si="12">L29</f>
        <v>0.66666666666666663</v>
      </c>
      <c r="O50" s="119">
        <f t="shared" ref="O50:O58" si="13">J50/M50</f>
        <v>0.67528271405492735</v>
      </c>
    </row>
    <row r="51" spans="2:15" x14ac:dyDescent="0.3">
      <c r="B51" s="50" t="s">
        <v>29</v>
      </c>
      <c r="C51" s="50" t="s">
        <v>36</v>
      </c>
      <c r="D51" s="50" t="s">
        <v>47</v>
      </c>
      <c r="E51" s="97">
        <f t="shared" si="7"/>
        <v>5</v>
      </c>
      <c r="F51" s="126">
        <f>_xlfn.XLOOKUP(E51,'MACS Matrix'!$E$66:$E$77,'MACS Matrix'!$H$66:$H$77)</f>
        <v>6</v>
      </c>
      <c r="G51" s="98" cm="1">
        <f t="array" ref="G51">_xlfn.IFS(D51&lt;&gt;"-",SUMIFS(DADOS!$E$4:$E$19,DADOS!$C$4:$C$19,D51),C51&lt;&gt;"-",SUMIFS(DADOS!$E$4:$E$19,DADOS!$C$4:$C$19,C51),B51&lt;&gt;"-",SUMIFS(DADOS!$E$4:$E$19,DADOS!$C$4:$C$19,B51))</f>
        <v>250000</v>
      </c>
      <c r="H51" s="104" cm="1">
        <f t="array" ref="H51">_xlfn.IFS(D51&lt;&gt;"-",SUMIFS(DADOS!$R$4:$R$19,DADOS!$C$4:$C$19,D51),C51&lt;&gt;"-",SUMIFS(DADOS!$R$4:$R$19,DADOS!$C$4:$C$19,C51),B51&lt;&gt;"-",SUMIFS(DADOS!$R$4:$R$19,DADOS!$C$4:$C$19,B51))</f>
        <v>0.04</v>
      </c>
      <c r="I51" s="128">
        <v>0.01</v>
      </c>
      <c r="J51" s="114">
        <f t="shared" si="8"/>
        <v>262500</v>
      </c>
      <c r="K51" s="116">
        <f t="shared" si="9"/>
        <v>475000</v>
      </c>
      <c r="L51" s="117">
        <f t="shared" si="10"/>
        <v>4.1578947368421056E-2</v>
      </c>
      <c r="M51" s="116">
        <f t="shared" si="11"/>
        <v>494750.00000000006</v>
      </c>
      <c r="N51" s="117">
        <f t="shared" si="12"/>
        <v>0.52631578947368418</v>
      </c>
      <c r="O51" s="119">
        <f t="shared" si="13"/>
        <v>0.53057099545224851</v>
      </c>
    </row>
    <row r="52" spans="2:15" x14ac:dyDescent="0.3">
      <c r="B52" s="50" t="s">
        <v>29</v>
      </c>
      <c r="C52" s="50" t="s">
        <v>36</v>
      </c>
      <c r="D52" s="50" t="s">
        <v>50</v>
      </c>
      <c r="E52" s="97">
        <f t="shared" si="7"/>
        <v>6</v>
      </c>
      <c r="F52" s="126">
        <f>_xlfn.XLOOKUP(E52,'MACS Matrix'!$E$66:$E$77,'MACS Matrix'!$H$66:$H$77)</f>
        <v>8</v>
      </c>
      <c r="G52" s="98" cm="1">
        <f t="array" ref="G52">_xlfn.IFS(D52&lt;&gt;"-",SUMIFS(DADOS!$E$4:$E$19,DADOS!$C$4:$C$19,D52),C52&lt;&gt;"-",SUMIFS(DADOS!$E$4:$E$19,DADOS!$C$4:$C$19,C52),B52&lt;&gt;"-",SUMIFS(DADOS!$E$4:$E$19,DADOS!$C$4:$C$19,B52))</f>
        <v>35704.241000000002</v>
      </c>
      <c r="H52" s="104" cm="1">
        <f t="array" ref="H52">_xlfn.IFS(D52&lt;&gt;"-",SUMIFS(DADOS!$R$4:$R$19,DADOS!$C$4:$C$19,D52),C52&lt;&gt;"-",SUMIFS(DADOS!$R$4:$R$19,DADOS!$C$4:$C$19,C52),B52&lt;&gt;"-",SUMIFS(DADOS!$R$4:$R$19,DADOS!$C$4:$C$19,B52))</f>
        <v>0.06</v>
      </c>
      <c r="I52" s="128">
        <v>0.01</v>
      </c>
      <c r="J52" s="114">
        <f t="shared" si="8"/>
        <v>38203.537870000007</v>
      </c>
      <c r="K52" s="116">
        <f t="shared" si="9"/>
        <v>135704.24100000001</v>
      </c>
      <c r="L52" s="117">
        <f t="shared" si="10"/>
        <v>7.4001036268276976E-2</v>
      </c>
      <c r="M52" s="116">
        <f t="shared" si="11"/>
        <v>145746.49546000001</v>
      </c>
      <c r="N52" s="117">
        <f t="shared" si="12"/>
        <v>0.26310335430121157</v>
      </c>
      <c r="O52" s="119">
        <f t="shared" si="13"/>
        <v>0.26212320062601391</v>
      </c>
    </row>
    <row r="53" spans="2:15" x14ac:dyDescent="0.3">
      <c r="B53" s="50" t="s">
        <v>29</v>
      </c>
      <c r="C53" s="50" t="s">
        <v>36</v>
      </c>
      <c r="D53" s="50" t="s">
        <v>52</v>
      </c>
      <c r="E53" s="97">
        <f t="shared" si="7"/>
        <v>7</v>
      </c>
      <c r="F53" s="126">
        <f>_xlfn.XLOOKUP(E53,'MACS Matrix'!$E$66:$E$77,'MACS Matrix'!$H$66:$H$77)</f>
        <v>6</v>
      </c>
      <c r="G53" s="98" cm="1">
        <f t="array" ref="G53">_xlfn.IFS(D53&lt;&gt;"-",SUMIFS(DADOS!$E$4:$E$19,DADOS!$C$4:$C$19,D53),C53&lt;&gt;"-",SUMIFS(DADOS!$E$4:$E$19,DADOS!$C$4:$C$19,C53),B53&lt;&gt;"-",SUMIFS(DADOS!$E$4:$E$19,DADOS!$C$4:$C$19,B53))</f>
        <v>151010.93700000001</v>
      </c>
      <c r="H53" s="104" cm="1">
        <f t="array" ref="H53">_xlfn.IFS(D53&lt;&gt;"-",SUMIFS(DADOS!$R$4:$R$19,DADOS!$C$4:$C$19,D53),C53&lt;&gt;"-",SUMIFS(DADOS!$R$4:$R$19,DADOS!$C$4:$C$19,C53),B53&lt;&gt;"-",SUMIFS(DADOS!$R$4:$R$19,DADOS!$C$4:$C$19,B53))</f>
        <v>0.03</v>
      </c>
      <c r="I53" s="128">
        <v>0.01</v>
      </c>
      <c r="J53" s="114">
        <f t="shared" si="8"/>
        <v>157051.37448</v>
      </c>
      <c r="K53" s="116">
        <f t="shared" si="9"/>
        <v>236010.93700000001</v>
      </c>
      <c r="L53" s="117">
        <f t="shared" si="10"/>
        <v>2.7457744934930708E-2</v>
      </c>
      <c r="M53" s="116">
        <f t="shared" si="11"/>
        <v>242491.26511000001</v>
      </c>
      <c r="N53" s="117">
        <f t="shared" si="12"/>
        <v>0.6398471991151834</v>
      </c>
      <c r="O53" s="119">
        <f t="shared" si="13"/>
        <v>0.64765786268118819</v>
      </c>
    </row>
    <row r="54" spans="2:15" x14ac:dyDescent="0.3">
      <c r="B54" s="50" t="s">
        <v>29</v>
      </c>
      <c r="C54" s="50" t="s">
        <v>36</v>
      </c>
      <c r="D54" s="50" t="s">
        <v>53</v>
      </c>
      <c r="E54" s="97">
        <f t="shared" si="7"/>
        <v>8</v>
      </c>
      <c r="F54" s="126">
        <f>_xlfn.XLOOKUP(E54,'MACS Matrix'!$E$66:$E$77,'MACS Matrix'!$H$66:$H$77)</f>
        <v>8</v>
      </c>
      <c r="G54" s="98" cm="1">
        <f t="array" ref="G54">_xlfn.IFS(D54&lt;&gt;"-",SUMIFS(DADOS!$E$4:$E$19,DADOS!$C$4:$C$19,D54),C54&lt;&gt;"-",SUMIFS(DADOS!$E$4:$E$19,DADOS!$C$4:$C$19,C54),B54&lt;&gt;"-",SUMIFS(DADOS!$E$4:$E$19,DADOS!$C$4:$C$19,B54))</f>
        <v>15000</v>
      </c>
      <c r="H54" s="104" cm="1">
        <f t="array" ref="H54">_xlfn.IFS(D54&lt;&gt;"-",SUMIFS(DADOS!$R$4:$R$19,DADOS!$C$4:$C$19,D54),C54&lt;&gt;"-",SUMIFS(DADOS!$R$4:$R$19,DADOS!$C$4:$C$19,C54),B54&lt;&gt;"-",SUMIFS(DADOS!$R$4:$R$19,DADOS!$C$4:$C$19,B54))</f>
        <v>0</v>
      </c>
      <c r="I54" s="128">
        <v>5.0000000000000001E-3</v>
      </c>
      <c r="J54" s="114">
        <f t="shared" si="8"/>
        <v>15074.999999999998</v>
      </c>
      <c r="K54" s="116">
        <f t="shared" si="9"/>
        <v>365000</v>
      </c>
      <c r="L54" s="117">
        <f t="shared" si="10"/>
        <v>6.3013698630136991E-2</v>
      </c>
      <c r="M54" s="116">
        <f t="shared" si="11"/>
        <v>388000</v>
      </c>
      <c r="N54" s="117">
        <f t="shared" si="12"/>
        <v>4.1095890410958902E-2</v>
      </c>
      <c r="O54" s="119">
        <f t="shared" si="13"/>
        <v>3.8853092783505148E-2</v>
      </c>
    </row>
    <row r="55" spans="2:15" x14ac:dyDescent="0.3">
      <c r="B55" s="50" t="s">
        <v>57</v>
      </c>
      <c r="C55" s="50" t="s">
        <v>86</v>
      </c>
      <c r="D55" s="50" t="s">
        <v>86</v>
      </c>
      <c r="E55" s="97">
        <f t="shared" si="7"/>
        <v>9</v>
      </c>
      <c r="F55" s="126">
        <f>_xlfn.XLOOKUP(E55,'MACS Matrix'!$E$66:$E$77,'MACS Matrix'!$H$66:$H$77)</f>
        <v>9</v>
      </c>
      <c r="G55" s="98" cm="1">
        <f t="array" ref="G55">_xlfn.IFS(D55&lt;&gt;"-",SUMIFS(DADOS!$E$4:$E$19,DADOS!$C$4:$C$19,D55),C55&lt;&gt;"-",SUMIFS(DADOS!$E$4:$E$19,DADOS!$C$4:$C$19,C55),B55&lt;&gt;"-",SUMIFS(DADOS!$E$4:$E$19,DADOS!$C$4:$C$19,B55))</f>
        <v>350000</v>
      </c>
      <c r="H55" s="104" cm="1">
        <f t="array" ref="H55">_xlfn.IFS(D55&lt;&gt;"-",SUMIFS(DADOS!$R$4:$R$19,DADOS!$C$4:$C$19,D55),C55&lt;&gt;"-",SUMIFS(DADOS!$R$4:$R$19,DADOS!$C$4:$C$19,C55),B55&lt;&gt;"-",SUMIFS(DADOS!$R$4:$R$19,DADOS!$C$4:$C$19,B55))</f>
        <v>0.05</v>
      </c>
      <c r="I55" s="128">
        <v>-0.02</v>
      </c>
      <c r="J55" s="114">
        <f t="shared" si="8"/>
        <v>360500</v>
      </c>
      <c r="K55" s="116">
        <f t="shared" si="9"/>
        <v>1352000</v>
      </c>
      <c r="L55" s="117">
        <f t="shared" si="10"/>
        <v>1.3017751573069765E-2</v>
      </c>
      <c r="M55" s="116">
        <f t="shared" si="11"/>
        <v>1369600.0001267905</v>
      </c>
      <c r="N55" s="117">
        <f t="shared" si="12"/>
        <v>0.2588757396449704</v>
      </c>
      <c r="O55" s="119">
        <f t="shared" si="13"/>
        <v>0.26321553735881043</v>
      </c>
    </row>
    <row r="56" spans="2:15" x14ac:dyDescent="0.3">
      <c r="B56" s="50" t="s">
        <v>60</v>
      </c>
      <c r="C56" s="50" t="s">
        <v>86</v>
      </c>
      <c r="D56" s="50" t="s">
        <v>86</v>
      </c>
      <c r="E56" s="97">
        <f t="shared" si="7"/>
        <v>10</v>
      </c>
      <c r="F56" s="126">
        <f>_xlfn.XLOOKUP(E56,'MACS Matrix'!$E$66:$E$77,'MACS Matrix'!$H$66:$H$77)</f>
        <v>7</v>
      </c>
      <c r="G56" s="98" cm="1">
        <f t="array" ref="G56">_xlfn.IFS(D56&lt;&gt;"-",SUMIFS(DADOS!$E$4:$E$19,DADOS!$C$4:$C$19,D56),C56&lt;&gt;"-",SUMIFS(DADOS!$E$4:$E$19,DADOS!$C$4:$C$19,C56),B56&lt;&gt;"-",SUMIFS(DADOS!$E$4:$E$19,DADOS!$C$4:$C$19,B56))</f>
        <v>50000</v>
      </c>
      <c r="H56" s="104" cm="1">
        <f t="array" ref="H56">_xlfn.IFS(D56&lt;&gt;"-",SUMIFS(DADOS!$R$4:$R$19,DADOS!$C$4:$C$19,D56),C56&lt;&gt;"-",SUMIFS(DADOS!$R$4:$R$19,DADOS!$C$4:$C$19,C56),B56&lt;&gt;"-",SUMIFS(DADOS!$R$4:$R$19,DADOS!$C$4:$C$19,B56))</f>
        <v>0.12</v>
      </c>
      <c r="I56" s="128">
        <v>0.02</v>
      </c>
      <c r="J56" s="114">
        <f t="shared" si="8"/>
        <v>57000.000000000007</v>
      </c>
      <c r="K56" s="116">
        <f t="shared" si="9"/>
        <v>205000</v>
      </c>
      <c r="L56" s="117">
        <f t="shared" si="10"/>
        <v>9.682926829268293E-2</v>
      </c>
      <c r="M56" s="116">
        <f t="shared" si="11"/>
        <v>224850.00000000003</v>
      </c>
      <c r="N56" s="117">
        <f t="shared" si="12"/>
        <v>0.24390243902439024</v>
      </c>
      <c r="O56" s="119">
        <f t="shared" si="13"/>
        <v>0.25350233488992663</v>
      </c>
    </row>
    <row r="57" spans="2:15" x14ac:dyDescent="0.3">
      <c r="B57" s="50" t="s">
        <v>63</v>
      </c>
      <c r="C57" s="50" t="s">
        <v>86</v>
      </c>
      <c r="D57" s="50" t="s">
        <v>86</v>
      </c>
      <c r="E57" s="97">
        <f t="shared" si="7"/>
        <v>11</v>
      </c>
      <c r="F57" s="126">
        <f>_xlfn.XLOOKUP(E57,'MACS Matrix'!$E$66:$E$77,'MACS Matrix'!$H$66:$H$77)</f>
        <v>7</v>
      </c>
      <c r="G57" s="98" cm="1">
        <f t="array" ref="G57">_xlfn.IFS(D57&lt;&gt;"-",SUMIFS(DADOS!$E$4:$E$19,DADOS!$C$4:$C$19,D57),C57&lt;&gt;"-",SUMIFS(DADOS!$E$4:$E$19,DADOS!$C$4:$C$19,C57),B57&lt;&gt;"-",SUMIFS(DADOS!$E$4:$E$19,DADOS!$C$4:$C$19,B57))</f>
        <v>400000</v>
      </c>
      <c r="H57" s="104" cm="1">
        <f t="array" ref="H57">_xlfn.IFS(D57&lt;&gt;"-",SUMIFS(DADOS!$R$4:$R$19,DADOS!$C$4:$C$19,D57),C57&lt;&gt;"-",SUMIFS(DADOS!$R$4:$R$19,DADOS!$C$4:$C$19,C57),B57&lt;&gt;"-",SUMIFS(DADOS!$R$4:$R$19,DADOS!$C$4:$C$19,B57))</f>
        <v>0.1</v>
      </c>
      <c r="I57" s="128">
        <v>0.02</v>
      </c>
      <c r="J57" s="114">
        <f t="shared" si="8"/>
        <v>448000.00000000006</v>
      </c>
      <c r="K57" s="116">
        <f t="shared" si="9"/>
        <v>1402000</v>
      </c>
      <c r="L57" s="117">
        <f t="shared" si="10"/>
        <v>0.11422253922967189</v>
      </c>
      <c r="M57" s="116">
        <f t="shared" si="11"/>
        <v>1562140</v>
      </c>
      <c r="N57" s="117">
        <f t="shared" si="12"/>
        <v>0.28530670470756064</v>
      </c>
      <c r="O57" s="119">
        <f t="shared" si="13"/>
        <v>0.28678607551179797</v>
      </c>
    </row>
    <row r="58" spans="2:15" x14ac:dyDescent="0.3">
      <c r="B58" s="100" t="s">
        <v>65</v>
      </c>
      <c r="C58" s="100" t="s">
        <v>86</v>
      </c>
      <c r="D58" s="100" t="s">
        <v>86</v>
      </c>
      <c r="E58" s="101">
        <f t="shared" si="7"/>
        <v>12</v>
      </c>
      <c r="F58" s="121">
        <f>_xlfn.XLOOKUP(E58,'MACS Matrix'!$E$66:$E$77,'MACS Matrix'!$H$66:$H$77)</f>
        <v>2</v>
      </c>
      <c r="G58" s="102" cm="1">
        <f t="array" ref="G58">_xlfn.IFS(D58&lt;&gt;"-",SUMIFS(DADOS!$E$4:$E$19,DADOS!$C$4:$C$19,D58),C58&lt;&gt;"-",SUMIFS(DADOS!$E$4:$E$19,DADOS!$C$4:$C$19,C58),B58&lt;&gt;"-",SUMIFS(DADOS!$E$4:$E$19,DADOS!$C$4:$C$19,B58))</f>
        <v>100000</v>
      </c>
      <c r="H58" s="103" cm="1">
        <f t="array" ref="H58">_xlfn.IFS(D58&lt;&gt;"-",SUMIFS(DADOS!$R$4:$R$19,DADOS!$C$4:$C$19,D58),C58&lt;&gt;"-",SUMIFS(DADOS!$R$4:$R$19,DADOS!$C$4:$C$19,C58),B58&lt;&gt;"-",SUMIFS(DADOS!$R$4:$R$19,DADOS!$C$4:$C$19,B58))</f>
        <v>0.05</v>
      </c>
      <c r="I58" s="129">
        <v>0.02</v>
      </c>
      <c r="J58" s="122">
        <f t="shared" si="8"/>
        <v>107000</v>
      </c>
      <c r="K58" s="123">
        <f t="shared" si="9"/>
        <v>120000</v>
      </c>
      <c r="L58" s="124">
        <f t="shared" si="10"/>
        <v>4.3749999999999997E-2</v>
      </c>
      <c r="M58" s="123">
        <f t="shared" si="11"/>
        <v>125250</v>
      </c>
      <c r="N58" s="124">
        <f t="shared" si="12"/>
        <v>0.83333333333333337</v>
      </c>
      <c r="O58" s="125">
        <f t="shared" si="13"/>
        <v>0.8542914171656687</v>
      </c>
    </row>
    <row r="59" spans="2:15" x14ac:dyDescent="0.3">
      <c r="B59" s="50" t="s">
        <v>114</v>
      </c>
      <c r="C59" s="50" t="s">
        <v>86</v>
      </c>
      <c r="D59" s="50" t="s">
        <v>86</v>
      </c>
      <c r="E59" s="50" t="s">
        <v>86</v>
      </c>
      <c r="F59" s="50" t="s">
        <v>86</v>
      </c>
      <c r="G59" s="111">
        <f>SUM(G47:G58)</f>
        <v>7021715.1780000003</v>
      </c>
      <c r="H59" s="50" t="s">
        <v>86</v>
      </c>
      <c r="I59" s="50" t="s">
        <v>86</v>
      </c>
      <c r="J59" s="111">
        <f>SUM(J47:J58)</f>
        <v>7584129.9123499999</v>
      </c>
      <c r="K59" s="111">
        <f>SUM(K47:K58)</f>
        <v>11667215.177999999</v>
      </c>
      <c r="L59" s="50" t="s">
        <v>86</v>
      </c>
      <c r="M59" s="114">
        <f>SUM(M47:M58)</f>
        <v>12293327.760696789</v>
      </c>
      <c r="N59" s="130">
        <f>G59/K59</f>
        <v>0.60183300563791153</v>
      </c>
      <c r="O59" s="131">
        <f>J59/M59</f>
        <v>0.6169305870618168</v>
      </c>
    </row>
    <row r="60" spans="2:15" x14ac:dyDescent="0.3">
      <c r="G60" s="34"/>
    </row>
    <row r="61" spans="2:15" x14ac:dyDescent="0.3">
      <c r="B61" s="96" t="s">
        <v>139</v>
      </c>
      <c r="D61" s="132" t="s">
        <v>77</v>
      </c>
    </row>
    <row r="62" spans="2:15" x14ac:dyDescent="0.3">
      <c r="B62" s="50" t="s">
        <v>140</v>
      </c>
      <c r="C62" s="134">
        <f>J59-G59</f>
        <v>562414.73434999958</v>
      </c>
      <c r="D62" s="132" t="s">
        <v>116</v>
      </c>
    </row>
    <row r="63" spans="2:15" x14ac:dyDescent="0.3">
      <c r="B63" s="50" t="s">
        <v>141</v>
      </c>
      <c r="C63" s="133">
        <f>O59-N59</f>
        <v>1.5097581423905271E-2</v>
      </c>
      <c r="D63" s="132" t="s">
        <v>142</v>
      </c>
    </row>
    <row r="64" spans="2:15" x14ac:dyDescent="0.3">
      <c r="B64" s="50" t="s">
        <v>155</v>
      </c>
      <c r="C64" s="138">
        <f>C62/G59</f>
        <v>8.0096489261216736E-2</v>
      </c>
      <c r="D64" s="13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9192-2841-4C93-9925-3492CE326825}">
  <dimension ref="A1"/>
  <sheetViews>
    <sheetView showGridLines="0" topLeftCell="A13" zoomScale="85" zoomScaleNormal="85" workbookViewId="0">
      <selection activeCell="E7" sqref="E7"/>
    </sheetView>
  </sheetViews>
  <sheetFormatPr defaultRowHeight="14.4" x14ac:dyDescent="0.3"/>
  <cols>
    <col min="1" max="16384" width="8.88671875" style="47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55BDB-D6E2-4AD0-B649-2AFB37BC9C38}">
  <dimension ref="B2:AC19"/>
  <sheetViews>
    <sheetView showGridLines="0" topLeftCell="D1" zoomScale="85" zoomScaleNormal="85" workbookViewId="0">
      <selection activeCell="W16" sqref="W16"/>
    </sheetView>
  </sheetViews>
  <sheetFormatPr defaultRowHeight="14.4" x14ac:dyDescent="0.3"/>
  <cols>
    <col min="1" max="1" width="1.5546875" customWidth="1"/>
    <col min="2" max="2" width="25.5546875" bestFit="1" customWidth="1"/>
    <col min="3" max="3" width="26.109375" bestFit="1" customWidth="1"/>
    <col min="4" max="4" width="1.5546875" customWidth="1"/>
    <col min="5" max="7" width="9.88671875" bestFit="1" customWidth="1"/>
    <col min="8" max="8" width="12.88671875" bestFit="1" customWidth="1"/>
    <col min="9" max="9" width="1.5546875" customWidth="1"/>
    <col min="10" max="12" width="11.33203125" customWidth="1"/>
    <col min="13" max="13" width="1.5546875" customWidth="1"/>
    <col min="14" max="15" width="11.33203125" customWidth="1"/>
    <col min="16" max="16" width="11.44140625" customWidth="1"/>
    <col min="17" max="17" width="1.5546875" customWidth="1"/>
    <col min="18" max="21" width="11.33203125" customWidth="1"/>
    <col min="22" max="22" width="1.5546875" customWidth="1"/>
    <col min="23" max="25" width="11.33203125" customWidth="1"/>
    <col min="26" max="26" width="1.5546875" customWidth="1"/>
    <col min="27" max="27" width="23" bestFit="1" customWidth="1"/>
    <col min="28" max="28" width="19.5546875" bestFit="1" customWidth="1"/>
    <col min="29" max="29" width="39.109375" bestFit="1" customWidth="1"/>
  </cols>
  <sheetData>
    <row r="2" spans="2:29" ht="49.5" customHeight="1" x14ac:dyDescent="0.3">
      <c r="B2" s="85" t="s">
        <v>15</v>
      </c>
      <c r="C2" s="85"/>
      <c r="D2" s="25"/>
      <c r="E2" s="85" t="s">
        <v>16</v>
      </c>
      <c r="F2" s="85"/>
      <c r="G2" s="85"/>
      <c r="H2" s="85"/>
      <c r="I2" s="25"/>
      <c r="J2" s="85" t="s">
        <v>17</v>
      </c>
      <c r="K2" s="85"/>
      <c r="L2" s="85"/>
      <c r="M2" s="25"/>
      <c r="N2" s="85" t="s">
        <v>18</v>
      </c>
      <c r="O2" s="85"/>
      <c r="P2" s="85"/>
      <c r="Q2" s="25"/>
      <c r="R2" s="85" t="s">
        <v>19</v>
      </c>
      <c r="S2" s="85"/>
      <c r="T2" s="85"/>
      <c r="U2" s="85"/>
      <c r="V2" s="25"/>
      <c r="W2" s="85" t="s">
        <v>20</v>
      </c>
      <c r="X2" s="85"/>
      <c r="Y2" s="85"/>
      <c r="Z2" s="25"/>
      <c r="AA2" s="85" t="s">
        <v>21</v>
      </c>
      <c r="AB2" s="85"/>
      <c r="AC2" s="85"/>
    </row>
    <row r="3" spans="2:29" x14ac:dyDescent="0.3">
      <c r="B3" s="26" t="s">
        <v>22</v>
      </c>
      <c r="C3" s="26" t="s">
        <v>23</v>
      </c>
      <c r="D3" s="25"/>
      <c r="E3" s="26" t="s">
        <v>24</v>
      </c>
      <c r="F3" s="26" t="s">
        <v>25</v>
      </c>
      <c r="G3" s="26" t="s">
        <v>26</v>
      </c>
      <c r="H3" s="27" t="s">
        <v>27</v>
      </c>
      <c r="I3" s="25"/>
      <c r="J3" s="26" t="s">
        <v>24</v>
      </c>
      <c r="K3" s="26" t="s">
        <v>25</v>
      </c>
      <c r="L3" s="26" t="s">
        <v>26</v>
      </c>
      <c r="M3" s="25"/>
      <c r="N3" s="26" t="s">
        <v>24</v>
      </c>
      <c r="O3" s="26" t="s">
        <v>25</v>
      </c>
      <c r="P3" s="26" t="s">
        <v>26</v>
      </c>
      <c r="Q3" s="25"/>
      <c r="R3" s="26" t="s">
        <v>24</v>
      </c>
      <c r="S3" s="26" t="s">
        <v>25</v>
      </c>
      <c r="T3" s="26" t="s">
        <v>26</v>
      </c>
      <c r="U3" s="27" t="s">
        <v>27</v>
      </c>
      <c r="V3" s="25"/>
      <c r="W3" s="26" t="s">
        <v>24</v>
      </c>
      <c r="X3" s="26" t="s">
        <v>25</v>
      </c>
      <c r="Y3" s="26" t="s">
        <v>26</v>
      </c>
      <c r="Z3" s="25"/>
      <c r="AA3" s="26" t="s">
        <v>24</v>
      </c>
      <c r="AB3" s="26" t="s">
        <v>25</v>
      </c>
      <c r="AC3" s="26" t="s">
        <v>26</v>
      </c>
    </row>
    <row r="4" spans="2:29" s="28" customFormat="1" x14ac:dyDescent="0.3">
      <c r="B4" s="28" t="s">
        <v>28</v>
      </c>
      <c r="C4" s="28" t="s">
        <v>29</v>
      </c>
      <c r="E4" s="29">
        <f>SUM(E5:E6)</f>
        <v>6121715.1780000003</v>
      </c>
      <c r="F4" s="29">
        <f t="shared" ref="F4:H4" si="0">SUM(F5:F6)</f>
        <v>1484500</v>
      </c>
      <c r="G4" s="29">
        <f t="shared" si="0"/>
        <v>982000</v>
      </c>
      <c r="H4" s="29">
        <f t="shared" si="0"/>
        <v>8588215.1779999994</v>
      </c>
      <c r="J4" s="30">
        <f>E4/$H4</f>
        <v>0.71280412182518338</v>
      </c>
      <c r="K4" s="30">
        <f t="shared" ref="J4:L18" si="1">F4/$H4</f>
        <v>0.17285314459781695</v>
      </c>
      <c r="L4" s="30">
        <f t="shared" si="1"/>
        <v>0.11434273357699982</v>
      </c>
      <c r="N4" s="30">
        <f t="shared" ref="N4:P18" si="2">E4/$H$19</f>
        <v>0.5246937752158084</v>
      </c>
      <c r="O4" s="30">
        <f t="shared" si="2"/>
        <v>0.12723687506845774</v>
      </c>
      <c r="P4" s="30">
        <f t="shared" si="2"/>
        <v>8.4167471416116885E-2</v>
      </c>
      <c r="R4" s="31">
        <f>SUMPRODUCT(R5:R6,E5:E6)/SUM(E5:E6)</f>
        <v>5.4686076178959389E-2</v>
      </c>
      <c r="S4" s="31">
        <f>SUMPRODUCT(S5:S6,F5:F6)/SUM(F5:F6)</f>
        <v>4.0525429437521049E-2</v>
      </c>
      <c r="T4" s="31">
        <f>SUMPRODUCT(T5:T6,G5:G6)/SUM(G5:G6)</f>
        <v>2.8859470468431771E-2</v>
      </c>
      <c r="U4" s="31">
        <f>SUMPRODUCT(R4:T4,E4:G4)/H4</f>
        <v>4.9285279164205872E-2</v>
      </c>
      <c r="W4" s="32" t="s">
        <v>30</v>
      </c>
      <c r="X4" s="32" t="s">
        <v>30</v>
      </c>
      <c r="Y4" s="32" t="s">
        <v>30</v>
      </c>
      <c r="AA4" s="33" t="s">
        <v>30</v>
      </c>
      <c r="AB4" s="33" t="s">
        <v>30</v>
      </c>
      <c r="AC4" s="33" t="s">
        <v>31</v>
      </c>
    </row>
    <row r="5" spans="2:29" x14ac:dyDescent="0.3">
      <c r="B5" t="s">
        <v>32</v>
      </c>
      <c r="C5" t="s">
        <v>33</v>
      </c>
      <c r="E5" s="34">
        <v>5000000</v>
      </c>
      <c r="F5" s="34">
        <v>300000</v>
      </c>
      <c r="G5" s="34">
        <v>100000</v>
      </c>
      <c r="H5" s="34">
        <v>5400000</v>
      </c>
      <c r="J5" s="35">
        <f t="shared" si="1"/>
        <v>0.92592592592592593</v>
      </c>
      <c r="K5" s="35">
        <f t="shared" si="1"/>
        <v>5.5555555555555552E-2</v>
      </c>
      <c r="L5" s="35">
        <f t="shared" si="1"/>
        <v>1.8518518518518517E-2</v>
      </c>
      <c r="N5" s="35">
        <f t="shared" si="2"/>
        <v>0.4285512801227947</v>
      </c>
      <c r="O5" s="35">
        <f t="shared" si="2"/>
        <v>2.5713076807367685E-2</v>
      </c>
      <c r="P5" s="35">
        <f t="shared" si="2"/>
        <v>8.5710256024558937E-3</v>
      </c>
      <c r="R5" s="36">
        <v>0.06</v>
      </c>
      <c r="S5" s="36">
        <v>4.4999999999999998E-2</v>
      </c>
      <c r="T5" s="36">
        <v>0.02</v>
      </c>
      <c r="U5" s="37">
        <f t="shared" ref="U5:U18" si="3">SUMPRODUCT(R5:T5,E5:G5)/H5</f>
        <v>5.8425925925925923E-2</v>
      </c>
      <c r="W5" s="32">
        <v>9</v>
      </c>
      <c r="X5" s="32">
        <f>J5/$H$19</f>
        <v>7.9361348170887915E-8</v>
      </c>
      <c r="Y5" s="32" t="s">
        <v>30</v>
      </c>
      <c r="AA5" s="33" t="s">
        <v>24</v>
      </c>
      <c r="AB5" s="33" t="s">
        <v>34</v>
      </c>
      <c r="AC5" s="33" t="s">
        <v>35</v>
      </c>
    </row>
    <row r="6" spans="2:29" x14ac:dyDescent="0.3">
      <c r="B6" t="s">
        <v>32</v>
      </c>
      <c r="C6" t="s">
        <v>36</v>
      </c>
      <c r="E6" s="34">
        <v>1121715.1780000001</v>
      </c>
      <c r="F6" s="34">
        <v>1184500</v>
      </c>
      <c r="G6" s="34">
        <v>882000</v>
      </c>
      <c r="H6" s="34">
        <v>3188215.1780000003</v>
      </c>
      <c r="J6" s="35">
        <f t="shared" si="1"/>
        <v>0.35183170375083134</v>
      </c>
      <c r="K6" s="35">
        <f t="shared" si="1"/>
        <v>0.37152448434896695</v>
      </c>
      <c r="L6" s="35">
        <f t="shared" si="1"/>
        <v>0.27664381190020165</v>
      </c>
      <c r="N6" s="35">
        <f t="shared" si="2"/>
        <v>9.6142495093013716E-2</v>
      </c>
      <c r="O6" s="35">
        <f t="shared" si="2"/>
        <v>0.10152379826109006</v>
      </c>
      <c r="P6" s="35">
        <f t="shared" si="2"/>
        <v>7.5596445813660984E-2</v>
      </c>
      <c r="R6" s="36">
        <f>SUMPRODUCT(R7:R13,E7:E13)/SUM(E7:E13)</f>
        <v>3.099947584911791E-2</v>
      </c>
      <c r="S6" s="36">
        <f>SUMPRODUCT(S7:S13,F7:F13)/SUM(F7:F13)</f>
        <v>3.9392148585901225E-2</v>
      </c>
      <c r="T6" s="36">
        <f>SUMPRODUCT(T7:T13,G7:G13)/SUM(G7:G13)</f>
        <v>2.9863945578231292E-2</v>
      </c>
      <c r="U6" s="37">
        <f t="shared" si="3"/>
        <v>3.3803421837294817E-2</v>
      </c>
      <c r="W6" s="32" t="s">
        <v>30</v>
      </c>
      <c r="X6" s="32">
        <f>J6/$H$19</f>
        <v>3.0155585406040528E-8</v>
      </c>
      <c r="Y6" s="32" t="s">
        <v>30</v>
      </c>
      <c r="AA6" s="33" t="s">
        <v>30</v>
      </c>
      <c r="AB6" s="33" t="s">
        <v>30</v>
      </c>
      <c r="AC6" s="33" t="s">
        <v>35</v>
      </c>
    </row>
    <row r="7" spans="2:29" x14ac:dyDescent="0.3">
      <c r="B7" s="38" t="s">
        <v>37</v>
      </c>
      <c r="C7" s="39" t="s">
        <v>38</v>
      </c>
      <c r="E7" s="40">
        <v>70000</v>
      </c>
      <c r="F7" s="40">
        <v>4500</v>
      </c>
      <c r="G7" s="40">
        <v>2000</v>
      </c>
      <c r="H7" s="40">
        <v>76500</v>
      </c>
      <c r="J7" s="35">
        <f t="shared" si="1"/>
        <v>0.91503267973856206</v>
      </c>
      <c r="K7" s="35">
        <f t="shared" si="1"/>
        <v>5.8823529411764705E-2</v>
      </c>
      <c r="L7" s="35">
        <f t="shared" si="1"/>
        <v>2.6143790849673203E-2</v>
      </c>
      <c r="N7" s="35">
        <f t="shared" si="2"/>
        <v>5.9997179217191263E-3</v>
      </c>
      <c r="O7" s="35">
        <f t="shared" si="2"/>
        <v>3.8569615211051525E-4</v>
      </c>
      <c r="P7" s="35">
        <f t="shared" si="2"/>
        <v>1.7142051204911788E-4</v>
      </c>
      <c r="R7" s="36">
        <v>0.03</v>
      </c>
      <c r="S7" s="36">
        <v>0.08</v>
      </c>
      <c r="T7" s="36">
        <v>0.02</v>
      </c>
      <c r="U7" s="37">
        <f t="shared" si="3"/>
        <v>3.2679738562091505E-2</v>
      </c>
      <c r="W7" s="32">
        <f>I7/$H$19</f>
        <v>0</v>
      </c>
      <c r="X7" s="32">
        <f>J7/$H$19</f>
        <v>7.842768525123041E-8</v>
      </c>
      <c r="Y7" s="32" t="s">
        <v>30</v>
      </c>
      <c r="AA7" s="33" t="s">
        <v>39</v>
      </c>
      <c r="AB7" s="33" t="s">
        <v>40</v>
      </c>
      <c r="AC7" s="33" t="s">
        <v>35</v>
      </c>
    </row>
    <row r="8" spans="2:29" x14ac:dyDescent="0.3">
      <c r="B8" s="38" t="s">
        <v>41</v>
      </c>
      <c r="C8" s="39" t="s">
        <v>42</v>
      </c>
      <c r="E8" s="40">
        <v>200000</v>
      </c>
      <c r="F8" s="40">
        <v>700000</v>
      </c>
      <c r="G8" s="40">
        <v>400000</v>
      </c>
      <c r="H8" s="40">
        <v>1300000</v>
      </c>
      <c r="J8" s="35">
        <f t="shared" si="1"/>
        <v>0.15384615384615385</v>
      </c>
      <c r="K8" s="35">
        <f t="shared" si="1"/>
        <v>0.53846153846153844</v>
      </c>
      <c r="L8" s="35">
        <f t="shared" si="1"/>
        <v>0.30769230769230771</v>
      </c>
      <c r="N8" s="35">
        <f t="shared" si="2"/>
        <v>1.7142051204911787E-2</v>
      </c>
      <c r="O8" s="35">
        <f t="shared" si="2"/>
        <v>5.9997179217191263E-2</v>
      </c>
      <c r="P8" s="35">
        <f t="shared" si="2"/>
        <v>3.4284102409823575E-2</v>
      </c>
      <c r="R8" s="36">
        <v>0.01</v>
      </c>
      <c r="S8" s="36">
        <v>0.03</v>
      </c>
      <c r="T8" s="36">
        <v>0.01</v>
      </c>
      <c r="U8" s="37">
        <f t="shared" si="3"/>
        <v>2.0769230769230769E-2</v>
      </c>
      <c r="W8" s="32">
        <v>6</v>
      </c>
      <c r="X8" s="32">
        <v>8.5</v>
      </c>
      <c r="Y8" s="32">
        <v>8</v>
      </c>
      <c r="AA8" s="33" t="s">
        <v>43</v>
      </c>
      <c r="AB8" s="33">
        <v>8.5</v>
      </c>
      <c r="AC8" s="33" t="s">
        <v>35</v>
      </c>
    </row>
    <row r="9" spans="2:29" x14ac:dyDescent="0.3">
      <c r="B9" s="38" t="s">
        <v>41</v>
      </c>
      <c r="C9" s="39" t="s">
        <v>44</v>
      </c>
      <c r="E9" s="40">
        <v>400000</v>
      </c>
      <c r="F9" s="40">
        <v>100000</v>
      </c>
      <c r="G9" s="40">
        <v>100000</v>
      </c>
      <c r="H9" s="40">
        <v>600000</v>
      </c>
      <c r="J9" s="35">
        <f t="shared" si="1"/>
        <v>0.66666666666666663</v>
      </c>
      <c r="K9" s="35">
        <f t="shared" si="1"/>
        <v>0.16666666666666666</v>
      </c>
      <c r="L9" s="35">
        <f t="shared" si="1"/>
        <v>0.16666666666666666</v>
      </c>
      <c r="N9" s="35">
        <f t="shared" si="2"/>
        <v>3.4284102409823575E-2</v>
      </c>
      <c r="O9" s="35">
        <f t="shared" si="2"/>
        <v>8.5710256024558937E-3</v>
      </c>
      <c r="P9" s="35">
        <f t="shared" si="2"/>
        <v>8.5710256024558937E-3</v>
      </c>
      <c r="R9" s="36">
        <v>3.5000000000000003E-2</v>
      </c>
      <c r="S9" s="36">
        <v>0.02</v>
      </c>
      <c r="T9" s="36">
        <v>0.03</v>
      </c>
      <c r="U9" s="37">
        <f t="shared" si="3"/>
        <v>3.1666666666666669E-2</v>
      </c>
      <c r="W9" s="32">
        <f t="shared" ref="W9:X12" si="4">I9/$H$19</f>
        <v>0</v>
      </c>
      <c r="X9" s="32">
        <f t="shared" si="4"/>
        <v>5.7140170683039291E-8</v>
      </c>
      <c r="Y9" s="32" t="s">
        <v>30</v>
      </c>
      <c r="AA9" s="33" t="s">
        <v>45</v>
      </c>
      <c r="AB9" s="33" t="s">
        <v>46</v>
      </c>
      <c r="AC9" s="33" t="s">
        <v>35</v>
      </c>
    </row>
    <row r="10" spans="2:29" x14ac:dyDescent="0.3">
      <c r="B10" s="38" t="s">
        <v>41</v>
      </c>
      <c r="C10" s="39" t="s">
        <v>47</v>
      </c>
      <c r="E10" s="40">
        <v>250000</v>
      </c>
      <c r="F10" s="40">
        <v>150000</v>
      </c>
      <c r="G10" s="40">
        <v>75000</v>
      </c>
      <c r="H10" s="40">
        <v>475000</v>
      </c>
      <c r="J10" s="35">
        <f t="shared" si="1"/>
        <v>0.52631578947368418</v>
      </c>
      <c r="K10" s="35">
        <f t="shared" si="1"/>
        <v>0.31578947368421051</v>
      </c>
      <c r="L10" s="35">
        <f t="shared" si="1"/>
        <v>0.15789473684210525</v>
      </c>
      <c r="N10" s="35">
        <f t="shared" si="2"/>
        <v>2.1427564006139738E-2</v>
      </c>
      <c r="O10" s="35">
        <f t="shared" si="2"/>
        <v>1.2856538403683842E-2</v>
      </c>
      <c r="P10" s="35">
        <f t="shared" si="2"/>
        <v>6.4282692018419211E-3</v>
      </c>
      <c r="R10" s="36">
        <v>0.04</v>
      </c>
      <c r="S10" s="36">
        <v>0.05</v>
      </c>
      <c r="T10" s="36">
        <v>0.03</v>
      </c>
      <c r="U10" s="37">
        <f t="shared" si="3"/>
        <v>4.1578947368421056E-2</v>
      </c>
      <c r="W10" s="32">
        <f t="shared" si="4"/>
        <v>0</v>
      </c>
      <c r="X10" s="32">
        <f t="shared" si="4"/>
        <v>4.511066106555734E-8</v>
      </c>
      <c r="Y10" s="32" t="s">
        <v>30</v>
      </c>
      <c r="AA10" s="33" t="s">
        <v>48</v>
      </c>
      <c r="AB10" s="33" t="s">
        <v>49</v>
      </c>
      <c r="AC10" s="33" t="s">
        <v>35</v>
      </c>
    </row>
    <row r="11" spans="2:29" x14ac:dyDescent="0.3">
      <c r="B11" s="38" t="s">
        <v>41</v>
      </c>
      <c r="C11" s="39" t="s">
        <v>50</v>
      </c>
      <c r="E11" s="40">
        <v>35704.241000000002</v>
      </c>
      <c r="F11" s="40">
        <v>90000</v>
      </c>
      <c r="G11" s="40">
        <v>10000</v>
      </c>
      <c r="H11" s="40">
        <v>135704.24100000001</v>
      </c>
      <c r="J11" s="35">
        <f t="shared" si="1"/>
        <v>0.26310335430121157</v>
      </c>
      <c r="K11" s="35">
        <f t="shared" si="1"/>
        <v>0.66320698112890952</v>
      </c>
      <c r="L11" s="35">
        <f t="shared" si="1"/>
        <v>7.3689664569878841E-2</v>
      </c>
      <c r="N11" s="35">
        <f t="shared" si="2"/>
        <v>3.0602196372725545E-3</v>
      </c>
      <c r="O11" s="35">
        <f t="shared" si="2"/>
        <v>7.7139230422103048E-3</v>
      </c>
      <c r="P11" s="35">
        <f t="shared" si="2"/>
        <v>8.5710256024558939E-4</v>
      </c>
      <c r="R11" s="36">
        <v>0.06</v>
      </c>
      <c r="S11" s="36">
        <v>0.08</v>
      </c>
      <c r="T11" s="36">
        <v>7.0000000000000007E-2</v>
      </c>
      <c r="U11" s="37">
        <f t="shared" si="3"/>
        <v>7.4001036268276976E-2</v>
      </c>
      <c r="W11" s="32">
        <f t="shared" si="4"/>
        <v>0</v>
      </c>
      <c r="X11" s="32">
        <f t="shared" si="4"/>
        <v>2.2550655858077086E-8</v>
      </c>
      <c r="Y11" s="32" t="s">
        <v>30</v>
      </c>
      <c r="AA11" s="33" t="s">
        <v>39</v>
      </c>
      <c r="AB11" s="33" t="s">
        <v>51</v>
      </c>
      <c r="AC11" s="33" t="s">
        <v>35</v>
      </c>
    </row>
    <row r="12" spans="2:29" x14ac:dyDescent="0.3">
      <c r="B12" s="38" t="s">
        <v>41</v>
      </c>
      <c r="C12" s="39" t="s">
        <v>52</v>
      </c>
      <c r="E12" s="40">
        <v>151010.93700000001</v>
      </c>
      <c r="F12" s="40">
        <v>40000</v>
      </c>
      <c r="G12" s="40">
        <v>45000</v>
      </c>
      <c r="H12" s="40">
        <v>236010.93700000001</v>
      </c>
      <c r="J12" s="35">
        <f t="shared" si="1"/>
        <v>0.6398471991151834</v>
      </c>
      <c r="K12" s="35">
        <f t="shared" si="1"/>
        <v>0.16948367100461958</v>
      </c>
      <c r="L12" s="35">
        <f t="shared" si="1"/>
        <v>0.19066912988019702</v>
      </c>
      <c r="N12" s="35">
        <f t="shared" si="2"/>
        <v>1.2943186072778541E-2</v>
      </c>
      <c r="O12" s="35">
        <f t="shared" si="2"/>
        <v>3.4284102409823576E-3</v>
      </c>
      <c r="P12" s="35">
        <f t="shared" si="2"/>
        <v>3.8569615211051524E-3</v>
      </c>
      <c r="R12" s="36">
        <v>0.03</v>
      </c>
      <c r="S12" s="36">
        <v>1.4999999999999999E-2</v>
      </c>
      <c r="T12" s="36">
        <v>0.03</v>
      </c>
      <c r="U12" s="37">
        <f t="shared" si="3"/>
        <v>2.7457744934930708E-2</v>
      </c>
      <c r="W12" s="32">
        <f t="shared" si="4"/>
        <v>0</v>
      </c>
      <c r="X12" s="32">
        <f t="shared" si="4"/>
        <v>5.4841467252759311E-8</v>
      </c>
      <c r="Y12" s="32" t="s">
        <v>30</v>
      </c>
      <c r="AA12" s="33" t="s">
        <v>45</v>
      </c>
      <c r="AB12" s="33" t="s">
        <v>46</v>
      </c>
      <c r="AC12" s="33" t="s">
        <v>35</v>
      </c>
    </row>
    <row r="13" spans="2:29" x14ac:dyDescent="0.3">
      <c r="B13" s="38" t="s">
        <v>41</v>
      </c>
      <c r="C13" s="39" t="s">
        <v>53</v>
      </c>
      <c r="E13" s="40">
        <v>15000</v>
      </c>
      <c r="F13" s="40">
        <v>100000</v>
      </c>
      <c r="G13" s="40">
        <v>250000</v>
      </c>
      <c r="H13" s="40">
        <v>365000</v>
      </c>
      <c r="J13" s="35">
        <f t="shared" si="1"/>
        <v>4.1095890410958902E-2</v>
      </c>
      <c r="K13" s="35">
        <f t="shared" si="1"/>
        <v>0.27397260273972601</v>
      </c>
      <c r="L13" s="35">
        <f t="shared" si="1"/>
        <v>0.68493150684931503</v>
      </c>
      <c r="N13" s="35">
        <f t="shared" si="2"/>
        <v>1.2856538403683841E-3</v>
      </c>
      <c r="O13" s="35">
        <f t="shared" si="2"/>
        <v>8.5710256024558937E-3</v>
      </c>
      <c r="P13" s="35">
        <f t="shared" si="2"/>
        <v>2.1427564006139738E-2</v>
      </c>
      <c r="R13" s="36">
        <f t="shared" ref="R13" si="5">M13/$H13</f>
        <v>0</v>
      </c>
      <c r="S13" s="36">
        <v>0.08</v>
      </c>
      <c r="T13" s="36">
        <v>0.06</v>
      </c>
      <c r="U13" s="37">
        <f t="shared" si="3"/>
        <v>6.3013698630136991E-2</v>
      </c>
      <c r="W13" s="32" t="s">
        <v>30</v>
      </c>
      <c r="X13" s="32" t="s">
        <v>30</v>
      </c>
      <c r="Y13" s="32" t="s">
        <v>30</v>
      </c>
      <c r="AA13" s="33" t="s">
        <v>30</v>
      </c>
      <c r="AB13" s="33" t="s">
        <v>54</v>
      </c>
      <c r="AC13" s="33" t="s">
        <v>35</v>
      </c>
    </row>
    <row r="14" spans="2:29" s="28" customFormat="1" x14ac:dyDescent="0.3">
      <c r="B14" s="28" t="s">
        <v>55</v>
      </c>
      <c r="C14" s="28" t="s">
        <v>56</v>
      </c>
      <c r="E14" s="29">
        <f>SUM(E15:E18)</f>
        <v>900000</v>
      </c>
      <c r="F14" s="29">
        <f t="shared" ref="F14:H14" si="6">SUM(F15:F18)</f>
        <v>164000</v>
      </c>
      <c r="G14" s="29">
        <f t="shared" si="6"/>
        <v>2015000</v>
      </c>
      <c r="H14" s="29">
        <f t="shared" si="6"/>
        <v>3079000</v>
      </c>
      <c r="J14" s="30">
        <f t="shared" si="1"/>
        <v>0.29230269568041573</v>
      </c>
      <c r="K14" s="30">
        <f t="shared" si="1"/>
        <v>5.3264046768431307E-2</v>
      </c>
      <c r="L14" s="30">
        <f t="shared" si="1"/>
        <v>0.654433257551153</v>
      </c>
      <c r="N14" s="30">
        <f t="shared" si="2"/>
        <v>7.713923042210305E-2</v>
      </c>
      <c r="O14" s="30">
        <f t="shared" si="2"/>
        <v>1.4056481988027668E-2</v>
      </c>
      <c r="P14" s="30">
        <f t="shared" si="2"/>
        <v>0.17270616588948629</v>
      </c>
      <c r="R14" s="31">
        <f>SUMPRODUCT(R15:R18,E15:E18)/SUM(E15:E18)</f>
        <v>7.6111111111111115E-2</v>
      </c>
      <c r="S14" s="31">
        <f t="shared" ref="S14:T14" si="7">SUMPRODUCT(S15:S18,F15:F18)/SUM(F15:F18)</f>
        <v>8.439024390243903E-2</v>
      </c>
      <c r="T14" s="31">
        <f t="shared" si="7"/>
        <v>5.9801488896670134E-2</v>
      </c>
      <c r="U14" s="31">
        <f t="shared" si="3"/>
        <v>6.5878532032085199E-2</v>
      </c>
      <c r="W14" s="32" t="s">
        <v>30</v>
      </c>
      <c r="X14" s="32" t="s">
        <v>30</v>
      </c>
      <c r="Y14" s="32" t="s">
        <v>30</v>
      </c>
      <c r="AA14" s="32" t="s">
        <v>30</v>
      </c>
      <c r="AB14" s="32" t="s">
        <v>30</v>
      </c>
      <c r="AC14" s="32" t="s">
        <v>35</v>
      </c>
    </row>
    <row r="15" spans="2:29" s="28" customFormat="1" x14ac:dyDescent="0.3">
      <c r="B15" s="28" t="s">
        <v>28</v>
      </c>
      <c r="C15" s="28" t="s">
        <v>57</v>
      </c>
      <c r="E15" s="29">
        <v>350000</v>
      </c>
      <c r="F15" s="29">
        <v>2000</v>
      </c>
      <c r="G15" s="29">
        <v>1000000</v>
      </c>
      <c r="H15" s="29">
        <f t="shared" ref="H15:H18" si="8">SUM(E15:G15)</f>
        <v>1352000</v>
      </c>
      <c r="J15" s="30">
        <f t="shared" si="1"/>
        <v>0.2588757396449704</v>
      </c>
      <c r="K15" s="30">
        <f t="shared" si="1"/>
        <v>1.4792899408284023E-3</v>
      </c>
      <c r="L15" s="30">
        <f t="shared" si="1"/>
        <v>0.73964497041420119</v>
      </c>
      <c r="N15" s="30">
        <f t="shared" si="2"/>
        <v>2.9998589608595631E-2</v>
      </c>
      <c r="O15" s="30">
        <f t="shared" si="2"/>
        <v>1.7142051204911788E-4</v>
      </c>
      <c r="P15" s="30">
        <f t="shared" si="2"/>
        <v>8.5710256024558951E-2</v>
      </c>
      <c r="R15" s="31">
        <v>0.05</v>
      </c>
      <c r="S15" s="31">
        <v>0.05</v>
      </c>
      <c r="T15" s="31">
        <f t="shared" ref="T15" si="9">O15/$H15</f>
        <v>1.2679031956295702E-10</v>
      </c>
      <c r="U15" s="31">
        <f t="shared" si="3"/>
        <v>1.3017751573069765E-2</v>
      </c>
      <c r="W15" s="32">
        <f>I15/$H$19</f>
        <v>0</v>
      </c>
      <c r="X15" s="32">
        <f>J15/$H$19</f>
        <v>2.2188305923517476E-8</v>
      </c>
      <c r="Y15" s="32" t="s">
        <v>30</v>
      </c>
      <c r="AA15" s="33" t="s">
        <v>58</v>
      </c>
      <c r="AB15" s="33" t="s">
        <v>59</v>
      </c>
      <c r="AC15" s="33" t="s">
        <v>35</v>
      </c>
    </row>
    <row r="16" spans="2:29" s="28" customFormat="1" x14ac:dyDescent="0.3">
      <c r="B16" s="28" t="s">
        <v>28</v>
      </c>
      <c r="C16" s="28" t="s">
        <v>60</v>
      </c>
      <c r="E16" s="29">
        <v>50000</v>
      </c>
      <c r="F16" s="29">
        <v>150000</v>
      </c>
      <c r="G16" s="29">
        <v>5000</v>
      </c>
      <c r="H16" s="29">
        <f t="shared" si="8"/>
        <v>205000</v>
      </c>
      <c r="J16" s="30">
        <f t="shared" si="1"/>
        <v>0.24390243902439024</v>
      </c>
      <c r="K16" s="30">
        <f t="shared" si="1"/>
        <v>0.73170731707317072</v>
      </c>
      <c r="L16" s="30">
        <f t="shared" si="1"/>
        <v>2.4390243902439025E-2</v>
      </c>
      <c r="N16" s="30">
        <f t="shared" si="2"/>
        <v>4.2855128012279468E-3</v>
      </c>
      <c r="O16" s="30">
        <f t="shared" si="2"/>
        <v>1.2856538403683842E-2</v>
      </c>
      <c r="P16" s="30">
        <f t="shared" si="2"/>
        <v>4.2855128012279469E-4</v>
      </c>
      <c r="R16" s="31">
        <v>0.12</v>
      </c>
      <c r="S16" s="31">
        <v>0.09</v>
      </c>
      <c r="T16" s="31">
        <v>7.0000000000000007E-2</v>
      </c>
      <c r="U16" s="31">
        <f t="shared" si="3"/>
        <v>9.682926829268293E-2</v>
      </c>
      <c r="W16" s="32">
        <v>7</v>
      </c>
      <c r="X16" s="32">
        <v>8</v>
      </c>
      <c r="Y16" s="32" t="s">
        <v>30</v>
      </c>
      <c r="AA16" s="33" t="s">
        <v>61</v>
      </c>
      <c r="AB16" s="33" t="s">
        <v>62</v>
      </c>
      <c r="AC16" s="33" t="s">
        <v>35</v>
      </c>
    </row>
    <row r="17" spans="2:29" s="28" customFormat="1" x14ac:dyDescent="0.3">
      <c r="B17" s="28" t="s">
        <v>28</v>
      </c>
      <c r="C17" s="28" t="s">
        <v>63</v>
      </c>
      <c r="E17" s="29">
        <v>400000</v>
      </c>
      <c r="F17" s="29">
        <v>2000</v>
      </c>
      <c r="G17" s="29">
        <v>1000000</v>
      </c>
      <c r="H17" s="29">
        <f t="shared" si="8"/>
        <v>1402000</v>
      </c>
      <c r="J17" s="30">
        <f t="shared" si="1"/>
        <v>0.28530670470756064</v>
      </c>
      <c r="K17" s="30">
        <f t="shared" si="1"/>
        <v>1.4265335235378032E-3</v>
      </c>
      <c r="L17" s="30">
        <f t="shared" si="1"/>
        <v>0.71326676176890158</v>
      </c>
      <c r="N17" s="30">
        <f t="shared" si="2"/>
        <v>3.4284102409823575E-2</v>
      </c>
      <c r="O17" s="30">
        <f t="shared" si="2"/>
        <v>1.7142051204911788E-4</v>
      </c>
      <c r="P17" s="30">
        <f t="shared" si="2"/>
        <v>8.5710256024558951E-2</v>
      </c>
      <c r="R17" s="31">
        <v>0.1</v>
      </c>
      <c r="S17" s="31">
        <v>7.0000000000000007E-2</v>
      </c>
      <c r="T17" s="31">
        <v>0.12</v>
      </c>
      <c r="U17" s="31">
        <f t="shared" si="3"/>
        <v>0.11422253922967189</v>
      </c>
      <c r="W17" s="32" t="s">
        <v>30</v>
      </c>
      <c r="X17" s="32" t="s">
        <v>30</v>
      </c>
      <c r="Y17" s="32" t="s">
        <v>30</v>
      </c>
      <c r="AA17" s="33" t="s">
        <v>64</v>
      </c>
      <c r="AB17" s="33" t="s">
        <v>30</v>
      </c>
      <c r="AC17" s="33" t="s">
        <v>35</v>
      </c>
    </row>
    <row r="18" spans="2:29" s="28" customFormat="1" x14ac:dyDescent="0.3">
      <c r="B18" s="28" t="s">
        <v>28</v>
      </c>
      <c r="C18" s="28" t="s">
        <v>65</v>
      </c>
      <c r="E18" s="29">
        <v>100000</v>
      </c>
      <c r="F18" s="29">
        <v>10000</v>
      </c>
      <c r="G18" s="29">
        <v>10000</v>
      </c>
      <c r="H18" s="29">
        <f t="shared" si="8"/>
        <v>120000</v>
      </c>
      <c r="J18" s="30">
        <f t="shared" si="1"/>
        <v>0.83333333333333337</v>
      </c>
      <c r="K18" s="30">
        <f t="shared" si="1"/>
        <v>8.3333333333333329E-2</v>
      </c>
      <c r="L18" s="30">
        <f t="shared" si="1"/>
        <v>8.3333333333333329E-2</v>
      </c>
      <c r="N18" s="30">
        <f t="shared" si="2"/>
        <v>8.5710256024558937E-3</v>
      </c>
      <c r="O18" s="30">
        <f t="shared" si="2"/>
        <v>8.5710256024558939E-4</v>
      </c>
      <c r="P18" s="30">
        <f t="shared" si="2"/>
        <v>8.5710256024558939E-4</v>
      </c>
      <c r="R18" s="31">
        <v>0.05</v>
      </c>
      <c r="S18" s="31">
        <v>0.01</v>
      </c>
      <c r="T18" s="31">
        <v>1.4999999999999999E-2</v>
      </c>
      <c r="U18" s="31">
        <f t="shared" si="3"/>
        <v>4.3749999999999997E-2</v>
      </c>
      <c r="W18" s="32">
        <v>9.5</v>
      </c>
      <c r="X18" s="32">
        <v>7</v>
      </c>
      <c r="Y18" s="32" t="s">
        <v>30</v>
      </c>
      <c r="AA18" s="33" t="s">
        <v>66</v>
      </c>
      <c r="AB18" s="33" t="s">
        <v>67</v>
      </c>
      <c r="AC18" s="33" t="s">
        <v>35</v>
      </c>
    </row>
    <row r="19" spans="2:29" s="28" customFormat="1" x14ac:dyDescent="0.3">
      <c r="B19" s="41" t="s">
        <v>55</v>
      </c>
      <c r="C19" s="41" t="s">
        <v>68</v>
      </c>
      <c r="E19" s="42">
        <f>SUM(E4,E14)</f>
        <v>7021715.1780000003</v>
      </c>
      <c r="F19" s="42">
        <f>SUM(F4,F14)</f>
        <v>1648500</v>
      </c>
      <c r="G19" s="42">
        <f>SUM(G4,G14)</f>
        <v>2997000</v>
      </c>
      <c r="H19" s="42">
        <f>SUM(E19:G19)</f>
        <v>11667215.177999999</v>
      </c>
      <c r="J19" s="43">
        <f>E19/$H19</f>
        <v>0.60183300563791153</v>
      </c>
      <c r="K19" s="43">
        <f>F19/$H19</f>
        <v>0.14129335705648541</v>
      </c>
      <c r="L19" s="43">
        <f>G19/$H19</f>
        <v>0.25687363730560314</v>
      </c>
      <c r="N19" s="43">
        <f>SUM(N4,N14)</f>
        <v>0.60183300563791142</v>
      </c>
      <c r="O19" s="43">
        <f t="shared" ref="O19:P19" si="10">SUM(O4,O14)</f>
        <v>0.14129335705648541</v>
      </c>
      <c r="P19" s="43">
        <f t="shared" si="10"/>
        <v>0.2568736373056032</v>
      </c>
      <c r="R19" s="44">
        <f>(R14*E14+E4*R4)/SUM(E4,E14)</f>
        <v>5.7432204574960323E-2</v>
      </c>
      <c r="S19" s="44">
        <f t="shared" ref="S19:U19" si="11">(S14*F14+F4*S4)/SUM(F4,F14)</f>
        <v>4.4889293296936611E-2</v>
      </c>
      <c r="T19" s="44">
        <f t="shared" si="11"/>
        <v>4.9662996371968741E-2</v>
      </c>
      <c r="U19" s="44">
        <f t="shared" si="11"/>
        <v>5.3664269763139733E-2</v>
      </c>
      <c r="W19"/>
      <c r="X19"/>
      <c r="Y19"/>
      <c r="AA19"/>
      <c r="AB19"/>
      <c r="AC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MACS Matrix</vt:lpstr>
      <vt:lpstr>Business Case</vt:lpstr>
      <vt:lpstr>Raw data&gt;&gt;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Abraão Luiz</dc:creator>
  <cp:lastModifiedBy>Abraão Luiz</cp:lastModifiedBy>
  <dcterms:created xsi:type="dcterms:W3CDTF">2015-06-05T18:17:20Z</dcterms:created>
  <dcterms:modified xsi:type="dcterms:W3CDTF">2024-07-11T19:18:16Z</dcterms:modified>
</cp:coreProperties>
</file>